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3.xml" ContentType="application/vnd.openxmlformats-officedocument.drawing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tables/table6.xml" ContentType="application/vnd.openxmlformats-officedocument.spreadsheetml.table+xml"/>
  <Override PartName="/xl/drawings/drawing4.xml" ContentType="application/vnd.openxmlformats-officedocument.drawing+xml"/>
  <Override PartName="/xl/tables/table7.xml" ContentType="application/vnd.openxmlformats-officedocument.spreadsheetml.tab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5.xml" ContentType="application/vnd.openxmlformats-officedocument.drawing+xml"/>
  <Override PartName="/xl/tables/table11.xml" ContentType="application/vnd.openxmlformats-officedocument.spreadsheetml.tab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6.xml" ContentType="application/vnd.openxmlformats-officedocument.drawing+xml"/>
  <Override PartName="/xl/tables/table12.xml" ContentType="application/vnd.openxmlformats-officedocument.spreadsheetml.tab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7.xml" ContentType="application/vnd.openxmlformats-officedocument.drawing+xml"/>
  <Override PartName="/xl/tables/table13.xml" ContentType="application/vnd.openxmlformats-officedocument.spreadsheetml.tab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8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9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tonac-my.sharepoint.com/personal/lh2u17_soton_ac_uk/Documents/3rd year/IP 2020-21/Code/"/>
    </mc:Choice>
  </mc:AlternateContent>
  <xr:revisionPtr revIDLastSave="360" documentId="13_ncr:1_{918CA0AE-7F2F-4D34-B2BE-F9C7078E02E4}" xr6:coauthVersionLast="45" xr6:coauthVersionMax="46" xr10:uidLastSave="{58830ED5-8090-4478-B523-31C7922D13EC}"/>
  <bookViews>
    <workbookView xWindow="-110" yWindow="-110" windowWidth="19420" windowHeight="11020" firstSheet="9" activeTab="11" xr2:uid="{EA0EDE36-1755-4E04-9288-297AE8A91D43}"/>
  </bookViews>
  <sheets>
    <sheet name="Hull + sails Particulars" sheetId="1" r:id="rId1"/>
    <sheet name="Asymmetric spinnaker on pole" sheetId="9" r:id="rId2"/>
    <sheet name="Resid. resist. coeff" sheetId="2" r:id="rId3"/>
    <sheet name="Resid Resistance Molland-Soton" sheetId="11" r:id="rId4"/>
    <sheet name="Resistance prediction" sheetId="10" r:id="rId5"/>
    <sheet name="Maxsurf Resist. calc" sheetId="3" r:id="rId6"/>
    <sheet name="120kg crew hull resistance" sheetId="13" r:id="rId7"/>
    <sheet name="150kg crew hull resistance" sheetId="14" r:id="rId8"/>
    <sheet name="180kg crew hull resistance" sheetId="15" r:id="rId9"/>
    <sheet name="Stability case 120kg crew" sheetId="4" r:id="rId10"/>
    <sheet name="Stability case 150kg crew" sheetId="18" r:id="rId11"/>
    <sheet name="Stability case 180kg crew" sheetId="19" r:id="rId12"/>
    <sheet name="Stability data" sheetId="5" r:id="rId13"/>
    <sheet name="Foil profile shape" sheetId="7" r:id="rId14"/>
    <sheet name="Foil data" sheetId="12" r:id="rId15"/>
  </sheets>
  <definedNames>
    <definedName name="Aw">'Resid. resist. coeff'!$S$21</definedName>
    <definedName name="va">'Resistance prediction'!$E$10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3" i="4" l="1"/>
  <c r="J4" i="4"/>
  <c r="J5" i="4"/>
  <c r="J6" i="4"/>
  <c r="J7" i="4"/>
  <c r="J8" i="4"/>
  <c r="J9" i="4"/>
  <c r="J10" i="4"/>
  <c r="J11" i="4"/>
  <c r="J12" i="4"/>
  <c r="J13" i="4"/>
  <c r="J14" i="4"/>
  <c r="J15" i="4"/>
  <c r="J2" i="4"/>
  <c r="S6" i="7" l="1"/>
  <c r="S5" i="7"/>
  <c r="S4" i="7"/>
  <c r="F3" i="18" l="1"/>
  <c r="F4" i="18"/>
  <c r="F5" i="18"/>
  <c r="F6" i="18"/>
  <c r="F7" i="18"/>
  <c r="F8" i="18"/>
  <c r="F9" i="18"/>
  <c r="F10" i="18"/>
  <c r="F11" i="18"/>
  <c r="F12" i="18"/>
  <c r="F13" i="18"/>
  <c r="F14" i="18"/>
  <c r="F15" i="18"/>
  <c r="F2" i="18"/>
  <c r="I2" i="18" s="1"/>
  <c r="E3" i="18"/>
  <c r="E4" i="18"/>
  <c r="E5" i="18"/>
  <c r="E6" i="18"/>
  <c r="E7" i="18"/>
  <c r="E8" i="18"/>
  <c r="E9" i="18"/>
  <c r="E10" i="18"/>
  <c r="E11" i="18"/>
  <c r="E12" i="18"/>
  <c r="E13" i="18"/>
  <c r="E14" i="18"/>
  <c r="E15" i="18"/>
  <c r="E2" i="18"/>
  <c r="D3" i="18"/>
  <c r="D4" i="18"/>
  <c r="D5" i="18"/>
  <c r="D6" i="18"/>
  <c r="D7" i="18"/>
  <c r="D8" i="18"/>
  <c r="D9" i="18"/>
  <c r="D10" i="18"/>
  <c r="D11" i="18"/>
  <c r="D12" i="18"/>
  <c r="D13" i="18"/>
  <c r="D14" i="18"/>
  <c r="D15" i="18"/>
  <c r="D2" i="18"/>
  <c r="F3" i="4"/>
  <c r="F4" i="4"/>
  <c r="F5" i="4"/>
  <c r="F6" i="4"/>
  <c r="F7" i="4"/>
  <c r="F8" i="4"/>
  <c r="F9" i="4"/>
  <c r="F10" i="4"/>
  <c r="F11" i="4"/>
  <c r="F12" i="4"/>
  <c r="F13" i="4"/>
  <c r="F14" i="4"/>
  <c r="F15" i="4"/>
  <c r="F2" i="4"/>
  <c r="E3" i="4"/>
  <c r="E4" i="4"/>
  <c r="E5" i="4"/>
  <c r="E6" i="4"/>
  <c r="E7" i="4"/>
  <c r="E8" i="4"/>
  <c r="E9" i="4"/>
  <c r="E10" i="4"/>
  <c r="E11" i="4"/>
  <c r="E12" i="4"/>
  <c r="E13" i="4"/>
  <c r="E14" i="4"/>
  <c r="E15" i="4"/>
  <c r="E2" i="4"/>
  <c r="D3" i="4"/>
  <c r="D4" i="4"/>
  <c r="D5" i="4"/>
  <c r="D6" i="4"/>
  <c r="D7" i="4"/>
  <c r="D8" i="4"/>
  <c r="D9" i="4"/>
  <c r="D10" i="4"/>
  <c r="D11" i="4"/>
  <c r="D12" i="4"/>
  <c r="D13" i="4"/>
  <c r="D14" i="4"/>
  <c r="D15" i="4"/>
  <c r="D2" i="4"/>
  <c r="F27" i="19"/>
  <c r="F26" i="19"/>
  <c r="F25" i="19"/>
  <c r="F24" i="19"/>
  <c r="F23" i="19"/>
  <c r="F22" i="19"/>
  <c r="F21" i="19"/>
  <c r="F15" i="19"/>
  <c r="E15" i="19"/>
  <c r="D15" i="19"/>
  <c r="C15" i="19"/>
  <c r="F14" i="19"/>
  <c r="E14" i="19"/>
  <c r="D14" i="19"/>
  <c r="C14" i="19"/>
  <c r="F13" i="19"/>
  <c r="E13" i="19"/>
  <c r="D13" i="19"/>
  <c r="C13" i="19"/>
  <c r="F12" i="19"/>
  <c r="E12" i="19"/>
  <c r="D12" i="19"/>
  <c r="C12" i="19"/>
  <c r="F11" i="19"/>
  <c r="E11" i="19"/>
  <c r="D11" i="19"/>
  <c r="C11" i="19"/>
  <c r="F10" i="19"/>
  <c r="E10" i="19"/>
  <c r="D10" i="19"/>
  <c r="C10" i="19"/>
  <c r="F9" i="19"/>
  <c r="E9" i="19"/>
  <c r="D9" i="19"/>
  <c r="C9" i="19"/>
  <c r="F8" i="19"/>
  <c r="E8" i="19"/>
  <c r="H8" i="19" s="1"/>
  <c r="D8" i="19"/>
  <c r="C8" i="19"/>
  <c r="F7" i="19"/>
  <c r="E7" i="19"/>
  <c r="D7" i="19"/>
  <c r="C7" i="19"/>
  <c r="F6" i="19"/>
  <c r="E6" i="19"/>
  <c r="D6" i="19"/>
  <c r="C6" i="19"/>
  <c r="F5" i="19"/>
  <c r="E5" i="19"/>
  <c r="D5" i="19"/>
  <c r="C5" i="19"/>
  <c r="F4" i="19"/>
  <c r="E4" i="19"/>
  <c r="D4" i="19"/>
  <c r="C4" i="19"/>
  <c r="F3" i="19"/>
  <c r="E3" i="19"/>
  <c r="D3" i="19"/>
  <c r="C3" i="19"/>
  <c r="F2" i="19"/>
  <c r="E2" i="19"/>
  <c r="D2" i="19"/>
  <c r="C2" i="19"/>
  <c r="F27" i="18"/>
  <c r="F26" i="18"/>
  <c r="F25" i="18"/>
  <c r="F24" i="18"/>
  <c r="F23" i="18"/>
  <c r="F22" i="18"/>
  <c r="F21" i="18"/>
  <c r="I15" i="18"/>
  <c r="C15" i="18"/>
  <c r="C14" i="18"/>
  <c r="C13" i="18"/>
  <c r="I13" i="18" s="1"/>
  <c r="C12" i="18"/>
  <c r="H12" i="18" s="1"/>
  <c r="C11" i="18"/>
  <c r="G11" i="18" s="1"/>
  <c r="C10" i="18"/>
  <c r="C9" i="18"/>
  <c r="C8" i="18"/>
  <c r="H8" i="18" s="1"/>
  <c r="I7" i="18"/>
  <c r="H7" i="18"/>
  <c r="C7" i="18"/>
  <c r="C6" i="18"/>
  <c r="C5" i="18"/>
  <c r="I4" i="18"/>
  <c r="C4" i="18"/>
  <c r="H4" i="18" s="1"/>
  <c r="I3" i="18"/>
  <c r="C3" i="18"/>
  <c r="C2" i="18"/>
  <c r="G2" i="18" s="1"/>
  <c r="I5" i="19" l="1"/>
  <c r="G7" i="18"/>
  <c r="I8" i="18"/>
  <c r="H11" i="18"/>
  <c r="H2" i="18"/>
  <c r="I12" i="18"/>
  <c r="G3" i="18"/>
  <c r="I9" i="18"/>
  <c r="I11" i="18"/>
  <c r="G15" i="18"/>
  <c r="H3" i="18"/>
  <c r="H15" i="18"/>
  <c r="G2" i="19"/>
  <c r="G4" i="19"/>
  <c r="H5" i="19"/>
  <c r="G8" i="19"/>
  <c r="G12" i="19"/>
  <c r="G15" i="19"/>
  <c r="I6" i="19"/>
  <c r="G7" i="19"/>
  <c r="H7" i="19"/>
  <c r="I13" i="19"/>
  <c r="I14" i="19"/>
  <c r="H15" i="19"/>
  <c r="H2" i="19"/>
  <c r="H4" i="19"/>
  <c r="I8" i="19"/>
  <c r="H12" i="19"/>
  <c r="I4" i="19"/>
  <c r="I12" i="19"/>
  <c r="G3" i="19"/>
  <c r="H3" i="19"/>
  <c r="I9" i="19"/>
  <c r="G10" i="19"/>
  <c r="G11" i="19"/>
  <c r="H11" i="19"/>
  <c r="I14" i="18"/>
  <c r="I5" i="18"/>
  <c r="K2" i="18" s="1"/>
  <c r="I10" i="18"/>
  <c r="I6" i="18"/>
  <c r="G6" i="19"/>
  <c r="G14" i="19"/>
  <c r="I2" i="19"/>
  <c r="I3" i="19"/>
  <c r="G5" i="19"/>
  <c r="H6" i="19"/>
  <c r="I7" i="19"/>
  <c r="G9" i="19"/>
  <c r="H10" i="19"/>
  <c r="I11" i="19"/>
  <c r="G13" i="19"/>
  <c r="H14" i="19"/>
  <c r="I15" i="19"/>
  <c r="H9" i="19"/>
  <c r="I10" i="19"/>
  <c r="H13" i="19"/>
  <c r="G6" i="18"/>
  <c r="G10" i="18"/>
  <c r="G14" i="18"/>
  <c r="G5" i="18"/>
  <c r="H6" i="18"/>
  <c r="G9" i="18"/>
  <c r="H10" i="18"/>
  <c r="G13" i="18"/>
  <c r="H14" i="18"/>
  <c r="G4" i="18"/>
  <c r="H5" i="18"/>
  <c r="G8" i="18"/>
  <c r="H9" i="18"/>
  <c r="G12" i="18"/>
  <c r="H13" i="18"/>
  <c r="B3" i="15"/>
  <c r="B4" i="15"/>
  <c r="B5" i="15"/>
  <c r="B6" i="15"/>
  <c r="B7" i="15"/>
  <c r="B8" i="15"/>
  <c r="B9" i="15"/>
  <c r="B10" i="15"/>
  <c r="B11" i="15"/>
  <c r="B12" i="15"/>
  <c r="B13" i="15"/>
  <c r="B14" i="15"/>
  <c r="B15" i="15"/>
  <c r="B16" i="15"/>
  <c r="B17" i="15"/>
  <c r="B18" i="15"/>
  <c r="B19" i="15"/>
  <c r="B20" i="15"/>
  <c r="B21" i="15"/>
  <c r="B22" i="15"/>
  <c r="B23" i="15"/>
  <c r="B24" i="15"/>
  <c r="B25" i="15"/>
  <c r="B26" i="15"/>
  <c r="B27" i="15"/>
  <c r="B28" i="15"/>
  <c r="B29" i="15"/>
  <c r="B30" i="15"/>
  <c r="B31" i="15"/>
  <c r="B32" i="15"/>
  <c r="B33" i="15"/>
  <c r="B34" i="15"/>
  <c r="B35" i="15"/>
  <c r="B36" i="15"/>
  <c r="B37" i="15"/>
  <c r="B38" i="15"/>
  <c r="B39" i="15"/>
  <c r="B40" i="15"/>
  <c r="B41" i="15"/>
  <c r="B42" i="15"/>
  <c r="B2" i="15"/>
  <c r="B3" i="14"/>
  <c r="B4" i="14"/>
  <c r="B5" i="14"/>
  <c r="B6" i="14"/>
  <c r="B7" i="14"/>
  <c r="B8" i="14"/>
  <c r="B9" i="14"/>
  <c r="B10" i="14"/>
  <c r="B11" i="14"/>
  <c r="B12" i="14"/>
  <c r="B13" i="14"/>
  <c r="B14" i="14"/>
  <c r="B15" i="14"/>
  <c r="B16" i="14"/>
  <c r="B17" i="14"/>
  <c r="B18" i="14"/>
  <c r="B19" i="14"/>
  <c r="B20" i="14"/>
  <c r="B21" i="14"/>
  <c r="B22" i="14"/>
  <c r="B23" i="14"/>
  <c r="B24" i="14"/>
  <c r="B25" i="14"/>
  <c r="B26" i="14"/>
  <c r="B27" i="14"/>
  <c r="B28" i="14"/>
  <c r="B29" i="14"/>
  <c r="B30" i="14"/>
  <c r="B31" i="14"/>
  <c r="B32" i="14"/>
  <c r="B33" i="14"/>
  <c r="B34" i="14"/>
  <c r="B35" i="14"/>
  <c r="B36" i="14"/>
  <c r="B37" i="14"/>
  <c r="B38" i="14"/>
  <c r="B39" i="14"/>
  <c r="B40" i="14"/>
  <c r="B41" i="14"/>
  <c r="B42" i="14"/>
  <c r="B2" i="14"/>
  <c r="B3" i="13"/>
  <c r="B4" i="13"/>
  <c r="B5" i="13"/>
  <c r="B6" i="13"/>
  <c r="B7" i="13"/>
  <c r="B8" i="13"/>
  <c r="B9" i="13"/>
  <c r="B10" i="13"/>
  <c r="B11" i="13"/>
  <c r="B12" i="13"/>
  <c r="B13" i="13"/>
  <c r="B14" i="13"/>
  <c r="B15" i="13"/>
  <c r="B16" i="13"/>
  <c r="B17" i="13"/>
  <c r="B18" i="13"/>
  <c r="B19" i="13"/>
  <c r="B20" i="13"/>
  <c r="B21" i="13"/>
  <c r="B22" i="13"/>
  <c r="B23" i="13"/>
  <c r="B24" i="13"/>
  <c r="B25" i="13"/>
  <c r="B26" i="13"/>
  <c r="B27" i="13"/>
  <c r="B28" i="13"/>
  <c r="B29" i="13"/>
  <c r="B30" i="13"/>
  <c r="B31" i="13"/>
  <c r="B32" i="13"/>
  <c r="B33" i="13"/>
  <c r="B34" i="13"/>
  <c r="B35" i="13"/>
  <c r="B36" i="13"/>
  <c r="B37" i="13"/>
  <c r="B38" i="13"/>
  <c r="B39" i="13"/>
  <c r="B40" i="13"/>
  <c r="B41" i="13"/>
  <c r="B42" i="13"/>
  <c r="B2" i="13"/>
  <c r="J2" i="19" l="1"/>
  <c r="C3" i="4"/>
  <c r="C4" i="4"/>
  <c r="C5" i="4"/>
  <c r="C6" i="4"/>
  <c r="C7" i="4"/>
  <c r="C8" i="4"/>
  <c r="C9" i="4"/>
  <c r="C10" i="4"/>
  <c r="C11" i="4"/>
  <c r="C12" i="4"/>
  <c r="C13" i="4"/>
  <c r="C14" i="4"/>
  <c r="C15" i="4"/>
  <c r="C2" i="4"/>
  <c r="F22" i="4"/>
  <c r="F23" i="4"/>
  <c r="F24" i="4"/>
  <c r="F25" i="4"/>
  <c r="F26" i="4"/>
  <c r="F27" i="4"/>
  <c r="F21" i="4"/>
  <c r="W16" i="7" l="1"/>
  <c r="W5" i="7"/>
  <c r="W6" i="7"/>
  <c r="W7" i="7"/>
  <c r="W8" i="7"/>
  <c r="W9" i="7"/>
  <c r="W10" i="7"/>
  <c r="W11" i="7"/>
  <c r="W12" i="7"/>
  <c r="W4" i="7"/>
  <c r="U5" i="7"/>
  <c r="U6" i="7"/>
  <c r="U7" i="7"/>
  <c r="U8" i="7"/>
  <c r="U9" i="7"/>
  <c r="U10" i="7"/>
  <c r="U11" i="7"/>
  <c r="U12" i="7"/>
  <c r="U4" i="7"/>
  <c r="T12" i="7"/>
  <c r="T11" i="7"/>
  <c r="T10" i="7"/>
  <c r="T9" i="7"/>
  <c r="D5" i="12"/>
  <c r="D4" i="12"/>
  <c r="B7" i="12" l="1"/>
  <c r="B4" i="12"/>
  <c r="G20" i="11" l="1"/>
  <c r="G21" i="11"/>
  <c r="G22" i="11"/>
  <c r="G23" i="11"/>
  <c r="G24" i="11"/>
  <c r="G25" i="11"/>
  <c r="G26" i="11"/>
  <c r="G27" i="11"/>
  <c r="G28" i="11"/>
  <c r="G29" i="11"/>
  <c r="G30" i="11"/>
  <c r="G31" i="11"/>
  <c r="G32" i="11"/>
  <c r="G19" i="11"/>
  <c r="E19" i="11" a="1"/>
  <c r="E19" i="11" s="1"/>
  <c r="G2" i="11"/>
  <c r="G3" i="11"/>
  <c r="G4" i="11"/>
  <c r="G5" i="11"/>
  <c r="G6" i="11"/>
  <c r="G7" i="11"/>
  <c r="G8" i="11"/>
  <c r="G9" i="11"/>
  <c r="G10" i="11"/>
  <c r="G11" i="11"/>
  <c r="G12" i="11"/>
  <c r="G13" i="11"/>
  <c r="G14" i="11"/>
  <c r="G15" i="11"/>
  <c r="G16" i="11"/>
  <c r="G17" i="11"/>
  <c r="G18" i="11"/>
  <c r="I3" i="11" l="1"/>
  <c r="I4" i="11" s="1"/>
  <c r="I5" i="11" s="1"/>
  <c r="I6" i="11" s="1"/>
  <c r="I7" i="11" s="1"/>
  <c r="I8" i="11" s="1"/>
  <c r="I9" i="11" s="1"/>
  <c r="I10" i="11" s="1"/>
  <c r="I11" i="11" s="1"/>
  <c r="I12" i="11" s="1"/>
  <c r="I13" i="11" s="1"/>
  <c r="I14" i="11" s="1"/>
  <c r="I15" i="11" s="1"/>
  <c r="I16" i="11" s="1"/>
  <c r="I17" i="11" s="1"/>
  <c r="I18" i="11" s="1"/>
  <c r="I19" i="11" s="1"/>
  <c r="J19" i="11" s="1"/>
  <c r="L19" i="11" s="1"/>
  <c r="M19" i="11" s="1"/>
  <c r="N19" i="11" s="1"/>
  <c r="O19" i="11" s="1"/>
  <c r="J2" i="11"/>
  <c r="L2" i="11" s="1"/>
  <c r="M2" i="11" s="1"/>
  <c r="I20" i="11" l="1"/>
  <c r="K19" i="11"/>
  <c r="I21" i="11"/>
  <c r="J20" i="11"/>
  <c r="N2" i="11"/>
  <c r="J4" i="11"/>
  <c r="K2" i="11"/>
  <c r="J3" i="11"/>
  <c r="B2" i="11"/>
  <c r="O2" i="11" s="1"/>
  <c r="A3" i="11"/>
  <c r="S18" i="2"/>
  <c r="H22" i="2" s="1"/>
  <c r="I22" i="2" s="1"/>
  <c r="O46" i="2" s="1"/>
  <c r="N28" i="2"/>
  <c r="M53" i="2"/>
  <c r="M51" i="2"/>
  <c r="M52" i="2"/>
  <c r="M45" i="2"/>
  <c r="M46" i="2"/>
  <c r="M47" i="2"/>
  <c r="M48" i="2"/>
  <c r="M49" i="2"/>
  <c r="M50" i="2"/>
  <c r="M44" i="2"/>
  <c r="M38" i="2"/>
  <c r="M39" i="2"/>
  <c r="M40" i="2"/>
  <c r="M41" i="2"/>
  <c r="M42" i="2"/>
  <c r="M43" i="2"/>
  <c r="M30" i="2"/>
  <c r="M31" i="2"/>
  <c r="M32" i="2"/>
  <c r="M33" i="2"/>
  <c r="M34" i="2"/>
  <c r="M35" i="2"/>
  <c r="M36" i="2"/>
  <c r="M37" i="2"/>
  <c r="M29" i="2"/>
  <c r="H21" i="2"/>
  <c r="N45" i="2" s="1"/>
  <c r="H24" i="2"/>
  <c r="I24" i="2" s="1"/>
  <c r="O48" i="2" s="1"/>
  <c r="H25" i="2"/>
  <c r="N49" i="2" s="1"/>
  <c r="H26" i="2"/>
  <c r="I26" i="2" s="1"/>
  <c r="O50" i="2" s="1"/>
  <c r="H27" i="2"/>
  <c r="I27" i="2" s="1"/>
  <c r="O51" i="2" s="1"/>
  <c r="H28" i="2"/>
  <c r="I28" i="2" s="1"/>
  <c r="O52" i="2" s="1"/>
  <c r="H29" i="2"/>
  <c r="N53" i="2" s="1"/>
  <c r="L3" i="2"/>
  <c r="N29" i="2" s="1"/>
  <c r="L4" i="2"/>
  <c r="M4" i="2" s="1"/>
  <c r="O30" i="2" s="1"/>
  <c r="L5" i="2"/>
  <c r="N31" i="2" s="1"/>
  <c r="L6" i="2"/>
  <c r="N32" i="2" s="1"/>
  <c r="L7" i="2"/>
  <c r="N33" i="2" s="1"/>
  <c r="L8" i="2"/>
  <c r="M8" i="2" s="1"/>
  <c r="O34" i="2" s="1"/>
  <c r="L9" i="2"/>
  <c r="N35" i="2" s="1"/>
  <c r="L10" i="2"/>
  <c r="N36" i="2" s="1"/>
  <c r="L11" i="2"/>
  <c r="N37" i="2" s="1"/>
  <c r="L12" i="2"/>
  <c r="M12" i="2" s="1"/>
  <c r="O38" i="2" s="1"/>
  <c r="L13" i="2"/>
  <c r="M13" i="2" s="1"/>
  <c r="O39" i="2" s="1"/>
  <c r="L14" i="2"/>
  <c r="N40" i="2" s="1"/>
  <c r="L15" i="2"/>
  <c r="M15" i="2" s="1"/>
  <c r="O41" i="2" s="1"/>
  <c r="L16" i="2"/>
  <c r="M16" i="2" s="1"/>
  <c r="O42" i="2" s="1"/>
  <c r="L17" i="2"/>
  <c r="M17" i="2" s="1"/>
  <c r="O43" i="2" s="1"/>
  <c r="H38" i="10"/>
  <c r="S20" i="2"/>
  <c r="K20" i="11" l="1"/>
  <c r="L20" i="11"/>
  <c r="M20" i="11" s="1"/>
  <c r="N20" i="11" s="1"/>
  <c r="O20" i="11" s="1"/>
  <c r="I22" i="11"/>
  <c r="J21" i="11"/>
  <c r="A4" i="11"/>
  <c r="B4" i="11" s="1"/>
  <c r="L3" i="11"/>
  <c r="M3" i="11" s="1"/>
  <c r="N3" i="11" s="1"/>
  <c r="L4" i="11"/>
  <c r="M4" i="11" s="1"/>
  <c r="N4" i="11" s="1"/>
  <c r="F2" i="11"/>
  <c r="K3" i="11"/>
  <c r="K4" i="11"/>
  <c r="J5" i="11"/>
  <c r="C2" i="11"/>
  <c r="C4" i="11"/>
  <c r="F4" i="11"/>
  <c r="A5" i="11"/>
  <c r="B3" i="11"/>
  <c r="H20" i="2"/>
  <c r="I20" i="2" s="1"/>
  <c r="O44" i="2" s="1"/>
  <c r="H23" i="2"/>
  <c r="I23" i="2" s="1"/>
  <c r="O47" i="2" s="1"/>
  <c r="M5" i="2"/>
  <c r="O31" i="2" s="1"/>
  <c r="M11" i="2"/>
  <c r="O37" i="2" s="1"/>
  <c r="M3" i="2"/>
  <c r="O29" i="2" s="1"/>
  <c r="M9" i="2"/>
  <c r="O35" i="2" s="1"/>
  <c r="M7" i="2"/>
  <c r="O33" i="2" s="1"/>
  <c r="M14" i="2"/>
  <c r="O40" i="2" s="1"/>
  <c r="M10" i="2"/>
  <c r="O36" i="2" s="1"/>
  <c r="M6" i="2"/>
  <c r="O32" i="2" s="1"/>
  <c r="I29" i="2"/>
  <c r="O53" i="2" s="1"/>
  <c r="N43" i="2"/>
  <c r="N39" i="2"/>
  <c r="N52" i="2"/>
  <c r="N48" i="2"/>
  <c r="I25" i="2"/>
  <c r="O49" i="2" s="1"/>
  <c r="N42" i="2"/>
  <c r="N38" i="2"/>
  <c r="N34" i="2"/>
  <c r="N30" i="2"/>
  <c r="N51" i="2"/>
  <c r="I21" i="2"/>
  <c r="O45" i="2" s="1"/>
  <c r="N41" i="2"/>
  <c r="N44" i="2"/>
  <c r="N50" i="2"/>
  <c r="N46" i="2"/>
  <c r="D49" i="10"/>
  <c r="D48" i="10"/>
  <c r="D47" i="10"/>
  <c r="D46" i="10"/>
  <c r="D45" i="10"/>
  <c r="D44" i="10"/>
  <c r="D43" i="10"/>
  <c r="D42" i="10"/>
  <c r="D41" i="10"/>
  <c r="D40" i="10"/>
  <c r="D39" i="10"/>
  <c r="D36" i="10"/>
  <c r="D35" i="10"/>
  <c r="D31" i="10"/>
  <c r="B26" i="10"/>
  <c r="H5" i="10"/>
  <c r="H4" i="10" s="1"/>
  <c r="G5" i="10"/>
  <c r="B24" i="10"/>
  <c r="B20" i="10"/>
  <c r="N47" i="2" l="1"/>
  <c r="K21" i="11"/>
  <c r="L21" i="11"/>
  <c r="M21" i="11" s="1"/>
  <c r="N21" i="11" s="1"/>
  <c r="O21" i="11" s="1"/>
  <c r="J22" i="11"/>
  <c r="I23" i="11"/>
  <c r="L5" i="11"/>
  <c r="M5" i="11" s="1"/>
  <c r="N5" i="11" s="1"/>
  <c r="O4" i="11"/>
  <c r="K5" i="11"/>
  <c r="J6" i="11"/>
  <c r="A6" i="11"/>
  <c r="B5" i="11"/>
  <c r="O3" i="11"/>
  <c r="F3" i="11"/>
  <c r="C3" i="11"/>
  <c r="D4" i="10"/>
  <c r="B23" i="10" s="1"/>
  <c r="B27" i="10" s="1"/>
  <c r="B9" i="10" s="1"/>
  <c r="J23" i="11" l="1"/>
  <c r="I24" i="11"/>
  <c r="L22" i="11"/>
  <c r="M22" i="11" s="1"/>
  <c r="N22" i="11" s="1"/>
  <c r="O22" i="11" s="1"/>
  <c r="K22" i="11"/>
  <c r="L6" i="11"/>
  <c r="M6" i="11" s="1"/>
  <c r="N6" i="11" s="1"/>
  <c r="J7" i="11"/>
  <c r="K6" i="11"/>
  <c r="O5" i="11"/>
  <c r="F5" i="11"/>
  <c r="C5" i="11"/>
  <c r="A7" i="11"/>
  <c r="B6" i="11"/>
  <c r="B16" i="10"/>
  <c r="B10" i="10"/>
  <c r="D6" i="10"/>
  <c r="B19" i="10"/>
  <c r="B21" i="10" s="1"/>
  <c r="J24" i="11" l="1"/>
  <c r="I25" i="11"/>
  <c r="L23" i="11"/>
  <c r="M23" i="11" s="1"/>
  <c r="N23" i="11" s="1"/>
  <c r="O23" i="11" s="1"/>
  <c r="K23" i="11"/>
  <c r="L7" i="11"/>
  <c r="M7" i="11" s="1"/>
  <c r="N7" i="11" s="1"/>
  <c r="K7" i="11"/>
  <c r="J8" i="11"/>
  <c r="O6" i="11"/>
  <c r="F6" i="11"/>
  <c r="C6" i="11"/>
  <c r="A8" i="11"/>
  <c r="B7" i="11"/>
  <c r="I26" i="11" l="1"/>
  <c r="J25" i="11"/>
  <c r="L24" i="11"/>
  <c r="M24" i="11" s="1"/>
  <c r="N24" i="11" s="1"/>
  <c r="O24" i="11" s="1"/>
  <c r="K24" i="11"/>
  <c r="L8" i="11"/>
  <c r="M8" i="11" s="1"/>
  <c r="N8" i="11" s="1"/>
  <c r="J9" i="11"/>
  <c r="K8" i="11"/>
  <c r="O7" i="11"/>
  <c r="F7" i="11"/>
  <c r="C7" i="11"/>
  <c r="A9" i="11"/>
  <c r="B8" i="11"/>
  <c r="G2" i="4"/>
  <c r="G3" i="4"/>
  <c r="G4" i="4"/>
  <c r="G5" i="4"/>
  <c r="G6" i="4"/>
  <c r="G7" i="4"/>
  <c r="G8" i="4"/>
  <c r="G9" i="4"/>
  <c r="G10" i="4"/>
  <c r="G11" i="4"/>
  <c r="G12" i="4"/>
  <c r="G13" i="4"/>
  <c r="G14" i="4"/>
  <c r="G15" i="4"/>
  <c r="K25" i="11" l="1"/>
  <c r="L25" i="11"/>
  <c r="M25" i="11" s="1"/>
  <c r="N25" i="11" s="1"/>
  <c r="O25" i="11" s="1"/>
  <c r="I27" i="11"/>
  <c r="J26" i="11"/>
  <c r="L9" i="11"/>
  <c r="M9" i="11" s="1"/>
  <c r="N9" i="11" s="1"/>
  <c r="K9" i="11"/>
  <c r="J10" i="11"/>
  <c r="A10" i="11"/>
  <c r="B9" i="11"/>
  <c r="C8" i="11"/>
  <c r="O8" i="11"/>
  <c r="F8" i="11"/>
  <c r="I2" i="4"/>
  <c r="I3" i="4"/>
  <c r="I4" i="4"/>
  <c r="I5" i="4"/>
  <c r="I6" i="4"/>
  <c r="I7" i="4"/>
  <c r="I8" i="4"/>
  <c r="I9" i="4"/>
  <c r="I10" i="4"/>
  <c r="I11" i="4"/>
  <c r="I12" i="4"/>
  <c r="I13" i="4"/>
  <c r="I14" i="4"/>
  <c r="I15" i="4"/>
  <c r="M2" i="4" l="1"/>
  <c r="K26" i="11"/>
  <c r="L26" i="11"/>
  <c r="M26" i="11" s="1"/>
  <c r="N26" i="11" s="1"/>
  <c r="O26" i="11" s="1"/>
  <c r="J27" i="11"/>
  <c r="I28" i="11"/>
  <c r="L10" i="11"/>
  <c r="M10" i="11" s="1"/>
  <c r="N10" i="11" s="1"/>
  <c r="J11" i="11"/>
  <c r="K10" i="11"/>
  <c r="F9" i="11"/>
  <c r="C9" i="11"/>
  <c r="O9" i="11"/>
  <c r="A11" i="11"/>
  <c r="B10" i="11"/>
  <c r="F1" i="7"/>
  <c r="G1" i="7" s="1"/>
  <c r="F2" i="7"/>
  <c r="G2" i="7" s="1"/>
  <c r="H2" i="7" s="1"/>
  <c r="F3" i="7"/>
  <c r="G3" i="7" s="1"/>
  <c r="H3" i="7" s="1"/>
  <c r="F4" i="7"/>
  <c r="G4" i="7" s="1"/>
  <c r="H4" i="7" s="1"/>
  <c r="F5" i="7"/>
  <c r="G5" i="7" s="1"/>
  <c r="H5" i="7" s="1"/>
  <c r="F6" i="7"/>
  <c r="G6" i="7" s="1"/>
  <c r="H6" i="7" s="1"/>
  <c r="F7" i="7"/>
  <c r="G7" i="7" s="1"/>
  <c r="E2" i="7"/>
  <c r="E3" i="7"/>
  <c r="E4" i="7"/>
  <c r="E5" i="7"/>
  <c r="E6" i="7"/>
  <c r="E7" i="7"/>
  <c r="E1" i="7"/>
  <c r="B19" i="7"/>
  <c r="B20" i="7"/>
  <c r="B21" i="7"/>
  <c r="B22" i="7"/>
  <c r="B23" i="7"/>
  <c r="B24" i="7"/>
  <c r="B25" i="7"/>
  <c r="A20" i="7"/>
  <c r="A21" i="7"/>
  <c r="A22" i="7"/>
  <c r="A23" i="7"/>
  <c r="A24" i="7"/>
  <c r="A25" i="7"/>
  <c r="A19" i="7"/>
  <c r="I29" i="11" l="1"/>
  <c r="J28" i="11"/>
  <c r="L27" i="11"/>
  <c r="M27" i="11" s="1"/>
  <c r="N27" i="11" s="1"/>
  <c r="O27" i="11" s="1"/>
  <c r="K27" i="11"/>
  <c r="L11" i="11"/>
  <c r="M11" i="11" s="1"/>
  <c r="N11" i="11" s="1"/>
  <c r="K11" i="11"/>
  <c r="J12" i="11"/>
  <c r="A12" i="11"/>
  <c r="B11" i="11"/>
  <c r="O10" i="11"/>
  <c r="F10" i="11"/>
  <c r="C10" i="11"/>
  <c r="H3" i="4"/>
  <c r="H4" i="4"/>
  <c r="H5" i="4"/>
  <c r="H7" i="4"/>
  <c r="H8" i="4"/>
  <c r="H9" i="4"/>
  <c r="H11" i="4"/>
  <c r="H12" i="4"/>
  <c r="H13" i="4"/>
  <c r="H15" i="4"/>
  <c r="H2" i="4"/>
  <c r="H6" i="4"/>
  <c r="H10" i="4"/>
  <c r="H14" i="4"/>
  <c r="H33" i="1"/>
  <c r="H37" i="1"/>
  <c r="H38" i="1"/>
  <c r="H41" i="1"/>
  <c r="H42" i="1"/>
  <c r="H43" i="1"/>
  <c r="H44" i="1"/>
  <c r="H45" i="1"/>
  <c r="H46" i="1"/>
  <c r="H47" i="1"/>
  <c r="H48" i="1"/>
  <c r="H49" i="1"/>
  <c r="H50" i="1"/>
  <c r="H51" i="1"/>
  <c r="K28" i="11" l="1"/>
  <c r="L28" i="11"/>
  <c r="M28" i="11" s="1"/>
  <c r="N28" i="11" s="1"/>
  <c r="O28" i="11" s="1"/>
  <c r="I30" i="11"/>
  <c r="J29" i="11"/>
  <c r="L12" i="11"/>
  <c r="M12" i="11" s="1"/>
  <c r="N12" i="11" s="1"/>
  <c r="J13" i="11"/>
  <c r="K12" i="11"/>
  <c r="O11" i="11"/>
  <c r="F11" i="11"/>
  <c r="C11" i="11"/>
  <c r="A13" i="11"/>
  <c r="B12" i="11"/>
  <c r="F2" i="3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2" i="3"/>
  <c r="K29" i="11" l="1"/>
  <c r="L29" i="11"/>
  <c r="M29" i="11" s="1"/>
  <c r="N29" i="11" s="1"/>
  <c r="O29" i="11" s="1"/>
  <c r="I31" i="11"/>
  <c r="J30" i="11"/>
  <c r="L13" i="11"/>
  <c r="M13" i="11" s="1"/>
  <c r="N13" i="11" s="1"/>
  <c r="K13" i="11"/>
  <c r="J14" i="11"/>
  <c r="C12" i="11"/>
  <c r="O12" i="11"/>
  <c r="F12" i="11"/>
  <c r="A14" i="11"/>
  <c r="B13" i="11"/>
  <c r="A4" i="2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20" i="2" s="1"/>
  <c r="A21" i="2" s="1"/>
  <c r="L30" i="11" l="1"/>
  <c r="M30" i="11" s="1"/>
  <c r="N30" i="11" s="1"/>
  <c r="O30" i="11" s="1"/>
  <c r="K30" i="11"/>
  <c r="J31" i="11"/>
  <c r="I32" i="11"/>
  <c r="J32" i="11" s="1"/>
  <c r="L14" i="11"/>
  <c r="M14" i="11" s="1"/>
  <c r="N14" i="11" s="1"/>
  <c r="J15" i="11"/>
  <c r="K14" i="11"/>
  <c r="A15" i="11"/>
  <c r="B14" i="11"/>
  <c r="F13" i="11"/>
  <c r="C13" i="11"/>
  <c r="O13" i="11"/>
  <c r="A22" i="2"/>
  <c r="A23" i="2" s="1"/>
  <c r="A24" i="2" s="1"/>
  <c r="A25" i="2" s="1"/>
  <c r="A26" i="2" s="1"/>
  <c r="A27" i="2" s="1"/>
  <c r="A28" i="2" s="1"/>
  <c r="A29" i="2" s="1"/>
  <c r="N5" i="1"/>
  <c r="N6" i="1"/>
  <c r="N7" i="1"/>
  <c r="N8" i="1"/>
  <c r="N9" i="1"/>
  <c r="N10" i="1"/>
  <c r="N11" i="1"/>
  <c r="N12" i="1"/>
  <c r="N13" i="1"/>
  <c r="N14" i="1"/>
  <c r="L32" i="11" l="1"/>
  <c r="M32" i="11" s="1"/>
  <c r="N32" i="11" s="1"/>
  <c r="O32" i="11" s="1"/>
  <c r="K32" i="11"/>
  <c r="L31" i="11"/>
  <c r="M31" i="11" s="1"/>
  <c r="N31" i="11" s="1"/>
  <c r="O31" i="11" s="1"/>
  <c r="K31" i="11"/>
  <c r="L15" i="11"/>
  <c r="M15" i="11" s="1"/>
  <c r="N15" i="11" s="1"/>
  <c r="K15" i="11"/>
  <c r="J16" i="11"/>
  <c r="O14" i="11"/>
  <c r="F14" i="11"/>
  <c r="C14" i="11"/>
  <c r="A16" i="11"/>
  <c r="B15" i="11"/>
  <c r="G6" i="1"/>
  <c r="G22" i="1"/>
  <c r="G16" i="1"/>
  <c r="G17" i="1" s="1"/>
  <c r="G13" i="1"/>
  <c r="G29" i="1" s="1"/>
  <c r="L16" i="11" l="1"/>
  <c r="M16" i="11" s="1"/>
  <c r="N16" i="11" s="1"/>
  <c r="J18" i="11"/>
  <c r="J17" i="11"/>
  <c r="K16" i="11"/>
  <c r="A17" i="11"/>
  <c r="B16" i="11"/>
  <c r="O15" i="11"/>
  <c r="F15" i="11"/>
  <c r="C15" i="11"/>
  <c r="B27" i="1"/>
  <c r="B13" i="1"/>
  <c r="B22" i="1"/>
  <c r="B16" i="1"/>
  <c r="B17" i="1" s="1"/>
  <c r="B28" i="1" s="1"/>
  <c r="L17" i="11" l="1"/>
  <c r="M17" i="11" s="1"/>
  <c r="N17" i="11" s="1"/>
  <c r="L18" i="11"/>
  <c r="M18" i="11" s="1"/>
  <c r="N18" i="11" s="1"/>
  <c r="K18" i="11"/>
  <c r="K17" i="11"/>
  <c r="C16" i="11"/>
  <c r="O16" i="11"/>
  <c r="F16" i="11"/>
  <c r="A18" i="11"/>
  <c r="B17" i="11"/>
  <c r="B18" i="11" l="1"/>
  <c r="A19" i="11"/>
  <c r="O18" i="11"/>
  <c r="F18" i="11"/>
  <c r="C18" i="11"/>
  <c r="F17" i="11"/>
  <c r="C17" i="11"/>
  <c r="O17" i="11"/>
  <c r="A20" i="11" l="1"/>
  <c r="B19" i="11"/>
  <c r="C19" i="11" s="1"/>
  <c r="A21" i="11"/>
  <c r="B20" i="11"/>
  <c r="C20" i="11" l="1"/>
  <c r="F20" i="11"/>
  <c r="A22" i="11"/>
  <c r="B21" i="11"/>
  <c r="A23" i="11" l="1"/>
  <c r="B22" i="11"/>
  <c r="C21" i="11"/>
  <c r="F21" i="11"/>
  <c r="F22" i="11" l="1"/>
  <c r="C22" i="11"/>
  <c r="A24" i="11"/>
  <c r="B23" i="11"/>
  <c r="A25" i="11" l="1"/>
  <c r="B24" i="11"/>
  <c r="C23" i="11"/>
  <c r="F23" i="11"/>
  <c r="C24" i="11" l="1"/>
  <c r="F24" i="11"/>
  <c r="A26" i="11"/>
  <c r="B25" i="11"/>
  <c r="A27" i="11" l="1"/>
  <c r="B26" i="11"/>
  <c r="F25" i="11"/>
  <c r="C25" i="11"/>
  <c r="F26" i="11" l="1"/>
  <c r="C26" i="11"/>
  <c r="A28" i="11"/>
  <c r="B27" i="11"/>
  <c r="A29" i="11" l="1"/>
  <c r="B28" i="11"/>
  <c r="C27" i="11"/>
  <c r="F27" i="11"/>
  <c r="C28" i="11" l="1"/>
  <c r="F28" i="11"/>
  <c r="A30" i="11"/>
  <c r="B29" i="11"/>
  <c r="A31" i="11" l="1"/>
  <c r="B30" i="11"/>
  <c r="C29" i="11"/>
  <c r="F29" i="11"/>
  <c r="F30" i="11" l="1"/>
  <c r="C30" i="11"/>
  <c r="A32" i="11"/>
  <c r="B31" i="11"/>
  <c r="B32" i="11" l="1"/>
  <c r="D19" i="11" a="1"/>
  <c r="D19" i="11" s="1"/>
  <c r="F31" i="11"/>
  <c r="C31" i="11"/>
  <c r="F19" i="11" l="1"/>
  <c r="C32" i="11"/>
  <c r="F32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<sst xmlns="http://schemas.openxmlformats.org/spreadsheetml/2006/main" count="415" uniqueCount="229">
  <si>
    <t xml:space="preserve">Developing a VPP for a NACRA 17 </t>
  </si>
  <si>
    <t>IP 2020-21</t>
  </si>
  <si>
    <t>LOA</t>
  </si>
  <si>
    <t>LWL</t>
  </si>
  <si>
    <t>Beam overall</t>
  </si>
  <si>
    <t xml:space="preserve">Hull beam </t>
  </si>
  <si>
    <t xml:space="preserve">WL beam </t>
  </si>
  <si>
    <t>NACRA 17 Particulars</t>
  </si>
  <si>
    <t>Light Displacement</t>
  </si>
  <si>
    <t>Loaded displacement</t>
  </si>
  <si>
    <t xml:space="preserve">Full displacement </t>
  </si>
  <si>
    <t>Mainsail area</t>
  </si>
  <si>
    <t>Jib area</t>
  </si>
  <si>
    <t>Spinnaker area</t>
  </si>
  <si>
    <t xml:space="preserve">Head mainsail </t>
  </si>
  <si>
    <t xml:space="preserve">Foot mainsail </t>
  </si>
  <si>
    <t>Luff</t>
  </si>
  <si>
    <t xml:space="preserve">Leech </t>
  </si>
  <si>
    <t>m</t>
  </si>
  <si>
    <t>Parameter</t>
  </si>
  <si>
    <t xml:space="preserve">Value </t>
  </si>
  <si>
    <t>Unit</t>
  </si>
  <si>
    <t xml:space="preserve">(approx.) </t>
  </si>
  <si>
    <t>kg</t>
  </si>
  <si>
    <t>(TBC, (with.out rig)</t>
  </si>
  <si>
    <t>Crew mass</t>
  </si>
  <si>
    <t>m²</t>
  </si>
  <si>
    <t>Upwind area</t>
  </si>
  <si>
    <t>Volume displacement</t>
  </si>
  <si>
    <t>m^3</t>
  </si>
  <si>
    <t>Light Draft hull</t>
  </si>
  <si>
    <t>Loaded draft hull</t>
  </si>
  <si>
    <t>Light Cb hull</t>
  </si>
  <si>
    <t>Light volume displace.</t>
  </si>
  <si>
    <t>Depth</t>
  </si>
  <si>
    <t>NACRA F18  Particulars</t>
  </si>
  <si>
    <t xml:space="preserve">Mass Displacement fully igged </t>
  </si>
  <si>
    <t>MGM</t>
  </si>
  <si>
    <t>MGL</t>
  </si>
  <si>
    <t>MGU</t>
  </si>
  <si>
    <t>MGT</t>
  </si>
  <si>
    <t>HB</t>
  </si>
  <si>
    <t>E</t>
  </si>
  <si>
    <t>Draft hull rigged</t>
  </si>
  <si>
    <t xml:space="preserve">Cb (approx) </t>
  </si>
  <si>
    <t>Cl</t>
  </si>
  <si>
    <t>Cd</t>
  </si>
  <si>
    <t>Beta</t>
  </si>
  <si>
    <t xml:space="preserve">Mainsail </t>
  </si>
  <si>
    <t>Jib</t>
  </si>
  <si>
    <t>beta</t>
  </si>
  <si>
    <t>Asymmetric spinnaker on pole</t>
  </si>
  <si>
    <t>Cl/Cd</t>
  </si>
  <si>
    <t>Fn</t>
  </si>
  <si>
    <t>a0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</si>
  <si>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</si>
  <si>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</si>
  <si>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</si>
  <si>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</si>
  <si>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</si>
  <si>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</si>
  <si>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</si>
  <si>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</si>
  <si>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</si>
  <si>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Rr</t>
  </si>
  <si>
    <t>Fn between 0.125 and 0.45</t>
  </si>
  <si>
    <t>Fn between 0.475and 0.7</t>
  </si>
  <si>
    <t>c0</t>
  </si>
  <si>
    <t>c1</t>
  </si>
  <si>
    <t>c2</t>
  </si>
  <si>
    <t>c3</t>
  </si>
  <si>
    <t>c4</t>
  </si>
  <si>
    <t>c5</t>
  </si>
  <si>
    <t>LCB</t>
  </si>
  <si>
    <t>Bwl</t>
  </si>
  <si>
    <t>Tc</t>
  </si>
  <si>
    <t>T</t>
  </si>
  <si>
    <t>Vol. displ</t>
  </si>
  <si>
    <t>Cp</t>
  </si>
  <si>
    <t>Aw</t>
  </si>
  <si>
    <t>Froude nulber LWL</t>
  </si>
  <si>
    <t>Vol. Fn</t>
  </si>
  <si>
    <t>Speed (m/s)</t>
  </si>
  <si>
    <t>Beam</t>
  </si>
  <si>
    <t>Draft</t>
  </si>
  <si>
    <t>Displaced volume</t>
  </si>
  <si>
    <t>Wetted area</t>
  </si>
  <si>
    <t>m^2</t>
  </si>
  <si>
    <t>Prismatic coeff. (Cp)</t>
  </si>
  <si>
    <t>Waterpl. area coeff. (Cwp)</t>
  </si>
  <si>
    <t>1/2 angle of entrance</t>
  </si>
  <si>
    <t>deg.</t>
  </si>
  <si>
    <t>LCG from midships(+ve for'd)</t>
  </si>
  <si>
    <t>Transom area</t>
  </si>
  <si>
    <t>Transom wl beam</t>
  </si>
  <si>
    <t>Transom draft</t>
  </si>
  <si>
    <t>Max sectional area</t>
  </si>
  <si>
    <t>Bulb transverse area</t>
  </si>
  <si>
    <t>Bulb height from keel</t>
  </si>
  <si>
    <t>Draft at FP</t>
  </si>
  <si>
    <t>Deadrise at 50% LWL</t>
  </si>
  <si>
    <t>Hard chine or Round bilge</t>
  </si>
  <si>
    <t>Round bilge</t>
  </si>
  <si>
    <t>MAXSURF HYDROSTATICS for a Nacra 17</t>
  </si>
  <si>
    <t>Item</t>
  </si>
  <si>
    <t>Value</t>
  </si>
  <si>
    <t>unit</t>
  </si>
  <si>
    <t>Resistance 1 hull(N)</t>
  </si>
  <si>
    <t>Resistance 2 hulls in water (N)</t>
  </si>
  <si>
    <t>2hulls</t>
  </si>
  <si>
    <t>Displacement t</t>
  </si>
  <si>
    <t>Draft at FP m</t>
  </si>
  <si>
    <t>Draft at AP m</t>
  </si>
  <si>
    <t>WL Length m</t>
  </si>
  <si>
    <t>Beam max extents on WL m</t>
  </si>
  <si>
    <t>Wetted Area m^2</t>
  </si>
  <si>
    <t>Waterpl. Area m^2</t>
  </si>
  <si>
    <t>Block coeff. (Cb)</t>
  </si>
  <si>
    <t>LCB from zero pt. (+ve fwd) m</t>
  </si>
  <si>
    <t>LCF from zero pt. (+ve fwd) m</t>
  </si>
  <si>
    <t>Max deck inclination deg</t>
  </si>
  <si>
    <t>Trim angle (+ve by stern) deg</t>
  </si>
  <si>
    <t>Heel to Starboard</t>
  </si>
  <si>
    <t>deg</t>
  </si>
  <si>
    <t>GZ m</t>
  </si>
  <si>
    <t>Area under GZ curve from zero heel m.deg</t>
  </si>
  <si>
    <t>n/a</t>
  </si>
  <si>
    <t>Heel (deg)</t>
  </si>
  <si>
    <t>GZ (m)</t>
  </si>
  <si>
    <t>RM (boat)</t>
  </si>
  <si>
    <t>Max RM</t>
  </si>
  <si>
    <t>N.m</t>
  </si>
  <si>
    <t>foil gen</t>
  </si>
  <si>
    <t>RM crew 1 trapeze</t>
  </si>
  <si>
    <t>RM crew 2 trapeze</t>
  </si>
  <si>
    <t>Total RM 1 trap (N.m)</t>
  </si>
  <si>
    <t>Total RM 2 trap (N.m)</t>
  </si>
  <si>
    <t>RM crew 0 trap</t>
  </si>
  <si>
    <t>Total RM 0 trap (N.m)</t>
  </si>
  <si>
    <t>Speed</t>
  </si>
  <si>
    <t>Skin friction drag</t>
  </si>
  <si>
    <t>Residuary resistance</t>
  </si>
  <si>
    <t>Total hydrodynamic hull drag</t>
  </si>
  <si>
    <t>= Viscous resistance caused by the friction between hull and water</t>
  </si>
  <si>
    <t>= "wavemaking drag". Due to the energy lost as the hull moves through the water</t>
  </si>
  <si>
    <t xml:space="preserve">Froude number </t>
  </si>
  <si>
    <t xml:space="preserve">Fn = </t>
  </si>
  <si>
    <t>Vs (m/s)</t>
  </si>
  <si>
    <t>Lwl (m)</t>
  </si>
  <si>
    <t>Vs (knots)</t>
  </si>
  <si>
    <t>Study case Larsonn on a 40-ft yacht:</t>
  </si>
  <si>
    <t>Resistance components:</t>
  </si>
  <si>
    <t>Friction 35%</t>
  </si>
  <si>
    <t>Wavemaking 35%</t>
  </si>
  <si>
    <t>Viscous pressure 3.5%</t>
  </si>
  <si>
    <t>Roughness 3.5%</t>
  </si>
  <si>
    <t>Heel 5%</t>
  </si>
  <si>
    <t>Added waves 9.5%</t>
  </si>
  <si>
    <t xml:space="preserve">Fn calculator </t>
  </si>
  <si>
    <t xml:space="preserve">V= </t>
  </si>
  <si>
    <t>[m/s]</t>
  </si>
  <si>
    <t xml:space="preserve">L= </t>
  </si>
  <si>
    <t>[m]</t>
  </si>
  <si>
    <t xml:space="preserve">Re calculator </t>
  </si>
  <si>
    <t>ρ=</t>
  </si>
  <si>
    <t>[kg/m^3]</t>
  </si>
  <si>
    <t xml:space="preserve">μ= </t>
  </si>
  <si>
    <t>Nm²/s</t>
  </si>
  <si>
    <t xml:space="preserve">Re = </t>
  </si>
  <si>
    <t>ITTC</t>
  </si>
  <si>
    <t xml:space="preserve">seawater (18°C) </t>
  </si>
  <si>
    <t>air (20°C)</t>
  </si>
  <si>
    <r>
      <t xml:space="preserve">Density, </t>
    </r>
    <r>
      <rPr>
        <sz val="11"/>
        <color theme="1"/>
        <rFont val="Calibri"/>
        <family val="2"/>
      </rPr>
      <t>ρ</t>
    </r>
  </si>
  <si>
    <t>[k/m^3]</t>
  </si>
  <si>
    <r>
      <rPr>
        <sz val="11"/>
        <color theme="1"/>
        <rFont val="Calibri"/>
        <family val="2"/>
      </rPr>
      <t>μ, d</t>
    </r>
    <r>
      <rPr>
        <sz val="11"/>
        <color theme="1"/>
        <rFont val="Calibri"/>
        <family val="2"/>
        <scheme val="minor"/>
      </rPr>
      <t xml:space="preserve">ynamic viscosity </t>
    </r>
  </si>
  <si>
    <t>[N.m²/s]</t>
  </si>
  <si>
    <r>
      <rPr>
        <sz val="11"/>
        <color theme="1"/>
        <rFont val="Calibri"/>
        <family val="2"/>
      </rPr>
      <t xml:space="preserve">ν, </t>
    </r>
    <r>
      <rPr>
        <sz val="11"/>
        <color theme="1"/>
        <rFont val="Calibri"/>
        <family val="2"/>
        <scheme val="minor"/>
      </rPr>
      <t xml:space="preserve">Kinematic viscosity </t>
    </r>
  </si>
  <si>
    <t>[m²/s]</t>
  </si>
  <si>
    <t>N</t>
  </si>
  <si>
    <t xml:space="preserve">Total = </t>
  </si>
  <si>
    <t>Cwp</t>
  </si>
  <si>
    <t>AW/LB</t>
  </si>
  <si>
    <t xml:space="preserve">Aw = </t>
  </si>
  <si>
    <t>Rr x 10^3/Displ</t>
  </si>
  <si>
    <t xml:space="preserve">Rr </t>
  </si>
  <si>
    <t>Rrx10^3/Displ</t>
  </si>
  <si>
    <t xml:space="preserve">Summary: </t>
  </si>
  <si>
    <t>Cr</t>
  </si>
  <si>
    <t>Loaded Cb hull</t>
  </si>
  <si>
    <t xml:space="preserve">MODEL 6b data: </t>
  </si>
  <si>
    <t>L[m]</t>
  </si>
  <si>
    <t>L/B</t>
  </si>
  <si>
    <t>B/T</t>
  </si>
  <si>
    <t>L/∇^1/3</t>
  </si>
  <si>
    <t>Cb</t>
  </si>
  <si>
    <t>A[m²]</t>
  </si>
  <si>
    <t xml:space="preserve">Nacra 17 data (Maxsurf model) </t>
  </si>
  <si>
    <t>S/L</t>
  </si>
  <si>
    <t>t/c</t>
  </si>
  <si>
    <t>Total Rr 1hull [N]</t>
  </si>
  <si>
    <t>Total Rr 2hulls [N]</t>
  </si>
  <si>
    <t>Model 6b Residuary resistance coefficient monhull (Ct - Cf) x 1000</t>
  </si>
  <si>
    <t>Model 6b Residuary resistance coefficient 2 hulls (Ct - Cf) x 1000</t>
  </si>
  <si>
    <t>Speed (knots)</t>
  </si>
  <si>
    <t>Re</t>
  </si>
  <si>
    <t xml:space="preserve">Rf +Rr </t>
  </si>
  <si>
    <t>Cf x 10^3</t>
  </si>
  <si>
    <t>Frictionnal resistance  (N)</t>
  </si>
  <si>
    <t xml:space="preserve">Value monohull </t>
  </si>
  <si>
    <t>Span [m]</t>
  </si>
  <si>
    <t>NACA 2416</t>
  </si>
  <si>
    <t>Chord [m]</t>
  </si>
  <si>
    <t>Max %camber</t>
  </si>
  <si>
    <t>Max camber position</t>
  </si>
  <si>
    <t>Thickness (16% of the chord)</t>
  </si>
  <si>
    <t>AoA</t>
  </si>
  <si>
    <t>Immersion - m (from WL do foil's tip)</t>
  </si>
  <si>
    <t xml:space="preserve">Immersion (from baseline to waterline) </t>
  </si>
  <si>
    <t>Wetted mm² single foil</t>
  </si>
  <si>
    <t>Projected single foil mm²</t>
  </si>
  <si>
    <t>ACCURATE FOIL SHAPE and dimensions:</t>
  </si>
  <si>
    <t>Single Crew weight</t>
  </si>
  <si>
    <t>Total crew weight</t>
  </si>
  <si>
    <t>Fn LWL</t>
  </si>
  <si>
    <t>Slender body resistance 2 hulls (N)</t>
  </si>
  <si>
    <t>Slender body resistance 1 hull (N)</t>
  </si>
  <si>
    <t>²</t>
  </si>
  <si>
    <t>Projected area</t>
  </si>
  <si>
    <t>Heeling mom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</si>
</sst>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"/>
    <numFmt numFmtId="165" formatCode="0.000"/>
    <numFmt numFmtId="166" formatCode="0.00000"/>
    <numFmt numFmtId="167" formatCode="0.000000"/>
    <numFmt numFmtId="168" formatCode="0.000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8"/>
      <color theme="1"/>
      <name val="Arial"/>
      <family val="2"/>
    </font>
    <font>
      <b/>
      <sz val="8"/>
      <color rgb="FF000000"/>
      <name val="Arial"/>
      <family val="2"/>
    </font>
    <font>
      <sz val="8"/>
      <color theme="1"/>
      <name val="Arial"/>
      <family val="2"/>
    </font>
    <font>
      <b/>
      <sz val="14"/>
      <color theme="0"/>
      <name val="Calibri"/>
      <family val="2"/>
      <scheme val="minor"/>
    </font>
    <font>
      <sz val="11"/>
      <color theme="1"/>
      <name val="Calibri"/>
      <family val="2"/>
    </font>
    <font>
      <sz val="11"/>
      <color theme="2"/>
      <name val="Calibri"/>
      <family val="2"/>
      <scheme val="minor"/>
    </font>
    <font>
      <b/>
      <sz val="14"/>
      <color theme="2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lightGray">
        <bgColor rgb="FFCCCCCC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/>
    <xf numFmtId="0" fontId="0" fillId="0" borderId="1" xfId="0" applyBorder="1"/>
    <xf numFmtId="0" fontId="0" fillId="0" borderId="1" xfId="0" applyBorder="1" applyAlignment="1">
      <alignment horizontal="right"/>
    </xf>
    <xf numFmtId="0" fontId="1" fillId="0" borderId="1" xfId="0" applyFont="1" applyBorder="1" applyAlignment="1">
      <alignment horizontal="center"/>
    </xf>
    <xf numFmtId="164" fontId="0" fillId="0" borderId="1" xfId="0" applyNumberFormat="1" applyBorder="1"/>
    <xf numFmtId="165" fontId="0" fillId="0" borderId="1" xfId="0" applyNumberFormat="1" applyBorder="1"/>
    <xf numFmtId="2" fontId="0" fillId="0" borderId="1" xfId="0" applyNumberFormat="1" applyBorder="1"/>
    <xf numFmtId="0" fontId="1" fillId="0" borderId="1" xfId="0" applyFont="1" applyBorder="1" applyAlignment="1">
      <alignment horizontal="center"/>
    </xf>
    <xf numFmtId="0" fontId="0" fillId="0" borderId="2" xfId="0" applyFill="1" applyBorder="1"/>
    <xf numFmtId="164" fontId="0" fillId="0" borderId="2" xfId="0" applyNumberFormat="1" applyFill="1" applyBorder="1"/>
    <xf numFmtId="0" fontId="0" fillId="0" borderId="2" xfId="0" applyFill="1" applyBorder="1" applyAlignment="1">
      <alignment horizontal="right"/>
    </xf>
    <xf numFmtId="0" fontId="0" fillId="0" borderId="1" xfId="0" applyFill="1" applyBorder="1"/>
    <xf numFmtId="2" fontId="0" fillId="0" borderId="1" xfId="0" applyNumberFormat="1" applyFill="1" applyBorder="1"/>
    <xf numFmtId="0" fontId="0" fillId="0" borderId="1" xfId="0" applyFill="1" applyBorder="1" applyAlignment="1">
      <alignment horizontal="right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/>
    <xf numFmtId="0" fontId="1" fillId="0" borderId="0" xfId="0" applyFont="1" applyFill="1" applyBorder="1" applyAlignment="1">
      <alignment horizontal="center"/>
    </xf>
    <xf numFmtId="166" fontId="0" fillId="0" borderId="0" xfId="0" applyNumberFormat="1"/>
    <xf numFmtId="167" fontId="0" fillId="0" borderId="0" xfId="0" applyNumberFormat="1"/>
    <xf numFmtId="0" fontId="3" fillId="3" borderId="0" xfId="0" applyFont="1" applyFill="1" applyAlignment="1"/>
    <xf numFmtId="2" fontId="0" fillId="0" borderId="0" xfId="0" applyNumberFormat="1"/>
    <xf numFmtId="0" fontId="0" fillId="0" borderId="0" xfId="0" applyAlignment="1">
      <alignment wrapText="1"/>
    </xf>
    <xf numFmtId="0" fontId="4" fillId="4" borderId="6" xfId="0" applyFont="1" applyFill="1" applyBorder="1" applyAlignment="1">
      <alignment horizontal="center" vertical="center" wrapText="1"/>
    </xf>
    <xf numFmtId="0" fontId="5" fillId="4" borderId="7" xfId="0" applyFont="1" applyFill="1" applyBorder="1" applyAlignment="1">
      <alignment horizontal="center" vertical="center" wrapText="1"/>
    </xf>
    <xf numFmtId="0" fontId="6" fillId="0" borderId="7" xfId="0" applyFont="1" applyBorder="1" applyAlignment="1">
      <alignment vertical="center" wrapText="1"/>
    </xf>
    <xf numFmtId="0" fontId="6" fillId="0" borderId="8" xfId="0" applyFont="1" applyBorder="1" applyAlignment="1">
      <alignment horizontal="right" vertical="center" wrapText="1"/>
    </xf>
    <xf numFmtId="0" fontId="0" fillId="0" borderId="0" xfId="0" applyNumberFormat="1"/>
    <xf numFmtId="0" fontId="1" fillId="0" borderId="0" xfId="0" applyFont="1"/>
    <xf numFmtId="0" fontId="1" fillId="0" borderId="0" xfId="0" applyNumberFormat="1" applyFont="1"/>
    <xf numFmtId="0" fontId="0" fillId="0" borderId="1" xfId="0" quotePrefix="1" applyBorder="1" applyAlignment="1">
      <alignment vertical="center" wrapText="1"/>
    </xf>
    <xf numFmtId="0" fontId="0" fillId="3" borderId="1" xfId="0" applyFill="1" applyBorder="1"/>
    <xf numFmtId="0" fontId="1" fillId="3" borderId="1" xfId="0" applyFont="1" applyFill="1" applyBorder="1" applyAlignment="1">
      <alignment horizontal="center" vertical="center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3" borderId="17" xfId="0" applyFill="1" applyBorder="1"/>
    <xf numFmtId="0" fontId="8" fillId="0" borderId="13" xfId="0" applyFont="1" applyBorder="1"/>
    <xf numFmtId="11" fontId="0" fillId="0" borderId="15" xfId="0" applyNumberFormat="1" applyBorder="1"/>
    <xf numFmtId="0" fontId="0" fillId="3" borderId="22" xfId="0" applyFill="1" applyBorder="1"/>
    <xf numFmtId="0" fontId="0" fillId="3" borderId="1" xfId="0" applyFill="1" applyBorder="1" applyAlignment="1">
      <alignment wrapText="1"/>
    </xf>
    <xf numFmtId="11" fontId="0" fillId="0" borderId="1" xfId="0" applyNumberFormat="1" applyBorder="1"/>
    <xf numFmtId="166" fontId="0" fillId="0" borderId="1" xfId="0" applyNumberFormat="1" applyBorder="1"/>
    <xf numFmtId="0" fontId="9" fillId="0" borderId="0" xfId="0" applyFont="1"/>
    <xf numFmtId="2" fontId="9" fillId="0" borderId="0" xfId="0" applyNumberFormat="1" applyFont="1"/>
    <xf numFmtId="0" fontId="10" fillId="3" borderId="0" xfId="0" applyFont="1" applyFill="1" applyAlignment="1"/>
    <xf numFmtId="2" fontId="9" fillId="0" borderId="1" xfId="0" applyNumberFormat="1" applyFont="1" applyBorder="1"/>
    <xf numFmtId="168" fontId="0" fillId="0" borderId="3" xfId="0" applyNumberFormat="1" applyBorder="1"/>
    <xf numFmtId="0" fontId="1" fillId="3" borderId="23" xfId="0" applyFont="1" applyFill="1" applyBorder="1"/>
    <xf numFmtId="0" fontId="1" fillId="3" borderId="20" xfId="0" applyFont="1" applyFill="1" applyBorder="1" applyAlignment="1"/>
    <xf numFmtId="0" fontId="1" fillId="3" borderId="20" xfId="0" applyFont="1" applyFill="1" applyBorder="1" applyAlignment="1">
      <alignment wrapText="1"/>
    </xf>
    <xf numFmtId="0" fontId="1" fillId="3" borderId="20" xfId="0" applyFont="1" applyFill="1" applyBorder="1" applyAlignment="1">
      <alignment vertical="center"/>
    </xf>
    <xf numFmtId="0" fontId="1" fillId="3" borderId="24" xfId="0" applyFont="1" applyFill="1" applyBorder="1" applyAlignment="1">
      <alignment vertical="center"/>
    </xf>
    <xf numFmtId="165" fontId="0" fillId="0" borderId="15" xfId="0" applyNumberFormat="1" applyBorder="1"/>
    <xf numFmtId="166" fontId="0" fillId="0" borderId="15" xfId="0" applyNumberFormat="1" applyBorder="1"/>
    <xf numFmtId="168" fontId="0" fillId="0" borderId="26" xfId="0" applyNumberFormat="1" applyBorder="1"/>
    <xf numFmtId="0" fontId="0" fillId="0" borderId="27" xfId="0" applyBorder="1"/>
    <xf numFmtId="2" fontId="0" fillId="0" borderId="15" xfId="0" applyNumberFormat="1" applyBorder="1"/>
    <xf numFmtId="168" fontId="0" fillId="0" borderId="1" xfId="0" applyNumberFormat="1" applyBorder="1"/>
    <xf numFmtId="2" fontId="0" fillId="0" borderId="5" xfId="0" applyNumberFormat="1" applyBorder="1"/>
    <xf numFmtId="2" fontId="0" fillId="0" borderId="25" xfId="0" applyNumberFormat="1" applyBorder="1"/>
    <xf numFmtId="2" fontId="0" fillId="0" borderId="0" xfId="0" applyNumberFormat="1" applyBorder="1"/>
    <xf numFmtId="168" fontId="0" fillId="0" borderId="15" xfId="0" applyNumberFormat="1" applyBorder="1"/>
    <xf numFmtId="2" fontId="11" fillId="0" borderId="1" xfId="0" applyNumberFormat="1" applyFont="1" applyBorder="1"/>
    <xf numFmtId="2" fontId="11" fillId="3" borderId="1" xfId="0" applyNumberFormat="1" applyFont="1" applyFill="1" applyBorder="1"/>
    <xf numFmtId="168" fontId="11" fillId="0" borderId="1" xfId="0" applyNumberFormat="1" applyFont="1" applyBorder="1"/>
    <xf numFmtId="168" fontId="11" fillId="3" borderId="1" xfId="0" applyNumberFormat="1" applyFont="1" applyFill="1" applyBorder="1"/>
    <xf numFmtId="9" fontId="0" fillId="0" borderId="1" xfId="0" applyNumberFormat="1" applyBorder="1"/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3" borderId="0" xfId="0" applyFont="1" applyFill="1" applyAlignment="1">
      <alignment horizontal="center"/>
    </xf>
    <xf numFmtId="0" fontId="0" fillId="3" borderId="18" xfId="0" applyFill="1" applyBorder="1" applyAlignment="1">
      <alignment horizontal="center"/>
    </xf>
    <xf numFmtId="0" fontId="0" fillId="3" borderId="19" xfId="0" applyFill="1" applyBorder="1" applyAlignment="1">
      <alignment horizontal="center"/>
    </xf>
    <xf numFmtId="0" fontId="7" fillId="5" borderId="1" xfId="0" applyFont="1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Alignment="1">
      <alignment horizontal="center"/>
    </xf>
    <xf numFmtId="0" fontId="0" fillId="6" borderId="10" xfId="0" applyFill="1" applyBorder="1" applyAlignment="1">
      <alignment horizontal="center"/>
    </xf>
    <xf numFmtId="0" fontId="0" fillId="6" borderId="11" xfId="0" applyFill="1" applyBorder="1" applyAlignment="1">
      <alignment horizontal="center"/>
    </xf>
    <xf numFmtId="0" fontId="0" fillId="6" borderId="12" xfId="0" applyFill="1" applyBorder="1" applyAlignment="1">
      <alignment horizontal="center"/>
    </xf>
    <xf numFmtId="0" fontId="0" fillId="6" borderId="13" xfId="0" applyFill="1" applyBorder="1" applyAlignment="1">
      <alignment horizontal="center"/>
    </xf>
    <xf numFmtId="0" fontId="0" fillId="6" borderId="20" xfId="0" applyFill="1" applyBorder="1" applyAlignment="1">
      <alignment horizontal="center"/>
    </xf>
    <xf numFmtId="0" fontId="0" fillId="6" borderId="21" xfId="0" applyFill="1" applyBorder="1" applyAlignment="1">
      <alignment horizontal="center"/>
    </xf>
    <xf numFmtId="0" fontId="5" fillId="4" borderId="6" xfId="0" applyFont="1" applyFill="1" applyBorder="1" applyAlignment="1">
      <alignment horizontal="center" vertical="center" wrapText="1"/>
    </xf>
    <xf numFmtId="0" fontId="5" fillId="4" borderId="7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wrapText="1"/>
    </xf>
  </cellXfs>
  <cellStyles count="1">
    <cellStyle name="Normal" xfId="0" builtinId="0"/>
  </cellStyles>
  <dxfs count="5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" formatCode="0.00"/>
    </dxf>
    <dxf>
      <alignment horizontal="general" vertical="bottom" textRotation="0" wrapText="1" indent="0" justifyLastLine="0" shrinkToFit="0" readingOrder="0"/>
    </dxf>
    <dxf>
      <numFmt numFmtId="0" formatCode="General"/>
    </dxf>
    <dxf>
      <numFmt numFmtId="2" formatCode="0.00"/>
    </dxf>
    <dxf>
      <numFmt numFmtId="2" formatCode="0.0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8" formatCode="0.00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2" formatCode="0.0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5" formatCode="0.0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0.00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2" formatCode="0.0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numFmt numFmtId="168" formatCode="0.000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66" formatCode="0.000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0.0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0.00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2" formatCode="0.0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color theme="2"/>
        <name val="Calibri"/>
        <family val="2"/>
        <scheme val="minor"/>
      </font>
      <numFmt numFmtId="0" formatCode="General"/>
    </dxf>
    <dxf>
      <numFmt numFmtId="167" formatCode="0.000000"/>
    </dxf>
    <dxf>
      <numFmt numFmtId="166" formatCode="0.00000"/>
    </dxf>
    <dxf>
      <font>
        <strike val="0"/>
        <outline val="0"/>
        <shadow val="0"/>
        <u val="none"/>
        <vertAlign val="baseline"/>
        <color theme="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color theme="2"/>
        <name val="Calibri"/>
        <family val="2"/>
        <scheme val="minor"/>
      </font>
      <numFmt numFmtId="2" formatCode="0.0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Mainsail</a:t>
            </a:r>
          </a:p>
        </c:rich>
      </c:tx>
      <c:layout>
        <c:manualLayout>
          <c:xMode val="edge"/>
          <c:yMode val="edge"/>
          <c:x val="0.413425085255609"/>
          <c:y val="3.324878116891428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4136482939632542E-2"/>
          <c:y val="0.14393518518518519"/>
          <c:w val="0.89019685039370078"/>
          <c:h val="0.6714577865266842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'Hull + sails Particulars'!$L$4</c:f>
              <c:strCache>
                <c:ptCount val="1"/>
                <c:pt idx="0">
                  <c:v>Cl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'Hull + sails Particulars'!$K$5:$K$14</c:f>
              <c:numCache>
                <c:formatCode>General</c:formatCode>
                <c:ptCount val="10"/>
                <c:pt idx="0">
                  <c:v>0</c:v>
                </c:pt>
                <c:pt idx="1">
                  <c:v>7</c:v>
                </c:pt>
                <c:pt idx="2">
                  <c:v>9</c:v>
                </c:pt>
                <c:pt idx="3">
                  <c:v>12</c:v>
                </c:pt>
                <c:pt idx="4">
                  <c:v>28</c:v>
                </c:pt>
                <c:pt idx="5">
                  <c:v>60</c:v>
                </c:pt>
                <c:pt idx="6">
                  <c:v>90</c:v>
                </c:pt>
                <c:pt idx="7">
                  <c:v>120</c:v>
                </c:pt>
                <c:pt idx="8">
                  <c:v>150</c:v>
                </c:pt>
                <c:pt idx="9">
                  <c:v>180</c:v>
                </c:pt>
              </c:numCache>
            </c:numRef>
          </c:xVal>
          <c:yVal>
            <c:numRef>
              <c:f>'Hull + sails Particulars'!$L$5:$L$14</c:f>
              <c:numCache>
                <c:formatCode>General</c:formatCode>
                <c:ptCount val="10"/>
                <c:pt idx="0">
                  <c:v>0</c:v>
                </c:pt>
                <c:pt idx="1">
                  <c:v>0.86207</c:v>
                </c:pt>
                <c:pt idx="2">
                  <c:v>1.05172</c:v>
                </c:pt>
                <c:pt idx="3">
                  <c:v>1.1637900000000001</c:v>
                </c:pt>
                <c:pt idx="4">
                  <c:v>1.3469800000000001</c:v>
                </c:pt>
                <c:pt idx="5">
                  <c:v>1.35345</c:v>
                </c:pt>
                <c:pt idx="6">
                  <c:v>1.2672399999999999</c:v>
                </c:pt>
                <c:pt idx="7">
                  <c:v>0.93103000000000002</c:v>
                </c:pt>
                <c:pt idx="8">
                  <c:v>0.38793</c:v>
                </c:pt>
                <c:pt idx="9">
                  <c:v>-0.11207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7C0-49A2-9E65-07BBEE8BD987}"/>
            </c:ext>
          </c:extLst>
        </c:ser>
        <c:ser>
          <c:idx val="1"/>
          <c:order val="1"/>
          <c:tx>
            <c:strRef>
              <c:f>'Hull + sails Particulars'!$M$4</c:f>
              <c:strCache>
                <c:ptCount val="1"/>
                <c:pt idx="0">
                  <c:v>Cd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'Hull + sails Particulars'!$K$5:$K$14</c:f>
              <c:numCache>
                <c:formatCode>General</c:formatCode>
                <c:ptCount val="10"/>
                <c:pt idx="0">
                  <c:v>0</c:v>
                </c:pt>
                <c:pt idx="1">
                  <c:v>7</c:v>
                </c:pt>
                <c:pt idx="2">
                  <c:v>9</c:v>
                </c:pt>
                <c:pt idx="3">
                  <c:v>12</c:v>
                </c:pt>
                <c:pt idx="4">
                  <c:v>28</c:v>
                </c:pt>
                <c:pt idx="5">
                  <c:v>60</c:v>
                </c:pt>
                <c:pt idx="6">
                  <c:v>90</c:v>
                </c:pt>
                <c:pt idx="7">
                  <c:v>120</c:v>
                </c:pt>
                <c:pt idx="8">
                  <c:v>150</c:v>
                </c:pt>
                <c:pt idx="9">
                  <c:v>180</c:v>
                </c:pt>
              </c:numCache>
            </c:numRef>
          </c:xVal>
          <c:yVal>
            <c:numRef>
              <c:f>'Hull + sails Particulars'!$M$5:$M$14</c:f>
              <c:numCache>
                <c:formatCode>General</c:formatCode>
                <c:ptCount val="10"/>
                <c:pt idx="0">
                  <c:v>4.3099999999999999E-2</c:v>
                </c:pt>
                <c:pt idx="1">
                  <c:v>2.5860000000000001E-2</c:v>
                </c:pt>
                <c:pt idx="2">
                  <c:v>2.3279999999999999E-2</c:v>
                </c:pt>
                <c:pt idx="3">
                  <c:v>2.3279999999999999E-2</c:v>
                </c:pt>
                <c:pt idx="4">
                  <c:v>3.2590000000000001E-2</c:v>
                </c:pt>
                <c:pt idx="5">
                  <c:v>0.11302</c:v>
                </c:pt>
                <c:pt idx="6">
                  <c:v>0.38250000000000001</c:v>
                </c:pt>
                <c:pt idx="7">
                  <c:v>0.96887999999999996</c:v>
                </c:pt>
                <c:pt idx="8">
                  <c:v>1.3157799999999999</c:v>
                </c:pt>
                <c:pt idx="9">
                  <c:v>1.34483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7C0-49A2-9E65-07BBEE8BD9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5668464"/>
        <c:axId val="2014383952"/>
      </c:scatterChart>
      <c:valAx>
        <c:axId val="2015668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4383952"/>
        <c:crosses val="autoZero"/>
        <c:crossBetween val="midCat"/>
      </c:valAx>
      <c:valAx>
        <c:axId val="2014383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56684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Jib</a:t>
            </a:r>
          </a:p>
        </c:rich>
      </c:tx>
      <c:layout>
        <c:manualLayout>
          <c:xMode val="edge"/>
          <c:yMode val="edge"/>
          <c:x val="0.48171522309711284"/>
          <c:y val="3.70370370370370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'Hull + sails Particulars'!$Q$5</c:f>
              <c:strCache>
                <c:ptCount val="1"/>
                <c:pt idx="0">
                  <c:v>Cl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'Hull + sails Particulars'!$P$6:$P$14</c:f>
              <c:numCache>
                <c:formatCode>General</c:formatCode>
                <c:ptCount val="9"/>
                <c:pt idx="0">
                  <c:v>7</c:v>
                </c:pt>
                <c:pt idx="1">
                  <c:v>15</c:v>
                </c:pt>
                <c:pt idx="2">
                  <c:v>20</c:v>
                </c:pt>
                <c:pt idx="3">
                  <c:v>27</c:v>
                </c:pt>
                <c:pt idx="4">
                  <c:v>50</c:v>
                </c:pt>
                <c:pt idx="5">
                  <c:v>60</c:v>
                </c:pt>
                <c:pt idx="6">
                  <c:v>100</c:v>
                </c:pt>
                <c:pt idx="7">
                  <c:v>150</c:v>
                </c:pt>
                <c:pt idx="8">
                  <c:v>180</c:v>
                </c:pt>
              </c:numCache>
            </c:numRef>
          </c:xVal>
          <c:yVal>
            <c:numRef>
              <c:f>'Hull + sails Particulars'!$Q$6:$Q$14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1.375</c:v>
                </c:pt>
                <c:pt idx="3">
                  <c:v>1.45</c:v>
                </c:pt>
                <c:pt idx="4">
                  <c:v>1.45</c:v>
                </c:pt>
                <c:pt idx="5">
                  <c:v>1.25</c:v>
                </c:pt>
                <c:pt idx="6">
                  <c:v>0.4</c:v>
                </c:pt>
                <c:pt idx="7">
                  <c:v>0</c:v>
                </c:pt>
                <c:pt idx="8">
                  <c:v>-0.1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4A6-457A-8B03-36F550365621}"/>
            </c:ext>
          </c:extLst>
        </c:ser>
        <c:ser>
          <c:idx val="1"/>
          <c:order val="1"/>
          <c:tx>
            <c:strRef>
              <c:f>'Hull + sails Particulars'!$R$5</c:f>
              <c:strCache>
                <c:ptCount val="1"/>
                <c:pt idx="0">
                  <c:v>Cd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'Hull + sails Particulars'!$P$6:$P$14</c:f>
              <c:numCache>
                <c:formatCode>General</c:formatCode>
                <c:ptCount val="9"/>
                <c:pt idx="0">
                  <c:v>7</c:v>
                </c:pt>
                <c:pt idx="1">
                  <c:v>15</c:v>
                </c:pt>
                <c:pt idx="2">
                  <c:v>20</c:v>
                </c:pt>
                <c:pt idx="3">
                  <c:v>27</c:v>
                </c:pt>
                <c:pt idx="4">
                  <c:v>50</c:v>
                </c:pt>
                <c:pt idx="5">
                  <c:v>60</c:v>
                </c:pt>
                <c:pt idx="6">
                  <c:v>100</c:v>
                </c:pt>
                <c:pt idx="7">
                  <c:v>150</c:v>
                </c:pt>
                <c:pt idx="8">
                  <c:v>180</c:v>
                </c:pt>
              </c:numCache>
            </c:numRef>
          </c:xVal>
          <c:yVal>
            <c:numRef>
              <c:f>'Hull + sails Particulars'!$R$6:$R$14</c:f>
              <c:numCache>
                <c:formatCode>General</c:formatCode>
                <c:ptCount val="9"/>
                <c:pt idx="0">
                  <c:v>0.05</c:v>
                </c:pt>
                <c:pt idx="1">
                  <c:v>3.2000000000000001E-2</c:v>
                </c:pt>
                <c:pt idx="2">
                  <c:v>3.1E-2</c:v>
                </c:pt>
                <c:pt idx="3">
                  <c:v>3.6999999999999998E-2</c:v>
                </c:pt>
                <c:pt idx="4">
                  <c:v>0.25</c:v>
                </c:pt>
                <c:pt idx="5">
                  <c:v>0.35</c:v>
                </c:pt>
                <c:pt idx="6">
                  <c:v>0.73</c:v>
                </c:pt>
                <c:pt idx="7">
                  <c:v>0.95</c:v>
                </c:pt>
                <c:pt idx="8">
                  <c:v>0.9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4A6-457A-8B03-36F5503656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6186752"/>
        <c:axId val="2059845088"/>
      </c:scatterChart>
      <c:valAx>
        <c:axId val="18261867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9845088"/>
        <c:crosses val="autoZero"/>
        <c:crossBetween val="midCat"/>
      </c:valAx>
      <c:valAx>
        <c:axId val="2059845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61867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Spinnaker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'Hull + sails Particulars'!$L$17</c:f>
              <c:strCache>
                <c:ptCount val="1"/>
                <c:pt idx="0">
                  <c:v>Cl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'Hull + sails Particulars'!$K$18:$K$29</c:f>
              <c:numCache>
                <c:formatCode>General</c:formatCode>
                <c:ptCount val="12"/>
                <c:pt idx="0">
                  <c:v>28</c:v>
                </c:pt>
                <c:pt idx="1">
                  <c:v>41</c:v>
                </c:pt>
                <c:pt idx="2">
                  <c:v>50</c:v>
                </c:pt>
                <c:pt idx="3">
                  <c:v>60</c:v>
                </c:pt>
                <c:pt idx="4">
                  <c:v>67</c:v>
                </c:pt>
                <c:pt idx="5">
                  <c:v>75</c:v>
                </c:pt>
                <c:pt idx="6">
                  <c:v>100</c:v>
                </c:pt>
                <c:pt idx="7">
                  <c:v>115</c:v>
                </c:pt>
                <c:pt idx="8">
                  <c:v>130</c:v>
                </c:pt>
                <c:pt idx="9">
                  <c:v>150</c:v>
                </c:pt>
                <c:pt idx="10">
                  <c:v>170</c:v>
                </c:pt>
                <c:pt idx="11">
                  <c:v>180</c:v>
                </c:pt>
              </c:numCache>
            </c:numRef>
          </c:xVal>
          <c:yVal>
            <c:numRef>
              <c:f>'Hull + sails Particulars'!$L$18:$L$29</c:f>
              <c:numCache>
                <c:formatCode>General</c:formatCode>
                <c:ptCount val="12"/>
                <c:pt idx="0">
                  <c:v>1.83E-2</c:v>
                </c:pt>
                <c:pt idx="1">
                  <c:v>0.73499999999999999</c:v>
                </c:pt>
                <c:pt idx="2">
                  <c:v>0.94665999999999995</c:v>
                </c:pt>
                <c:pt idx="3">
                  <c:v>1.08342</c:v>
                </c:pt>
                <c:pt idx="4">
                  <c:v>1.10494</c:v>
                </c:pt>
                <c:pt idx="5">
                  <c:v>1.0905899999999999</c:v>
                </c:pt>
                <c:pt idx="6">
                  <c:v>0.95426999999999995</c:v>
                </c:pt>
                <c:pt idx="7">
                  <c:v>0.81076999999999999</c:v>
                </c:pt>
                <c:pt idx="8">
                  <c:v>0.60987000000000002</c:v>
                </c:pt>
                <c:pt idx="9">
                  <c:v>0.32286999999999999</c:v>
                </c:pt>
                <c:pt idx="10">
                  <c:v>0.10761999999999999</c:v>
                </c:pt>
                <c:pt idx="1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5CC-4FE2-B2D9-A39DA655FDE3}"/>
            </c:ext>
          </c:extLst>
        </c:ser>
        <c:ser>
          <c:idx val="1"/>
          <c:order val="1"/>
          <c:tx>
            <c:strRef>
              <c:f>'Hull + sails Particulars'!$M$17</c:f>
              <c:strCache>
                <c:ptCount val="1"/>
                <c:pt idx="0">
                  <c:v>Cd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'Hull + sails Particulars'!$K$18:$K$29</c:f>
              <c:numCache>
                <c:formatCode>General</c:formatCode>
                <c:ptCount val="12"/>
                <c:pt idx="0">
                  <c:v>28</c:v>
                </c:pt>
                <c:pt idx="1">
                  <c:v>41</c:v>
                </c:pt>
                <c:pt idx="2">
                  <c:v>50</c:v>
                </c:pt>
                <c:pt idx="3">
                  <c:v>60</c:v>
                </c:pt>
                <c:pt idx="4">
                  <c:v>67</c:v>
                </c:pt>
                <c:pt idx="5">
                  <c:v>75</c:v>
                </c:pt>
                <c:pt idx="6">
                  <c:v>100</c:v>
                </c:pt>
                <c:pt idx="7">
                  <c:v>115</c:v>
                </c:pt>
                <c:pt idx="8">
                  <c:v>130</c:v>
                </c:pt>
                <c:pt idx="9">
                  <c:v>150</c:v>
                </c:pt>
                <c:pt idx="10">
                  <c:v>170</c:v>
                </c:pt>
                <c:pt idx="11">
                  <c:v>180</c:v>
                </c:pt>
              </c:numCache>
            </c:numRef>
          </c:xVal>
          <c:yVal>
            <c:numRef>
              <c:f>'Hull + sails Particulars'!$M$18:$M$29</c:f>
              <c:numCache>
                <c:formatCode>General</c:formatCode>
                <c:ptCount val="12"/>
                <c:pt idx="0">
                  <c:v>0.16214999999999999</c:v>
                </c:pt>
                <c:pt idx="1">
                  <c:v>0.25184000000000001</c:v>
                </c:pt>
                <c:pt idx="2">
                  <c:v>0.32501999999999998</c:v>
                </c:pt>
                <c:pt idx="3">
                  <c:v>0.40897</c:v>
                </c:pt>
                <c:pt idx="4">
                  <c:v>0.4592</c:v>
                </c:pt>
                <c:pt idx="5">
                  <c:v>0.50224999999999997</c:v>
                </c:pt>
                <c:pt idx="6">
                  <c:v>0.59838999999999998</c:v>
                </c:pt>
                <c:pt idx="7">
                  <c:v>0.65291999999999994</c:v>
                </c:pt>
                <c:pt idx="8">
                  <c:v>0.67086000000000001</c:v>
                </c:pt>
                <c:pt idx="9">
                  <c:v>0.67086000000000001</c:v>
                </c:pt>
                <c:pt idx="10">
                  <c:v>0.67086000000000001</c:v>
                </c:pt>
                <c:pt idx="11">
                  <c:v>0.67086000000000001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5CC-4FE2-B2D9-A39DA655FD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472336"/>
        <c:axId val="2059845920"/>
      </c:scatterChart>
      <c:valAx>
        <c:axId val="624723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9845920"/>
        <c:crosses val="autoZero"/>
        <c:crossBetween val="midCat"/>
      </c:valAx>
      <c:valAx>
        <c:axId val="2059845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4723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Spinnaker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Cl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'Asymmetric spinnaker on pole'!$A$2:$A$13</c:f>
              <c:numCache>
                <c:formatCode>General</c:formatCode>
                <c:ptCount val="12"/>
                <c:pt idx="0">
                  <c:v>28</c:v>
                </c:pt>
                <c:pt idx="1">
                  <c:v>41</c:v>
                </c:pt>
                <c:pt idx="2">
                  <c:v>50</c:v>
                </c:pt>
                <c:pt idx="3">
                  <c:v>60</c:v>
                </c:pt>
                <c:pt idx="4">
                  <c:v>67</c:v>
                </c:pt>
                <c:pt idx="5">
                  <c:v>75</c:v>
                </c:pt>
                <c:pt idx="6">
                  <c:v>100</c:v>
                </c:pt>
                <c:pt idx="7">
                  <c:v>115</c:v>
                </c:pt>
                <c:pt idx="8">
                  <c:v>130</c:v>
                </c:pt>
                <c:pt idx="9">
                  <c:v>150</c:v>
                </c:pt>
                <c:pt idx="10">
                  <c:v>170</c:v>
                </c:pt>
                <c:pt idx="11">
                  <c:v>180</c:v>
                </c:pt>
              </c:numCache>
            </c:numRef>
          </c:xVal>
          <c:yVal>
            <c:numRef>
              <c:f>'Asymmetric spinnaker on pole'!$B$2:$B$13</c:f>
              <c:numCache>
                <c:formatCode>General</c:formatCode>
                <c:ptCount val="12"/>
                <c:pt idx="0">
                  <c:v>1.83E-2</c:v>
                </c:pt>
                <c:pt idx="1">
                  <c:v>0.73499999999999999</c:v>
                </c:pt>
                <c:pt idx="2">
                  <c:v>0.94665999999999995</c:v>
                </c:pt>
                <c:pt idx="3">
                  <c:v>1.08342</c:v>
                </c:pt>
                <c:pt idx="4">
                  <c:v>1.10494</c:v>
                </c:pt>
                <c:pt idx="5">
                  <c:v>1.0905899999999999</c:v>
                </c:pt>
                <c:pt idx="6">
                  <c:v>0.95426999999999995</c:v>
                </c:pt>
                <c:pt idx="7">
                  <c:v>0.81076999999999999</c:v>
                </c:pt>
                <c:pt idx="8">
                  <c:v>0.60987000000000002</c:v>
                </c:pt>
                <c:pt idx="9">
                  <c:v>0.32286999999999999</c:v>
                </c:pt>
                <c:pt idx="10">
                  <c:v>0.10761999999999999</c:v>
                </c:pt>
                <c:pt idx="1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FCD-437D-8804-050773E90C06}"/>
            </c:ext>
          </c:extLst>
        </c:ser>
        <c:ser>
          <c:idx val="1"/>
          <c:order val="1"/>
          <c:tx>
            <c:strRef>
              <c:f>'Asymmetric spinnaker on pole'!$C$1</c:f>
              <c:strCache>
                <c:ptCount val="1"/>
                <c:pt idx="0">
                  <c:v>Cd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'Asymmetric spinnaker on pole'!$A$2:$A$13</c:f>
              <c:numCache>
                <c:formatCode>General</c:formatCode>
                <c:ptCount val="12"/>
                <c:pt idx="0">
                  <c:v>28</c:v>
                </c:pt>
                <c:pt idx="1">
                  <c:v>41</c:v>
                </c:pt>
                <c:pt idx="2">
                  <c:v>50</c:v>
                </c:pt>
                <c:pt idx="3">
                  <c:v>60</c:v>
                </c:pt>
                <c:pt idx="4">
                  <c:v>67</c:v>
                </c:pt>
                <c:pt idx="5">
                  <c:v>75</c:v>
                </c:pt>
                <c:pt idx="6">
                  <c:v>100</c:v>
                </c:pt>
                <c:pt idx="7">
                  <c:v>115</c:v>
                </c:pt>
                <c:pt idx="8">
                  <c:v>130</c:v>
                </c:pt>
                <c:pt idx="9">
                  <c:v>150</c:v>
                </c:pt>
                <c:pt idx="10">
                  <c:v>170</c:v>
                </c:pt>
                <c:pt idx="11">
                  <c:v>180</c:v>
                </c:pt>
              </c:numCache>
            </c:numRef>
          </c:xVal>
          <c:yVal>
            <c:numRef>
              <c:f>'Asymmetric spinnaker on pole'!$C$2:$C$13</c:f>
              <c:numCache>
                <c:formatCode>General</c:formatCode>
                <c:ptCount val="12"/>
                <c:pt idx="0">
                  <c:v>0.16214999999999999</c:v>
                </c:pt>
                <c:pt idx="1">
                  <c:v>0.25184000000000001</c:v>
                </c:pt>
                <c:pt idx="2">
                  <c:v>0.32501999999999998</c:v>
                </c:pt>
                <c:pt idx="3">
                  <c:v>0.40897</c:v>
                </c:pt>
                <c:pt idx="4">
                  <c:v>0.4592</c:v>
                </c:pt>
                <c:pt idx="5">
                  <c:v>0.50224999999999997</c:v>
                </c:pt>
                <c:pt idx="6">
                  <c:v>0.59838999999999998</c:v>
                </c:pt>
                <c:pt idx="7">
                  <c:v>0.65291999999999994</c:v>
                </c:pt>
                <c:pt idx="8">
                  <c:v>0.67086000000000001</c:v>
                </c:pt>
                <c:pt idx="9">
                  <c:v>0.67086000000000001</c:v>
                </c:pt>
                <c:pt idx="10">
                  <c:v>0.67086000000000001</c:v>
                </c:pt>
                <c:pt idx="11">
                  <c:v>0.67086000000000001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FCD-437D-8804-050773E90C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472336"/>
        <c:axId val="2059845920"/>
      </c:scatterChart>
      <c:valAx>
        <c:axId val="624723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9845920"/>
        <c:crosses val="autoZero"/>
        <c:crossBetween val="midCat"/>
      </c:valAx>
      <c:valAx>
        <c:axId val="2059845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4723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895260083161125"/>
          <c:y val="4.3371733471573429E-2"/>
          <c:w val="0.8479678314458643"/>
          <c:h val="0.76172319635132335"/>
        </c:manualLayout>
      </c:layout>
      <c:scatterChart>
        <c:scatterStyle val="smoothMarker"/>
        <c:varyColors val="0"/>
        <c:ser>
          <c:idx val="0"/>
          <c:order val="0"/>
          <c:tx>
            <c:v> Monohull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'Resid Resistance Molland-Soton'!$A$2:$A$32</c:f>
              <c:numCache>
                <c:formatCode>0.00</c:formatCode>
                <c:ptCount val="31"/>
                <c:pt idx="0">
                  <c:v>0.2</c:v>
                </c:pt>
                <c:pt idx="1">
                  <c:v>0.25</c:v>
                </c:pt>
                <c:pt idx="2">
                  <c:v>0.3</c:v>
                </c:pt>
                <c:pt idx="3">
                  <c:v>0.35</c:v>
                </c:pt>
                <c:pt idx="4">
                  <c:v>0.39999999999999997</c:v>
                </c:pt>
                <c:pt idx="5">
                  <c:v>0.44999999999999996</c:v>
                </c:pt>
                <c:pt idx="6">
                  <c:v>0.49999999999999994</c:v>
                </c:pt>
                <c:pt idx="7">
                  <c:v>0.54999999999999993</c:v>
                </c:pt>
                <c:pt idx="8">
                  <c:v>0.6</c:v>
                </c:pt>
                <c:pt idx="9">
                  <c:v>0.65</c:v>
                </c:pt>
                <c:pt idx="10">
                  <c:v>0.70000000000000007</c:v>
                </c:pt>
                <c:pt idx="11">
                  <c:v>0.75000000000000011</c:v>
                </c:pt>
                <c:pt idx="12">
                  <c:v>0.80000000000000016</c:v>
                </c:pt>
                <c:pt idx="13">
                  <c:v>0.8500000000000002</c:v>
                </c:pt>
                <c:pt idx="14">
                  <c:v>0.90000000000000024</c:v>
                </c:pt>
                <c:pt idx="15">
                  <c:v>0.95000000000000029</c:v>
                </c:pt>
                <c:pt idx="16">
                  <c:v>1.0000000000000002</c:v>
                </c:pt>
                <c:pt idx="17">
                  <c:v>1.0500000000000003</c:v>
                </c:pt>
                <c:pt idx="18">
                  <c:v>1.1000000000000003</c:v>
                </c:pt>
                <c:pt idx="19">
                  <c:v>1.1500000000000004</c:v>
                </c:pt>
                <c:pt idx="20">
                  <c:v>1.2000000000000004</c:v>
                </c:pt>
                <c:pt idx="21">
                  <c:v>1.2500000000000004</c:v>
                </c:pt>
                <c:pt idx="22">
                  <c:v>1.3000000000000005</c:v>
                </c:pt>
                <c:pt idx="23">
                  <c:v>1.3500000000000005</c:v>
                </c:pt>
                <c:pt idx="24">
                  <c:v>1.4000000000000006</c:v>
                </c:pt>
                <c:pt idx="25">
                  <c:v>1.4500000000000006</c:v>
                </c:pt>
                <c:pt idx="26">
                  <c:v>1.5000000000000007</c:v>
                </c:pt>
                <c:pt idx="27">
                  <c:v>1.5500000000000007</c:v>
                </c:pt>
                <c:pt idx="28">
                  <c:v>1.6000000000000008</c:v>
                </c:pt>
                <c:pt idx="29">
                  <c:v>1.6500000000000008</c:v>
                </c:pt>
                <c:pt idx="30">
                  <c:v>1.7000000000000008</c:v>
                </c:pt>
              </c:numCache>
            </c:numRef>
          </c:xVal>
          <c:yVal>
            <c:numRef>
              <c:f>'Resid Resistance Molland-Soton'!$D$2:$D$32</c:f>
              <c:numCache>
                <c:formatCode>General</c:formatCode>
                <c:ptCount val="31"/>
                <c:pt idx="0">
                  <c:v>1.7549999999999999</c:v>
                </c:pt>
                <c:pt idx="1">
                  <c:v>2.1360000000000001</c:v>
                </c:pt>
                <c:pt idx="2">
                  <c:v>2.2549999999999999</c:v>
                </c:pt>
                <c:pt idx="3">
                  <c:v>2.12</c:v>
                </c:pt>
                <c:pt idx="4">
                  <c:v>2.6389999999999998</c:v>
                </c:pt>
                <c:pt idx="5">
                  <c:v>2.6960000000000002</c:v>
                </c:pt>
                <c:pt idx="6">
                  <c:v>2.5099999999999998</c:v>
                </c:pt>
                <c:pt idx="7">
                  <c:v>2.3380000000000001</c:v>
                </c:pt>
                <c:pt idx="8">
                  <c:v>2.0840000000000001</c:v>
                </c:pt>
                <c:pt idx="9">
                  <c:v>1.9</c:v>
                </c:pt>
                <c:pt idx="10">
                  <c:v>1.7470000000000001</c:v>
                </c:pt>
                <c:pt idx="11">
                  <c:v>1.6559999999999999</c:v>
                </c:pt>
                <c:pt idx="12">
                  <c:v>1.575</c:v>
                </c:pt>
                <c:pt idx="13">
                  <c:v>1.5269999999999999</c:v>
                </c:pt>
                <c:pt idx="14">
                  <c:v>1.5229999999999999</c:v>
                </c:pt>
                <c:pt idx="15">
                  <c:v>1.482</c:v>
                </c:pt>
                <c:pt idx="16">
                  <c:v>1.4259999999999999</c:v>
                </c:pt>
                <c:pt idx="17" formatCode="0.0000">
                  <c:v>1.4355220588235289</c:v>
                </c:pt>
                <c:pt idx="18" formatCode="0.0000">
                  <c:v>1.3769264705882347</c:v>
                </c:pt>
                <c:pt idx="19" formatCode="0.0000">
                  <c:v>1.3183308823529405</c:v>
                </c:pt>
                <c:pt idx="20" formatCode="0.0000">
                  <c:v>1.2597352941176465</c:v>
                </c:pt>
                <c:pt idx="21" formatCode="0.0000">
                  <c:v>1.2011397058823523</c:v>
                </c:pt>
                <c:pt idx="22" formatCode="0.0000">
                  <c:v>1.1425441176470581</c:v>
                </c:pt>
                <c:pt idx="23" formatCode="0.0000">
                  <c:v>1.0839485294117639</c:v>
                </c:pt>
                <c:pt idx="24" formatCode="0.0000">
                  <c:v>1.0253529411764699</c:v>
                </c:pt>
                <c:pt idx="25" formatCode="0.0000">
                  <c:v>0.96675735294117571</c:v>
                </c:pt>
                <c:pt idx="26" formatCode="0.0000">
                  <c:v>0.9081617647058815</c:v>
                </c:pt>
                <c:pt idx="27" formatCode="0.0000">
                  <c:v>0.8495661764705873</c:v>
                </c:pt>
                <c:pt idx="28" formatCode="0.0000">
                  <c:v>0.79097058823529309</c:v>
                </c:pt>
                <c:pt idx="29" formatCode="0.0000">
                  <c:v>0.73237499999999911</c:v>
                </c:pt>
                <c:pt idx="30" formatCode="0.0000">
                  <c:v>0.67377941176470491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2C5-45BA-9B76-8059CD746885}"/>
            </c:ext>
          </c:extLst>
        </c:ser>
        <c:ser>
          <c:idx val="1"/>
          <c:order val="1"/>
          <c:tx>
            <c:v>S/L =0.4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'Resid Resistance Molland-Soton'!$A$2:$A$32</c:f>
              <c:numCache>
                <c:formatCode>0.00</c:formatCode>
                <c:ptCount val="31"/>
                <c:pt idx="0">
                  <c:v>0.2</c:v>
                </c:pt>
                <c:pt idx="1">
                  <c:v>0.25</c:v>
                </c:pt>
                <c:pt idx="2">
                  <c:v>0.3</c:v>
                </c:pt>
                <c:pt idx="3">
                  <c:v>0.35</c:v>
                </c:pt>
                <c:pt idx="4">
                  <c:v>0.39999999999999997</c:v>
                </c:pt>
                <c:pt idx="5">
                  <c:v>0.44999999999999996</c:v>
                </c:pt>
                <c:pt idx="6">
                  <c:v>0.49999999999999994</c:v>
                </c:pt>
                <c:pt idx="7">
                  <c:v>0.54999999999999993</c:v>
                </c:pt>
                <c:pt idx="8">
                  <c:v>0.6</c:v>
                </c:pt>
                <c:pt idx="9">
                  <c:v>0.65</c:v>
                </c:pt>
                <c:pt idx="10">
                  <c:v>0.70000000000000007</c:v>
                </c:pt>
                <c:pt idx="11">
                  <c:v>0.75000000000000011</c:v>
                </c:pt>
                <c:pt idx="12">
                  <c:v>0.80000000000000016</c:v>
                </c:pt>
                <c:pt idx="13">
                  <c:v>0.8500000000000002</c:v>
                </c:pt>
                <c:pt idx="14">
                  <c:v>0.90000000000000024</c:v>
                </c:pt>
                <c:pt idx="15">
                  <c:v>0.95000000000000029</c:v>
                </c:pt>
                <c:pt idx="16">
                  <c:v>1.0000000000000002</c:v>
                </c:pt>
                <c:pt idx="17">
                  <c:v>1.0500000000000003</c:v>
                </c:pt>
                <c:pt idx="18">
                  <c:v>1.1000000000000003</c:v>
                </c:pt>
                <c:pt idx="19">
                  <c:v>1.1500000000000004</c:v>
                </c:pt>
                <c:pt idx="20">
                  <c:v>1.2000000000000004</c:v>
                </c:pt>
                <c:pt idx="21">
                  <c:v>1.2500000000000004</c:v>
                </c:pt>
                <c:pt idx="22">
                  <c:v>1.3000000000000005</c:v>
                </c:pt>
                <c:pt idx="23">
                  <c:v>1.3500000000000005</c:v>
                </c:pt>
                <c:pt idx="24">
                  <c:v>1.4000000000000006</c:v>
                </c:pt>
                <c:pt idx="25">
                  <c:v>1.4500000000000006</c:v>
                </c:pt>
                <c:pt idx="26">
                  <c:v>1.5000000000000007</c:v>
                </c:pt>
                <c:pt idx="27">
                  <c:v>1.5500000000000007</c:v>
                </c:pt>
                <c:pt idx="28">
                  <c:v>1.6000000000000008</c:v>
                </c:pt>
                <c:pt idx="29">
                  <c:v>1.6500000000000008</c:v>
                </c:pt>
                <c:pt idx="30">
                  <c:v>1.7000000000000008</c:v>
                </c:pt>
              </c:numCache>
            </c:numRef>
          </c:xVal>
          <c:yVal>
            <c:numRef>
              <c:f>'Resid Resistance Molland-Soton'!$E$2:$E$32</c:f>
              <c:numCache>
                <c:formatCode>General</c:formatCode>
                <c:ptCount val="31"/>
                <c:pt idx="0">
                  <c:v>2.9329999999999998</c:v>
                </c:pt>
                <c:pt idx="1">
                  <c:v>3.2029999999999998</c:v>
                </c:pt>
                <c:pt idx="2">
                  <c:v>3.2509999999999999</c:v>
                </c:pt>
                <c:pt idx="3">
                  <c:v>3.5019999999999998</c:v>
                </c:pt>
                <c:pt idx="4">
                  <c:v>3.9129999999999998</c:v>
                </c:pt>
                <c:pt idx="5">
                  <c:v>3.95</c:v>
                </c:pt>
                <c:pt idx="6">
                  <c:v>3.5920000000000001</c:v>
                </c:pt>
                <c:pt idx="7">
                  <c:v>3.1960000000000002</c:v>
                </c:pt>
                <c:pt idx="8">
                  <c:v>2.8660000000000001</c:v>
                </c:pt>
                <c:pt idx="9">
                  <c:v>2.6349999999999998</c:v>
                </c:pt>
                <c:pt idx="10">
                  <c:v>2.468</c:v>
                </c:pt>
                <c:pt idx="11">
                  <c:v>2.339</c:v>
                </c:pt>
                <c:pt idx="12">
                  <c:v>2.2410000000000001</c:v>
                </c:pt>
                <c:pt idx="13">
                  <c:v>2.1720000000000002</c:v>
                </c:pt>
                <c:pt idx="14">
                  <c:v>2.129</c:v>
                </c:pt>
                <c:pt idx="15">
                  <c:v>2.089</c:v>
                </c:pt>
                <c:pt idx="16">
                  <c:v>2.0630000000000002</c:v>
                </c:pt>
                <c:pt idx="17" formatCode="0.0000">
                  <c:v>1.9185735294117641</c:v>
                </c:pt>
                <c:pt idx="18" formatCode="0.0000">
                  <c:v>1.8144803921568617</c:v>
                </c:pt>
                <c:pt idx="19" formatCode="0.0000">
                  <c:v>1.7103872549019599</c:v>
                </c:pt>
                <c:pt idx="20" formatCode="0.0000">
                  <c:v>1.606294117647058</c:v>
                </c:pt>
                <c:pt idx="21" formatCode="0.0000">
                  <c:v>1.5022009803921557</c:v>
                </c:pt>
                <c:pt idx="22" formatCode="0.0000">
                  <c:v>1.3981078431372538</c:v>
                </c:pt>
                <c:pt idx="23" formatCode="0.0000">
                  <c:v>1.2940147058823515</c:v>
                </c:pt>
                <c:pt idx="24" formatCode="0.0000">
                  <c:v>1.1899215686274496</c:v>
                </c:pt>
                <c:pt idx="25" formatCode="0.0000">
                  <c:v>1.0858284313725477</c:v>
                </c:pt>
                <c:pt idx="26" formatCode="0.0000">
                  <c:v>0.98173529411764537</c:v>
                </c:pt>
                <c:pt idx="27" formatCode="0.0000">
                  <c:v>0.87764215686274349</c:v>
                </c:pt>
                <c:pt idx="28" formatCode="0.0000">
                  <c:v>0.77354901960784161</c:v>
                </c:pt>
                <c:pt idx="29" formatCode="0.0000">
                  <c:v>0.66945588235293929</c:v>
                </c:pt>
                <c:pt idx="30" formatCode="0.0000">
                  <c:v>0.56536274509803741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82C5-45BA-9B76-8059CD7468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9639552"/>
        <c:axId val="1389652704"/>
      </c:scatterChart>
      <c:valAx>
        <c:axId val="15996395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Froude Number Fn</a:t>
                </a:r>
              </a:p>
            </c:rich>
          </c:tx>
          <c:layout>
            <c:manualLayout>
              <c:xMode val="edge"/>
              <c:yMode val="edge"/>
              <c:x val="0.44316510106131501"/>
              <c:y val="0.8696645093588926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9652704"/>
        <c:crosses val="autoZero"/>
        <c:crossBetween val="midCat"/>
      </c:valAx>
      <c:valAx>
        <c:axId val="1389652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50"/>
                  <a:t>Cr x</a:t>
                </a:r>
                <a:r>
                  <a:rPr lang="en-GB" sz="1050" baseline="0"/>
                  <a:t> 1000</a:t>
                </a:r>
                <a:endParaRPr lang="en-GB" sz="105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96395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6.3615420725460887E-4"/>
          <c:y val="0.93126316391239039"/>
          <c:w val="0.31132013692016497"/>
          <c:h val="6.873683608760966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Total Residuary</a:t>
            </a:r>
            <a:r>
              <a:rPr lang="en-GB" baseline="0"/>
              <a:t> Resistance N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'Resid Resistance Molland-Soton'!$F$1</c:f>
              <c:strCache>
                <c:ptCount val="1"/>
                <c:pt idx="0">
                  <c:v>Total Rr 1hull [N]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'Resid Resistance Molland-Soton'!$A$2:$A$32</c:f>
              <c:numCache>
                <c:formatCode>0.00</c:formatCode>
                <c:ptCount val="31"/>
                <c:pt idx="0">
                  <c:v>0.2</c:v>
                </c:pt>
                <c:pt idx="1">
                  <c:v>0.25</c:v>
                </c:pt>
                <c:pt idx="2">
                  <c:v>0.3</c:v>
                </c:pt>
                <c:pt idx="3">
                  <c:v>0.35</c:v>
                </c:pt>
                <c:pt idx="4">
                  <c:v>0.39999999999999997</c:v>
                </c:pt>
                <c:pt idx="5">
                  <c:v>0.44999999999999996</c:v>
                </c:pt>
                <c:pt idx="6">
                  <c:v>0.49999999999999994</c:v>
                </c:pt>
                <c:pt idx="7">
                  <c:v>0.54999999999999993</c:v>
                </c:pt>
                <c:pt idx="8">
                  <c:v>0.6</c:v>
                </c:pt>
                <c:pt idx="9">
                  <c:v>0.65</c:v>
                </c:pt>
                <c:pt idx="10">
                  <c:v>0.70000000000000007</c:v>
                </c:pt>
                <c:pt idx="11">
                  <c:v>0.75000000000000011</c:v>
                </c:pt>
                <c:pt idx="12">
                  <c:v>0.80000000000000016</c:v>
                </c:pt>
                <c:pt idx="13">
                  <c:v>0.8500000000000002</c:v>
                </c:pt>
                <c:pt idx="14">
                  <c:v>0.90000000000000024</c:v>
                </c:pt>
                <c:pt idx="15">
                  <c:v>0.95000000000000029</c:v>
                </c:pt>
                <c:pt idx="16">
                  <c:v>1.0000000000000002</c:v>
                </c:pt>
                <c:pt idx="17">
                  <c:v>1.0500000000000003</c:v>
                </c:pt>
                <c:pt idx="18">
                  <c:v>1.1000000000000003</c:v>
                </c:pt>
                <c:pt idx="19">
                  <c:v>1.1500000000000004</c:v>
                </c:pt>
                <c:pt idx="20">
                  <c:v>1.2000000000000004</c:v>
                </c:pt>
                <c:pt idx="21">
                  <c:v>1.2500000000000004</c:v>
                </c:pt>
                <c:pt idx="22">
                  <c:v>1.3000000000000005</c:v>
                </c:pt>
                <c:pt idx="23">
                  <c:v>1.3500000000000005</c:v>
                </c:pt>
                <c:pt idx="24">
                  <c:v>1.4000000000000006</c:v>
                </c:pt>
                <c:pt idx="25">
                  <c:v>1.4500000000000006</c:v>
                </c:pt>
                <c:pt idx="26">
                  <c:v>1.5000000000000007</c:v>
                </c:pt>
                <c:pt idx="27">
                  <c:v>1.5500000000000007</c:v>
                </c:pt>
                <c:pt idx="28">
                  <c:v>1.6000000000000008</c:v>
                </c:pt>
                <c:pt idx="29">
                  <c:v>1.6500000000000008</c:v>
                </c:pt>
                <c:pt idx="30">
                  <c:v>1.7000000000000008</c:v>
                </c:pt>
              </c:numCache>
            </c:numRef>
          </c:xVal>
          <c:yVal>
            <c:numRef>
              <c:f>'Resid Resistance Molland-Soton'!$F$2:$F$32</c:f>
              <c:numCache>
                <c:formatCode>0.00000</c:formatCode>
                <c:ptCount val="31"/>
                <c:pt idx="0">
                  <c:v>3.4789577276024999</c:v>
                </c:pt>
                <c:pt idx="1">
                  <c:v>6.6159666187312514</c:v>
                </c:pt>
                <c:pt idx="2">
                  <c:v>10.057755994543125</c:v>
                </c:pt>
                <c:pt idx="3">
                  <c:v>12.870161280033752</c:v>
                </c:pt>
                <c:pt idx="4">
                  <c:v>20.925286480097995</c:v>
                </c:pt>
                <c:pt idx="5">
                  <c:v>27.055586635431744</c:v>
                </c:pt>
                <c:pt idx="6">
                  <c:v>31.097520998156238</c:v>
                </c:pt>
                <c:pt idx="7">
                  <c:v>35.049507949547426</c:v>
                </c:pt>
                <c:pt idx="8">
                  <c:v>37.180245663197994</c:v>
                </c:pt>
                <c:pt idx="9">
                  <c:v>39.782525866565628</c:v>
                </c:pt>
                <c:pt idx="10">
                  <c:v>42.422965577771635</c:v>
                </c:pt>
                <c:pt idx="11">
                  <c:v>46.163092923956263</c:v>
                </c:pt>
                <c:pt idx="12">
                  <c:v>49.95426480660003</c:v>
                </c:pt>
                <c:pt idx="13">
                  <c:v>54.675017167527301</c:v>
                </c:pt>
                <c:pt idx="14">
                  <c:v>61.13599175929167</c:v>
                </c:pt>
                <c:pt idx="15">
                  <c:v>66.283808482293225</c:v>
                </c:pt>
                <c:pt idx="16">
                  <c:v>70.669426204575032</c:v>
                </c:pt>
                <c:pt idx="17" formatCode="0.0000">
                  <c:v>78.433303661766189</c:v>
                </c:pt>
                <c:pt idx="18" formatCode="0.0000">
                  <c:v>82.56731441715084</c:v>
                </c:pt>
                <c:pt idx="19" formatCode="0.0000">
                  <c:v>86.403661334033416</c:v>
                </c:pt>
                <c:pt idx="20" formatCode="0.0000">
                  <c:v>89.898786383675827</c:v>
                </c:pt>
                <c:pt idx="21" formatCode="0.0000">
                  <c:v>93.009131537339897</c:v>
                </c:pt>
                <c:pt idx="22" formatCode="0.0000">
                  <c:v>95.691138766287438</c:v>
                </c:pt>
                <c:pt idx="23" formatCode="0.0000">
                  <c:v>97.901250041780273</c:v>
                </c:pt>
                <c:pt idx="24" formatCode="0.0000">
                  <c:v>99.595907335080256</c:v>
                </c:pt>
                <c:pt idx="25" formatCode="0.0000">
                  <c:v>100.73155261744928</c:v>
                </c:pt>
                <c:pt idx="26" formatCode="0.0000">
                  <c:v>101.26462786014912</c:v>
                </c:pt>
                <c:pt idx="27" formatCode="0.0000">
                  <c:v>101.15157503444163</c:v>
                </c:pt>
                <c:pt idx="28" formatCode="0.0000">
                  <c:v>100.34883611158865</c:v>
                </c:pt>
                <c:pt idx="29" formatCode="0.0000">
                  <c:v>98.812853062852085</c:v>
                </c:pt>
                <c:pt idx="30" formatCode="0.0000">
                  <c:v>96.500067859493669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3FD-448E-A75B-6288C7593E77}"/>
            </c:ext>
          </c:extLst>
        </c:ser>
        <c:ser>
          <c:idx val="1"/>
          <c:order val="1"/>
          <c:tx>
            <c:strRef>
              <c:f>'Resid Resistance Molland-Soton'!$G$1</c:f>
              <c:strCache>
                <c:ptCount val="1"/>
                <c:pt idx="0">
                  <c:v>Total Rr 2hulls [N]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'Resid Resistance Molland-Soton'!$A$2:$A$32</c:f>
              <c:numCache>
                <c:formatCode>0.00</c:formatCode>
                <c:ptCount val="31"/>
                <c:pt idx="0">
                  <c:v>0.2</c:v>
                </c:pt>
                <c:pt idx="1">
                  <c:v>0.25</c:v>
                </c:pt>
                <c:pt idx="2">
                  <c:v>0.3</c:v>
                </c:pt>
                <c:pt idx="3">
                  <c:v>0.35</c:v>
                </c:pt>
                <c:pt idx="4">
                  <c:v>0.39999999999999997</c:v>
                </c:pt>
                <c:pt idx="5">
                  <c:v>0.44999999999999996</c:v>
                </c:pt>
                <c:pt idx="6">
                  <c:v>0.49999999999999994</c:v>
                </c:pt>
                <c:pt idx="7">
                  <c:v>0.54999999999999993</c:v>
                </c:pt>
                <c:pt idx="8">
                  <c:v>0.6</c:v>
                </c:pt>
                <c:pt idx="9">
                  <c:v>0.65</c:v>
                </c:pt>
                <c:pt idx="10">
                  <c:v>0.70000000000000007</c:v>
                </c:pt>
                <c:pt idx="11">
                  <c:v>0.75000000000000011</c:v>
                </c:pt>
                <c:pt idx="12">
                  <c:v>0.80000000000000016</c:v>
                </c:pt>
                <c:pt idx="13">
                  <c:v>0.8500000000000002</c:v>
                </c:pt>
                <c:pt idx="14">
                  <c:v>0.90000000000000024</c:v>
                </c:pt>
                <c:pt idx="15">
                  <c:v>0.95000000000000029</c:v>
                </c:pt>
                <c:pt idx="16">
                  <c:v>1.0000000000000002</c:v>
                </c:pt>
                <c:pt idx="17">
                  <c:v>1.0500000000000003</c:v>
                </c:pt>
                <c:pt idx="18">
                  <c:v>1.1000000000000003</c:v>
                </c:pt>
                <c:pt idx="19">
                  <c:v>1.1500000000000004</c:v>
                </c:pt>
                <c:pt idx="20">
                  <c:v>1.2000000000000004</c:v>
                </c:pt>
                <c:pt idx="21">
                  <c:v>1.2500000000000004</c:v>
                </c:pt>
                <c:pt idx="22">
                  <c:v>1.3000000000000005</c:v>
                </c:pt>
                <c:pt idx="23">
                  <c:v>1.3500000000000005</c:v>
                </c:pt>
                <c:pt idx="24">
                  <c:v>1.4000000000000006</c:v>
                </c:pt>
                <c:pt idx="25">
                  <c:v>1.4500000000000006</c:v>
                </c:pt>
                <c:pt idx="26">
                  <c:v>1.5000000000000007</c:v>
                </c:pt>
                <c:pt idx="27">
                  <c:v>1.5500000000000007</c:v>
                </c:pt>
                <c:pt idx="28">
                  <c:v>1.6000000000000008</c:v>
                </c:pt>
                <c:pt idx="29">
                  <c:v>1.6500000000000008</c:v>
                </c:pt>
                <c:pt idx="30">
                  <c:v>1.7000000000000008</c:v>
                </c:pt>
              </c:numCache>
            </c:numRef>
          </c:xVal>
          <c:yVal>
            <c:numRef>
              <c:f>'Resid Resistance Molland-Soton'!$G$2:$G$32</c:f>
              <c:numCache>
                <c:formatCode>0.0000</c:formatCode>
                <c:ptCount val="31"/>
                <c:pt idx="0">
                  <c:v>11.628242752203002</c:v>
                </c:pt>
                <c:pt idx="1">
                  <c:v>19.841705130895313</c:v>
                </c:pt>
                <c:pt idx="2">
                  <c:v>29.000234801117251</c:v>
                </c:pt>
                <c:pt idx="3">
                  <c:v>42.520098870451122</c:v>
                </c:pt>
                <c:pt idx="4">
                  <c:v>62.05429783753199</c:v>
                </c:pt>
                <c:pt idx="5">
                  <c:v>79.280094369403102</c:v>
                </c:pt>
                <c:pt idx="6">
                  <c:v>89.005813087949974</c:v>
                </c:pt>
                <c:pt idx="7">
                  <c:v>95.823975540422225</c:v>
                </c:pt>
                <c:pt idx="8">
                  <c:v>102.26351638265402</c:v>
                </c:pt>
                <c:pt idx="9">
                  <c:v>110.34416385094782</c:v>
                </c:pt>
                <c:pt idx="10">
                  <c:v>119.86248316650304</c:v>
                </c:pt>
                <c:pt idx="11">
                  <c:v>130.40516225740785</c:v>
                </c:pt>
                <c:pt idx="12">
                  <c:v>142.15556499249607</c:v>
                </c:pt>
                <c:pt idx="13">
                  <c:v>155.53914510526434</c:v>
                </c:pt>
                <c:pt idx="14">
                  <c:v>170.92386927843987</c:v>
                </c:pt>
                <c:pt idx="15">
                  <c:v>186.86487978341501</c:v>
                </c:pt>
                <c:pt idx="16">
                  <c:v>204.47549265082512</c:v>
                </c:pt>
                <c:pt idx="17">
                  <c:v>209.65203467943104</c:v>
                </c:pt>
                <c:pt idx="18">
                  <c:v>217.61041891941804</c:v>
                </c:pt>
                <c:pt idx="19">
                  <c:v>224.19822383108178</c:v>
                </c:pt>
                <c:pt idx="20">
                  <c:v>229.26069060064304</c:v>
                </c:pt>
                <c:pt idx="21">
                  <c:v>232.64306041432275</c:v>
                </c:pt>
                <c:pt idx="22">
                  <c:v>234.19057445834156</c:v>
                </c:pt>
                <c:pt idx="23">
                  <c:v>233.74847391892027</c:v>
                </c:pt>
                <c:pt idx="24">
                  <c:v>231.16199998227978</c:v>
                </c:pt>
                <c:pt idx="25">
                  <c:v>226.27639383464094</c:v>
                </c:pt>
                <c:pt idx="26">
                  <c:v>218.93689666222431</c:v>
                </c:pt>
                <c:pt idx="27">
                  <c:v>208.98874965125083</c:v>
                </c:pt>
                <c:pt idx="28">
                  <c:v>196.27719398794139</c:v>
                </c:pt>
                <c:pt idx="29">
                  <c:v>180.64747085851664</c:v>
                </c:pt>
                <c:pt idx="30">
                  <c:v>161.94482144919752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3FD-448E-A75B-6288C7593E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9639552"/>
        <c:axId val="1389652704"/>
      </c:scatterChart>
      <c:valAx>
        <c:axId val="15996395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9652704"/>
        <c:crosses val="autoZero"/>
        <c:crossBetween val="midCat"/>
      </c:valAx>
      <c:valAx>
        <c:axId val="1389652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96395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Rf</a:t>
            </a:r>
            <a:r>
              <a:rPr lang="en-GB" baseline="0"/>
              <a:t> + Rr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'Resid Resistance Molland-Soton'!$J$2:$J$32</c:f>
              <c:numCache>
                <c:formatCode>0.000</c:formatCode>
                <c:ptCount val="31"/>
                <c:pt idx="0">
                  <c:v>1.421569555104498</c:v>
                </c:pt>
                <c:pt idx="1">
                  <c:v>1.7769619438806223</c:v>
                </c:pt>
                <c:pt idx="2">
                  <c:v>2.1323543326567469</c:v>
                </c:pt>
                <c:pt idx="3">
                  <c:v>2.4877467214328712</c:v>
                </c:pt>
                <c:pt idx="4">
                  <c:v>2.8431391102089956</c:v>
                </c:pt>
                <c:pt idx="5">
                  <c:v>3.1985314989851199</c:v>
                </c:pt>
                <c:pt idx="6">
                  <c:v>3.5539238877612442</c:v>
                </c:pt>
                <c:pt idx="7">
                  <c:v>3.9093162765373686</c:v>
                </c:pt>
                <c:pt idx="8">
                  <c:v>4.2647086653134938</c:v>
                </c:pt>
                <c:pt idx="9">
                  <c:v>4.6201010540896181</c:v>
                </c:pt>
                <c:pt idx="10">
                  <c:v>4.9754934428657434</c:v>
                </c:pt>
                <c:pt idx="11">
                  <c:v>5.3308858316418677</c:v>
                </c:pt>
                <c:pt idx="12">
                  <c:v>5.6862782204179929</c:v>
                </c:pt>
                <c:pt idx="13">
                  <c:v>6.0416706091941172</c:v>
                </c:pt>
                <c:pt idx="14">
                  <c:v>6.3970629979702425</c:v>
                </c:pt>
                <c:pt idx="15">
                  <c:v>6.7524553867463668</c:v>
                </c:pt>
                <c:pt idx="16">
                  <c:v>7.1078477755224911</c:v>
                </c:pt>
                <c:pt idx="17">
                  <c:v>7.4632401642986155</c:v>
                </c:pt>
                <c:pt idx="18">
                  <c:v>7.8186325530747407</c:v>
                </c:pt>
                <c:pt idx="19">
                  <c:v>8.174024941850865</c:v>
                </c:pt>
                <c:pt idx="20">
                  <c:v>8.5294173306269894</c:v>
                </c:pt>
                <c:pt idx="21">
                  <c:v>8.8848097194031155</c:v>
                </c:pt>
                <c:pt idx="22">
                  <c:v>9.2402021081792398</c:v>
                </c:pt>
                <c:pt idx="23">
                  <c:v>9.5955944969553641</c:v>
                </c:pt>
                <c:pt idx="24">
                  <c:v>9.9509868857314885</c:v>
                </c:pt>
                <c:pt idx="25">
                  <c:v>10.306379274507615</c:v>
                </c:pt>
                <c:pt idx="26">
                  <c:v>10.661771663283739</c:v>
                </c:pt>
                <c:pt idx="27">
                  <c:v>11.017164052059863</c:v>
                </c:pt>
                <c:pt idx="28">
                  <c:v>11.372556440835988</c:v>
                </c:pt>
                <c:pt idx="29">
                  <c:v>11.727948829612114</c:v>
                </c:pt>
                <c:pt idx="30">
                  <c:v>12.083341218388238</c:v>
                </c:pt>
              </c:numCache>
            </c:numRef>
          </c:xVal>
          <c:yVal>
            <c:numRef>
              <c:f>'Resid Resistance Molland-Soton'!$O$2:$O$32</c:f>
              <c:numCache>
                <c:formatCode>0.00</c:formatCode>
                <c:ptCount val="31"/>
                <c:pt idx="0">
                  <c:v>102.27918441437488</c:v>
                </c:pt>
                <c:pt idx="1">
                  <c:v>147.46096401993429</c:v>
                </c:pt>
                <c:pt idx="2">
                  <c:v>198.41876279392147</c:v>
                </c:pt>
                <c:pt idx="3">
                  <c:v>258.33168019509077</c:v>
                </c:pt>
                <c:pt idx="4">
                  <c:v>328.66449397654219</c:v>
                </c:pt>
                <c:pt idx="5">
                  <c:v>400.93985199633642</c:v>
                </c:pt>
                <c:pt idx="6">
                  <c:v>469.83579805003694</c:v>
                </c:pt>
                <c:pt idx="7">
                  <c:v>539.83290483652002</c:v>
                </c:pt>
                <c:pt idx="8">
                  <c:v>613.36240139124538</c:v>
                </c:pt>
                <c:pt idx="9">
                  <c:v>692.35765391458415</c:v>
                </c:pt>
                <c:pt idx="10">
                  <c:v>776.53808500932155</c:v>
                </c:pt>
                <c:pt idx="11">
                  <c:v>865.42086110408195</c:v>
                </c:pt>
                <c:pt idx="12">
                  <c:v>959.12621572759645</c:v>
                </c:pt>
                <c:pt idx="13">
                  <c:v>1058.0218986160889</c:v>
                </c:pt>
                <c:pt idx="14">
                  <c:v>1162.4228293528004</c:v>
                </c:pt>
                <c:pt idx="15">
                  <c:v>1270.8351374644772</c:v>
                </c:pt>
                <c:pt idx="16">
                  <c:v>1384.3266504780563</c:v>
                </c:pt>
                <c:pt idx="17">
                  <c:v>1488.7513082149012</c:v>
                </c:pt>
                <c:pt idx="18">
                  <c:v>1599.2853844505153</c:v>
                </c:pt>
                <c:pt idx="19">
                  <c:v>1711.7392672304663</c:v>
                </c:pt>
                <c:pt idx="20">
                  <c:v>1825.9232017160459</c:v>
                </c:pt>
                <c:pt idx="21">
                  <c:v>1941.6494091636328</c:v>
                </c:pt>
                <c:pt idx="22">
                  <c:v>2058.7318983952941</c:v>
                </c:pt>
                <c:pt idx="23">
                  <c:v>2176.9863019671857</c:v>
                </c:pt>
                <c:pt idx="24">
                  <c:v>2296.2297329896601</c:v>
                </c:pt>
                <c:pt idx="25">
                  <c:v>2416.2806593388309</c:v>
                </c:pt>
                <c:pt idx="26">
                  <c:v>2536.9587926103668</c:v>
                </c:pt>
                <c:pt idx="27">
                  <c:v>2658.0849896460295</c:v>
                </c:pt>
                <c:pt idx="28">
                  <c:v>2779.4811648432992</c:v>
                </c:pt>
                <c:pt idx="29">
                  <c:v>2900.9702117620382</c:v>
                </c:pt>
                <c:pt idx="30">
                  <c:v>3022.3759327862977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E57-43F9-99C5-D13579FDFD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5857840"/>
        <c:axId val="980097408"/>
      </c:scatterChart>
      <c:valAx>
        <c:axId val="1085857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0097408"/>
        <c:crosses val="autoZero"/>
        <c:crossBetween val="midCat"/>
      </c:valAx>
      <c:valAx>
        <c:axId val="980097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58578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Resistance vs Speed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'Maxsurf Resist. calc'!$E$1</c:f>
              <c:strCache>
                <c:ptCount val="1"/>
                <c:pt idx="0">
                  <c:v>Resistance 1 hull(N)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'Maxsurf Resist. calc'!$B$2:$B$42</c:f>
              <c:numCache>
                <c:formatCode>0.00</c:formatCode>
                <c:ptCount val="41"/>
                <c:pt idx="0">
                  <c:v>0</c:v>
                </c:pt>
                <c:pt idx="1">
                  <c:v>0.36011080000000001</c:v>
                </c:pt>
                <c:pt idx="2">
                  <c:v>0.72022160000000002</c:v>
                </c:pt>
                <c:pt idx="3">
                  <c:v>1.0803324000000001</c:v>
                </c:pt>
                <c:pt idx="4">
                  <c:v>1.4404432</c:v>
                </c:pt>
                <c:pt idx="5">
                  <c:v>1.800554</c:v>
                </c:pt>
                <c:pt idx="6">
                  <c:v>2.1606648000000002</c:v>
                </c:pt>
                <c:pt idx="7">
                  <c:v>2.5207756000000003</c:v>
                </c:pt>
                <c:pt idx="8">
                  <c:v>2.8808864000000001</c:v>
                </c:pt>
                <c:pt idx="9">
                  <c:v>3.2409971999999998</c:v>
                </c:pt>
                <c:pt idx="10">
                  <c:v>3.601108</c:v>
                </c:pt>
                <c:pt idx="11">
                  <c:v>3.9612188000000002</c:v>
                </c:pt>
                <c:pt idx="12">
                  <c:v>4.3213296000000003</c:v>
                </c:pt>
                <c:pt idx="13">
                  <c:v>4.6814403999999996</c:v>
                </c:pt>
                <c:pt idx="14">
                  <c:v>5.0415512000000007</c:v>
                </c:pt>
                <c:pt idx="15">
                  <c:v>5.401662</c:v>
                </c:pt>
                <c:pt idx="16">
                  <c:v>5.7617728000000001</c:v>
                </c:pt>
                <c:pt idx="17">
                  <c:v>6.1218836000000003</c:v>
                </c:pt>
                <c:pt idx="18">
                  <c:v>6.4819943999999996</c:v>
                </c:pt>
                <c:pt idx="19">
                  <c:v>6.8421052000000007</c:v>
                </c:pt>
                <c:pt idx="20">
                  <c:v>7.202216</c:v>
                </c:pt>
                <c:pt idx="21">
                  <c:v>7.5623268000000001</c:v>
                </c:pt>
                <c:pt idx="22">
                  <c:v>7.9224376000000003</c:v>
                </c:pt>
                <c:pt idx="23">
                  <c:v>8.2825484000000014</c:v>
                </c:pt>
                <c:pt idx="24">
                  <c:v>8.6426592000000007</c:v>
                </c:pt>
                <c:pt idx="25">
                  <c:v>9.0027699999999999</c:v>
                </c:pt>
                <c:pt idx="26">
                  <c:v>9.3628807999999992</c:v>
                </c:pt>
                <c:pt idx="27">
                  <c:v>9.7229916000000003</c:v>
                </c:pt>
                <c:pt idx="28">
                  <c:v>10.083102400000001</c:v>
                </c:pt>
                <c:pt idx="29">
                  <c:v>10.443213200000001</c:v>
                </c:pt>
                <c:pt idx="30">
                  <c:v>10.803324</c:v>
                </c:pt>
                <c:pt idx="31">
                  <c:v>11.163434799999999</c:v>
                </c:pt>
                <c:pt idx="32">
                  <c:v>11.5235456</c:v>
                </c:pt>
                <c:pt idx="33">
                  <c:v>11.883656400000001</c:v>
                </c:pt>
                <c:pt idx="34">
                  <c:v>12.243767200000001</c:v>
                </c:pt>
                <c:pt idx="35">
                  <c:v>12.603878</c:v>
                </c:pt>
                <c:pt idx="36">
                  <c:v>12.963988799999999</c:v>
                </c:pt>
                <c:pt idx="37">
                  <c:v>13.3240996</c:v>
                </c:pt>
                <c:pt idx="38">
                  <c:v>13.684210400000001</c:v>
                </c:pt>
                <c:pt idx="39">
                  <c:v>14.044321200000001</c:v>
                </c:pt>
                <c:pt idx="40">
                  <c:v>14.404432</c:v>
                </c:pt>
              </c:numCache>
            </c:numRef>
          </c:xVal>
          <c:yVal>
            <c:numRef>
              <c:f>'Maxsurf Resist. calc'!$E$2:$E$42</c:f>
              <c:numCache>
                <c:formatCode>General</c:formatCode>
                <c:ptCount val="41"/>
                <c:pt idx="0">
                  <c:v>0</c:v>
                </c:pt>
                <c:pt idx="1">
                  <c:v>0.68</c:v>
                </c:pt>
                <c:pt idx="2">
                  <c:v>2.42</c:v>
                </c:pt>
                <c:pt idx="3">
                  <c:v>5.0599999999999996</c:v>
                </c:pt>
                <c:pt idx="4">
                  <c:v>8.58</c:v>
                </c:pt>
                <c:pt idx="5">
                  <c:v>13.29</c:v>
                </c:pt>
                <c:pt idx="6">
                  <c:v>19.25</c:v>
                </c:pt>
                <c:pt idx="7">
                  <c:v>28.37</c:v>
                </c:pt>
                <c:pt idx="8">
                  <c:v>41.76</c:v>
                </c:pt>
                <c:pt idx="9">
                  <c:v>54.5</c:v>
                </c:pt>
                <c:pt idx="10">
                  <c:v>66.040000000000006</c:v>
                </c:pt>
                <c:pt idx="11">
                  <c:v>77.260000000000005</c:v>
                </c:pt>
                <c:pt idx="12">
                  <c:v>88.77</c:v>
                </c:pt>
                <c:pt idx="13">
                  <c:v>100.86</c:v>
                </c:pt>
                <c:pt idx="14">
                  <c:v>113.62</c:v>
                </c:pt>
                <c:pt idx="15">
                  <c:v>127.06</c:v>
                </c:pt>
                <c:pt idx="16">
                  <c:v>141.18</c:v>
                </c:pt>
                <c:pt idx="17">
                  <c:v>155.94</c:v>
                </c:pt>
                <c:pt idx="18">
                  <c:v>171.34</c:v>
                </c:pt>
                <c:pt idx="19">
                  <c:v>187.34</c:v>
                </c:pt>
                <c:pt idx="20">
                  <c:v>203.94</c:v>
                </c:pt>
                <c:pt idx="21">
                  <c:v>221.13</c:v>
                </c:pt>
                <c:pt idx="22">
                  <c:v>238.88</c:v>
                </c:pt>
                <c:pt idx="23">
                  <c:v>257.20999999999998</c:v>
                </c:pt>
                <c:pt idx="24">
                  <c:v>276.13</c:v>
                </c:pt>
                <c:pt idx="25">
                  <c:v>295.57</c:v>
                </c:pt>
                <c:pt idx="26">
                  <c:v>315.62</c:v>
                </c:pt>
                <c:pt idx="27">
                  <c:v>336.24</c:v>
                </c:pt>
                <c:pt idx="28">
                  <c:v>357.39</c:v>
                </c:pt>
                <c:pt idx="29">
                  <c:v>379.1</c:v>
                </c:pt>
                <c:pt idx="30">
                  <c:v>401.41</c:v>
                </c:pt>
                <c:pt idx="31">
                  <c:v>424.34</c:v>
                </c:pt>
                <c:pt idx="32">
                  <c:v>447.82</c:v>
                </c:pt>
                <c:pt idx="33">
                  <c:v>471.8</c:v>
                </c:pt>
                <c:pt idx="34">
                  <c:v>496.35</c:v>
                </c:pt>
                <c:pt idx="35">
                  <c:v>521.54999999999995</c:v>
                </c:pt>
                <c:pt idx="36">
                  <c:v>547.38</c:v>
                </c:pt>
                <c:pt idx="37">
                  <c:v>573.79</c:v>
                </c:pt>
                <c:pt idx="38">
                  <c:v>600.72</c:v>
                </c:pt>
                <c:pt idx="39">
                  <c:v>628.20000000000005</c:v>
                </c:pt>
                <c:pt idx="40">
                  <c:v>656.28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654-4C79-A7D0-B0963D6E1DCB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'Maxsurf Resist. calc'!$B$2:$B$42</c:f>
              <c:numCache>
                <c:formatCode>0.00</c:formatCode>
                <c:ptCount val="41"/>
                <c:pt idx="0">
                  <c:v>0</c:v>
                </c:pt>
                <c:pt idx="1">
                  <c:v>0.36011080000000001</c:v>
                </c:pt>
                <c:pt idx="2">
                  <c:v>0.72022160000000002</c:v>
                </c:pt>
                <c:pt idx="3">
                  <c:v>1.0803324000000001</c:v>
                </c:pt>
                <c:pt idx="4">
                  <c:v>1.4404432</c:v>
                </c:pt>
                <c:pt idx="5">
                  <c:v>1.800554</c:v>
                </c:pt>
                <c:pt idx="6">
                  <c:v>2.1606648000000002</c:v>
                </c:pt>
                <c:pt idx="7">
                  <c:v>2.5207756000000003</c:v>
                </c:pt>
                <c:pt idx="8">
                  <c:v>2.8808864000000001</c:v>
                </c:pt>
                <c:pt idx="9">
                  <c:v>3.2409971999999998</c:v>
                </c:pt>
                <c:pt idx="10">
                  <c:v>3.601108</c:v>
                </c:pt>
                <c:pt idx="11">
                  <c:v>3.9612188000000002</c:v>
                </c:pt>
                <c:pt idx="12">
                  <c:v>4.3213296000000003</c:v>
                </c:pt>
                <c:pt idx="13">
                  <c:v>4.6814403999999996</c:v>
                </c:pt>
                <c:pt idx="14">
                  <c:v>5.0415512000000007</c:v>
                </c:pt>
                <c:pt idx="15">
                  <c:v>5.401662</c:v>
                </c:pt>
                <c:pt idx="16">
                  <c:v>5.7617728000000001</c:v>
                </c:pt>
                <c:pt idx="17">
                  <c:v>6.1218836000000003</c:v>
                </c:pt>
                <c:pt idx="18">
                  <c:v>6.4819943999999996</c:v>
                </c:pt>
                <c:pt idx="19">
                  <c:v>6.8421052000000007</c:v>
                </c:pt>
                <c:pt idx="20">
                  <c:v>7.202216</c:v>
                </c:pt>
                <c:pt idx="21">
                  <c:v>7.5623268000000001</c:v>
                </c:pt>
                <c:pt idx="22">
                  <c:v>7.9224376000000003</c:v>
                </c:pt>
                <c:pt idx="23">
                  <c:v>8.2825484000000014</c:v>
                </c:pt>
                <c:pt idx="24">
                  <c:v>8.6426592000000007</c:v>
                </c:pt>
                <c:pt idx="25">
                  <c:v>9.0027699999999999</c:v>
                </c:pt>
                <c:pt idx="26">
                  <c:v>9.3628807999999992</c:v>
                </c:pt>
                <c:pt idx="27">
                  <c:v>9.7229916000000003</c:v>
                </c:pt>
                <c:pt idx="28">
                  <c:v>10.083102400000001</c:v>
                </c:pt>
                <c:pt idx="29">
                  <c:v>10.443213200000001</c:v>
                </c:pt>
                <c:pt idx="30">
                  <c:v>10.803324</c:v>
                </c:pt>
                <c:pt idx="31">
                  <c:v>11.163434799999999</c:v>
                </c:pt>
                <c:pt idx="32">
                  <c:v>11.5235456</c:v>
                </c:pt>
                <c:pt idx="33">
                  <c:v>11.883656400000001</c:v>
                </c:pt>
                <c:pt idx="34">
                  <c:v>12.243767200000001</c:v>
                </c:pt>
                <c:pt idx="35">
                  <c:v>12.603878</c:v>
                </c:pt>
                <c:pt idx="36">
                  <c:v>12.963988799999999</c:v>
                </c:pt>
                <c:pt idx="37">
                  <c:v>13.3240996</c:v>
                </c:pt>
                <c:pt idx="38">
                  <c:v>13.684210400000001</c:v>
                </c:pt>
                <c:pt idx="39">
                  <c:v>14.044321200000001</c:v>
                </c:pt>
                <c:pt idx="40">
                  <c:v>14.404432</c:v>
                </c:pt>
              </c:numCache>
            </c:numRef>
          </c:xVal>
          <c:yVal>
            <c:numRef>
              <c:f>'Maxsurf Resist. calc'!$F$2:$F$42</c:f>
              <c:numCache>
                <c:formatCode>General</c:formatCode>
                <c:ptCount val="41"/>
                <c:pt idx="0">
                  <c:v>0</c:v>
                </c:pt>
                <c:pt idx="1">
                  <c:v>1.36</c:v>
                </c:pt>
                <c:pt idx="2">
                  <c:v>4.84</c:v>
                </c:pt>
                <c:pt idx="3">
                  <c:v>10.119999999999999</c:v>
                </c:pt>
                <c:pt idx="4">
                  <c:v>17.16</c:v>
                </c:pt>
                <c:pt idx="5">
                  <c:v>26.58</c:v>
                </c:pt>
                <c:pt idx="6">
                  <c:v>38.5</c:v>
                </c:pt>
                <c:pt idx="7">
                  <c:v>56.74</c:v>
                </c:pt>
                <c:pt idx="8">
                  <c:v>83.52</c:v>
                </c:pt>
                <c:pt idx="9">
                  <c:v>109</c:v>
                </c:pt>
                <c:pt idx="10">
                  <c:v>132.08000000000001</c:v>
                </c:pt>
                <c:pt idx="11">
                  <c:v>154.52000000000001</c:v>
                </c:pt>
                <c:pt idx="12">
                  <c:v>177.54</c:v>
                </c:pt>
                <c:pt idx="13">
                  <c:v>201.72</c:v>
                </c:pt>
                <c:pt idx="14">
                  <c:v>227.24</c:v>
                </c:pt>
                <c:pt idx="15">
                  <c:v>254.12</c:v>
                </c:pt>
                <c:pt idx="16">
                  <c:v>282.36</c:v>
                </c:pt>
                <c:pt idx="17">
                  <c:v>311.88</c:v>
                </c:pt>
                <c:pt idx="18">
                  <c:v>342.68</c:v>
                </c:pt>
                <c:pt idx="19">
                  <c:v>374.68</c:v>
                </c:pt>
                <c:pt idx="20">
                  <c:v>407.88</c:v>
                </c:pt>
                <c:pt idx="21">
                  <c:v>442.26</c:v>
                </c:pt>
                <c:pt idx="22">
                  <c:v>477.76</c:v>
                </c:pt>
                <c:pt idx="23">
                  <c:v>514.41999999999996</c:v>
                </c:pt>
                <c:pt idx="24">
                  <c:v>552.26</c:v>
                </c:pt>
                <c:pt idx="25">
                  <c:v>591.14</c:v>
                </c:pt>
                <c:pt idx="26">
                  <c:v>631.24</c:v>
                </c:pt>
                <c:pt idx="27">
                  <c:v>672.48</c:v>
                </c:pt>
                <c:pt idx="28">
                  <c:v>714.78</c:v>
                </c:pt>
                <c:pt idx="29">
                  <c:v>758.2</c:v>
                </c:pt>
                <c:pt idx="30">
                  <c:v>802.82</c:v>
                </c:pt>
                <c:pt idx="31">
                  <c:v>848.68</c:v>
                </c:pt>
                <c:pt idx="32">
                  <c:v>895.64</c:v>
                </c:pt>
                <c:pt idx="33">
                  <c:v>943.6</c:v>
                </c:pt>
                <c:pt idx="34">
                  <c:v>992.7</c:v>
                </c:pt>
                <c:pt idx="35">
                  <c:v>1043.0999999999999</c:v>
                </c:pt>
                <c:pt idx="36">
                  <c:v>1094.76</c:v>
                </c:pt>
                <c:pt idx="37">
                  <c:v>1147.58</c:v>
                </c:pt>
                <c:pt idx="38">
                  <c:v>1201.44</c:v>
                </c:pt>
                <c:pt idx="39">
                  <c:v>1256.4000000000001</c:v>
                </c:pt>
                <c:pt idx="40">
                  <c:v>1312.56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9654-4C79-A7D0-B0963D6E1D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0112383"/>
        <c:axId val="1017192703"/>
      </c:scatterChart>
      <c:valAx>
        <c:axId val="5901123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Speed (m/s)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7192703"/>
        <c:crosses val="autoZero"/>
        <c:crossBetween val="midCat"/>
      </c:valAx>
      <c:valAx>
        <c:axId val="1017192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Resistance (N)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011238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'Stability case 120kg crew'!$B$1</c:f>
              <c:strCache>
                <c:ptCount val="1"/>
                <c:pt idx="0">
                  <c:v>GZ (m)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'Stability case 120kg crew'!$A$2:$A$112</c:f>
              <c:numCache>
                <c:formatCode>General</c:formatCode>
                <c:ptCount val="111"/>
                <c:pt idx="0">
                  <c:v>0</c:v>
                </c:pt>
                <c:pt idx="1">
                  <c:v>0.90909099999999998</c:v>
                </c:pt>
                <c:pt idx="2">
                  <c:v>1.818182</c:v>
                </c:pt>
                <c:pt idx="3">
                  <c:v>2.7272729999999998</c:v>
                </c:pt>
                <c:pt idx="4">
                  <c:v>3.6363639999999999</c:v>
                </c:pt>
                <c:pt idx="5">
                  <c:v>4.5454549999999996</c:v>
                </c:pt>
                <c:pt idx="6">
                  <c:v>5.4545450000000004</c:v>
                </c:pt>
                <c:pt idx="7">
                  <c:v>6.3636359999999996</c:v>
                </c:pt>
                <c:pt idx="8">
                  <c:v>7.2727269999999997</c:v>
                </c:pt>
                <c:pt idx="9">
                  <c:v>8.1818179999999998</c:v>
                </c:pt>
                <c:pt idx="10">
                  <c:v>9.0909089999999999</c:v>
                </c:pt>
                <c:pt idx="11">
                  <c:v>10</c:v>
                </c:pt>
                <c:pt idx="12">
                  <c:v>10.909091</c:v>
                </c:pt>
                <c:pt idx="13">
                  <c:v>11.818182</c:v>
                </c:pt>
              </c:numCache>
            </c:numRef>
          </c:xVal>
          <c:yVal>
            <c:numRef>
              <c:f>'Stability case 120kg crew'!$B$2:$B$112</c:f>
              <c:numCache>
                <c:formatCode>General</c:formatCode>
                <c:ptCount val="111"/>
                <c:pt idx="0">
                  <c:v>0</c:v>
                </c:pt>
                <c:pt idx="1">
                  <c:v>0.108802</c:v>
                </c:pt>
                <c:pt idx="2">
                  <c:v>0.22917899999999999</c:v>
                </c:pt>
                <c:pt idx="3">
                  <c:v>0.34717399999999998</c:v>
                </c:pt>
                <c:pt idx="4">
                  <c:v>0.46135999999999999</c:v>
                </c:pt>
                <c:pt idx="5">
                  <c:v>0.57030599999999998</c:v>
                </c:pt>
                <c:pt idx="6">
                  <c:v>0.67258499999999999</c:v>
                </c:pt>
                <c:pt idx="7">
                  <c:v>0.76676699999999998</c:v>
                </c:pt>
                <c:pt idx="8">
                  <c:v>0.85142200000000001</c:v>
                </c:pt>
                <c:pt idx="9">
                  <c:v>0.925122</c:v>
                </c:pt>
                <c:pt idx="10">
                  <c:v>0.98643700000000001</c:v>
                </c:pt>
                <c:pt idx="11">
                  <c:v>1.0339389999999999</c:v>
                </c:pt>
                <c:pt idx="12">
                  <c:v>1.0667249999999999</c:v>
                </c:pt>
                <c:pt idx="13">
                  <c:v>1.085998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4F5-4D21-9700-09451D8E8A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6959375"/>
        <c:axId val="1220846783"/>
      </c:scatterChart>
      <c:scatterChart>
        <c:scatterStyle val="smoothMarker"/>
        <c:varyColors val="0"/>
        <c:ser>
          <c:idx val="2"/>
          <c:order val="1"/>
          <c:tx>
            <c:strRef>
              <c:f>'Stability case 120kg crew'!$G$1</c:f>
              <c:strCache>
                <c:ptCount val="1"/>
                <c:pt idx="0">
                  <c:v>Total RM 0 trap (N.m)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'Stability case 120kg crew'!$A$2:$A$90</c:f>
              <c:numCache>
                <c:formatCode>General</c:formatCode>
                <c:ptCount val="89"/>
                <c:pt idx="0">
                  <c:v>0</c:v>
                </c:pt>
                <c:pt idx="1">
                  <c:v>0.90909099999999998</c:v>
                </c:pt>
                <c:pt idx="2">
                  <c:v>1.818182</c:v>
                </c:pt>
                <c:pt idx="3">
                  <c:v>2.7272729999999998</c:v>
                </c:pt>
                <c:pt idx="4">
                  <c:v>3.6363639999999999</c:v>
                </c:pt>
                <c:pt idx="5">
                  <c:v>4.5454549999999996</c:v>
                </c:pt>
                <c:pt idx="6">
                  <c:v>5.4545450000000004</c:v>
                </c:pt>
                <c:pt idx="7">
                  <c:v>6.3636359999999996</c:v>
                </c:pt>
                <c:pt idx="8">
                  <c:v>7.2727269999999997</c:v>
                </c:pt>
                <c:pt idx="9">
                  <c:v>8.1818179999999998</c:v>
                </c:pt>
                <c:pt idx="10">
                  <c:v>9.0909089999999999</c:v>
                </c:pt>
                <c:pt idx="11">
                  <c:v>10</c:v>
                </c:pt>
                <c:pt idx="12">
                  <c:v>10.909091</c:v>
                </c:pt>
                <c:pt idx="13">
                  <c:v>11.818182</c:v>
                </c:pt>
              </c:numCache>
            </c:numRef>
          </c:xVal>
          <c:yVal>
            <c:numRef>
              <c:f>'Stability case 120kg crew'!$G$2:$G$90</c:f>
              <c:numCache>
                <c:formatCode>General</c:formatCode>
                <c:ptCount val="89"/>
                <c:pt idx="0">
                  <c:v>2589.84</c:v>
                </c:pt>
                <c:pt idx="1">
                  <c:v>2763.4916728097123</c:v>
                </c:pt>
                <c:pt idx="2">
                  <c:v>2955.0002214349156</c:v>
                </c:pt>
                <c:pt idx="3">
                  <c:v>3142.0482303431504</c:v>
                </c:pt>
                <c:pt idx="4">
                  <c:v>3322.3542939514587</c:v>
                </c:pt>
                <c:pt idx="5">
                  <c:v>3493.6307745031077</c:v>
                </c:pt>
                <c:pt idx="6">
                  <c:v>3653.5965984597005</c:v>
                </c:pt>
                <c:pt idx="7">
                  <c:v>3799.966046632162</c:v>
                </c:pt>
                <c:pt idx="8">
                  <c:v>3930.4535746822899</c:v>
                </c:pt>
                <c:pt idx="9">
                  <c:v>4042.7769958705167</c:v>
                </c:pt>
                <c:pt idx="10">
                  <c:v>4134.6510882089333</c:v>
                </c:pt>
                <c:pt idx="11">
                  <c:v>4203.7939902311373</c:v>
                </c:pt>
                <c:pt idx="12">
                  <c:v>4248.7634932911769</c:v>
                </c:pt>
                <c:pt idx="13">
                  <c:v>4271.485107561698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84D-4050-B19E-7B34611E7155}"/>
            </c:ext>
          </c:extLst>
        </c:ser>
        <c:ser>
          <c:idx val="3"/>
          <c:order val="2"/>
          <c:tx>
            <c:strRef>
              <c:f>'Stability case 120kg crew'!$H$1</c:f>
              <c:strCache>
                <c:ptCount val="1"/>
                <c:pt idx="0">
                  <c:v>Total RM 1 trap (N.m)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'Stability case 120kg crew'!$A$2:$A$90</c:f>
              <c:numCache>
                <c:formatCode>General</c:formatCode>
                <c:ptCount val="89"/>
                <c:pt idx="0">
                  <c:v>0</c:v>
                </c:pt>
                <c:pt idx="1">
                  <c:v>0.90909099999999998</c:v>
                </c:pt>
                <c:pt idx="2">
                  <c:v>1.818182</c:v>
                </c:pt>
                <c:pt idx="3">
                  <c:v>2.7272729999999998</c:v>
                </c:pt>
                <c:pt idx="4">
                  <c:v>3.6363639999999999</c:v>
                </c:pt>
                <c:pt idx="5">
                  <c:v>4.5454549999999996</c:v>
                </c:pt>
                <c:pt idx="6">
                  <c:v>5.4545450000000004</c:v>
                </c:pt>
                <c:pt idx="7">
                  <c:v>6.3636359999999996</c:v>
                </c:pt>
                <c:pt idx="8">
                  <c:v>7.2727269999999997</c:v>
                </c:pt>
                <c:pt idx="9">
                  <c:v>8.1818179999999998</c:v>
                </c:pt>
                <c:pt idx="10">
                  <c:v>9.0909089999999999</c:v>
                </c:pt>
                <c:pt idx="11">
                  <c:v>10</c:v>
                </c:pt>
                <c:pt idx="12">
                  <c:v>10.909091</c:v>
                </c:pt>
                <c:pt idx="13">
                  <c:v>11.818182</c:v>
                </c:pt>
              </c:numCache>
            </c:numRef>
          </c:xVal>
          <c:yVal>
            <c:numRef>
              <c:f>'Stability case 120kg crew'!$H$2:$H$90</c:f>
              <c:numCache>
                <c:formatCode>General</c:formatCode>
                <c:ptCount val="89"/>
                <c:pt idx="0">
                  <c:v>3296.16</c:v>
                </c:pt>
                <c:pt idx="1">
                  <c:v>3469.7227666505423</c:v>
                </c:pt>
                <c:pt idx="2">
                  <c:v>3660.964619179892</c:v>
                </c:pt>
                <c:pt idx="3">
                  <c:v>3847.5682091949184</c:v>
                </c:pt>
                <c:pt idx="4">
                  <c:v>4027.2522429927649</c:v>
                </c:pt>
                <c:pt idx="5">
                  <c:v>4197.7292394094093</c:v>
                </c:pt>
                <c:pt idx="6">
                  <c:v>4356.7183273441642</c:v>
                </c:pt>
                <c:pt idx="7">
                  <c:v>4501.9340313472958</c:v>
                </c:pt>
                <c:pt idx="8">
                  <c:v>4631.0910985065502</c:v>
                </c:pt>
                <c:pt idx="9">
                  <c:v>4741.9076770188385</c:v>
                </c:pt>
                <c:pt idx="10">
                  <c:v>4832.0989242359146</c:v>
                </c:pt>
                <c:pt idx="11">
                  <c:v>4899.383402338719</c:v>
                </c:pt>
                <c:pt idx="12">
                  <c:v>4942.319370529679</c:v>
                </c:pt>
                <c:pt idx="13">
                  <c:v>4962.8328509130697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84D-4050-B19E-7B34611E7155}"/>
            </c:ext>
          </c:extLst>
        </c:ser>
        <c:ser>
          <c:idx val="4"/>
          <c:order val="3"/>
          <c:tx>
            <c:strRef>
              <c:f>'Stability case 120kg crew'!$I$1</c:f>
              <c:strCache>
                <c:ptCount val="1"/>
                <c:pt idx="0">
                  <c:v>Total RM 2 trap (N.m)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'Stability case 120kg crew'!$A$2:$A$90</c:f>
              <c:numCache>
                <c:formatCode>General</c:formatCode>
                <c:ptCount val="89"/>
                <c:pt idx="0">
                  <c:v>0</c:v>
                </c:pt>
                <c:pt idx="1">
                  <c:v>0.90909099999999998</c:v>
                </c:pt>
                <c:pt idx="2">
                  <c:v>1.818182</c:v>
                </c:pt>
                <c:pt idx="3">
                  <c:v>2.7272729999999998</c:v>
                </c:pt>
                <c:pt idx="4">
                  <c:v>3.6363639999999999</c:v>
                </c:pt>
                <c:pt idx="5">
                  <c:v>4.5454549999999996</c:v>
                </c:pt>
                <c:pt idx="6">
                  <c:v>5.4545450000000004</c:v>
                </c:pt>
                <c:pt idx="7">
                  <c:v>6.3636359999999996</c:v>
                </c:pt>
                <c:pt idx="8">
                  <c:v>7.2727269999999997</c:v>
                </c:pt>
                <c:pt idx="9">
                  <c:v>8.1818179999999998</c:v>
                </c:pt>
                <c:pt idx="10">
                  <c:v>9.0909089999999999</c:v>
                </c:pt>
                <c:pt idx="11">
                  <c:v>10</c:v>
                </c:pt>
                <c:pt idx="12">
                  <c:v>10.909091</c:v>
                </c:pt>
                <c:pt idx="13">
                  <c:v>11.818182</c:v>
                </c:pt>
              </c:numCache>
            </c:numRef>
          </c:xVal>
          <c:yVal>
            <c:numRef>
              <c:f>'Stability case 120kg crew'!$I$2:$I$90</c:f>
              <c:numCache>
                <c:formatCode>General</c:formatCode>
                <c:ptCount val="89"/>
                <c:pt idx="0">
                  <c:v>4002.48</c:v>
                </c:pt>
                <c:pt idx="1">
                  <c:v>4175.9538604913732</c:v>
                </c:pt>
                <c:pt idx="2">
                  <c:v>4366.9290169248698</c:v>
                </c:pt>
                <c:pt idx="3">
                  <c:v>4553.0881880466859</c:v>
                </c:pt>
                <c:pt idx="4">
                  <c:v>4732.1501920340716</c:v>
                </c:pt>
                <c:pt idx="5">
                  <c:v>4901.8277043157113</c:v>
                </c:pt>
                <c:pt idx="6">
                  <c:v>5059.8400562286279</c:v>
                </c:pt>
                <c:pt idx="7">
                  <c:v>5203.9020160624314</c:v>
                </c:pt>
                <c:pt idx="8">
                  <c:v>5331.728622330811</c:v>
                </c:pt>
                <c:pt idx="9">
                  <c:v>5441.0383581671613</c:v>
                </c:pt>
                <c:pt idx="10">
                  <c:v>5529.5467602628969</c:v>
                </c:pt>
                <c:pt idx="11">
                  <c:v>5594.9728144463024</c:v>
                </c:pt>
                <c:pt idx="12">
                  <c:v>5635.875247768181</c:v>
                </c:pt>
                <c:pt idx="13">
                  <c:v>5654.1805942644423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84D-4050-B19E-7B34611E7155}"/>
            </c:ext>
          </c:extLst>
        </c:ser>
        <c:ser>
          <c:idx val="1"/>
          <c:order val="4"/>
          <c:tx>
            <c:v>Heeling moment Ex.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'Stability case 120kg crew'!$A$2:$A$16</c:f>
              <c:numCache>
                <c:formatCode>General</c:formatCode>
                <c:ptCount val="15"/>
                <c:pt idx="0">
                  <c:v>0</c:v>
                </c:pt>
                <c:pt idx="1">
                  <c:v>0.90909099999999998</c:v>
                </c:pt>
                <c:pt idx="2">
                  <c:v>1.818182</c:v>
                </c:pt>
                <c:pt idx="3">
                  <c:v>2.7272729999999998</c:v>
                </c:pt>
                <c:pt idx="4">
                  <c:v>3.6363639999999999</c:v>
                </c:pt>
                <c:pt idx="5">
                  <c:v>4.5454549999999996</c:v>
                </c:pt>
                <c:pt idx="6">
                  <c:v>5.4545450000000004</c:v>
                </c:pt>
                <c:pt idx="7">
                  <c:v>6.3636359999999996</c:v>
                </c:pt>
                <c:pt idx="8">
                  <c:v>7.2727269999999997</c:v>
                </c:pt>
                <c:pt idx="9">
                  <c:v>8.1818179999999998</c:v>
                </c:pt>
                <c:pt idx="10">
                  <c:v>9.0909089999999999</c:v>
                </c:pt>
                <c:pt idx="11">
                  <c:v>10</c:v>
                </c:pt>
                <c:pt idx="12">
                  <c:v>10.909091</c:v>
                </c:pt>
                <c:pt idx="13">
                  <c:v>11.818182</c:v>
                </c:pt>
              </c:numCache>
            </c:numRef>
          </c:xVal>
          <c:yVal>
            <c:numRef>
              <c:f>'Stability case 120kg crew'!$J$2:$J$16</c:f>
              <c:numCache>
                <c:formatCode>General</c:formatCode>
                <c:ptCount val="15"/>
                <c:pt idx="0">
                  <c:v>4180</c:v>
                </c:pt>
                <c:pt idx="1">
                  <c:v>4179.4738535715705</c:v>
                </c:pt>
                <c:pt idx="2">
                  <c:v>4177.8955467408587</c:v>
                </c:pt>
                <c:pt idx="3">
                  <c:v>4175.2654768382481</c:v>
                </c:pt>
                <c:pt idx="4">
                  <c:v>4171.5843059699037</c:v>
                </c:pt>
                <c:pt idx="5">
                  <c:v>4166.8529608510908</c:v>
                </c:pt>
                <c:pt idx="6">
                  <c:v>4161.0726395076717</c:v>
                </c:pt>
                <c:pt idx="7">
                  <c:v>4154.2447843884693</c:v>
                </c:pt>
                <c:pt idx="8">
                  <c:v>4146.3711201515034</c:v>
                </c:pt>
                <c:pt idx="9">
                  <c:v>4137.4536289500347</c:v>
                </c:pt>
                <c:pt idx="10">
                  <c:v>4127.4945557152332</c:v>
                </c:pt>
                <c:pt idx="11">
                  <c:v>4116.4964075910293</c:v>
                </c:pt>
                <c:pt idx="12">
                  <c:v>4104.4619533029527</c:v>
                </c:pt>
                <c:pt idx="13">
                  <c:v>4091.3942224611164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B53-406D-8859-CAEE99BCC5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1044495"/>
        <c:axId val="1221046575"/>
      </c:scatterChart>
      <c:valAx>
        <c:axId val="1436959375"/>
        <c:scaling>
          <c:orientation val="minMax"/>
          <c:max val="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0846783"/>
        <c:crosses val="autoZero"/>
        <c:crossBetween val="midCat"/>
      </c:valAx>
      <c:valAx>
        <c:axId val="12208467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6959375"/>
        <c:crosses val="autoZero"/>
        <c:crossBetween val="midCat"/>
      </c:valAx>
      <c:valAx>
        <c:axId val="1221046575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1044495"/>
        <c:crosses val="max"/>
        <c:crossBetween val="midCat"/>
      </c:valAx>
      <c:valAx>
        <c:axId val="1221044495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22104657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'Stability case 150kg crew'!$B$1</c:f>
              <c:strCache>
                <c:ptCount val="1"/>
                <c:pt idx="0">
                  <c:v>GZ (m)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'Stability case 150kg crew'!$A$2:$A$112</c:f>
              <c:numCache>
                <c:formatCode>General</c:formatCode>
                <c:ptCount val="111"/>
                <c:pt idx="0">
                  <c:v>0</c:v>
                </c:pt>
                <c:pt idx="1">
                  <c:v>0.90909099999999998</c:v>
                </c:pt>
                <c:pt idx="2">
                  <c:v>1.818182</c:v>
                </c:pt>
                <c:pt idx="3">
                  <c:v>2.7272729999999998</c:v>
                </c:pt>
                <c:pt idx="4">
                  <c:v>3.6363639999999999</c:v>
                </c:pt>
                <c:pt idx="5">
                  <c:v>4.5454549999999996</c:v>
                </c:pt>
                <c:pt idx="6">
                  <c:v>5.4545450000000004</c:v>
                </c:pt>
                <c:pt idx="7">
                  <c:v>6.3636359999999996</c:v>
                </c:pt>
                <c:pt idx="8">
                  <c:v>7.2727269999999997</c:v>
                </c:pt>
                <c:pt idx="9">
                  <c:v>8.1818179999999998</c:v>
                </c:pt>
                <c:pt idx="10">
                  <c:v>9.0909089999999999</c:v>
                </c:pt>
                <c:pt idx="11">
                  <c:v>10</c:v>
                </c:pt>
                <c:pt idx="12">
                  <c:v>10.909091</c:v>
                </c:pt>
                <c:pt idx="13">
                  <c:v>11.818182</c:v>
                </c:pt>
              </c:numCache>
            </c:numRef>
          </c:xVal>
          <c:yVal>
            <c:numRef>
              <c:f>'Stability case 150kg crew'!$B$2:$B$112</c:f>
              <c:numCache>
                <c:formatCode>General</c:formatCode>
                <c:ptCount val="111"/>
                <c:pt idx="0">
                  <c:v>0</c:v>
                </c:pt>
                <c:pt idx="1">
                  <c:v>0.108802</c:v>
                </c:pt>
                <c:pt idx="2">
                  <c:v>0.22917899999999999</c:v>
                </c:pt>
                <c:pt idx="3">
                  <c:v>0.34717399999999998</c:v>
                </c:pt>
                <c:pt idx="4">
                  <c:v>0.46135999999999999</c:v>
                </c:pt>
                <c:pt idx="5">
                  <c:v>0.57030599999999998</c:v>
                </c:pt>
                <c:pt idx="6">
                  <c:v>0.67258499999999999</c:v>
                </c:pt>
                <c:pt idx="7">
                  <c:v>0.76676699999999998</c:v>
                </c:pt>
                <c:pt idx="8">
                  <c:v>0.85142200000000001</c:v>
                </c:pt>
                <c:pt idx="9">
                  <c:v>0.925122</c:v>
                </c:pt>
                <c:pt idx="10">
                  <c:v>0.98643700000000001</c:v>
                </c:pt>
                <c:pt idx="11">
                  <c:v>1.0339389999999999</c:v>
                </c:pt>
                <c:pt idx="12">
                  <c:v>1.0667249999999999</c:v>
                </c:pt>
                <c:pt idx="13">
                  <c:v>1.085998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E02-4970-A3FE-0C152498B3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6959375"/>
        <c:axId val="1220846783"/>
      </c:scatterChart>
      <c:scatterChart>
        <c:scatterStyle val="smoothMarker"/>
        <c:varyColors val="0"/>
        <c:ser>
          <c:idx val="2"/>
          <c:order val="1"/>
          <c:tx>
            <c:strRef>
              <c:f>'Stability case 150kg crew'!$G$1</c:f>
              <c:strCache>
                <c:ptCount val="1"/>
                <c:pt idx="0">
                  <c:v>Total RM 0 trap (N.m)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'Stability case 150kg crew'!$A$2:$A$90</c:f>
              <c:numCache>
                <c:formatCode>General</c:formatCode>
                <c:ptCount val="89"/>
                <c:pt idx="0">
                  <c:v>0</c:v>
                </c:pt>
                <c:pt idx="1">
                  <c:v>0.90909099999999998</c:v>
                </c:pt>
                <c:pt idx="2">
                  <c:v>1.818182</c:v>
                </c:pt>
                <c:pt idx="3">
                  <c:v>2.7272729999999998</c:v>
                </c:pt>
                <c:pt idx="4">
                  <c:v>3.6363639999999999</c:v>
                </c:pt>
                <c:pt idx="5">
                  <c:v>4.5454549999999996</c:v>
                </c:pt>
                <c:pt idx="6">
                  <c:v>5.4545450000000004</c:v>
                </c:pt>
                <c:pt idx="7">
                  <c:v>6.3636359999999996</c:v>
                </c:pt>
                <c:pt idx="8">
                  <c:v>7.2727269999999997</c:v>
                </c:pt>
                <c:pt idx="9">
                  <c:v>8.1818179999999998</c:v>
                </c:pt>
                <c:pt idx="10">
                  <c:v>9.0909089999999999</c:v>
                </c:pt>
                <c:pt idx="11">
                  <c:v>10</c:v>
                </c:pt>
                <c:pt idx="12">
                  <c:v>10.909091</c:v>
                </c:pt>
                <c:pt idx="13">
                  <c:v>11.818182</c:v>
                </c:pt>
              </c:numCache>
            </c:numRef>
          </c:xVal>
          <c:yVal>
            <c:numRef>
              <c:f>'Stability case 150kg crew'!$G$2:$G$90</c:f>
              <c:numCache>
                <c:formatCode>General</c:formatCode>
                <c:ptCount val="89"/>
                <c:pt idx="0">
                  <c:v>3237.3</c:v>
                </c:pt>
                <c:pt idx="1">
                  <c:v>3410.8701754971403</c:v>
                </c:pt>
                <c:pt idx="2">
                  <c:v>3602.1342527011443</c:v>
                </c:pt>
                <c:pt idx="3">
                  <c:v>3788.7748776239378</c:v>
                </c:pt>
                <c:pt idx="4">
                  <c:v>3968.5107472393229</c:v>
                </c:pt>
                <c:pt idx="5">
                  <c:v>4139.0543673338843</c:v>
                </c:pt>
                <c:pt idx="6">
                  <c:v>4298.1248499371259</c:v>
                </c:pt>
                <c:pt idx="7">
                  <c:v>4443.4366992877021</c:v>
                </c:pt>
                <c:pt idx="8">
                  <c:v>4572.7046381878627</c:v>
                </c:pt>
                <c:pt idx="9">
                  <c:v>4683.6467869231456</c:v>
                </c:pt>
                <c:pt idx="10">
                  <c:v>4773.9782712336664</c:v>
                </c:pt>
                <c:pt idx="11">
                  <c:v>4841.4176179964215</c:v>
                </c:pt>
                <c:pt idx="12">
                  <c:v>4884.5230474264708</c:v>
                </c:pt>
                <c:pt idx="13">
                  <c:v>4905.2205389671235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E02-4970-A3FE-0C152498B353}"/>
            </c:ext>
          </c:extLst>
        </c:ser>
        <c:ser>
          <c:idx val="3"/>
          <c:order val="2"/>
          <c:tx>
            <c:strRef>
              <c:f>'Stability case 150kg crew'!$H$1</c:f>
              <c:strCache>
                <c:ptCount val="1"/>
                <c:pt idx="0">
                  <c:v>Total RM 1 trap (N.m)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'Stability case 150kg crew'!$A$2:$A$90</c:f>
              <c:numCache>
                <c:formatCode>General</c:formatCode>
                <c:ptCount val="89"/>
                <c:pt idx="0">
                  <c:v>0</c:v>
                </c:pt>
                <c:pt idx="1">
                  <c:v>0.90909099999999998</c:v>
                </c:pt>
                <c:pt idx="2">
                  <c:v>1.818182</c:v>
                </c:pt>
                <c:pt idx="3">
                  <c:v>2.7272729999999998</c:v>
                </c:pt>
                <c:pt idx="4">
                  <c:v>3.6363639999999999</c:v>
                </c:pt>
                <c:pt idx="5">
                  <c:v>4.5454549999999996</c:v>
                </c:pt>
                <c:pt idx="6">
                  <c:v>5.4545450000000004</c:v>
                </c:pt>
                <c:pt idx="7">
                  <c:v>6.3636359999999996</c:v>
                </c:pt>
                <c:pt idx="8">
                  <c:v>7.2727269999999997</c:v>
                </c:pt>
                <c:pt idx="9">
                  <c:v>8.1818179999999998</c:v>
                </c:pt>
                <c:pt idx="10">
                  <c:v>9.0909089999999999</c:v>
                </c:pt>
                <c:pt idx="11">
                  <c:v>10</c:v>
                </c:pt>
                <c:pt idx="12">
                  <c:v>10.909091</c:v>
                </c:pt>
                <c:pt idx="13">
                  <c:v>11.818182</c:v>
                </c:pt>
              </c:numCache>
            </c:numRef>
          </c:xVal>
          <c:yVal>
            <c:numRef>
              <c:f>'Stability case 150kg crew'!$H$2:$H$90</c:f>
              <c:numCache>
                <c:formatCode>General</c:formatCode>
                <c:ptCount val="89"/>
                <c:pt idx="0">
                  <c:v>4120.2</c:v>
                </c:pt>
                <c:pt idx="1">
                  <c:v>4293.6590427981773</c:v>
                </c:pt>
                <c:pt idx="2">
                  <c:v>4484.5897498823651</c:v>
                </c:pt>
                <c:pt idx="3">
                  <c:v>4670.6748511886472</c:v>
                </c:pt>
                <c:pt idx="4">
                  <c:v>4849.6331835409565</c:v>
                </c:pt>
                <c:pt idx="5">
                  <c:v>5019.1774484667612</c:v>
                </c:pt>
                <c:pt idx="6">
                  <c:v>5177.0270110427055</c:v>
                </c:pt>
                <c:pt idx="7">
                  <c:v>5320.8966801816196</c:v>
                </c:pt>
                <c:pt idx="8">
                  <c:v>5448.501542968188</c:v>
                </c:pt>
                <c:pt idx="9">
                  <c:v>5557.5601383585481</c:v>
                </c:pt>
                <c:pt idx="10">
                  <c:v>5645.7880662673933</c:v>
                </c:pt>
                <c:pt idx="11">
                  <c:v>5710.9043831308991</c:v>
                </c:pt>
                <c:pt idx="12">
                  <c:v>5751.4678939745991</c:v>
                </c:pt>
                <c:pt idx="13">
                  <c:v>5769.4052181563384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8E02-4970-A3FE-0C152498B353}"/>
            </c:ext>
          </c:extLst>
        </c:ser>
        <c:ser>
          <c:idx val="4"/>
          <c:order val="3"/>
          <c:tx>
            <c:strRef>
              <c:f>'Stability case 150kg crew'!$I$1</c:f>
              <c:strCache>
                <c:ptCount val="1"/>
                <c:pt idx="0">
                  <c:v>Total RM 2 trap (N.m)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'Stability case 150kg crew'!$A$2:$A$90</c:f>
              <c:numCache>
                <c:formatCode>General</c:formatCode>
                <c:ptCount val="89"/>
                <c:pt idx="0">
                  <c:v>0</c:v>
                </c:pt>
                <c:pt idx="1">
                  <c:v>0.90909099999999998</c:v>
                </c:pt>
                <c:pt idx="2">
                  <c:v>1.818182</c:v>
                </c:pt>
                <c:pt idx="3">
                  <c:v>2.7272729999999998</c:v>
                </c:pt>
                <c:pt idx="4">
                  <c:v>3.6363639999999999</c:v>
                </c:pt>
                <c:pt idx="5">
                  <c:v>4.5454549999999996</c:v>
                </c:pt>
                <c:pt idx="6">
                  <c:v>5.4545450000000004</c:v>
                </c:pt>
                <c:pt idx="7">
                  <c:v>6.3636359999999996</c:v>
                </c:pt>
                <c:pt idx="8">
                  <c:v>7.2727269999999997</c:v>
                </c:pt>
                <c:pt idx="9">
                  <c:v>8.1818179999999998</c:v>
                </c:pt>
                <c:pt idx="10">
                  <c:v>9.0909089999999999</c:v>
                </c:pt>
                <c:pt idx="11">
                  <c:v>10</c:v>
                </c:pt>
                <c:pt idx="12">
                  <c:v>10.909091</c:v>
                </c:pt>
                <c:pt idx="13">
                  <c:v>11.818182</c:v>
                </c:pt>
              </c:numCache>
            </c:numRef>
          </c:xVal>
          <c:yVal>
            <c:numRef>
              <c:f>'Stability case 150kg crew'!$I$2:$I$90</c:f>
              <c:numCache>
                <c:formatCode>General</c:formatCode>
                <c:ptCount val="89"/>
                <c:pt idx="0">
                  <c:v>5003.0999999999995</c:v>
                </c:pt>
                <c:pt idx="1">
                  <c:v>5176.4479100992157</c:v>
                </c:pt>
                <c:pt idx="2">
                  <c:v>5367.0452470635864</c:v>
                </c:pt>
                <c:pt idx="3">
                  <c:v>5552.5748247533575</c:v>
                </c:pt>
                <c:pt idx="4">
                  <c:v>5730.75561984259</c:v>
                </c:pt>
                <c:pt idx="5">
                  <c:v>5899.3005295996381</c:v>
                </c:pt>
                <c:pt idx="6">
                  <c:v>6055.929172148285</c:v>
                </c:pt>
                <c:pt idx="7">
                  <c:v>6198.3566610755388</c:v>
                </c:pt>
                <c:pt idx="8">
                  <c:v>6324.2984477485134</c:v>
                </c:pt>
                <c:pt idx="9">
                  <c:v>6431.4734897939516</c:v>
                </c:pt>
                <c:pt idx="10">
                  <c:v>6517.5978613011202</c:v>
                </c:pt>
                <c:pt idx="11">
                  <c:v>6580.3911482653784</c:v>
                </c:pt>
                <c:pt idx="12">
                  <c:v>6618.4127405227282</c:v>
                </c:pt>
                <c:pt idx="13">
                  <c:v>6633.5898973455533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8E02-4970-A3FE-0C152498B3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1044495"/>
        <c:axId val="1221046575"/>
      </c:scatterChart>
      <c:valAx>
        <c:axId val="1436959375"/>
        <c:scaling>
          <c:orientation val="minMax"/>
          <c:max val="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0846783"/>
        <c:crosses val="autoZero"/>
        <c:crossBetween val="midCat"/>
      </c:valAx>
      <c:valAx>
        <c:axId val="12208467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6959375"/>
        <c:crosses val="autoZero"/>
        <c:crossBetween val="midCat"/>
      </c:valAx>
      <c:valAx>
        <c:axId val="1221046575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1044495"/>
        <c:crosses val="max"/>
        <c:crossBetween val="midCat"/>
      </c:valAx>
      <c:valAx>
        <c:axId val="1221044495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22104657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'Stability case 180kg crew'!$B$1</c:f>
              <c:strCache>
                <c:ptCount val="1"/>
                <c:pt idx="0">
                  <c:v>GZ (m)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'Stability case 180kg crew'!$A$2:$A$112</c:f>
              <c:numCache>
                <c:formatCode>General</c:formatCode>
                <c:ptCount val="111"/>
                <c:pt idx="0">
                  <c:v>0</c:v>
                </c:pt>
                <c:pt idx="1">
                  <c:v>0.90909099999999998</c:v>
                </c:pt>
                <c:pt idx="2">
                  <c:v>1.818182</c:v>
                </c:pt>
                <c:pt idx="3">
                  <c:v>2.7272729999999998</c:v>
                </c:pt>
                <c:pt idx="4">
                  <c:v>3.6363639999999999</c:v>
                </c:pt>
                <c:pt idx="5">
                  <c:v>4.5454549999999996</c:v>
                </c:pt>
                <c:pt idx="6">
                  <c:v>5.4545450000000004</c:v>
                </c:pt>
                <c:pt idx="7">
                  <c:v>6.3636359999999996</c:v>
                </c:pt>
                <c:pt idx="8">
                  <c:v>7.2727269999999997</c:v>
                </c:pt>
                <c:pt idx="9">
                  <c:v>8.1818179999999998</c:v>
                </c:pt>
                <c:pt idx="10">
                  <c:v>9.0909089999999999</c:v>
                </c:pt>
                <c:pt idx="11">
                  <c:v>10</c:v>
                </c:pt>
                <c:pt idx="12">
                  <c:v>10.909091</c:v>
                </c:pt>
                <c:pt idx="13">
                  <c:v>11.818182</c:v>
                </c:pt>
              </c:numCache>
            </c:numRef>
          </c:xVal>
          <c:yVal>
            <c:numRef>
              <c:f>'Stability case 180kg crew'!$B$2:$B$112</c:f>
              <c:numCache>
                <c:formatCode>General</c:formatCode>
                <c:ptCount val="111"/>
                <c:pt idx="0">
                  <c:v>0</c:v>
                </c:pt>
                <c:pt idx="1">
                  <c:v>0.108802</c:v>
                </c:pt>
                <c:pt idx="2">
                  <c:v>0.22917899999999999</c:v>
                </c:pt>
                <c:pt idx="3">
                  <c:v>0.34717399999999998</c:v>
                </c:pt>
                <c:pt idx="4">
                  <c:v>0.46135999999999999</c:v>
                </c:pt>
                <c:pt idx="5">
                  <c:v>0.57030599999999998</c:v>
                </c:pt>
                <c:pt idx="6">
                  <c:v>0.67258499999999999</c:v>
                </c:pt>
                <c:pt idx="7">
                  <c:v>0.76676699999999998</c:v>
                </c:pt>
                <c:pt idx="8">
                  <c:v>0.85142200000000001</c:v>
                </c:pt>
                <c:pt idx="9">
                  <c:v>0.925122</c:v>
                </c:pt>
                <c:pt idx="10">
                  <c:v>0.98643700000000001</c:v>
                </c:pt>
                <c:pt idx="11">
                  <c:v>1.0339389999999999</c:v>
                </c:pt>
                <c:pt idx="12">
                  <c:v>1.0667249999999999</c:v>
                </c:pt>
                <c:pt idx="13">
                  <c:v>1.085998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F7C-47F9-BE66-9C9323B4AB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6959375"/>
        <c:axId val="1220846783"/>
      </c:scatterChart>
      <c:scatterChart>
        <c:scatterStyle val="smoothMarker"/>
        <c:varyColors val="0"/>
        <c:ser>
          <c:idx val="2"/>
          <c:order val="1"/>
          <c:tx>
            <c:strRef>
              <c:f>'Stability case 180kg crew'!$G$1</c:f>
              <c:strCache>
                <c:ptCount val="1"/>
                <c:pt idx="0">
                  <c:v>Total RM 0 trap (N.m)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'Stability case 180kg crew'!$A$2:$A$90</c:f>
              <c:numCache>
                <c:formatCode>General</c:formatCode>
                <c:ptCount val="89"/>
                <c:pt idx="0">
                  <c:v>0</c:v>
                </c:pt>
                <c:pt idx="1">
                  <c:v>0.90909099999999998</c:v>
                </c:pt>
                <c:pt idx="2">
                  <c:v>1.818182</c:v>
                </c:pt>
                <c:pt idx="3">
                  <c:v>2.7272729999999998</c:v>
                </c:pt>
                <c:pt idx="4">
                  <c:v>3.6363639999999999</c:v>
                </c:pt>
                <c:pt idx="5">
                  <c:v>4.5454549999999996</c:v>
                </c:pt>
                <c:pt idx="6">
                  <c:v>5.4545450000000004</c:v>
                </c:pt>
                <c:pt idx="7">
                  <c:v>6.3636359999999996</c:v>
                </c:pt>
                <c:pt idx="8">
                  <c:v>7.2727269999999997</c:v>
                </c:pt>
                <c:pt idx="9">
                  <c:v>8.1818179999999998</c:v>
                </c:pt>
                <c:pt idx="10">
                  <c:v>9.0909089999999999</c:v>
                </c:pt>
                <c:pt idx="11">
                  <c:v>10</c:v>
                </c:pt>
                <c:pt idx="12">
                  <c:v>10.909091</c:v>
                </c:pt>
                <c:pt idx="13">
                  <c:v>11.818182</c:v>
                </c:pt>
              </c:numCache>
            </c:numRef>
          </c:xVal>
          <c:yVal>
            <c:numRef>
              <c:f>'Stability case 180kg crew'!$G$2:$G$90</c:f>
              <c:numCache>
                <c:formatCode>General</c:formatCode>
                <c:ptCount val="89"/>
                <c:pt idx="0">
                  <c:v>3884.7600000000007</c:v>
                </c:pt>
                <c:pt idx="1">
                  <c:v>4058.2486781845687</c:v>
                </c:pt>
                <c:pt idx="2">
                  <c:v>4249.2682839673735</c:v>
                </c:pt>
                <c:pt idx="3">
                  <c:v>4435.5015249047256</c:v>
                </c:pt>
                <c:pt idx="4">
                  <c:v>4614.6672005271876</c:v>
                </c:pt>
                <c:pt idx="5">
                  <c:v>4784.4779601646615</c:v>
                </c:pt>
                <c:pt idx="6">
                  <c:v>4942.6531014145512</c:v>
                </c:pt>
                <c:pt idx="7">
                  <c:v>5086.9073519432422</c:v>
                </c:pt>
                <c:pt idx="8">
                  <c:v>5214.955701693435</c:v>
                </c:pt>
                <c:pt idx="9">
                  <c:v>5324.5165779757745</c:v>
                </c:pt>
                <c:pt idx="10">
                  <c:v>5413.3054542584005</c:v>
                </c:pt>
                <c:pt idx="11">
                  <c:v>5479.0412457617058</c:v>
                </c:pt>
                <c:pt idx="12">
                  <c:v>5520.2826015617647</c:v>
                </c:pt>
                <c:pt idx="13">
                  <c:v>5538.9559703725481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F7C-47F9-BE66-9C9323B4ABD3}"/>
            </c:ext>
          </c:extLst>
        </c:ser>
        <c:ser>
          <c:idx val="3"/>
          <c:order val="2"/>
          <c:tx>
            <c:strRef>
              <c:f>'Stability case 180kg crew'!$H$1</c:f>
              <c:strCache>
                <c:ptCount val="1"/>
                <c:pt idx="0">
                  <c:v>Total RM 1 trap (N.m)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'Stability case 180kg crew'!$A$2:$A$90</c:f>
              <c:numCache>
                <c:formatCode>General</c:formatCode>
                <c:ptCount val="89"/>
                <c:pt idx="0">
                  <c:v>0</c:v>
                </c:pt>
                <c:pt idx="1">
                  <c:v>0.90909099999999998</c:v>
                </c:pt>
                <c:pt idx="2">
                  <c:v>1.818182</c:v>
                </c:pt>
                <c:pt idx="3">
                  <c:v>2.7272729999999998</c:v>
                </c:pt>
                <c:pt idx="4">
                  <c:v>3.6363639999999999</c:v>
                </c:pt>
                <c:pt idx="5">
                  <c:v>4.5454549999999996</c:v>
                </c:pt>
                <c:pt idx="6">
                  <c:v>5.4545450000000004</c:v>
                </c:pt>
                <c:pt idx="7">
                  <c:v>6.3636359999999996</c:v>
                </c:pt>
                <c:pt idx="8">
                  <c:v>7.2727269999999997</c:v>
                </c:pt>
                <c:pt idx="9">
                  <c:v>8.1818179999999998</c:v>
                </c:pt>
                <c:pt idx="10">
                  <c:v>9.0909089999999999</c:v>
                </c:pt>
                <c:pt idx="11">
                  <c:v>10</c:v>
                </c:pt>
                <c:pt idx="12">
                  <c:v>10.909091</c:v>
                </c:pt>
                <c:pt idx="13">
                  <c:v>11.818182</c:v>
                </c:pt>
              </c:numCache>
            </c:numRef>
          </c:xVal>
          <c:yVal>
            <c:numRef>
              <c:f>'Stability case 180kg crew'!$H$2:$H$90</c:f>
              <c:numCache>
                <c:formatCode>General</c:formatCode>
                <c:ptCount val="89"/>
                <c:pt idx="0">
                  <c:v>4944.24</c:v>
                </c:pt>
                <c:pt idx="1">
                  <c:v>5117.5953189458141</c:v>
                </c:pt>
                <c:pt idx="2">
                  <c:v>5308.2148805848383</c:v>
                </c:pt>
                <c:pt idx="3">
                  <c:v>5493.7814931823768</c:v>
                </c:pt>
                <c:pt idx="4">
                  <c:v>5672.0141240891462</c:v>
                </c:pt>
                <c:pt idx="5">
                  <c:v>5840.6256575241141</c:v>
                </c:pt>
                <c:pt idx="6">
                  <c:v>5997.3356947412467</c:v>
                </c:pt>
                <c:pt idx="7">
                  <c:v>6139.8593290159442</c:v>
                </c:pt>
                <c:pt idx="8">
                  <c:v>6265.9119874298258</c:v>
                </c:pt>
                <c:pt idx="9">
                  <c:v>6373.2125996982577</c:v>
                </c:pt>
                <c:pt idx="10">
                  <c:v>6459.477208298872</c:v>
                </c:pt>
                <c:pt idx="11">
                  <c:v>6522.4253639230792</c:v>
                </c:pt>
                <c:pt idx="12">
                  <c:v>6560.6164174195183</c:v>
                </c:pt>
                <c:pt idx="13">
                  <c:v>6575.9775853996052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0F7C-47F9-BE66-9C9323B4ABD3}"/>
            </c:ext>
          </c:extLst>
        </c:ser>
        <c:ser>
          <c:idx val="4"/>
          <c:order val="3"/>
          <c:tx>
            <c:strRef>
              <c:f>'Stability case 180kg crew'!$I$1</c:f>
              <c:strCache>
                <c:ptCount val="1"/>
                <c:pt idx="0">
                  <c:v>Total RM 2 trap (N.m)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'Stability case 180kg crew'!$A$2:$A$90</c:f>
              <c:numCache>
                <c:formatCode>General</c:formatCode>
                <c:ptCount val="89"/>
                <c:pt idx="0">
                  <c:v>0</c:v>
                </c:pt>
                <c:pt idx="1">
                  <c:v>0.90909099999999998</c:v>
                </c:pt>
                <c:pt idx="2">
                  <c:v>1.818182</c:v>
                </c:pt>
                <c:pt idx="3">
                  <c:v>2.7272729999999998</c:v>
                </c:pt>
                <c:pt idx="4">
                  <c:v>3.6363639999999999</c:v>
                </c:pt>
                <c:pt idx="5">
                  <c:v>4.5454549999999996</c:v>
                </c:pt>
                <c:pt idx="6">
                  <c:v>5.4545450000000004</c:v>
                </c:pt>
                <c:pt idx="7">
                  <c:v>6.3636359999999996</c:v>
                </c:pt>
                <c:pt idx="8">
                  <c:v>7.2727269999999997</c:v>
                </c:pt>
                <c:pt idx="9">
                  <c:v>8.1818179999999998</c:v>
                </c:pt>
                <c:pt idx="10">
                  <c:v>9.0909089999999999</c:v>
                </c:pt>
                <c:pt idx="11">
                  <c:v>10</c:v>
                </c:pt>
                <c:pt idx="12">
                  <c:v>10.909091</c:v>
                </c:pt>
                <c:pt idx="13">
                  <c:v>11.818182</c:v>
                </c:pt>
              </c:numCache>
            </c:numRef>
          </c:xVal>
          <c:yVal>
            <c:numRef>
              <c:f>'Stability case 180kg crew'!$I$2:$I$90</c:f>
              <c:numCache>
                <c:formatCode>General</c:formatCode>
                <c:ptCount val="89"/>
                <c:pt idx="0">
                  <c:v>6003.72</c:v>
                </c:pt>
                <c:pt idx="1">
                  <c:v>6176.9419597070601</c:v>
                </c:pt>
                <c:pt idx="2">
                  <c:v>6367.161477202304</c:v>
                </c:pt>
                <c:pt idx="3">
                  <c:v>6552.0614614600299</c:v>
                </c:pt>
                <c:pt idx="4">
                  <c:v>6729.3610476511076</c:v>
                </c:pt>
                <c:pt idx="5">
                  <c:v>6896.7733548835668</c:v>
                </c:pt>
                <c:pt idx="6">
                  <c:v>7052.0182880679431</c:v>
                </c:pt>
                <c:pt idx="7">
                  <c:v>7192.8113060886462</c:v>
                </c:pt>
                <c:pt idx="8">
                  <c:v>7316.8682731662166</c:v>
                </c:pt>
                <c:pt idx="9">
                  <c:v>7421.9086214207418</c:v>
                </c:pt>
                <c:pt idx="10">
                  <c:v>7505.6489623393454</c:v>
                </c:pt>
                <c:pt idx="11">
                  <c:v>7565.8094820844544</c:v>
                </c:pt>
                <c:pt idx="12">
                  <c:v>7600.9502332772736</c:v>
                </c:pt>
                <c:pt idx="13">
                  <c:v>7612.9992004266642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F7C-47F9-BE66-9C9323B4AB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1044495"/>
        <c:axId val="1221046575"/>
      </c:scatterChart>
      <c:valAx>
        <c:axId val="1436959375"/>
        <c:scaling>
          <c:orientation val="minMax"/>
          <c:max val="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0846783"/>
        <c:crosses val="autoZero"/>
        <c:crossBetween val="midCat"/>
      </c:valAx>
      <c:valAx>
        <c:axId val="12208467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6959375"/>
        <c:crosses val="autoZero"/>
        <c:crossBetween val="midCat"/>
      </c:valAx>
      <c:valAx>
        <c:axId val="1221046575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1044495"/>
        <c:crosses val="max"/>
        <c:crossBetween val="midCat"/>
      </c:valAx>
      <c:valAx>
        <c:axId val="1221044495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22104657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0"/>
          <c:w val="1"/>
          <c:h val="1"/>
        </c:manualLayout>
      </c:layout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'Foil profile shape'!$B$1:$B$7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-0.1</c:v>
                </c:pt>
                <c:pt idx="4">
                  <c:v>-0.48</c:v>
                </c:pt>
                <c:pt idx="5">
                  <c:v>-1.05</c:v>
                </c:pt>
                <c:pt idx="6">
                  <c:v>-1.4</c:v>
                </c:pt>
              </c:numCache>
            </c:numRef>
          </c:xVal>
          <c:yVal>
            <c:numRef>
              <c:f>'Foil profile shape'!$C$1:$C$7</c:f>
              <c:numCache>
                <c:formatCode>General</c:formatCode>
                <c:ptCount val="7"/>
                <c:pt idx="0">
                  <c:v>1.75</c:v>
                </c:pt>
                <c:pt idx="1">
                  <c:v>1</c:v>
                </c:pt>
                <c:pt idx="2">
                  <c:v>0.5</c:v>
                </c:pt>
                <c:pt idx="3">
                  <c:v>-0.05</c:v>
                </c:pt>
                <c:pt idx="4">
                  <c:v>-0.5</c:v>
                </c:pt>
                <c:pt idx="5">
                  <c:v>-1</c:v>
                </c:pt>
                <c:pt idx="6">
                  <c:v>-1.4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EA2-4688-9C5D-E5AC6FFA49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9667984"/>
        <c:axId val="1976671424"/>
      </c:scatterChart>
      <c:valAx>
        <c:axId val="1979667984"/>
        <c:scaling>
          <c:orientation val="minMax"/>
        </c:scaling>
        <c:delete val="1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976671424"/>
        <c:crosses val="max"/>
        <c:crossBetween val="midCat"/>
        <c:majorUnit val="0.5"/>
        <c:minorUnit val="0.5"/>
      </c:valAx>
      <c:valAx>
        <c:axId val="1976671424"/>
        <c:scaling>
          <c:orientation val="minMax"/>
          <c:min val="-1.5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high"/>
        <c:crossAx val="1979667984"/>
        <c:crossesAt val="0.5"/>
        <c:crossBetween val="midCat"/>
        <c:minorUnit val="0.5"/>
      </c:valAx>
      <c:spPr>
        <a:noFill/>
        <a:ln w="25400"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8661741016685596E-2"/>
          <c:y val="4.535513582345628E-2"/>
          <c:w val="0.86997074882350411"/>
          <c:h val="0.91268702265796331"/>
        </c:manualLayout>
      </c:layout>
      <c:scatterChart>
        <c:scatterStyle val="smoothMarker"/>
        <c:varyColors val="0"/>
        <c:ser>
          <c:idx val="0"/>
          <c:order val="0"/>
          <c:tx>
            <c:v>Plot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'Foil profile shape'!$E$1:$E$7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-0.05</c:v>
                </c:pt>
                <c:pt idx="4">
                  <c:v>-0.24</c:v>
                </c:pt>
                <c:pt idx="5">
                  <c:v>-0.52500000000000002</c:v>
                </c:pt>
                <c:pt idx="6">
                  <c:v>-0.7</c:v>
                </c:pt>
              </c:numCache>
            </c:numRef>
          </c:xVal>
          <c:yVal>
            <c:numRef>
              <c:f>'Foil profile shape'!$H$1:$H$7</c:f>
              <c:numCache>
                <c:formatCode>General</c:formatCode>
                <c:ptCount val="7"/>
                <c:pt idx="0">
                  <c:v>1</c:v>
                </c:pt>
                <c:pt idx="1">
                  <c:v>0.52500000000000002</c:v>
                </c:pt>
                <c:pt idx="2">
                  <c:v>0.27500000000000002</c:v>
                </c:pt>
                <c:pt idx="3">
                  <c:v>0</c:v>
                </c:pt>
                <c:pt idx="4">
                  <c:v>-0.22500000000000001</c:v>
                </c:pt>
                <c:pt idx="5">
                  <c:v>-0.47499999999999998</c:v>
                </c:pt>
                <c:pt idx="6">
                  <c:v>-0.67500000000000004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521-4069-986D-8CB0C5055A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2352704"/>
        <c:axId val="21186336"/>
      </c:scatterChart>
      <c:valAx>
        <c:axId val="1912352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86336"/>
        <c:crosses val="autoZero"/>
        <c:crossBetween val="midCat"/>
      </c:valAx>
      <c:valAx>
        <c:axId val="21186336"/>
        <c:scaling>
          <c:orientation val="minMax"/>
          <c:max val="1.1000000000000001"/>
          <c:min val="-0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23527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3495513606899922E-2"/>
          <c:y val="3.9524685245437827E-2"/>
          <c:w val="0.87557532680859229"/>
          <c:h val="0.7690377705474607"/>
        </c:manualLayout>
      </c:layout>
      <c:scatterChart>
        <c:scatterStyle val="lineMarker"/>
        <c:varyColors val="0"/>
        <c:ser>
          <c:idx val="0"/>
          <c:order val="0"/>
          <c:tx>
            <c:strRef>
              <c:f>'Foil profile shape'!$U$3</c:f>
              <c:strCache>
                <c:ptCount val="1"/>
                <c:pt idx="0">
                  <c:v>Wetted area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9443733163841126E-2"/>
                  <c:y val="-0.2237044137450087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'Foil profile shape'!$S$4:$S$12</c:f>
              <c:numCache>
                <c:formatCode>General</c:formatCode>
                <c:ptCount val="9"/>
                <c:pt idx="0">
                  <c:v>-0.3</c:v>
                </c:pt>
                <c:pt idx="1">
                  <c:v>-0.4</c:v>
                </c:pt>
                <c:pt idx="2">
                  <c:v>-0.5</c:v>
                </c:pt>
                <c:pt idx="3">
                  <c:v>-0.6</c:v>
                </c:pt>
                <c:pt idx="4">
                  <c:v>-0.7</c:v>
                </c:pt>
                <c:pt idx="5">
                  <c:v>-0.8</c:v>
                </c:pt>
                <c:pt idx="6">
                  <c:v>-0.9</c:v>
                </c:pt>
                <c:pt idx="7">
                  <c:v>-1</c:v>
                </c:pt>
                <c:pt idx="8">
                  <c:v>-1.1000000000000001</c:v>
                </c:pt>
              </c:numCache>
            </c:numRef>
          </c:xVal>
          <c:yVal>
            <c:numRef>
              <c:f>'Foil profile shape'!$U$4:$U$12</c:f>
              <c:numCache>
                <c:formatCode>General</c:formatCode>
                <c:ptCount val="9"/>
                <c:pt idx="0">
                  <c:v>0.121238</c:v>
                </c:pt>
                <c:pt idx="1">
                  <c:v>0.18460799999999999</c:v>
                </c:pt>
                <c:pt idx="2">
                  <c:v>0.251998</c:v>
                </c:pt>
                <c:pt idx="3">
                  <c:v>0.31569000000000003</c:v>
                </c:pt>
                <c:pt idx="4">
                  <c:v>0.37135200000000002</c:v>
                </c:pt>
                <c:pt idx="5">
                  <c:v>0.42297200000000001</c:v>
                </c:pt>
                <c:pt idx="6">
                  <c:v>0.47190900000000002</c:v>
                </c:pt>
                <c:pt idx="7">
                  <c:v>0.520478</c:v>
                </c:pt>
                <c:pt idx="8">
                  <c:v>0.56899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773-4A88-93D4-CAD7484B7655}"/>
            </c:ext>
          </c:extLst>
        </c:ser>
        <c:ser>
          <c:idx val="1"/>
          <c:order val="1"/>
          <c:tx>
            <c:strRef>
              <c:f>'Foil profile shape'!$W$3</c:f>
              <c:strCache>
                <c:ptCount val="1"/>
                <c:pt idx="0">
                  <c:v>Projected area</c:v>
                </c:pt>
              </c:strCache>
            </c:strRef>
          </c:tx>
          <c:spPr>
            <a:ln w="19050" cap="rnd">
              <a:solidFill>
                <a:schemeClr val="bg2">
                  <a:lumMod val="75000"/>
                </a:schemeClr>
              </a:solidFill>
              <a:round/>
            </a:ln>
            <a:effectLst/>
          </c:spPr>
          <c:marker>
            <c:symbol val="x"/>
            <c:size val="5"/>
            <c:spPr>
              <a:solidFill>
                <a:schemeClr val="bg2">
                  <a:lumMod val="75000"/>
                </a:schemeClr>
              </a:solidFill>
              <a:ln w="9525">
                <a:solidFill>
                  <a:schemeClr val="bg2">
                    <a:lumMod val="75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bg2">
                    <a:lumMod val="75000"/>
                  </a:schemeClr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'Foil profile shape'!$S$4:$S$12</c:f>
              <c:numCache>
                <c:formatCode>General</c:formatCode>
                <c:ptCount val="9"/>
                <c:pt idx="0">
                  <c:v>-0.3</c:v>
                </c:pt>
                <c:pt idx="1">
                  <c:v>-0.4</c:v>
                </c:pt>
                <c:pt idx="2">
                  <c:v>-0.5</c:v>
                </c:pt>
                <c:pt idx="3">
                  <c:v>-0.6</c:v>
                </c:pt>
                <c:pt idx="4">
                  <c:v>-0.7</c:v>
                </c:pt>
                <c:pt idx="5">
                  <c:v>-0.8</c:v>
                </c:pt>
                <c:pt idx="6">
                  <c:v>-0.9</c:v>
                </c:pt>
                <c:pt idx="7">
                  <c:v>-1</c:v>
                </c:pt>
                <c:pt idx="8">
                  <c:v>-1.1000000000000001</c:v>
                </c:pt>
              </c:numCache>
            </c:numRef>
          </c:xVal>
          <c:yVal>
            <c:numRef>
              <c:f>'Foil profile shape'!$W$4:$W$12</c:f>
              <c:numCache>
                <c:formatCode>General</c:formatCode>
                <c:ptCount val="9"/>
                <c:pt idx="0">
                  <c:v>8.0262E-2</c:v>
                </c:pt>
                <c:pt idx="1">
                  <c:v>0.12656000000000001</c:v>
                </c:pt>
                <c:pt idx="2">
                  <c:v>0.175122</c:v>
                </c:pt>
                <c:pt idx="3">
                  <c:v>0.216304</c:v>
                </c:pt>
                <c:pt idx="4">
                  <c:v>0.24219599999999999</c:v>
                </c:pt>
                <c:pt idx="5">
                  <c:v>0.25439400000000001</c:v>
                </c:pt>
                <c:pt idx="6">
                  <c:v>0.25918000000000002</c:v>
                </c:pt>
                <c:pt idx="7">
                  <c:v>0.26048199999999999</c:v>
                </c:pt>
                <c:pt idx="8">
                  <c:v>0.26035000000000003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773-4A88-93D4-CAD7484B76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1166240"/>
        <c:axId val="141164576"/>
      </c:scatterChart>
      <c:valAx>
        <c:axId val="141166240"/>
        <c:scaling>
          <c:orientation val="minMax"/>
          <c:max val="-0.1"/>
          <c:min val="-1.2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/>
                  <a:t>Depth immersion (m)</a:t>
                </a:r>
              </a:p>
            </c:rich>
          </c:tx>
          <c:layout>
            <c:manualLayout>
              <c:xMode val="edge"/>
              <c:yMode val="edge"/>
              <c:x val="0.40525051498838904"/>
              <c:y val="0.8927154283592605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164576"/>
        <c:crosses val="autoZero"/>
        <c:crossBetween val="midCat"/>
      </c:valAx>
      <c:valAx>
        <c:axId val="14116457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100"/>
                  <a:t>Area</a:t>
                </a:r>
                <a:r>
                  <a:rPr lang="en-GB" sz="1100" baseline="0"/>
                  <a:t> (m²)</a:t>
                </a:r>
                <a:endParaRPr lang="en-GB" sz="1100"/>
              </a:p>
            </c:rich>
          </c:tx>
          <c:layout>
            <c:manualLayout>
              <c:xMode val="edge"/>
              <c:yMode val="edge"/>
              <c:x val="6.431070931841614E-3"/>
              <c:y val="0.3437276169649474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166240"/>
        <c:crossesAt val="-1.2"/>
        <c:crossBetween val="midCat"/>
      </c:valAx>
      <c:spPr>
        <a:noFill/>
        <a:ln>
          <a:solidFill>
            <a:schemeClr val="bg1">
              <a:lumMod val="75000"/>
            </a:schemeClr>
          </a:solidFill>
        </a:ln>
        <a:effectLst/>
      </c:spPr>
    </c:plotArea>
    <c:legend>
      <c:legendPos val="b"/>
      <c:legendEntry>
        <c:idx val="2"/>
        <c:delete val="1"/>
      </c:legendEntry>
      <c:legendEntry>
        <c:idx val="3"/>
        <c:delete val="1"/>
      </c:legendEntry>
      <c:layout>
        <c:manualLayout>
          <c:xMode val="edge"/>
          <c:yMode val="edge"/>
          <c:x val="0.6537900705358437"/>
          <c:y val="0.14133856833154113"/>
          <c:w val="0.21620222411483292"/>
          <c:h val="0.165347145331043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Cl vs Aoa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7937445319335086E-2"/>
          <c:y val="0.14393518518518519"/>
          <c:w val="0.91606255468066489"/>
          <c:h val="0.77736111111111106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9.1672790901137363E-2"/>
                  <c:y val="2.058727034120734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'Foil data'!$D$5:$D$10</c:f>
              <c:numCache>
                <c:formatCode>General</c:formatCode>
                <c:ptCount val="6"/>
                <c:pt idx="0">
                  <c:v>-4</c:v>
                </c:pt>
                <c:pt idx="1">
                  <c:v>16</c:v>
                </c:pt>
              </c:numCache>
            </c:numRef>
          </c:xVal>
          <c:yVal>
            <c:numRef>
              <c:f>'Foil data'!$E$5:$E$10</c:f>
              <c:numCache>
                <c:formatCode>General</c:formatCode>
                <c:ptCount val="6"/>
                <c:pt idx="0">
                  <c:v>-0.18</c:v>
                </c:pt>
                <c:pt idx="1">
                  <c:v>1.3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5A3-41E8-9130-14E8746100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2030640"/>
        <c:axId val="1312028976"/>
      </c:scatterChart>
      <c:valAx>
        <c:axId val="1312030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2028976"/>
        <c:crosses val="autoZero"/>
        <c:crossBetween val="midCat"/>
      </c:valAx>
      <c:valAx>
        <c:axId val="1312028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20306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Cd vs AoA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-0.15805511811023623"/>
                  <c:y val="3.513451443569554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'Foil data'!$D$12:$D$22</c:f>
              <c:numCache>
                <c:formatCode>General</c:formatCode>
                <c:ptCount val="11"/>
                <c:pt idx="0">
                  <c:v>-4</c:v>
                </c:pt>
                <c:pt idx="1">
                  <c:v>-2</c:v>
                </c:pt>
                <c:pt idx="2">
                  <c:v>0</c:v>
                </c:pt>
                <c:pt idx="3">
                  <c:v>2</c:v>
                </c:pt>
                <c:pt idx="4">
                  <c:v>4</c:v>
                </c:pt>
                <c:pt idx="5">
                  <c:v>6</c:v>
                </c:pt>
                <c:pt idx="6">
                  <c:v>8</c:v>
                </c:pt>
                <c:pt idx="7">
                  <c:v>10</c:v>
                </c:pt>
                <c:pt idx="8">
                  <c:v>12</c:v>
                </c:pt>
                <c:pt idx="9">
                  <c:v>14</c:v>
                </c:pt>
                <c:pt idx="10">
                  <c:v>16</c:v>
                </c:pt>
              </c:numCache>
            </c:numRef>
          </c:xVal>
          <c:yVal>
            <c:numRef>
              <c:f>'Foil data'!$E$12:$E$22</c:f>
              <c:numCache>
                <c:formatCode>General</c:formatCode>
                <c:ptCount val="11"/>
                <c:pt idx="0">
                  <c:v>1.7999999999999999E-2</c:v>
                </c:pt>
                <c:pt idx="1">
                  <c:v>1.4999999999999999E-2</c:v>
                </c:pt>
                <c:pt idx="2">
                  <c:v>1.6E-2</c:v>
                </c:pt>
                <c:pt idx="3">
                  <c:v>1.9E-2</c:v>
                </c:pt>
                <c:pt idx="4">
                  <c:v>2.1999999999999999E-2</c:v>
                </c:pt>
                <c:pt idx="5">
                  <c:v>0.03</c:v>
                </c:pt>
                <c:pt idx="6">
                  <c:v>4.4999999999999998E-2</c:v>
                </c:pt>
                <c:pt idx="7">
                  <c:v>0.06</c:v>
                </c:pt>
                <c:pt idx="8">
                  <c:v>7.8E-2</c:v>
                </c:pt>
                <c:pt idx="9">
                  <c:v>9.2999999999999999E-2</c:v>
                </c:pt>
                <c:pt idx="10">
                  <c:v>0.11799999999999999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EE5-4C93-A719-2D73BA704F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33528960"/>
        <c:axId val="1333528128"/>
      </c:scatterChart>
      <c:valAx>
        <c:axId val="13335289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3528128"/>
        <c:crosses val="autoZero"/>
        <c:crossBetween val="midCat"/>
      </c:valAx>
      <c:valAx>
        <c:axId val="1333528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35289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4.xml"/><Relationship Id="rId2" Type="http://schemas.openxmlformats.org/officeDocument/2006/relationships/chart" Target="../charts/chart13.xml"/><Relationship Id="rId1" Type="http://schemas.openxmlformats.org/officeDocument/2006/relationships/chart" Target="../charts/chart12.xml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6.xml"/><Relationship Id="rId1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24328</xdr:colOff>
      <xdr:row>0</xdr:row>
      <xdr:rowOff>65313</xdr:rowOff>
    </xdr:from>
    <xdr:to>
      <xdr:col>24</xdr:col>
      <xdr:colOff>409485</xdr:colOff>
      <xdr:row>17</xdr:row>
      <xdr:rowOff>63870</xdr:rowOff>
    </xdr:to>
    <xdr:pic>
      <xdr:nvPicPr>
        <xdr:cNvPr id="2" name="Picture 1" descr="A few notes on reefing the sails - Heaver Weather Sailing - Boat Plans">
          <a:extLst>
            <a:ext uri="{FF2B5EF4-FFF2-40B4-BE49-F238E27FC236}">
              <a16:creationId xmlns:a16="http://schemas.microsoft.com/office/drawing/2014/main" id="{64CA9386-477B-434C-96A2-D3E06D59CF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9237" y="65313"/>
          <a:ext cx="2217709" cy="314209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14</xdr:col>
      <xdr:colOff>105435</xdr:colOff>
      <xdr:row>16</xdr:row>
      <xdr:rowOff>63593</xdr:rowOff>
    </xdr:from>
    <xdr:to>
      <xdr:col>21</xdr:col>
      <xdr:colOff>489857</xdr:colOff>
      <xdr:row>35</xdr:row>
      <xdr:rowOff>76595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B2160B6-3D80-4F26-8B59-4C7E2218BF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583562</xdr:colOff>
      <xdr:row>1</xdr:row>
      <xdr:rowOff>59519</xdr:rowOff>
    </xdr:from>
    <xdr:to>
      <xdr:col>32</xdr:col>
      <xdr:colOff>303024</xdr:colOff>
      <xdr:row>16</xdr:row>
      <xdr:rowOff>101600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8AA9843-3142-403A-BEEA-081E79485A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27</xdr:col>
      <xdr:colOff>442604</xdr:colOff>
      <xdr:row>16</xdr:row>
      <xdr:rowOff>162148</xdr:rowOff>
    </xdr:from>
    <xdr:to>
      <xdr:col>37</xdr:col>
      <xdr:colOff>254000</xdr:colOff>
      <xdr:row>34</xdr:row>
      <xdr:rowOff>128649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CE250B8-D5C9-407A-8497-055A5FAB12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57150</xdr:colOff>
      <xdr:row>1</xdr:row>
      <xdr:rowOff>165100</xdr:rowOff>
    </xdr:from>
    <xdr:to>
      <xdr:col>13</xdr:col>
      <xdr:colOff>460003</xdr:colOff>
      <xdr:row>19</xdr:row>
      <xdr:rowOff>82615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E53C688-2D87-4992-8D96-4D377D65D6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188914</xdr:colOff>
      <xdr:row>36</xdr:row>
      <xdr:rowOff>92075</xdr:rowOff>
    </xdr:from>
    <xdr:to>
      <xdr:col>5</xdr:col>
      <xdr:colOff>56472</xdr:colOff>
      <xdr:row>55</xdr:row>
      <xdr:rowOff>29709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41A5F28-EBA3-44AB-8A0F-817123AF55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429305</xdr:colOff>
      <xdr:row>33</xdr:row>
      <xdr:rowOff>13835</xdr:rowOff>
    </xdr:from>
    <xdr:to>
      <xdr:col>13</xdr:col>
      <xdr:colOff>1499960</xdr:colOff>
      <xdr:row>54</xdr:row>
      <xdr:rowOff>125868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64FD5FE-5121-4637-8BE2-F048286C3BF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139699</xdr:colOff>
      <xdr:row>0</xdr:row>
      <xdr:rowOff>98425</xdr:rowOff>
    </xdr:from>
    <xdr:to>
      <xdr:col>22</xdr:col>
      <xdr:colOff>541111</xdr:colOff>
      <xdr:row>22</xdr:row>
      <xdr:rowOff>152853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9DCE81D-8EC2-457F-8519-CC8089EDE0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158749</xdr:colOff>
      <xdr:row>1</xdr:row>
      <xdr:rowOff>136070</xdr:rowOff>
    </xdr:from>
    <xdr:to>
      <xdr:col>23</xdr:col>
      <xdr:colOff>0</xdr:colOff>
      <xdr:row>29</xdr:row>
      <xdr:rowOff>161269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27FEE2C-FE60-4EC5-BB7B-88638F64CF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454796</xdr:colOff>
      <xdr:row>2</xdr:row>
      <xdr:rowOff>171622</xdr:rowOff>
    </xdr:from>
    <xdr:to>
      <xdr:col>21</xdr:col>
      <xdr:colOff>566351</xdr:colOff>
      <xdr:row>23</xdr:row>
      <xdr:rowOff>94392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376A798-B379-46C0-A5F0-216656045F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360404</xdr:colOff>
      <xdr:row>2</xdr:row>
      <xdr:rowOff>120136</xdr:rowOff>
    </xdr:from>
    <xdr:to>
      <xdr:col>19</xdr:col>
      <xdr:colOff>471960</xdr:colOff>
      <xdr:row>23</xdr:row>
      <xdr:rowOff>42906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423D683-7D2B-48AA-ABEF-927A82E0554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128714</xdr:colOff>
      <xdr:row>1</xdr:row>
      <xdr:rowOff>137297</xdr:rowOff>
    </xdr:from>
    <xdr:to>
      <xdr:col>23</xdr:col>
      <xdr:colOff>240270</xdr:colOff>
      <xdr:row>22</xdr:row>
      <xdr:rowOff>60068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E5F3A2C-4062-4FDB-AF81-07DDA43B390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180008</xdr:colOff>
      <xdr:row>2</xdr:row>
      <xdr:rowOff>158570</xdr:rowOff>
    </xdr:from>
    <xdr:to>
      <xdr:col>12</xdr:col>
      <xdr:colOff>123419</xdr:colOff>
      <xdr:row>27</xdr:row>
      <xdr:rowOff>141203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DF04DA8-0813-4887-B482-D00918E2CC25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201977</xdr:colOff>
      <xdr:row>2</xdr:row>
      <xdr:rowOff>70046</xdr:rowOff>
    </xdr:from>
    <xdr:to>
      <xdr:col>16</xdr:col>
      <xdr:colOff>171739</xdr:colOff>
      <xdr:row>26</xdr:row>
      <xdr:rowOff>57361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F628D4A-3DD6-4F6F-8062-5E65A1A6956A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591612</xdr:colOff>
      <xdr:row>13</xdr:row>
      <xdr:rowOff>91143</xdr:rowOff>
    </xdr:from>
    <xdr:to>
      <xdr:col>24</xdr:col>
      <xdr:colOff>358468</xdr:colOff>
      <xdr:row>33</xdr:row>
      <xdr:rowOff>163870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653B91F-F2EA-4FFC-8D81-9784D5AA7A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53975</xdr:colOff>
      <xdr:row>1</xdr:row>
      <xdr:rowOff>63500</xdr:rowOff>
    </xdr:from>
    <xdr:to>
      <xdr:col>14</xdr:col>
      <xdr:colOff>358775</xdr:colOff>
      <xdr:row>16</xdr:row>
      <xdr:rowOff>44450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56F6A6-3FB4-4455-B72F-102DCBF692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250825</xdr:colOff>
      <xdr:row>15</xdr:row>
      <xdr:rowOff>158750</xdr:rowOff>
    </xdr:from>
    <xdr:to>
      <xdr:col>14</xdr:col>
      <xdr:colOff>555625</xdr:colOff>
      <xdr:row>30</xdr:row>
      <xdr:rowOff>139700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4FBEF72-014D-43B3-A1E6-45E55D1D51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284D711-9FEC-4AA2-A501-22A8AD1B0DBA}" name="Table4" displayName="Table4" ref="F32:I51" totalsRowShown="0">
  <autoFilter ref="F32:I51" xr:uid="{9015BF44-60DB-4552-A2A5-5D681529AD5B}"/>
  <tableColumns count="4">
    <tableColumn id="1" xr3:uid="{647B1029-FE81-4F25-8989-A886B419E1DB}" name="Item"/>
    <tableColumn id="2" xr3:uid="{B7948633-D968-4426-8091-3D27094E6759}" name="Value monohull "/>
    <tableColumn id="4" xr3:uid="{6416491A-E61C-411C-8ED4-2D458CFFD679}" name="2hulls" dataDxfId="52">
      <calculatedColumnFormula>Table4[[#This Row],[Value monohull ]]*2</calculatedColumnFormula>
    </tableColumn>
    <tableColumn id="5" xr3:uid="{F7D09D9C-CAE2-4BD5-83BA-7ECACA49DFAC}" name="unit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06616C9-9962-40A8-B074-6833BCEB6BAB}" name="Table1" displayName="Table1" ref="A2:M17" totalsRowShown="0">
  <autoFilter ref="A2:M17" xr:uid="{51616393-0C1D-4788-A344-6A775604718B}"/>
  <tableColumns count="13">
    <tableColumn id="1" xr3:uid="{308FE0E8-B4A4-4901-9AC3-DAB083E7DA3D}" name="Fn">
      <calculatedColumnFormula>A2+0.025</calculatedColumnFormula>
    </tableColumn>
    <tableColumn id="2" xr3:uid="{3DD4E97F-A41A-425A-AFFB-EB70E40C4428}" name="a0"/>
    <tableColumn id="3" xr3:uid="{560B0E87-626F-4035-AEDF-1A0B1C02FC3C}" name="a1"/>
    <tableColumn id="4" xr3:uid="{9EEE32E9-FF77-44F3-89D9-B5EC18D131D8}" name="a2"/>
    <tableColumn id="5" xr3:uid="{377F788E-D759-429B-B409-0B84E683C3EB}" name="a3"/>
    <tableColumn id="6" xr3:uid="{D90B5320-CE1C-4845-BC0C-703C3B5617A0}" name="a4"/>
    <tableColumn id="7" xr3:uid="{72B2ABC1-405C-4F99-95F2-8A9BB277CE72}" name="a5"/>
    <tableColumn id="8" xr3:uid="{999DC1A2-F52E-4B2B-81C2-703E6B6EA10A}" name="a6"/>
    <tableColumn id="9" xr3:uid="{E6B3A55D-B57C-4E78-A4C8-D5A64D4E6E7A}" name="a7"/>
    <tableColumn id="10" xr3:uid="{38919DDB-52A5-45FC-B2D8-274A512EF646}" name="a8"/>
    <tableColumn id="11" xr3:uid="{7B0A5BED-8B2D-4AA7-9257-A55196331491}" name="a9"/>
    <tableColumn id="12" xr3:uid="{D337E1ED-0741-41FB-A7FA-B09692FEC900}" name="Rr x 10^3/Displ" dataDxfId="51">
      <calculatedColumnFormula>Table1[[#This Row],[a0]]+Table1[[#This Row],[a1]]*$S$20+Table1[[#This Row],[a2]]*$S$14+Table1[[#This Row],[a3]]*($S$15/$S$16)+Table1[[#This Row],[a4]]*(5.15/($S$18^(1/3)))+Table1[[#This Row],[a5]]*$S$20^2+Table1[[#This Row],[a6]]*$S$20*(5.15/(($S$18^(1/3))))+Table1[[#This Row],[a7]]*$S$14^2+Table1[[#This Row],[a8]]*(5.15/($S$18^(1/3)))^2+Table1[[#This Row],[a9]]*(5.15/($S$18^(1/3)))^3</calculatedColumnFormula>
    </tableColumn>
    <tableColumn id="13" xr3:uid="{9004FA93-2858-4576-A319-66BDA8C85F7E}" name="Rr " dataDxfId="50">
      <calculatedColumnFormula>Table1[[#This Row],[Rr x 10^3/Displ]]*(180)/10^3</calculatedColumnFormula>
    </tableColumn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EDD33F0-3968-41FC-B193-8B11AD48BAF2}" name="Table13" displayName="Table13" ref="A19:I29" totalsRowShown="0">
  <autoFilter ref="A19:I29" xr:uid="{10BE6030-95FE-47F5-AF1E-951A45EC328F}"/>
  <tableColumns count="9">
    <tableColumn id="1" xr3:uid="{180BE705-4064-4647-9C5F-51791E0A2780}" name="Fn">
      <calculatedColumnFormula>A19+0.025</calculatedColumnFormula>
    </tableColumn>
    <tableColumn id="2" xr3:uid="{EB86C45D-FC6B-414A-83B6-2FDE0A11066B}" name="c0"/>
    <tableColumn id="3" xr3:uid="{6C7E8801-9446-4218-90F0-B2C4DB521C10}" name="c1"/>
    <tableColumn id="4" xr3:uid="{9D664622-FA0B-4093-9A87-764ED67D6119}" name="c2" dataDxfId="49"/>
    <tableColumn id="5" xr3:uid="{E3227902-47A3-4F13-8DF7-F3370CCEE4C8}" name="c3"/>
    <tableColumn id="6" xr3:uid="{9C4675D8-D3CD-4330-90A4-E8D5B798F9BA}" name="c4"/>
    <tableColumn id="7" xr3:uid="{A6E50CA8-4522-475E-BC91-4E36142A1347}" name="c5" dataDxfId="48"/>
    <tableColumn id="8" xr3:uid="{F4C72B10-8CAA-4AC8-99D9-96BFB9D1F755}" name="Rrx10^3/Displ" dataDxfId="47">
      <calculatedColumnFormula>Table13[[#This Row],[c0]]+Table13[[#This Row],[c1]]*(5.15/$S$15)+Table13[[#This Row],[c2]]*(Aw/($S$18)^(2/3))+Table13[[#This Row],[c3]]*$S$14+Table13[[#This Row],[c4]]*((5.15/$S$15)^2)+Table13[[#This Row],[c5]]*(5.15/$S$15)*(Aw/($S$18)^(2/3))</calculatedColumnFormula>
    </tableColumn>
    <tableColumn id="9" xr3:uid="{2540F72E-C956-4CBA-8225-B077ACEB8072}" name="Rr" dataDxfId="46">
      <calculatedColumnFormula>Table13[[#This Row],[Rrx10^3/Displ]]*180/10^3</calculatedColumnFormula>
    </tableColumn>
  </tableColumns>
  <tableStyleInfo name="TableStyleLight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1542084-0AD2-4A84-B37D-3FF0CE1BA008}" name="Table7" displayName="Table7" ref="A1:G18" totalsRowShown="0" headerRowBorderDxfId="45" tableBorderDxfId="44" totalsRowBorderDxfId="43">
  <autoFilter ref="A1:G18" xr:uid="{3F02EDB9-E17F-4729-B198-CC9137D1FB98}"/>
  <tableColumns count="7">
    <tableColumn id="1" xr3:uid="{20506644-E6D5-4C2F-8E75-D11222EA3249}" name="Fn" dataDxfId="42">
      <calculatedColumnFormula>A1+0.05</calculatedColumnFormula>
    </tableColumn>
    <tableColumn id="2" xr3:uid="{DDE1B06B-4622-4BE4-A420-2A0A15159F9D}" name="Speed (m/s)" dataDxfId="41">
      <calculatedColumnFormula>A2*SQRT(9.81*5.15)</calculatedColumnFormula>
    </tableColumn>
    <tableColumn id="3" xr3:uid="{DE321AFA-708B-406E-9323-A052314B0FBB}" name="Speed (knots)" dataDxfId="40">
      <calculatedColumnFormula>B2/0.51444</calculatedColumnFormula>
    </tableColumn>
    <tableColumn id="4" xr3:uid="{0C1A4D38-3A0F-47C8-9811-2CCDD19EFDEF}" name="Model 6b Residuary resistance coefficient monhull (Ct - Cf) x 1000" dataDxfId="39"/>
    <tableColumn id="5" xr3:uid="{AA5A113A-492B-421A-8739-08EB193CF673}" name="Model 6b Residuary resistance coefficient 2 hulls (Ct - Cf) x 1000" dataDxfId="38"/>
    <tableColumn id="6" xr3:uid="{3055BBBB-17FA-429A-87D3-1BAFCE1665C4}" name="Total Rr 1hull [N]" dataDxfId="37">
      <calculatedColumnFormula>D2*10^-3*0.5*1025*1.914*B2^2</calculatedColumnFormula>
    </tableColumn>
    <tableColumn id="7" xr3:uid="{CBC453B8-EE7D-45CB-B9E9-ED1D77123191}" name="Total Rr 2hulls [N]" dataDxfId="36">
      <calculatedColumnFormula>E2*10^-3*0.5*1025*3.828*B2^2</calculatedColumnFormula>
    </tableColumn>
  </tableColumns>
  <tableStyleInfo name="TableStyleLight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ED5B630-C209-4418-8D1C-D8D0994A47D8}" name="Table79" displayName="Table79" ref="I1:O32" totalsRowShown="0" headerRowBorderDxfId="35" tableBorderDxfId="34" totalsRowBorderDxfId="33">
  <autoFilter ref="I1:O32" xr:uid="{085B382F-39BF-48C7-BC3B-37AF91F15D47}"/>
  <tableColumns count="7">
    <tableColumn id="1" xr3:uid="{6F680A05-BC0C-41E4-8350-0FDD06A85892}" name="Fn" dataDxfId="32"/>
    <tableColumn id="2" xr3:uid="{18CB8B79-FB10-4918-B53E-736221DB8A46}" name="Speed (m/s)" dataDxfId="31">
      <calculatedColumnFormula>I2*SQRT(9.81*5.15)</calculatedColumnFormula>
    </tableColumn>
    <tableColumn id="3" xr3:uid="{4FBEF71F-8C21-4E33-BF8B-8923AE11267A}" name="Speed (knots)" dataDxfId="30">
      <calculatedColumnFormula>J2/0.51444</calculatedColumnFormula>
    </tableColumn>
    <tableColumn id="4" xr3:uid="{B432703A-F6BE-4AC3-B2E1-BCAED1663709}" name="Re" dataDxfId="29">
      <calculatedColumnFormula>Table79[[#This Row],[Speed (m/s)]]*5.15/'Resistance prediction'!$B$26</calculatedColumnFormula>
    </tableColumn>
    <tableColumn id="5" xr3:uid="{9C955E50-BDE6-44D3-997B-2CE643F59573}" name="Cf x 10^3" dataDxfId="28">
      <calculatedColumnFormula>(0.075/(LOG(Table79[[#This Row],[Re]])-2)^2)</calculatedColumnFormula>
    </tableColumn>
    <tableColumn id="6" xr3:uid="{BD60036C-4D43-4A1F-A33B-BB97B4FE1C43}" name="Frictionnal resistance  (N)" dataDxfId="27">
      <calculatedColumnFormula>Table79[[#This Row],[Cf x 10^3]]*0.5*1025*'Resistance prediction'!$D$36*Table79[[#This Row],[Speed (m/s)]]^2</calculatedColumnFormula>
    </tableColumn>
    <tableColumn id="7" xr3:uid="{5C932AB2-0420-4BFD-AA7B-EC4523D18F31}" name="Rf +Rr " dataDxfId="26">
      <calculatedColumnFormula>Table79[[#This Row],[Frictionnal resistance  (N)]]+G2</calculatedColumnFormula>
    </tableColumn>
  </tableColumns>
  <tableStyleInfo name="TableStyleLight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A1FA9EC-7894-43C2-8F5E-32C0E5780001}" name="Table47" displayName="Table47" ref="A30:D49" totalsRowShown="0">
  <autoFilter ref="A30:D49" xr:uid="{9026C920-45A6-4A8A-AE1A-CDD354FBA317}"/>
  <tableColumns count="4">
    <tableColumn id="1" xr3:uid="{9EE04303-22FA-4E2A-B088-3F51C532202B}" name="Item"/>
    <tableColumn id="2" xr3:uid="{2F6FDDE9-931E-4220-AE74-3C4F7AE79B86}" name="Value"/>
    <tableColumn id="3" xr3:uid="{E6A1CFC4-0FD3-42E0-B523-22009E19023A}" name="unit"/>
    <tableColumn id="4" xr3:uid="{9F3EB43D-C56D-4F33-9462-6573CA694457}" name="2hulls" dataDxfId="25">
      <calculatedColumnFormula>Table47[[#This Row],[Value]]*2</calculatedColumnFormula>
    </tableColumn>
  </tableColumns>
  <tableStyleInfo name="TableStyleLight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6838232-68D5-4CAE-92B8-1DFF5D63491E}" name="Table3" displayName="Table3" ref="A1:F42" totalsRowShown="0" headerRowDxfId="24">
  <autoFilter ref="A1:F42" xr:uid="{D94B1174-1C00-4B3F-8A4F-101A52F9DC35}"/>
  <tableColumns count="6">
    <tableColumn id="1" xr3:uid="{C0ADF916-ED8C-4E8C-9048-6DA4B057C6BE}" name="Speed"/>
    <tableColumn id="2" xr3:uid="{05B94B98-286A-4193-AF0B-A67DD1E2E113}" name="Speed (m/s)" dataDxfId="23">
      <calculatedColumnFormula>A2*0.514444</calculatedColumnFormula>
    </tableColumn>
    <tableColumn id="3" xr3:uid="{45B9E9A8-4CE2-470E-885F-D40D97C4F95A}" name="Froude nulber LWL"/>
    <tableColumn id="4" xr3:uid="{36AC22DD-A613-499E-AB11-E0DAE02CC8C3}" name="Vol. Fn"/>
    <tableColumn id="5" xr3:uid="{CD11FCA7-5C85-4473-8853-6DCAD7900C89}" name="Resistance 1 hull(N)"/>
    <tableColumn id="6" xr3:uid="{8C37A2F5-0C07-4E26-BDD1-9B9FF0A6CFAA}" name="Resistance 2 hulls in water (N)" dataDxfId="22">
      <calculatedColumnFormula>2*Table3[[#This Row],[Resistance 1 hull(N)]]</calculatedColumnFormula>
    </tableColumn>
  </tableColumns>
  <tableStyleInfo name="TableStyleLight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7049725-0D23-4CE5-A855-91DE09B46278}" name="Table9" displayName="Table9" ref="A1:E42" totalsRowShown="0">
  <autoFilter ref="A1:E42" xr:uid="{8F5C7C16-8560-46F6-9AB6-52F36250EBD8}"/>
  <tableColumns count="5">
    <tableColumn id="1" xr3:uid="{3E8AF6FE-9F79-41D3-A9F3-FF50F4E19785}" name="Speed (knots)"/>
    <tableColumn id="2" xr3:uid="{7EC10113-672A-4C83-A12A-95299D01B48F}" name="Speed (m/s)"/>
    <tableColumn id="3" xr3:uid="{2929C65B-BAB3-4894-857A-04A70EE8DC95}" name="Fn LWL"/>
    <tableColumn id="4" xr3:uid="{C9DEFD7B-7719-44B4-BC68-CC7CD97E64C5}" name="Slender body resistance 1 hull (N)"/>
    <tableColumn id="5" xr3:uid="{3CC0DA32-AC59-473F-9846-B33C13CA334E}" name="Slender body resistance 2 hulls (N)" dataDxfId="21">
      <calculatedColumnFormula>D2*2</calculatedColumnFormula>
    </tableColumn>
  </tableColumns>
  <tableStyleInfo name="TableStyleLight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1BE93728-4EAC-4BB3-BA05-018387EC8C4C}" name="Table10" displayName="Table10" ref="A1:E42" totalsRowShown="0">
  <autoFilter ref="A1:E42" xr:uid="{F55D456A-0C83-43BA-BD2E-27848F70BC9A}"/>
  <tableColumns count="5">
    <tableColumn id="1" xr3:uid="{16037D8A-1B75-40C2-BF9E-9CA6D17754B0}" name="Speed (knots)"/>
    <tableColumn id="2" xr3:uid="{DB91E263-BF6B-4346-8489-A908EDAE57D8}" name="Speed (m/s)"/>
    <tableColumn id="3" xr3:uid="{5FF5FAA9-898C-4592-871E-84487C66A897}" name="Fn LWL"/>
    <tableColumn id="4" xr3:uid="{3A3044A5-35DC-4817-909C-7110B50E06EC}" name="Slender body resistance 1 hull (N)"/>
    <tableColumn id="5" xr3:uid="{9F425AA3-608A-4071-8636-9D6361553AA9}" name="Slender body resistance 2 hulls (N)"/>
  </tableColumns>
  <tableStyleInfo name="TableStyleLight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827A2840-93B8-44E2-858D-E0C8D6EA853F}" name="Table11" displayName="Table11" ref="A1:E42" totalsRowShown="0">
  <autoFilter ref="A1:E42" xr:uid="{78EB451D-0A7B-4B5F-8DD5-F44EA0FAF661}"/>
  <tableColumns count="5">
    <tableColumn id="1" xr3:uid="{3E247089-C08A-4F44-B4C1-565671233B97}" name="Speed (knots)"/>
    <tableColumn id="2" xr3:uid="{B5587A42-CB23-4442-9326-FD28BB362C90}" name="Speed (m/s)"/>
    <tableColumn id="3" xr3:uid="{27999B4E-0D39-42B7-B72C-62F364C0AF52}" name="Fn LWL"/>
    <tableColumn id="4" xr3:uid="{341C0463-1C2C-42FC-8183-7FE46B5C6602}" name="Slender body resistance 1 hull (N)"/>
    <tableColumn id="5" xr3:uid="{AA3F0D17-6B41-43F5-AABA-3D419400C522}" name="Slender body resistance 2 hulls (N)"/>
  </tableColumns>
  <tableStyleInfo name="TableStyleLight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D3E107C-1946-461D-BF2F-3E6D12396D71}" name="Table5" displayName="Table5" ref="A1:I16" totalsRowShown="0">
  <autoFilter ref="A1:I16" xr:uid="{C96B81A7-37F9-4133-93FD-3B5179FC91D8}"/>
  <tableColumns count="9">
    <tableColumn id="1" xr3:uid="{A28C9D4F-92F2-4206-95FE-A16E9B888E8F}" name="Heel (deg)"/>
    <tableColumn id="2" xr3:uid="{2E510F51-4384-4E4C-B999-5C67E9E257E0}" name="GZ (m)"/>
    <tableColumn id="5" xr3:uid="{ACF361F8-95FC-4238-98A3-94755D739DEB}" name="RM (boat)" dataDxfId="20">
      <calculatedColumnFormula>(2*75+180)*9.81*Table5[[#This Row],[GZ (m)]]</calculatedColumnFormula>
    </tableColumn>
    <tableColumn id="8" xr3:uid="{6584D66A-D562-41CC-BEC4-D0138144AD0F}" name="RM crew 0 trap" dataDxfId="19">
      <calculatedColumnFormula>75*9.81*COS(RADIANS((Table5[[#This Row],[Heel (deg)]])))*(1.3+1.3)</calculatedColumnFormula>
    </tableColumn>
    <tableColumn id="6" xr3:uid="{D6918013-C9E1-468C-B151-D5CABD9A5E7F}" name="RM crew 1 trapeze" dataDxfId="18">
      <calculatedColumnFormula>75*9.81*COS(RADIANS((Table5[[#This Row],[Heel (deg)]])))*(2.3+1.3)</calculatedColumnFormula>
    </tableColumn>
    <tableColumn id="3" xr3:uid="{9E0504AB-3DDB-42EF-83B1-A2B8E3D5911C}" name="RM crew 2 trapeze" dataDxfId="17">
      <calculatedColumnFormula>75*9.81*COS(RADIANS((Table5[[#This Row],[Heel (deg)]])))*(2.3+2.3)</calculatedColumnFormula>
    </tableColumn>
    <tableColumn id="9" xr3:uid="{DD8C8B9F-4FFF-495E-B2AD-52A5FACC822B}" name="Total RM 0 trap (N.m)" dataDxfId="16">
      <calculatedColumnFormula>Table5[[#This Row],[RM (boat)]]+Table5[[#This Row],[RM crew 0 trap]]</calculatedColumnFormula>
    </tableColumn>
    <tableColumn id="7" xr3:uid="{9F0080B3-7E76-4073-BE37-D0F9139F867D}" name="Total RM 1 trap (N.m)" dataDxfId="15">
      <calculatedColumnFormula>Table5[[#This Row],[RM (boat)]]+Table5[[#This Row],[RM crew 1 trapeze]]</calculatedColumnFormula>
    </tableColumn>
    <tableColumn id="4" xr3:uid="{157BFEB6-BA0A-4A55-AC33-33E9F1A1A61D}" name="Total RM 2 trap (N.m)" dataDxfId="14">
      <calculatedColumnFormula>Table5[[#This Row],[RM (boat)]]+Table5[[#This Row],[RM crew 2 trapeze]]</calculatedColumnFormula>
    </tableColumn>
  </tableColumns>
  <tableStyleInfo name="TableStyleLight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3FE0F179-88C6-4B55-A6F2-8DAC38DD1754}" name="Table513" displayName="Table513" ref="A1:I16" totalsRowShown="0">
  <autoFilter ref="A1:I16" xr:uid="{C96B81A7-37F9-4133-93FD-3B5179FC91D8}"/>
  <tableColumns count="9">
    <tableColumn id="1" xr3:uid="{080D7A1D-A171-49F3-81BC-58FB4DDC2BFD}" name="Heel (deg)"/>
    <tableColumn id="2" xr3:uid="{5E70B510-A44D-461B-A662-BF57EA3C3A33}" name="GZ (m)"/>
    <tableColumn id="5" xr3:uid="{E261A820-5817-4D24-AD79-8E5372492944}" name="RM (boat)" dataDxfId="13">
      <calculatedColumnFormula>(2*75+180)*9.81*Table513[[#This Row],[GZ (m)]]</calculatedColumnFormula>
    </tableColumn>
    <tableColumn id="8" xr3:uid="{8468087F-2471-483E-B407-BD92CAA25470}" name="RM crew 0 trap" dataDxfId="12">
      <calculatedColumnFormula>75*9.81*COS(RADIANS((Table513[[#This Row],[Heel (deg)]])))*(1.3+1.3)</calculatedColumnFormula>
    </tableColumn>
    <tableColumn id="6" xr3:uid="{010FE4B6-59C3-4C7C-9EAB-FA0C2EBCFF9B}" name="RM crew 1 trapeze" dataDxfId="11">
      <calculatedColumnFormula>75*9.81*COS(RADIANS((Table513[[#This Row],[Heel (deg)]])))*(2.3+1.3)</calculatedColumnFormula>
    </tableColumn>
    <tableColumn id="3" xr3:uid="{C49C1117-3E13-415F-BC9D-A086F8E34CBC}" name="RM crew 2 trapeze" dataDxfId="10">
      <calculatedColumnFormula>75*9.81*COS(RADIANS((Table513[[#This Row],[Heel (deg)]])))*(2.3+2.3)</calculatedColumnFormula>
    </tableColumn>
    <tableColumn id="9" xr3:uid="{D5C150AC-AD34-4F87-A379-544977F335F9}" name="Total RM 0 trap (N.m)" dataDxfId="9">
      <calculatedColumnFormula>Table513[[#This Row],[RM (boat)]]+Table513[[#This Row],[RM crew 0 trap]]</calculatedColumnFormula>
    </tableColumn>
    <tableColumn id="7" xr3:uid="{A00BFCED-7E4E-4365-A3B7-8C11D0C70C4C}" name="Total RM 1 trap (N.m)" dataDxfId="8">
      <calculatedColumnFormula>Table513[[#This Row],[RM (boat)]]+Table513[[#This Row],[RM crew 1 trapeze]]</calculatedColumnFormula>
    </tableColumn>
    <tableColumn id="4" xr3:uid="{84A308E7-E01A-42DA-83BF-4CD3A8ECDE63}" name="Total RM 2 trap (N.m)" dataDxfId="7">
      <calculatedColumnFormula>Table513[[#This Row],[RM (boat)]]+Table513[[#This Row],[RM crew 2 trapeze]]</calculatedColumnFormula>
    </tableColumn>
  </tableColumns>
  <tableStyleInfo name="TableStyleLight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CAE84D15-83A9-404C-BC45-F5F9B42777E1}" name="Table51314" displayName="Table51314" ref="A1:I16" totalsRowShown="0">
  <autoFilter ref="A1:I16" xr:uid="{C96B81A7-37F9-4133-93FD-3B5179FC91D8}"/>
  <tableColumns count="9">
    <tableColumn id="1" xr3:uid="{54A53D1E-B20B-479B-BDA8-C7DAE6612752}" name="Heel (deg)"/>
    <tableColumn id="2" xr3:uid="{1E6321C4-EBE7-4A44-987F-D753A2AAB32C}" name="GZ (m)"/>
    <tableColumn id="5" xr3:uid="{EEAFDFCD-400A-478A-BB29-96A5D8C46D04}" name="RM (boat)" dataDxfId="6">
      <calculatedColumnFormula>(2*75+180)*9.81*Table51314[[#This Row],[GZ (m)]]</calculatedColumnFormula>
    </tableColumn>
    <tableColumn id="8" xr3:uid="{98CCCB4E-A557-48E6-B581-DA067C3B117F}" name="RM crew 0 trap" dataDxfId="5">
      <calculatedColumnFormula>75*9.81*COS(RADIANS((Table51314[[#This Row],[Heel (deg)]])))*(1.3+1.3)</calculatedColumnFormula>
    </tableColumn>
    <tableColumn id="6" xr3:uid="{ACE2D559-F106-4243-8AAB-02DE455CC07F}" name="RM crew 1 trapeze" dataDxfId="4">
      <calculatedColumnFormula>75*9.81*COS(RADIANS((Table51314[[#This Row],[Heel (deg)]])))*(2.3+1.3)</calculatedColumnFormula>
    </tableColumn>
    <tableColumn id="3" xr3:uid="{80502887-DF67-4F60-8AD6-FD5DBA56A1D0}" name="RM crew 2 trapeze" dataDxfId="3">
      <calculatedColumnFormula>75*9.81*COS(RADIANS((Table51314[[#This Row],[Heel (deg)]])))*(2.3+2.3)</calculatedColumnFormula>
    </tableColumn>
    <tableColumn id="9" xr3:uid="{1A6DE04A-E4FC-4DD6-A4FD-7F72DC6EEA7D}" name="Total RM 0 trap (N.m)" dataDxfId="2">
      <calculatedColumnFormula>Table51314[[#This Row],[RM (boat)]]+Table51314[[#This Row],[RM crew 0 trap]]</calculatedColumnFormula>
    </tableColumn>
    <tableColumn id="7" xr3:uid="{285B3BDC-0F77-4D2C-A8B0-55079FBAE546}" name="Total RM 1 trap (N.m)" dataDxfId="1">
      <calculatedColumnFormula>Table51314[[#This Row],[RM (boat)]]+Table51314[[#This Row],[RM crew 1 trapeze]]</calculatedColumnFormula>
    </tableColumn>
    <tableColumn id="4" xr3:uid="{221444B4-9FAA-4F69-91BE-A2E697FA7779}" name="Total RM 2 trap (N.m)" dataDxfId="0">
      <calculatedColumnFormula>Table51314[[#This Row],[RM (boat)]]+Table51314[[#This Row],[RM crew 2 trapeze]]</calculatedColumnFormula>
    </tableColumn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3.x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99681-8B06-4AC1-BB17-22DC180A942A}">
  <dimension ref="A1:R51"/>
  <sheetViews>
    <sheetView zoomScale="56" zoomScaleNormal="85" workbookViewId="0">
      <selection activeCell="A22" activeCellId="7" sqref="A5 A6 A8 A9 A19 A20 A21 A22"/>
    </sheetView>
  </sheetViews>
  <sheetFormatPr defaultRowHeight="14.5" x14ac:dyDescent="0.35"/>
  <cols>
    <col min="1" max="1" width="18.6328125" customWidth="1"/>
    <col min="3" max="3" width="8.7265625" style="3"/>
    <col min="6" max="6" width="19.90625" customWidth="1"/>
    <col min="7" max="8" width="10.7265625" customWidth="1"/>
    <col min="13" max="13" width="11.7265625" customWidth="1"/>
  </cols>
  <sheetData>
    <row r="1" spans="1:18" x14ac:dyDescent="0.35">
      <c r="A1" s="2" t="s">
        <v>1</v>
      </c>
      <c r="B1" s="77" t="s">
        <v>0</v>
      </c>
      <c r="C1" s="77"/>
      <c r="D1" s="77"/>
      <c r="E1" s="77"/>
    </row>
    <row r="3" spans="1:18" x14ac:dyDescent="0.35">
      <c r="A3" s="78" t="s">
        <v>7</v>
      </c>
      <c r="B3" s="78"/>
      <c r="C3" s="78"/>
      <c r="D3" s="4"/>
      <c r="F3" s="78" t="s">
        <v>35</v>
      </c>
      <c r="G3" s="78"/>
      <c r="H3" s="78"/>
      <c r="K3" s="73" t="s">
        <v>48</v>
      </c>
      <c r="L3" s="73"/>
      <c r="M3" s="73"/>
    </row>
    <row r="4" spans="1:18" x14ac:dyDescent="0.35">
      <c r="A4" s="7" t="s">
        <v>19</v>
      </c>
      <c r="B4" s="7" t="s">
        <v>20</v>
      </c>
      <c r="C4" s="7" t="s">
        <v>21</v>
      </c>
      <c r="D4" s="1"/>
      <c r="F4" s="11" t="s">
        <v>19</v>
      </c>
      <c r="G4" s="11" t="s">
        <v>20</v>
      </c>
      <c r="H4" s="11" t="s">
        <v>21</v>
      </c>
      <c r="K4" s="18" t="s">
        <v>47</v>
      </c>
      <c r="L4" s="18" t="s">
        <v>45</v>
      </c>
      <c r="M4" s="18" t="s">
        <v>46</v>
      </c>
      <c r="N4" s="20" t="s">
        <v>52</v>
      </c>
      <c r="P4" s="73" t="s">
        <v>49</v>
      </c>
      <c r="Q4" s="73"/>
      <c r="R4" s="73"/>
    </row>
    <row r="5" spans="1:18" x14ac:dyDescent="0.35">
      <c r="A5" s="5" t="s">
        <v>2</v>
      </c>
      <c r="B5" s="5">
        <v>5.25</v>
      </c>
      <c r="C5" s="6" t="s">
        <v>18</v>
      </c>
      <c r="F5" s="5" t="s">
        <v>2</v>
      </c>
      <c r="G5" s="5">
        <v>5.52</v>
      </c>
      <c r="H5" s="6" t="s">
        <v>18</v>
      </c>
      <c r="K5" s="5">
        <v>0</v>
      </c>
      <c r="L5" s="5">
        <v>0</v>
      </c>
      <c r="M5" s="5">
        <v>4.3099999999999999E-2</v>
      </c>
      <c r="N5">
        <f>L5/M5</f>
        <v>0</v>
      </c>
      <c r="P5" s="19" t="s">
        <v>50</v>
      </c>
      <c r="Q5" s="19" t="s">
        <v>45</v>
      </c>
      <c r="R5" s="19" t="s">
        <v>46</v>
      </c>
    </row>
    <row r="6" spans="1:18" x14ac:dyDescent="0.35">
      <c r="A6" s="5" t="s">
        <v>3</v>
      </c>
      <c r="B6" s="5">
        <v>5.15</v>
      </c>
      <c r="C6" s="6" t="s">
        <v>18</v>
      </c>
      <c r="D6" t="s">
        <v>22</v>
      </c>
      <c r="F6" s="5" t="s">
        <v>3</v>
      </c>
      <c r="G6" s="5">
        <f>G5</f>
        <v>5.52</v>
      </c>
      <c r="H6" s="6" t="s">
        <v>18</v>
      </c>
      <c r="K6" s="5">
        <v>7</v>
      </c>
      <c r="L6" s="5">
        <v>0.86207</v>
      </c>
      <c r="M6" s="5">
        <v>2.5860000000000001E-2</v>
      </c>
      <c r="N6">
        <f t="shared" ref="N6:N14" si="0">L6/M6</f>
        <v>33.336040216550657</v>
      </c>
      <c r="P6" s="5">
        <v>7</v>
      </c>
      <c r="Q6" s="5">
        <v>0</v>
      </c>
      <c r="R6" s="5">
        <v>0.05</v>
      </c>
    </row>
    <row r="7" spans="1:18" x14ac:dyDescent="0.35">
      <c r="A7" s="5" t="s">
        <v>34</v>
      </c>
      <c r="B7" s="5">
        <v>0.53</v>
      </c>
      <c r="C7" s="6" t="s">
        <v>18</v>
      </c>
      <c r="F7" s="5" t="s">
        <v>34</v>
      </c>
      <c r="G7" s="5">
        <v>0.62</v>
      </c>
      <c r="H7" s="6" t="s">
        <v>18</v>
      </c>
      <c r="K7" s="5">
        <v>9</v>
      </c>
      <c r="L7" s="5">
        <v>1.05172</v>
      </c>
      <c r="M7" s="5">
        <v>2.3279999999999999E-2</v>
      </c>
      <c r="N7">
        <f t="shared" si="0"/>
        <v>45.176975945017183</v>
      </c>
      <c r="P7" s="5">
        <v>15</v>
      </c>
      <c r="Q7" s="5">
        <v>1</v>
      </c>
      <c r="R7" s="5">
        <v>3.2000000000000001E-2</v>
      </c>
    </row>
    <row r="8" spans="1:18" x14ac:dyDescent="0.35">
      <c r="A8" s="5" t="s">
        <v>4</v>
      </c>
      <c r="B8" s="5">
        <v>2.59</v>
      </c>
      <c r="C8" s="6" t="s">
        <v>18</v>
      </c>
      <c r="F8" s="5" t="s">
        <v>4</v>
      </c>
      <c r="G8" s="5">
        <v>2.6</v>
      </c>
      <c r="H8" s="6" t="s">
        <v>18</v>
      </c>
      <c r="K8" s="5">
        <v>12</v>
      </c>
      <c r="L8" s="5">
        <v>1.1637900000000001</v>
      </c>
      <c r="M8" s="5">
        <v>2.3279999999999999E-2</v>
      </c>
      <c r="N8">
        <f t="shared" si="0"/>
        <v>49.990979381443303</v>
      </c>
      <c r="P8" s="5">
        <v>20</v>
      </c>
      <c r="Q8" s="5">
        <v>1.375</v>
      </c>
      <c r="R8" s="5">
        <v>3.1E-2</v>
      </c>
    </row>
    <row r="9" spans="1:18" x14ac:dyDescent="0.35">
      <c r="A9" s="5" t="s">
        <v>5</v>
      </c>
      <c r="B9" s="5">
        <v>0.39</v>
      </c>
      <c r="C9" s="6" t="s">
        <v>18</v>
      </c>
      <c r="D9" t="s">
        <v>22</v>
      </c>
      <c r="F9" s="5" t="s">
        <v>5</v>
      </c>
      <c r="G9" s="5">
        <v>0.39</v>
      </c>
      <c r="H9" s="6" t="s">
        <v>18</v>
      </c>
      <c r="K9" s="5">
        <v>28</v>
      </c>
      <c r="L9" s="5">
        <v>1.3469800000000001</v>
      </c>
      <c r="M9" s="5">
        <v>3.2590000000000001E-2</v>
      </c>
      <c r="N9">
        <f t="shared" si="0"/>
        <v>41.331083154341826</v>
      </c>
      <c r="P9" s="5">
        <v>27</v>
      </c>
      <c r="Q9" s="5">
        <v>1.45</v>
      </c>
      <c r="R9" s="5">
        <v>3.6999999999999998E-2</v>
      </c>
    </row>
    <row r="10" spans="1:18" x14ac:dyDescent="0.35">
      <c r="A10" s="5" t="s">
        <v>6</v>
      </c>
      <c r="B10" s="5">
        <v>0.39</v>
      </c>
      <c r="C10" s="6" t="s">
        <v>18</v>
      </c>
      <c r="D10" t="s">
        <v>22</v>
      </c>
      <c r="F10" s="5" t="s">
        <v>6</v>
      </c>
      <c r="G10" s="5">
        <v>0.39</v>
      </c>
      <c r="H10" s="6" t="s">
        <v>18</v>
      </c>
      <c r="K10" s="5">
        <v>60</v>
      </c>
      <c r="L10" s="5">
        <v>1.35345</v>
      </c>
      <c r="M10" s="5">
        <v>0.11302</v>
      </c>
      <c r="N10">
        <f t="shared" si="0"/>
        <v>11.97531410369846</v>
      </c>
      <c r="P10" s="5">
        <v>50</v>
      </c>
      <c r="Q10" s="5">
        <v>1.45</v>
      </c>
      <c r="R10" s="5">
        <v>0.25</v>
      </c>
    </row>
    <row r="11" spans="1:18" x14ac:dyDescent="0.35">
      <c r="A11" s="5" t="s">
        <v>30</v>
      </c>
      <c r="B11" s="10">
        <v>0.17</v>
      </c>
      <c r="C11" s="6" t="s">
        <v>18</v>
      </c>
      <c r="F11" s="5" t="s">
        <v>43</v>
      </c>
      <c r="G11" s="10">
        <v>0.17</v>
      </c>
      <c r="H11" s="6" t="s">
        <v>18</v>
      </c>
      <c r="K11" s="5">
        <v>90</v>
      </c>
      <c r="L11" s="5">
        <v>1.2672399999999999</v>
      </c>
      <c r="M11" s="5">
        <v>0.38250000000000001</v>
      </c>
      <c r="N11">
        <f t="shared" si="0"/>
        <v>3.3130457516339868</v>
      </c>
      <c r="P11" s="5">
        <v>60</v>
      </c>
      <c r="Q11" s="5">
        <v>1.25</v>
      </c>
      <c r="R11" s="5">
        <v>0.35</v>
      </c>
    </row>
    <row r="12" spans="1:18" x14ac:dyDescent="0.35">
      <c r="A12" s="5" t="s">
        <v>8</v>
      </c>
      <c r="B12" s="5">
        <v>141</v>
      </c>
      <c r="C12" s="6" t="s">
        <v>23</v>
      </c>
      <c r="D12" t="s">
        <v>24</v>
      </c>
      <c r="F12" s="5" t="s">
        <v>36</v>
      </c>
      <c r="G12" s="5">
        <v>180</v>
      </c>
      <c r="H12" s="6" t="s">
        <v>23</v>
      </c>
      <c r="K12" s="5">
        <v>120</v>
      </c>
      <c r="L12" s="5">
        <v>0.93103000000000002</v>
      </c>
      <c r="M12" s="5">
        <v>0.96887999999999996</v>
      </c>
      <c r="N12">
        <f t="shared" si="0"/>
        <v>0.96093427462637282</v>
      </c>
      <c r="P12" s="5">
        <v>100</v>
      </c>
      <c r="Q12" s="5">
        <v>0.4</v>
      </c>
      <c r="R12" s="5">
        <v>0.73</v>
      </c>
    </row>
    <row r="13" spans="1:18" x14ac:dyDescent="0.35">
      <c r="A13" s="5" t="s">
        <v>33</v>
      </c>
      <c r="B13" s="10">
        <f>B12/1025</f>
        <v>0.13756097560975611</v>
      </c>
      <c r="C13" s="6" t="s">
        <v>29</v>
      </c>
      <c r="F13" s="5" t="s">
        <v>33</v>
      </c>
      <c r="G13" s="10">
        <f>G12/1025</f>
        <v>0.17560975609756097</v>
      </c>
      <c r="H13" s="6" t="s">
        <v>29</v>
      </c>
      <c r="K13" s="5">
        <v>150</v>
      </c>
      <c r="L13" s="5">
        <v>0.38793</v>
      </c>
      <c r="M13" s="5">
        <v>1.3157799999999999</v>
      </c>
      <c r="N13">
        <f t="shared" si="0"/>
        <v>0.29482892276824396</v>
      </c>
      <c r="P13" s="5">
        <v>150</v>
      </c>
      <c r="Q13" s="5">
        <v>0</v>
      </c>
      <c r="R13" s="5">
        <v>0.95</v>
      </c>
    </row>
    <row r="14" spans="1:18" x14ac:dyDescent="0.35">
      <c r="A14" s="5" t="s">
        <v>9</v>
      </c>
      <c r="B14" s="5"/>
      <c r="C14" s="6" t="s">
        <v>23</v>
      </c>
      <c r="F14" s="5"/>
      <c r="G14" s="5"/>
      <c r="H14" s="6" t="s">
        <v>23</v>
      </c>
      <c r="K14" s="5">
        <v>180</v>
      </c>
      <c r="L14" s="5">
        <v>-0.11207</v>
      </c>
      <c r="M14" s="5">
        <v>1.34483</v>
      </c>
      <c r="N14">
        <f t="shared" si="0"/>
        <v>-8.3333952990340784E-2</v>
      </c>
      <c r="P14" s="5">
        <v>180</v>
      </c>
      <c r="Q14" s="5">
        <v>-0.1</v>
      </c>
      <c r="R14" s="5">
        <v>0.9</v>
      </c>
    </row>
    <row r="15" spans="1:18" x14ac:dyDescent="0.35">
      <c r="A15" s="5" t="s">
        <v>25</v>
      </c>
      <c r="B15" s="5">
        <v>135</v>
      </c>
      <c r="C15" s="6" t="s">
        <v>23</v>
      </c>
      <c r="F15" s="5" t="s">
        <v>25</v>
      </c>
      <c r="G15" s="5">
        <v>150</v>
      </c>
      <c r="H15" s="6" t="s">
        <v>23</v>
      </c>
    </row>
    <row r="16" spans="1:18" x14ac:dyDescent="0.35">
      <c r="A16" s="5" t="s">
        <v>10</v>
      </c>
      <c r="B16" s="5">
        <f>B14+B12+B15</f>
        <v>276</v>
      </c>
      <c r="C16" s="6" t="s">
        <v>23</v>
      </c>
      <c r="F16" s="5" t="s">
        <v>10</v>
      </c>
      <c r="G16" s="5">
        <f>G14+G12+G15</f>
        <v>330</v>
      </c>
      <c r="H16" s="6" t="s">
        <v>23</v>
      </c>
      <c r="K16" s="74" t="s">
        <v>51</v>
      </c>
      <c r="L16" s="75"/>
      <c r="M16" s="76"/>
    </row>
    <row r="17" spans="1:13" x14ac:dyDescent="0.35">
      <c r="A17" s="5" t="s">
        <v>28</v>
      </c>
      <c r="B17" s="10">
        <f>B16/1025</f>
        <v>0.26926829268292685</v>
      </c>
      <c r="C17" s="6" t="s">
        <v>29</v>
      </c>
      <c r="F17" s="5" t="s">
        <v>28</v>
      </c>
      <c r="G17" s="10">
        <f>G16/1025</f>
        <v>0.32195121951219513</v>
      </c>
      <c r="H17" s="6" t="s">
        <v>29</v>
      </c>
      <c r="K17" s="19" t="s">
        <v>50</v>
      </c>
      <c r="L17" s="19" t="s">
        <v>45</v>
      </c>
      <c r="M17" s="19" t="s">
        <v>46</v>
      </c>
    </row>
    <row r="18" spans="1:13" x14ac:dyDescent="0.35">
      <c r="A18" s="5" t="s">
        <v>31</v>
      </c>
      <c r="B18" s="9"/>
      <c r="C18" s="6" t="s">
        <v>18</v>
      </c>
      <c r="F18" s="5" t="s">
        <v>31</v>
      </c>
      <c r="G18" s="9"/>
      <c r="H18" s="6" t="s">
        <v>18</v>
      </c>
      <c r="K18" s="5">
        <v>28</v>
      </c>
      <c r="L18" s="5">
        <v>1.83E-2</v>
      </c>
      <c r="M18" s="5">
        <v>0.16214999999999999</v>
      </c>
    </row>
    <row r="19" spans="1:13" x14ac:dyDescent="0.35">
      <c r="A19" s="5" t="s">
        <v>11</v>
      </c>
      <c r="B19" s="8">
        <v>14.65</v>
      </c>
      <c r="C19" s="6" t="s">
        <v>26</v>
      </c>
      <c r="F19" s="5" t="s">
        <v>11</v>
      </c>
      <c r="G19" s="8">
        <v>17</v>
      </c>
      <c r="H19" s="6" t="s">
        <v>26</v>
      </c>
      <c r="K19" s="5">
        <v>41</v>
      </c>
      <c r="L19" s="5">
        <v>0.73499999999999999</v>
      </c>
      <c r="M19" s="5">
        <v>0.25184000000000001</v>
      </c>
    </row>
    <row r="20" spans="1:13" x14ac:dyDescent="0.35">
      <c r="A20" s="5" t="s">
        <v>12</v>
      </c>
      <c r="B20" s="10">
        <v>4</v>
      </c>
      <c r="C20" s="6" t="s">
        <v>26</v>
      </c>
      <c r="F20" s="5" t="s">
        <v>12</v>
      </c>
      <c r="G20" s="10">
        <v>4</v>
      </c>
      <c r="H20" s="6" t="s">
        <v>26</v>
      </c>
      <c r="K20" s="5">
        <v>50</v>
      </c>
      <c r="L20" s="5">
        <v>0.94665999999999995</v>
      </c>
      <c r="M20" s="5">
        <v>0.32501999999999998</v>
      </c>
    </row>
    <row r="21" spans="1:13" x14ac:dyDescent="0.35">
      <c r="A21" s="5" t="s">
        <v>13</v>
      </c>
      <c r="B21" s="8">
        <v>19</v>
      </c>
      <c r="C21" s="6" t="s">
        <v>26</v>
      </c>
      <c r="F21" s="5" t="s">
        <v>13</v>
      </c>
      <c r="G21" s="8">
        <v>20</v>
      </c>
      <c r="H21" s="6" t="s">
        <v>26</v>
      </c>
      <c r="K21" s="5">
        <v>60</v>
      </c>
      <c r="L21" s="5">
        <v>1.08342</v>
      </c>
      <c r="M21" s="5">
        <v>0.40897</v>
      </c>
    </row>
    <row r="22" spans="1:13" x14ac:dyDescent="0.35">
      <c r="A22" s="5" t="s">
        <v>27</v>
      </c>
      <c r="B22" s="8">
        <f>B19+B20</f>
        <v>18.649999999999999</v>
      </c>
      <c r="C22" s="6" t="s">
        <v>26</v>
      </c>
      <c r="F22" s="5" t="s">
        <v>27</v>
      </c>
      <c r="G22" s="8">
        <f>G19+G20</f>
        <v>21</v>
      </c>
      <c r="H22" s="6" t="s">
        <v>26</v>
      </c>
      <c r="K22" s="5">
        <v>67</v>
      </c>
      <c r="L22" s="5">
        <v>1.10494</v>
      </c>
      <c r="M22" s="5">
        <v>0.4592</v>
      </c>
    </row>
    <row r="23" spans="1:13" x14ac:dyDescent="0.35">
      <c r="A23" s="5" t="s">
        <v>14</v>
      </c>
      <c r="B23" s="5">
        <v>0.85</v>
      </c>
      <c r="C23" s="6" t="s">
        <v>18</v>
      </c>
      <c r="D23" t="s">
        <v>22</v>
      </c>
      <c r="F23" s="12" t="s">
        <v>42</v>
      </c>
      <c r="G23" s="13">
        <v>2.1</v>
      </c>
      <c r="H23" s="14" t="s">
        <v>18</v>
      </c>
      <c r="K23" s="5">
        <v>75</v>
      </c>
      <c r="L23" s="5">
        <v>1.0905899999999999</v>
      </c>
      <c r="M23" s="5">
        <v>0.50224999999999997</v>
      </c>
    </row>
    <row r="24" spans="1:13" x14ac:dyDescent="0.35">
      <c r="A24" s="5" t="s">
        <v>15</v>
      </c>
      <c r="B24" s="10">
        <v>1.9450000000000001</v>
      </c>
      <c r="C24" s="6" t="s">
        <v>18</v>
      </c>
      <c r="D24" t="s">
        <v>22</v>
      </c>
      <c r="F24" s="5" t="s">
        <v>38</v>
      </c>
      <c r="G24" s="10">
        <v>2</v>
      </c>
      <c r="H24" s="6" t="s">
        <v>18</v>
      </c>
      <c r="K24" s="5">
        <v>100</v>
      </c>
      <c r="L24" s="5">
        <v>0.95426999999999995</v>
      </c>
      <c r="M24" s="5">
        <v>0.59838999999999998</v>
      </c>
    </row>
    <row r="25" spans="1:13" x14ac:dyDescent="0.35">
      <c r="A25" s="5" t="s">
        <v>16</v>
      </c>
      <c r="B25" s="10">
        <v>8.5950000000000006</v>
      </c>
      <c r="C25" s="6" t="s">
        <v>18</v>
      </c>
      <c r="D25" t="s">
        <v>22</v>
      </c>
      <c r="F25" s="5" t="s">
        <v>37</v>
      </c>
      <c r="G25" s="10">
        <v>1.75</v>
      </c>
      <c r="H25" s="6" t="s">
        <v>18</v>
      </c>
      <c r="K25" s="5">
        <v>115</v>
      </c>
      <c r="L25" s="5">
        <v>0.81076999999999999</v>
      </c>
      <c r="M25" s="5">
        <v>0.65291999999999994</v>
      </c>
    </row>
    <row r="26" spans="1:13" x14ac:dyDescent="0.35">
      <c r="A26" s="5" t="s">
        <v>17</v>
      </c>
      <c r="B26" s="10">
        <v>8.3000000000000007</v>
      </c>
      <c r="C26" s="6" t="s">
        <v>18</v>
      </c>
      <c r="D26" t="s">
        <v>22</v>
      </c>
      <c r="F26" s="5" t="s">
        <v>39</v>
      </c>
      <c r="G26" s="10">
        <v>1.45</v>
      </c>
      <c r="H26" s="6" t="s">
        <v>18</v>
      </c>
      <c r="K26" s="5">
        <v>130</v>
      </c>
      <c r="L26" s="5">
        <v>0.60987000000000002</v>
      </c>
      <c r="M26" s="5">
        <v>0.67086000000000001</v>
      </c>
    </row>
    <row r="27" spans="1:13" x14ac:dyDescent="0.35">
      <c r="A27" s="5" t="s">
        <v>32</v>
      </c>
      <c r="B27" s="10">
        <f>(B13/2)/(B6*B9*B11)</f>
        <v>0.20143943476951792</v>
      </c>
      <c r="C27" s="6"/>
      <c r="F27" s="5" t="s">
        <v>40</v>
      </c>
      <c r="G27" s="5">
        <v>1.22</v>
      </c>
      <c r="H27" s="6" t="s">
        <v>18</v>
      </c>
      <c r="K27" s="5">
        <v>150</v>
      </c>
      <c r="L27" s="5">
        <v>0.32286999999999999</v>
      </c>
      <c r="M27" s="5">
        <v>0.67086000000000001</v>
      </c>
    </row>
    <row r="28" spans="1:13" x14ac:dyDescent="0.35">
      <c r="A28" s="5" t="s">
        <v>188</v>
      </c>
      <c r="B28" s="5">
        <f>B17/(B6*B9*B11)</f>
        <v>0.78861395739555951</v>
      </c>
      <c r="C28" s="6"/>
      <c r="F28" s="15" t="s">
        <v>41</v>
      </c>
      <c r="G28" s="16">
        <v>0.91</v>
      </c>
      <c r="H28" s="17" t="s">
        <v>18</v>
      </c>
      <c r="K28" s="5">
        <v>170</v>
      </c>
      <c r="L28" s="5">
        <v>0.10761999999999999</v>
      </c>
      <c r="M28" s="5">
        <v>0.67086000000000001</v>
      </c>
    </row>
    <row r="29" spans="1:13" x14ac:dyDescent="0.35">
      <c r="F29" s="15" t="s">
        <v>44</v>
      </c>
      <c r="G29" s="5">
        <f>G13/(G6*G9*G11)</f>
        <v>0.47983954165726977</v>
      </c>
      <c r="H29" s="5"/>
      <c r="K29" s="5">
        <v>180</v>
      </c>
      <c r="L29" s="5">
        <v>0</v>
      </c>
      <c r="M29" s="5">
        <v>0.67086000000000001</v>
      </c>
    </row>
    <row r="32" spans="1:13" x14ac:dyDescent="0.35">
      <c r="F32" t="s">
        <v>104</v>
      </c>
      <c r="G32" t="s">
        <v>208</v>
      </c>
      <c r="H32" t="s">
        <v>109</v>
      </c>
      <c r="I32" t="s">
        <v>106</v>
      </c>
    </row>
    <row r="33" spans="6:9" x14ac:dyDescent="0.35">
      <c r="F33" t="s">
        <v>103</v>
      </c>
      <c r="H33">
        <f>Table4[[#This Row],[Value monohull ]]*2</f>
        <v>0</v>
      </c>
    </row>
    <row r="34" spans="6:9" x14ac:dyDescent="0.35">
      <c r="F34" t="s">
        <v>3</v>
      </c>
      <c r="G34" s="24">
        <v>5.15</v>
      </c>
      <c r="I34" t="s">
        <v>18</v>
      </c>
    </row>
    <row r="35" spans="6:9" x14ac:dyDescent="0.35">
      <c r="F35" t="s">
        <v>83</v>
      </c>
      <c r="G35" s="24">
        <v>0.40100000000000002</v>
      </c>
      <c r="I35" t="s">
        <v>18</v>
      </c>
    </row>
    <row r="36" spans="6:9" x14ac:dyDescent="0.35">
      <c r="F36" t="s">
        <v>84</v>
      </c>
      <c r="G36">
        <v>0.14000000000000001</v>
      </c>
      <c r="I36" t="s">
        <v>18</v>
      </c>
    </row>
    <row r="37" spans="6:9" x14ac:dyDescent="0.35">
      <c r="F37" t="s">
        <v>85</v>
      </c>
      <c r="G37">
        <v>0.108</v>
      </c>
      <c r="H37">
        <f>Table4[[#This Row],[Value monohull ]]*2</f>
        <v>0.216</v>
      </c>
      <c r="I37" t="s">
        <v>29</v>
      </c>
    </row>
    <row r="38" spans="6:9" x14ac:dyDescent="0.35">
      <c r="F38" t="s">
        <v>86</v>
      </c>
      <c r="G38">
        <v>1.9139999999999999</v>
      </c>
      <c r="H38">
        <f>Table4[[#This Row],[Value monohull ]]*2</f>
        <v>3.8279999999999998</v>
      </c>
      <c r="I38" t="s">
        <v>87</v>
      </c>
    </row>
    <row r="39" spans="6:9" x14ac:dyDescent="0.35">
      <c r="F39" t="s">
        <v>88</v>
      </c>
      <c r="G39">
        <v>0.53700000000000003</v>
      </c>
    </row>
    <row r="40" spans="6:9" x14ac:dyDescent="0.35">
      <c r="F40" t="s">
        <v>89</v>
      </c>
      <c r="G40">
        <v>0.72199999999999998</v>
      </c>
    </row>
    <row r="41" spans="6:9" x14ac:dyDescent="0.35">
      <c r="F41" t="s">
        <v>90</v>
      </c>
      <c r="G41">
        <v>5.6</v>
      </c>
      <c r="H41">
        <f>Table4[[#This Row],[Value monohull ]]*2</f>
        <v>11.2</v>
      </c>
      <c r="I41" t="s">
        <v>91</v>
      </c>
    </row>
    <row r="42" spans="6:9" x14ac:dyDescent="0.35">
      <c r="F42" t="s">
        <v>92</v>
      </c>
      <c r="G42">
        <v>-0.12</v>
      </c>
      <c r="H42">
        <f>Table4[[#This Row],[Value monohull ]]*2</f>
        <v>-0.24</v>
      </c>
      <c r="I42" t="s">
        <v>18</v>
      </c>
    </row>
    <row r="43" spans="6:9" x14ac:dyDescent="0.35">
      <c r="F43" t="s">
        <v>93</v>
      </c>
      <c r="G43">
        <v>0</v>
      </c>
      <c r="H43">
        <f>Table4[[#This Row],[Value monohull ]]*2</f>
        <v>0</v>
      </c>
      <c r="I43" t="s">
        <v>87</v>
      </c>
    </row>
    <row r="44" spans="6:9" x14ac:dyDescent="0.35">
      <c r="F44" t="s">
        <v>94</v>
      </c>
      <c r="G44">
        <v>0</v>
      </c>
      <c r="H44">
        <f>Table4[[#This Row],[Value monohull ]]*2</f>
        <v>0</v>
      </c>
      <c r="I44" t="s">
        <v>18</v>
      </c>
    </row>
    <row r="45" spans="6:9" x14ac:dyDescent="0.35">
      <c r="F45" t="s">
        <v>95</v>
      </c>
      <c r="G45">
        <v>0.01</v>
      </c>
      <c r="H45">
        <f>Table4[[#This Row],[Value monohull ]]*2</f>
        <v>0.02</v>
      </c>
      <c r="I45" t="s">
        <v>18</v>
      </c>
    </row>
    <row r="46" spans="6:9" x14ac:dyDescent="0.35">
      <c r="F46" t="s">
        <v>96</v>
      </c>
      <c r="G46">
        <v>3.7999999999999999E-2</v>
      </c>
      <c r="H46">
        <f>Table4[[#This Row],[Value monohull ]]*2</f>
        <v>7.5999999999999998E-2</v>
      </c>
      <c r="I46" t="s">
        <v>87</v>
      </c>
    </row>
    <row r="47" spans="6:9" x14ac:dyDescent="0.35">
      <c r="F47" t="s">
        <v>97</v>
      </c>
      <c r="G47">
        <v>0</v>
      </c>
      <c r="H47">
        <f>Table4[[#This Row],[Value monohull ]]*2</f>
        <v>0</v>
      </c>
      <c r="I47" t="s">
        <v>87</v>
      </c>
    </row>
    <row r="48" spans="6:9" x14ac:dyDescent="0.35">
      <c r="F48" t="s">
        <v>98</v>
      </c>
      <c r="G48">
        <v>0</v>
      </c>
      <c r="H48">
        <f>Table4[[#This Row],[Value monohull ]]*2</f>
        <v>0</v>
      </c>
      <c r="I48" t="s">
        <v>18</v>
      </c>
    </row>
    <row r="49" spans="6:9" x14ac:dyDescent="0.35">
      <c r="F49" t="s">
        <v>99</v>
      </c>
      <c r="G49">
        <v>0.13</v>
      </c>
      <c r="H49">
        <f>Table4[[#This Row],[Value monohull ]]*2</f>
        <v>0.26</v>
      </c>
      <c r="I49" t="s">
        <v>18</v>
      </c>
    </row>
    <row r="50" spans="6:9" x14ac:dyDescent="0.35">
      <c r="F50" t="s">
        <v>100</v>
      </c>
      <c r="G50">
        <v>21.7</v>
      </c>
      <c r="H50">
        <f>Table4[[#This Row],[Value monohull ]]*2</f>
        <v>43.4</v>
      </c>
      <c r="I50" t="s">
        <v>91</v>
      </c>
    </row>
    <row r="51" spans="6:9" x14ac:dyDescent="0.35">
      <c r="F51" t="s">
        <v>101</v>
      </c>
      <c r="G51" t="s">
        <v>102</v>
      </c>
      <c r="H51" t="e">
        <f>Table4[[#This Row],[Value monohull ]]*2</f>
        <v>#VALUE!</v>
      </c>
    </row>
  </sheetData>
  <mergeCells count="6">
    <mergeCell ref="K3:M3"/>
    <mergeCell ref="P4:R4"/>
    <mergeCell ref="K16:M16"/>
    <mergeCell ref="B1:E1"/>
    <mergeCell ref="A3:C3"/>
    <mergeCell ref="F3:H3"/>
  </mergeCells>
  <phoneticPr fontId="2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7D8CE-03E1-4CA6-A2CB-8B2AF57664E3}">
  <dimension ref="A1:C13"/>
  <sheetViews>
    <sheetView zoomScale="73" workbookViewId="0">
      <selection activeCell="I50" sqref="I50"/>
    </sheetView>
  </sheetViews>
  <sheetFormatPr defaultRowHeight="14.5" x14ac:dyDescent="0.35"/>
  <sheetData>
    <row r="1" spans="1:3" x14ac:dyDescent="0.35">
      <c r="A1" s="19" t="s">
        <v>50</v>
      </c>
      <c r="B1" s="19" t="s">
        <v>45</v>
      </c>
      <c r="C1" s="19" t="s">
        <v>46</v>
      </c>
    </row>
    <row r="2" spans="1:3" x14ac:dyDescent="0.35">
      <c r="A2" s="5">
        <v>28</v>
      </c>
      <c r="B2" s="5">
        <v>1.83E-2</v>
      </c>
      <c r="C2" s="5">
        <v>0.16214999999999999</v>
      </c>
    </row>
    <row r="3" spans="1:3" x14ac:dyDescent="0.35">
      <c r="A3" s="5">
        <v>41</v>
      </c>
      <c r="B3" s="5">
        <v>0.73499999999999999</v>
      </c>
      <c r="C3" s="5">
        <v>0.25184000000000001</v>
      </c>
    </row>
    <row r="4" spans="1:3" x14ac:dyDescent="0.35">
      <c r="A4" s="5">
        <v>50</v>
      </c>
      <c r="B4" s="5">
        <v>0.94665999999999995</v>
      </c>
      <c r="C4" s="5">
        <v>0.32501999999999998</v>
      </c>
    </row>
    <row r="5" spans="1:3" x14ac:dyDescent="0.35">
      <c r="A5" s="5">
        <v>60</v>
      </c>
      <c r="B5" s="5">
        <v>1.08342</v>
      </c>
      <c r="C5" s="5">
        <v>0.40897</v>
      </c>
    </row>
    <row r="6" spans="1:3" x14ac:dyDescent="0.35">
      <c r="A6" s="5">
        <v>67</v>
      </c>
      <c r="B6" s="5">
        <v>1.10494</v>
      </c>
      <c r="C6" s="5">
        <v>0.4592</v>
      </c>
    </row>
    <row r="7" spans="1:3" x14ac:dyDescent="0.35">
      <c r="A7" s="5">
        <v>75</v>
      </c>
      <c r="B7" s="5">
        <v>1.0905899999999999</v>
      </c>
      <c r="C7" s="5">
        <v>0.50224999999999997</v>
      </c>
    </row>
    <row r="8" spans="1:3" x14ac:dyDescent="0.35">
      <c r="A8" s="5">
        <v>100</v>
      </c>
      <c r="B8" s="5">
        <v>0.95426999999999995</v>
      </c>
      <c r="C8" s="5">
        <v>0.59838999999999998</v>
      </c>
    </row>
    <row r="9" spans="1:3" x14ac:dyDescent="0.35">
      <c r="A9" s="5">
        <v>115</v>
      </c>
      <c r="B9" s="5">
        <v>0.81076999999999999</v>
      </c>
      <c r="C9" s="5">
        <v>0.65291999999999994</v>
      </c>
    </row>
    <row r="10" spans="1:3" x14ac:dyDescent="0.35">
      <c r="A10" s="5">
        <v>130</v>
      </c>
      <c r="B10" s="5">
        <v>0.60987000000000002</v>
      </c>
      <c r="C10" s="5">
        <v>0.67086000000000001</v>
      </c>
    </row>
    <row r="11" spans="1:3" x14ac:dyDescent="0.35">
      <c r="A11" s="5">
        <v>150</v>
      </c>
      <c r="B11" s="5">
        <v>0.32286999999999999</v>
      </c>
      <c r="C11" s="5">
        <v>0.67086000000000001</v>
      </c>
    </row>
    <row r="12" spans="1:3" x14ac:dyDescent="0.35">
      <c r="A12" s="5">
        <v>170</v>
      </c>
      <c r="B12" s="5">
        <v>0.10761999999999999</v>
      </c>
      <c r="C12" s="5">
        <v>0.67086000000000001</v>
      </c>
    </row>
    <row r="13" spans="1:3" x14ac:dyDescent="0.35">
      <c r="A13" s="5">
        <v>180</v>
      </c>
      <c r="B13" s="5">
        <v>0</v>
      </c>
      <c r="C13" s="5">
        <v>0.67086000000000001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C529C-BD40-4D36-8916-6633F866B80A}">
  <dimension ref="A1:T54"/>
  <sheetViews>
    <sheetView zoomScale="70" zoomScaleNormal="70" workbookViewId="0">
      <selection activeCell="H37" sqref="H37"/>
    </sheetView>
  </sheetViews>
  <sheetFormatPr defaultRowHeight="14.5" x14ac:dyDescent="0.35"/>
  <cols>
    <col min="4" max="11" width="13.1796875" customWidth="1"/>
    <col min="12" max="12" width="16.08984375" customWidth="1"/>
  </cols>
  <sheetData>
    <row r="1" spans="1:20" ht="18.5" x14ac:dyDescent="0.45">
      <c r="A1" s="79" t="s">
        <v>65</v>
      </c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</row>
    <row r="2" spans="1:20" x14ac:dyDescent="0.35">
      <c r="A2" t="s">
        <v>53</v>
      </c>
      <c r="B2" t="s">
        <v>54</v>
      </c>
      <c r="C2" t="s">
        <v>55</v>
      </c>
      <c r="D2" t="s">
        <v>56</v>
      </c>
      <c r="E2" t="s">
        <v>57</v>
      </c>
      <c r="F2" t="s">
        <v>58</v>
      </c>
      <c r="G2" t="s">
        <v>59</v>
      </c>
      <c r="H2" t="s">
        <v>60</v>
      </c>
      <c r="I2" t="s">
        <v>61</v>
      </c>
      <c r="J2" t="s">
        <v>62</v>
      </c>
      <c r="K2" t="s">
        <v>63</v>
      </c>
      <c r="L2" s="47" t="s">
        <v>183</v>
      </c>
      <c r="M2" s="47" t="s">
        <v>184</v>
      </c>
    </row>
    <row r="3" spans="1:20" x14ac:dyDescent="0.3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 s="48">
        <f>Table1[[#This Row],[a0]]+Table1[[#This Row],[a1]]*$S$20+Table1[[#This Row],[a2]]*$S$14+Table1[[#This Row],[a3]]*($S$15/$S$16)+Table1[[#This Row],[a4]]*(5.15/($S$18^(1/3)))+Table1[[#This Row],[a5]]*$S$20^2+Table1[[#This Row],[a6]]*$S$20*(5.15/(($S$18^(1/3))))+Table1[[#This Row],[a7]]*$S$14^2+Table1[[#This Row],[a8]]*(5.15/($S$18^(1/3)))^2+Table1[[#This Row],[a9]]*(5.15/($S$18^(1/3)))^3</f>
        <v>0</v>
      </c>
      <c r="M3" s="47">
        <f>Table1[[#This Row],[Rr x 10^3/Displ]]*(180)/10^3</f>
        <v>0</v>
      </c>
    </row>
    <row r="4" spans="1:20" x14ac:dyDescent="0.35">
      <c r="A4">
        <f>A3+0.125</f>
        <v>0.125</v>
      </c>
      <c r="B4">
        <v>-6.7356540000000003</v>
      </c>
      <c r="C4">
        <v>38.368310000000001</v>
      </c>
      <c r="D4">
        <v>-8.1899999999999994E-3</v>
      </c>
      <c r="E4">
        <v>5.5233999999999998E-2</v>
      </c>
      <c r="F4">
        <v>-1.9972399999999999</v>
      </c>
      <c r="G4">
        <v>-38.860799999999998</v>
      </c>
      <c r="H4">
        <v>0.95659099999999997</v>
      </c>
      <c r="I4">
        <v>-2.1700000000000001E-3</v>
      </c>
      <c r="J4">
        <v>0.272895</v>
      </c>
      <c r="K4">
        <v>-1.7520000000000001E-2</v>
      </c>
      <c r="L4" s="48">
        <f>Table1[[#This Row],[a0]]+Table1[[#This Row],[a1]]*$S$20+Table1[[#This Row],[a2]]*$S$14+Table1[[#This Row],[a3]]*($S$15/$S$16)+Table1[[#This Row],[a4]]*(5.15/($S$18^(1/3)))+Table1[[#This Row],[a5]]*$S$20^2+Table1[[#This Row],[a6]]*$S$20*(5.15/(($S$18^(1/3))))+Table1[[#This Row],[a7]]*$S$14^2+Table1[[#This Row],[a8]]*(5.15/($S$18^(1/3)))^2+Table1[[#This Row],[a9]]*(5.15/($S$18^(1/3)))^3</f>
        <v>-0.67581799943604537</v>
      </c>
      <c r="M4" s="47">
        <f>Table1[[#This Row],[Rr x 10^3/Displ]]*(180)/10^3</f>
        <v>-0.12164723989848816</v>
      </c>
    </row>
    <row r="5" spans="1:20" x14ac:dyDescent="0.35">
      <c r="A5">
        <f>A4+0.025</f>
        <v>0.15</v>
      </c>
      <c r="B5">
        <v>-0.38286999999999999</v>
      </c>
      <c r="C5">
        <v>38.172899999999998</v>
      </c>
      <c r="D5">
        <v>7.2430000000000003E-3</v>
      </c>
      <c r="E5">
        <v>2.6644000000000001E-2</v>
      </c>
      <c r="F5">
        <v>-5.2953299999999999</v>
      </c>
      <c r="G5">
        <v>-39.5503</v>
      </c>
      <c r="H5">
        <v>1.219563</v>
      </c>
      <c r="I5">
        <v>5.1999999999999997E-5</v>
      </c>
      <c r="J5">
        <v>0.82456799999999997</v>
      </c>
      <c r="K5">
        <v>-4.7840000000000001E-2</v>
      </c>
      <c r="L5" s="48">
        <f>Table1[[#This Row],[a0]]+Table1[[#This Row],[a1]]*$S$20+Table1[[#This Row],[a2]]*$S$14+Table1[[#This Row],[a3]]*($S$15/$S$16)+Table1[[#This Row],[a4]]*(5.15/($S$18^(1/3)))+Table1[[#This Row],[a5]]*$S$20^2+Table1[[#This Row],[a6]]*$S$20*(5.15/(($S$18^(1/3))))+Table1[[#This Row],[a7]]*$S$14^2+Table1[[#This Row],[a8]]*(5.15/($S$18^(1/3)))^2+Table1[[#This Row],[a9]]*(5.15/($S$18^(1/3)))^3</f>
        <v>-0.19404934507011617</v>
      </c>
      <c r="M5" s="47">
        <f>Table1[[#This Row],[Rr x 10^3/Displ]]*(180)/10^3</f>
        <v>-3.4928882112620914E-2</v>
      </c>
    </row>
    <row r="6" spans="1:20" x14ac:dyDescent="0.35">
      <c r="A6">
        <f>A5+0.025</f>
        <v>0.17499999999999999</v>
      </c>
      <c r="B6">
        <v>-1.5035259999999999</v>
      </c>
      <c r="C6">
        <v>24.40803</v>
      </c>
      <c r="D6">
        <v>1.2200000000000001E-2</v>
      </c>
      <c r="E6">
        <v>6.7221000000000003E-2</v>
      </c>
      <c r="F6">
        <v>-2.4485800000000002</v>
      </c>
      <c r="G6">
        <v>-31.913699999999999</v>
      </c>
      <c r="H6">
        <v>2.2160980000000001</v>
      </c>
      <c r="I6">
        <v>7.3999999999999996E-5</v>
      </c>
      <c r="J6">
        <v>0.24434500000000001</v>
      </c>
      <c r="K6">
        <v>-1.5890000000000001E-2</v>
      </c>
      <c r="L6" s="48">
        <f>Table1[[#This Row],[a0]]+Table1[[#This Row],[a1]]*$S$20+Table1[[#This Row],[a2]]*$S$14+Table1[[#This Row],[a3]]*($S$15/$S$16)+Table1[[#This Row],[a4]]*(5.15/($S$18^(1/3)))+Table1[[#This Row],[a5]]*$S$20^2+Table1[[#This Row],[a6]]*$S$20*(5.15/(($S$18^(1/3))))+Table1[[#This Row],[a7]]*$S$14^2+Table1[[#This Row],[a8]]*(5.15/($S$18^(1/3)))^2+Table1[[#This Row],[a9]]*(5.15/($S$18^(1/3)))^3</f>
        <v>-0.109408038210006</v>
      </c>
      <c r="M6" s="47">
        <f>Table1[[#This Row],[Rr x 10^3/Displ]]*(180)/10^3</f>
        <v>-1.9693446877801078E-2</v>
      </c>
    </row>
    <row r="7" spans="1:20" x14ac:dyDescent="0.35">
      <c r="A7">
        <f>A6+0.025</f>
        <v>0.19999999999999998</v>
      </c>
      <c r="B7">
        <v>11.29218</v>
      </c>
      <c r="C7">
        <v>-14.51947</v>
      </c>
      <c r="D7">
        <v>4.7182000000000002E-2</v>
      </c>
      <c r="E7">
        <v>8.5176000000000002E-2</v>
      </c>
      <c r="F7">
        <v>-2.6730200000000002</v>
      </c>
      <c r="G7">
        <v>-11.418200000000001</v>
      </c>
      <c r="H7">
        <v>5.6540650000000001</v>
      </c>
      <c r="I7">
        <v>7.0210000000000003E-3</v>
      </c>
      <c r="J7">
        <v>-9.493E-2</v>
      </c>
      <c r="K7">
        <v>6.3249999999999999E-3</v>
      </c>
      <c r="L7" s="48">
        <f>Table1[[#This Row],[a0]]+Table1[[#This Row],[a1]]*$S$20+Table1[[#This Row],[a2]]*$S$14+Table1[[#This Row],[a3]]*($S$15/$S$16)+Table1[[#This Row],[a4]]*(5.15/($S$18^(1/3)))+Table1[[#This Row],[a5]]*$S$20^2+Table1[[#This Row],[a6]]*$S$20*(5.15/(($S$18^(1/3))))+Table1[[#This Row],[a7]]*$S$14^2+Table1[[#This Row],[a8]]*(5.15/($S$18^(1/3)))^2+Table1[[#This Row],[a9]]*(5.15/($S$18^(1/3)))^3</f>
        <v>0.37921490683571024</v>
      </c>
      <c r="M7" s="47">
        <f>Table1[[#This Row],[Rr x 10^3/Displ]]*(180)/10^3</f>
        <v>6.8258683230427844E-2</v>
      </c>
    </row>
    <row r="8" spans="1:20" x14ac:dyDescent="0.35">
      <c r="A8">
        <f>A7+0.025</f>
        <v>0.22499999999999998</v>
      </c>
      <c r="B8">
        <v>22.17867</v>
      </c>
      <c r="C8">
        <v>-49.167839999999998</v>
      </c>
      <c r="D8">
        <v>8.5998000000000005E-2</v>
      </c>
      <c r="E8">
        <v>0.150725</v>
      </c>
      <c r="F8">
        <v>-2.8786800000000001</v>
      </c>
      <c r="G8">
        <v>7.1670489999999996</v>
      </c>
      <c r="H8">
        <v>8.6002720000000004</v>
      </c>
      <c r="I8">
        <v>1.2980999999999999E-2</v>
      </c>
      <c r="J8">
        <v>-0.32708999999999999</v>
      </c>
      <c r="K8">
        <v>1.8270999999999999E-2</v>
      </c>
      <c r="L8" s="48">
        <f>Table1[[#This Row],[a0]]+Table1[[#This Row],[a1]]*$S$20+Table1[[#This Row],[a2]]*$S$14+Table1[[#This Row],[a3]]*($S$15/$S$16)+Table1[[#This Row],[a4]]*(5.15/($S$18^(1/3)))+Table1[[#This Row],[a5]]*$S$20^2+Table1[[#This Row],[a6]]*$S$20*(5.15/(($S$18^(1/3))))+Table1[[#This Row],[a7]]*$S$14^2+Table1[[#This Row],[a8]]*(5.15/($S$18^(1/3)))^2+Table1[[#This Row],[a9]]*(5.15/($S$18^(1/3)))^3</f>
        <v>0.38811313783031132</v>
      </c>
      <c r="M8" s="47">
        <f>Table1[[#This Row],[Rr x 10^3/Displ]]*(180)/10^3</f>
        <v>6.9860364809456024E-2</v>
      </c>
    </row>
    <row r="9" spans="1:20" x14ac:dyDescent="0.35">
      <c r="A9">
        <f t="shared" ref="A9:A15" si="0">A8+0.025</f>
        <v>0.24999999999999997</v>
      </c>
      <c r="B9">
        <v>25.9086</v>
      </c>
      <c r="C9">
        <v>-74.756680000000003</v>
      </c>
      <c r="D9">
        <v>0.15352099999999999</v>
      </c>
      <c r="E9">
        <v>0.18856800000000001</v>
      </c>
      <c r="F9">
        <v>-0.88946999999999998</v>
      </c>
      <c r="G9">
        <v>24.121369999999999</v>
      </c>
      <c r="H9">
        <v>10.48516</v>
      </c>
      <c r="I9">
        <v>2.5347999999999999E-2</v>
      </c>
      <c r="J9">
        <v>-0.85494000000000003</v>
      </c>
      <c r="K9">
        <v>4.8448999999999999E-2</v>
      </c>
      <c r="L9" s="48">
        <f>Table1[[#This Row],[a0]]+Table1[[#This Row],[a1]]*$S$20+Table1[[#This Row],[a2]]*$S$14+Table1[[#This Row],[a3]]*($S$15/$S$16)+Table1[[#This Row],[a4]]*(5.15/($S$18^(1/3)))+Table1[[#This Row],[a5]]*$S$20^2+Table1[[#This Row],[a6]]*$S$20*(5.15/(($S$18^(1/3))))+Table1[[#This Row],[a7]]*$S$14^2+Table1[[#This Row],[a8]]*(5.15/($S$18^(1/3)))^2+Table1[[#This Row],[a9]]*(5.15/($S$18^(1/3)))^3</f>
        <v>1.0444491454461726</v>
      </c>
      <c r="M9" s="47">
        <f>Table1[[#This Row],[Rr x 10^3/Displ]]*(180)/10^3</f>
        <v>0.18800084618031107</v>
      </c>
    </row>
    <row r="10" spans="1:20" x14ac:dyDescent="0.35">
      <c r="A10">
        <f t="shared" si="0"/>
        <v>0.27499999999999997</v>
      </c>
      <c r="B10">
        <v>40.975589999999997</v>
      </c>
      <c r="C10">
        <v>-114.2855</v>
      </c>
      <c r="D10">
        <v>0.20722599999999999</v>
      </c>
      <c r="E10">
        <v>0.25082700000000002</v>
      </c>
      <c r="F10">
        <v>-3.0726599999999999</v>
      </c>
      <c r="G10">
        <v>53.015700000000002</v>
      </c>
      <c r="H10">
        <v>13.02177</v>
      </c>
      <c r="I10">
        <v>3.5934000000000001E-2</v>
      </c>
      <c r="J10">
        <v>-0.71545999999999998</v>
      </c>
      <c r="K10">
        <v>3.9874E-2</v>
      </c>
      <c r="L10" s="48">
        <f>Table1[[#This Row],[a0]]+Table1[[#This Row],[a1]]*$S$20+Table1[[#This Row],[a2]]*$S$14+Table1[[#This Row],[a3]]*($S$15/$S$16)+Table1[[#This Row],[a4]]*(5.15/($S$18^(1/3)))+Table1[[#This Row],[a5]]*$S$20^2+Table1[[#This Row],[a6]]*$S$20*(5.15/(($S$18^(1/3))))+Table1[[#This Row],[a7]]*$S$14^2+Table1[[#This Row],[a8]]*(5.15/($S$18^(1/3)))^2+Table1[[#This Row],[a9]]*(5.15/($S$18^(1/3)))^3</f>
        <v>1.2344032444017188</v>
      </c>
      <c r="M10" s="47">
        <f>Table1[[#This Row],[Rr x 10^3/Displ]]*(180)/10^3</f>
        <v>0.22219258399230937</v>
      </c>
    </row>
    <row r="11" spans="1:20" x14ac:dyDescent="0.35">
      <c r="A11">
        <f t="shared" si="0"/>
        <v>0.3</v>
      </c>
      <c r="B11">
        <v>45.837589999999999</v>
      </c>
      <c r="C11">
        <v>-184.7646</v>
      </c>
      <c r="D11">
        <v>0.35703099999999999</v>
      </c>
      <c r="E11">
        <v>0.338343</v>
      </c>
      <c r="F11">
        <v>3.871658</v>
      </c>
      <c r="G11">
        <v>132.2568</v>
      </c>
      <c r="H11">
        <v>10.86054</v>
      </c>
      <c r="I11">
        <v>6.6808999999999993E-2</v>
      </c>
      <c r="J11">
        <v>-1.71922</v>
      </c>
      <c r="K11">
        <v>9.5977000000000007E-2</v>
      </c>
      <c r="L11" s="48">
        <f>Table1[[#This Row],[a0]]+Table1[[#This Row],[a1]]*$S$20+Table1[[#This Row],[a2]]*$S$14+Table1[[#This Row],[a3]]*($S$15/$S$16)+Table1[[#This Row],[a4]]*(5.15/($S$18^(1/3)))+Table1[[#This Row],[a5]]*$S$20^2+Table1[[#This Row],[a6]]*$S$20*(5.15/(($S$18^(1/3))))+Table1[[#This Row],[a7]]*$S$14^2+Table1[[#This Row],[a8]]*(5.15/($S$18^(1/3)))^2+Table1[[#This Row],[a9]]*(5.15/($S$18^(1/3)))^3</f>
        <v>2.1449618916642663</v>
      </c>
      <c r="M11" s="47">
        <f>Table1[[#This Row],[Rr x 10^3/Displ]]*(180)/10^3</f>
        <v>0.38609314049956794</v>
      </c>
    </row>
    <row r="12" spans="1:20" x14ac:dyDescent="0.35">
      <c r="A12">
        <f t="shared" si="0"/>
        <v>0.32500000000000001</v>
      </c>
      <c r="B12">
        <v>89.203819999999993</v>
      </c>
      <c r="C12">
        <v>-393.0127</v>
      </c>
      <c r="D12">
        <v>0.61746599999999996</v>
      </c>
      <c r="E12">
        <v>0.46047199999999999</v>
      </c>
      <c r="F12">
        <v>11.54327</v>
      </c>
      <c r="G12">
        <v>331.11970000000002</v>
      </c>
      <c r="H12">
        <v>8.5981360000000002</v>
      </c>
      <c r="I12">
        <v>0.104073</v>
      </c>
      <c r="J12">
        <v>-2.8151999999999999</v>
      </c>
      <c r="K12">
        <v>0.15595999999999999</v>
      </c>
      <c r="L12" s="48">
        <f>Table1[[#This Row],[a0]]+Table1[[#This Row],[a1]]*$S$20+Table1[[#This Row],[a2]]*$S$14+Table1[[#This Row],[a3]]*($S$15/$S$16)+Table1[[#This Row],[a4]]*(5.15/($S$18^(1/3)))+Table1[[#This Row],[a5]]*$S$20^2+Table1[[#This Row],[a6]]*$S$20*(5.15/(($S$18^(1/3))))+Table1[[#This Row],[a7]]*$S$14^2+Table1[[#This Row],[a8]]*(5.15/($S$18^(1/3)))^2+Table1[[#This Row],[a9]]*(5.15/($S$18^(1/3)))^3</f>
        <v>3.6664081368951855</v>
      </c>
      <c r="M12" s="47">
        <f>Table1[[#This Row],[Rr x 10^3/Displ]]*(180)/10^3</f>
        <v>0.65995346464113347</v>
      </c>
    </row>
    <row r="13" spans="1:20" x14ac:dyDescent="0.35">
      <c r="A13">
        <f t="shared" si="0"/>
        <v>0.35000000000000003</v>
      </c>
      <c r="B13">
        <v>212.6788</v>
      </c>
      <c r="C13">
        <v>-801.79079999999999</v>
      </c>
      <c r="D13">
        <v>1.087307</v>
      </c>
      <c r="E13">
        <v>0.53893800000000003</v>
      </c>
      <c r="F13">
        <v>10.80273</v>
      </c>
      <c r="G13">
        <v>667.64449999999999</v>
      </c>
      <c r="H13">
        <v>12.398149999999999</v>
      </c>
      <c r="I13">
        <v>0.16647300000000001</v>
      </c>
      <c r="J13">
        <v>-3.0261300000000002</v>
      </c>
      <c r="K13">
        <v>0.16505500000000001</v>
      </c>
      <c r="L13" s="48">
        <f>Table1[[#This Row],[a0]]+Table1[[#This Row],[a1]]*$S$20+Table1[[#This Row],[a2]]*$S$14+Table1[[#This Row],[a3]]*($S$15/$S$16)+Table1[[#This Row],[a4]]*(5.15/($S$18^(1/3)))+Table1[[#This Row],[a5]]*$S$20^2+Table1[[#This Row],[a6]]*$S$20*(5.15/(($S$18^(1/3))))+Table1[[#This Row],[a7]]*$S$14^2+Table1[[#This Row],[a8]]*(5.15/($S$18^(1/3)))^2+Table1[[#This Row],[a9]]*(5.15/($S$18^(1/3)))^3</f>
        <v>6.4547233213585713</v>
      </c>
      <c r="M13" s="47">
        <f>Table1[[#This Row],[Rr x 10^3/Displ]]*(180)/10^3</f>
        <v>1.1618501978445428</v>
      </c>
      <c r="R13" s="47"/>
      <c r="S13" s="47"/>
      <c r="T13" s="47"/>
    </row>
    <row r="14" spans="1:20" x14ac:dyDescent="0.35">
      <c r="A14">
        <f t="shared" si="0"/>
        <v>0.37500000000000006</v>
      </c>
      <c r="B14">
        <v>336.23540000000003</v>
      </c>
      <c r="C14">
        <v>-1085.134</v>
      </c>
      <c r="D14">
        <v>1.644191</v>
      </c>
      <c r="E14">
        <v>0.53270200000000001</v>
      </c>
      <c r="F14">
        <v>-1.22417</v>
      </c>
      <c r="G14">
        <v>831.14449999999999</v>
      </c>
      <c r="H14">
        <v>26.183209999999999</v>
      </c>
      <c r="I14">
        <v>0.23879500000000001</v>
      </c>
      <c r="J14">
        <v>-2.4504700000000001</v>
      </c>
      <c r="K14">
        <v>0.139154</v>
      </c>
      <c r="L14" s="48">
        <f>Table1[[#This Row],[a0]]+Table1[[#This Row],[a1]]*$S$20+Table1[[#This Row],[a2]]*$S$14+Table1[[#This Row],[a3]]*($S$15/$S$16)+Table1[[#This Row],[a4]]*(5.15/($S$18^(1/3)))+Table1[[#This Row],[a5]]*$S$20^2+Table1[[#This Row],[a6]]*$S$20*(5.15/(($S$18^(1/3))))+Table1[[#This Row],[a7]]*$S$14^2+Table1[[#This Row],[a8]]*(5.15/($S$18^(1/3)))^2+Table1[[#This Row],[a9]]*(5.15/($S$18^(1/3)))^3</f>
        <v>11.505092117210268</v>
      </c>
      <c r="M14" s="47">
        <f>Table1[[#This Row],[Rr x 10^3/Displ]]*(180)/10^3</f>
        <v>2.0709165810978485</v>
      </c>
      <c r="R14" s="47" t="s">
        <v>73</v>
      </c>
      <c r="S14" s="47">
        <v>0</v>
      </c>
      <c r="T14" s="47"/>
    </row>
    <row r="15" spans="1:20" x14ac:dyDescent="0.35">
      <c r="A15">
        <f t="shared" si="0"/>
        <v>0.40000000000000008</v>
      </c>
      <c r="B15">
        <v>566.54759999999999</v>
      </c>
      <c r="C15">
        <v>-1609.6320000000001</v>
      </c>
      <c r="D15">
        <v>2.0160900000000002</v>
      </c>
      <c r="E15">
        <v>0.26572200000000001</v>
      </c>
      <c r="F15">
        <v>-29.2441</v>
      </c>
      <c r="G15">
        <v>1154.0909999999999</v>
      </c>
      <c r="H15">
        <v>51.461750000000002</v>
      </c>
      <c r="I15">
        <v>0.28804600000000002</v>
      </c>
      <c r="J15">
        <v>-0.17835000000000001</v>
      </c>
      <c r="K15">
        <v>1.8446000000000001E-2</v>
      </c>
      <c r="L15" s="48">
        <f>Table1[[#This Row],[a0]]+Table1[[#This Row],[a1]]*$S$20+Table1[[#This Row],[a2]]*$S$14+Table1[[#This Row],[a3]]*($S$15/$S$16)+Table1[[#This Row],[a4]]*(5.15/($S$18^(1/3)))+Table1[[#This Row],[a5]]*$S$20^2+Table1[[#This Row],[a6]]*$S$20*(5.15/(($S$18^(1/3))))+Table1[[#This Row],[a7]]*$S$14^2+Table1[[#This Row],[a8]]*(5.15/($S$18^(1/3)))^2+Table1[[#This Row],[a9]]*(5.15/($S$18^(1/3)))^3</f>
        <v>20.411874370230557</v>
      </c>
      <c r="M15" s="47">
        <f>Table1[[#This Row],[Rr x 10^3/Displ]]*(180)/10^3</f>
        <v>3.6741373866415001</v>
      </c>
      <c r="R15" s="47" t="s">
        <v>74</v>
      </c>
      <c r="S15" s="47">
        <v>0.39</v>
      </c>
      <c r="T15" s="47"/>
    </row>
    <row r="16" spans="1:20" x14ac:dyDescent="0.35">
      <c r="A16">
        <f>A15+0.025</f>
        <v>0.4250000000000001</v>
      </c>
      <c r="B16">
        <v>743.41070000000002</v>
      </c>
      <c r="C16">
        <v>-1708.2629999999999</v>
      </c>
      <c r="D16">
        <v>2.4358089999999999</v>
      </c>
      <c r="E16">
        <v>1.3553000000000001E-2</v>
      </c>
      <c r="F16">
        <v>-81.161900000000003</v>
      </c>
      <c r="G16">
        <v>937.40139999999997</v>
      </c>
      <c r="H16">
        <v>115.6006</v>
      </c>
      <c r="I16">
        <v>0.36507099999999998</v>
      </c>
      <c r="J16">
        <v>1.838967</v>
      </c>
      <c r="K16">
        <v>-6.2019999999999999E-2</v>
      </c>
      <c r="L16" s="48">
        <f>Table1[[#This Row],[a0]]+Table1[[#This Row],[a1]]*$S$20+Table1[[#This Row],[a2]]*$S$14+Table1[[#This Row],[a3]]*($S$15/$S$16)+Table1[[#This Row],[a4]]*(5.15/($S$18^(1/3)))+Table1[[#This Row],[a5]]*$S$20^2+Table1[[#This Row],[a6]]*$S$20*(5.15/(($S$18^(1/3))))+Table1[[#This Row],[a7]]*$S$14^2+Table1[[#This Row],[a8]]*(5.15/($S$18^(1/3)))^2+Table1[[#This Row],[a9]]*(5.15/($S$18^(1/3)))^3</f>
        <v>28.30871820204225</v>
      </c>
      <c r="M16" s="47">
        <f>Table1[[#This Row],[Rr x 10^3/Displ]]*(180)/10^3</f>
        <v>5.0955692763676055</v>
      </c>
      <c r="R16" s="47" t="s">
        <v>75</v>
      </c>
      <c r="S16" s="47">
        <v>0.17</v>
      </c>
      <c r="T16" s="47"/>
    </row>
    <row r="17" spans="1:20" x14ac:dyDescent="0.35">
      <c r="A17">
        <f>A16+0.025</f>
        <v>0.45000000000000012</v>
      </c>
      <c r="B17">
        <v>1200.6199999999999</v>
      </c>
      <c r="C17">
        <v>-2751.7150000000001</v>
      </c>
      <c r="D17">
        <v>3.208577</v>
      </c>
      <c r="E17">
        <v>0.25491999999999998</v>
      </c>
      <c r="F17">
        <v>-132.042</v>
      </c>
      <c r="G17">
        <v>1489.269</v>
      </c>
      <c r="H17">
        <v>196.34059999999999</v>
      </c>
      <c r="I17">
        <v>0.52822499999999994</v>
      </c>
      <c r="J17">
        <v>1.3791020000000001</v>
      </c>
      <c r="K17">
        <v>1.3577000000000001E-2</v>
      </c>
      <c r="L17" s="48">
        <f>Table1[[#This Row],[a0]]+Table1[[#This Row],[a1]]*$S$20+Table1[[#This Row],[a2]]*$S$14+Table1[[#This Row],[a3]]*($S$15/$S$16)+Table1[[#This Row],[a4]]*(5.15/($S$18^(1/3)))+Table1[[#This Row],[a5]]*$S$20^2+Table1[[#This Row],[a6]]*$S$20*(5.15/(($S$18^(1/3))))+Table1[[#This Row],[a7]]*$S$14^2+Table1[[#This Row],[a8]]*(5.15/($S$18^(1/3)))^2+Table1[[#This Row],[a9]]*(5.15/($S$18^(1/3)))^3</f>
        <v>32.930720408231238</v>
      </c>
      <c r="M17" s="47">
        <f>Table1[[#This Row],[Rr x 10^3/Displ]]*(180)/10^3</f>
        <v>5.9275296734816232</v>
      </c>
      <c r="R17" s="47" t="s">
        <v>76</v>
      </c>
      <c r="S17" s="47">
        <v>1</v>
      </c>
      <c r="T17" s="47"/>
    </row>
    <row r="18" spans="1:20" ht="18.5" x14ac:dyDescent="0.45">
      <c r="A18" s="79" t="s">
        <v>66</v>
      </c>
      <c r="B18" s="79"/>
      <c r="C18" s="79"/>
      <c r="D18" s="79"/>
      <c r="E18" s="79"/>
      <c r="F18" s="79"/>
      <c r="G18" s="79"/>
      <c r="H18" s="23"/>
      <c r="I18" s="23"/>
      <c r="J18" s="23"/>
      <c r="K18" s="23"/>
      <c r="L18" s="49"/>
      <c r="M18" s="47"/>
      <c r="R18" s="47" t="s">
        <v>77</v>
      </c>
      <c r="S18" s="50">
        <f>260/1025</f>
        <v>0.25365853658536586</v>
      </c>
      <c r="T18" s="47"/>
    </row>
    <row r="19" spans="1:20" x14ac:dyDescent="0.35">
      <c r="A19" t="s">
        <v>53</v>
      </c>
      <c r="B19" t="s">
        <v>67</v>
      </c>
      <c r="C19" t="s">
        <v>68</v>
      </c>
      <c r="D19" t="s">
        <v>69</v>
      </c>
      <c r="E19" t="s">
        <v>70</v>
      </c>
      <c r="F19" t="s">
        <v>71</v>
      </c>
      <c r="G19" t="s">
        <v>72</v>
      </c>
      <c r="H19" s="47" t="s">
        <v>185</v>
      </c>
      <c r="I19" s="47" t="s">
        <v>64</v>
      </c>
      <c r="R19" s="47" t="s">
        <v>3</v>
      </c>
      <c r="S19" s="47">
        <v>5.15</v>
      </c>
      <c r="T19" s="47"/>
    </row>
    <row r="20" spans="1:20" x14ac:dyDescent="0.35">
      <c r="A20">
        <f>A17+0.025</f>
        <v>0.47500000000000014</v>
      </c>
      <c r="B20">
        <v>180.10040000000001</v>
      </c>
      <c r="C20">
        <v>-31.502569999999999</v>
      </c>
      <c r="D20" s="21">
        <v>-7.4511399999999997</v>
      </c>
      <c r="E20">
        <v>2.1950419999999999</v>
      </c>
      <c r="F20">
        <v>2.6896230000000001</v>
      </c>
      <c r="G20" s="22">
        <v>6.4799999999999996E-3</v>
      </c>
      <c r="H20" s="47">
        <f>Table13[[#This Row],[c0]]+Table13[[#This Row],[c1]]*(5.15/$S$15)+Table13[[#This Row],[c2]]*(Aw/($S$18)^(2/3))+Table13[[#This Row],[c3]]*$S$14+Table13[[#This Row],[c4]]*((5.15/$S$15)^2)+Table13[[#This Row],[c5]]*(5.15/$S$15)*(Aw/($S$18)^(2/3))</f>
        <v>207.37538639327369</v>
      </c>
      <c r="I20" s="47">
        <f>Table13[[#This Row],[Rrx10^3/Displ]]*180/10^3</f>
        <v>37.327569550789264</v>
      </c>
      <c r="R20" s="47" t="s">
        <v>78</v>
      </c>
      <c r="S20" s="47">
        <f>0.532</f>
        <v>0.53200000000000003</v>
      </c>
      <c r="T20" s="47"/>
    </row>
    <row r="21" spans="1:20" x14ac:dyDescent="0.35">
      <c r="A21">
        <f>A20+0.025</f>
        <v>0.50000000000000011</v>
      </c>
      <c r="B21">
        <v>243.99940000000001</v>
      </c>
      <c r="C21">
        <v>-44.525509999999997</v>
      </c>
      <c r="D21" s="21">
        <v>-11.1546</v>
      </c>
      <c r="E21">
        <v>2.179046</v>
      </c>
      <c r="F21">
        <v>3.8574030000000001</v>
      </c>
      <c r="G21" s="22">
        <v>9.6760000000000006E-3</v>
      </c>
      <c r="H21" s="47">
        <f>Table13[[#This Row],[c0]]+Table13[[#This Row],[c1]]*(5.15/$S$15)+Table13[[#This Row],[c2]]*(Aw/($S$18)^(2/3))+Table13[[#This Row],[c3]]*$S$14+Table13[[#This Row],[c4]]*((5.15/$S$15)^2)+Table13[[#This Row],[c5]]*(5.15/$S$15)*(Aw/($S$18)^(2/3))</f>
        <v>290.14530195773989</v>
      </c>
      <c r="I21" s="47">
        <f>Table13[[#This Row],[Rrx10^3/Displ]]*180/10^3</f>
        <v>52.226154352393181</v>
      </c>
      <c r="R21" s="47" t="s">
        <v>79</v>
      </c>
      <c r="S21" s="47">
        <v>1.4</v>
      </c>
      <c r="T21" s="47"/>
    </row>
    <row r="22" spans="1:20" x14ac:dyDescent="0.35">
      <c r="A22">
        <f>A21+0.025</f>
        <v>0.52500000000000013</v>
      </c>
      <c r="B22">
        <v>282.9873</v>
      </c>
      <c r="C22">
        <v>-44.525509999999997</v>
      </c>
      <c r="D22" s="21">
        <v>-12.973100000000001</v>
      </c>
      <c r="E22">
        <v>2.274505</v>
      </c>
      <c r="F22">
        <v>4.3436620000000001</v>
      </c>
      <c r="G22" s="22">
        <v>1.1065999999999999E-2</v>
      </c>
      <c r="H22" s="47">
        <f>Table13[[#This Row],[c0]]+Table13[[#This Row],[c1]]*(5.15/$S$15)+Table13[[#This Row],[c2]]*(Aw/($S$18)^(2/3))+Table13[[#This Row],[c3]]*$S$14+Table13[[#This Row],[c4]]*((5.15/$S$15)^2)+Table13[[#This Row],[c5]]*(5.15/$S$15)*(Aw/($S$18)^(2/3))</f>
        <v>407.63551208686255</v>
      </c>
      <c r="I22" s="47">
        <f>Table13[[#This Row],[Rrx10^3/Displ]]*180/10^3</f>
        <v>73.374392175635265</v>
      </c>
    </row>
    <row r="23" spans="1:20" x14ac:dyDescent="0.35">
      <c r="A23">
        <f>A22+0.025</f>
        <v>0.55000000000000016</v>
      </c>
      <c r="B23">
        <v>313.41090000000003</v>
      </c>
      <c r="C23">
        <v>56.582569999999997</v>
      </c>
      <c r="D23" s="21">
        <v>-14.4198</v>
      </c>
      <c r="E23">
        <v>2.326117</v>
      </c>
      <c r="F23">
        <v>4.6904320000000004</v>
      </c>
      <c r="G23" s="22">
        <v>1.2147E-2</v>
      </c>
      <c r="H23" s="47">
        <f>Table13[[#This Row],[c0]]+Table13[[#This Row],[c1]]*(5.15/$S$15)+Table13[[#This Row],[c2]]*(Aw/($S$18)^(2/3))+Table13[[#This Row],[c3]]*$S$14+Table13[[#This Row],[c4]]*((5.15/$S$15)^2)+Table13[[#This Row],[c5]]*(5.15/$S$15)*(Aw/($S$18)^(2/3))</f>
        <v>1828.6678594350969</v>
      </c>
      <c r="I23" s="47">
        <f>Table13[[#This Row],[Rrx10^3/Displ]]*180/10^3</f>
        <v>329.16021469831747</v>
      </c>
    </row>
    <row r="24" spans="1:20" x14ac:dyDescent="0.35">
      <c r="A24">
        <f>A23+0.025</f>
        <v>0.57500000000000018</v>
      </c>
      <c r="B24">
        <v>337.00380000000001</v>
      </c>
      <c r="C24">
        <v>-59.190289999999997</v>
      </c>
      <c r="D24" s="21">
        <v>-16.069800000000001</v>
      </c>
      <c r="E24">
        <v>2.4191560000000001</v>
      </c>
      <c r="F24">
        <v>4.7667929999999998</v>
      </c>
      <c r="G24" s="22">
        <v>1.4147E-2</v>
      </c>
      <c r="H24" s="47">
        <f>Table13[[#This Row],[c0]]+Table13[[#This Row],[c1]]*(5.15/$S$15)+Table13[[#This Row],[c2]]*(Aw/($S$18)^(2/3))+Table13[[#This Row],[c3]]*$S$14+Table13[[#This Row],[c4]]*((5.15/$S$15)^2)+Table13[[#This Row],[c5]]*(5.15/$S$15)*(Aw/($S$18)^(2/3))</f>
        <v>331.10832246264567</v>
      </c>
      <c r="I24" s="47">
        <f>Table13[[#This Row],[Rrx10^3/Displ]]*180/10^3</f>
        <v>59.599498043276228</v>
      </c>
    </row>
    <row r="25" spans="1:20" x14ac:dyDescent="0.35">
      <c r="A25">
        <f>A24+0.025</f>
        <v>0.6000000000000002</v>
      </c>
      <c r="B25">
        <v>356.4572</v>
      </c>
      <c r="C25">
        <v>-62.853949999999998</v>
      </c>
      <c r="D25">
        <v>-16.851099999999999</v>
      </c>
      <c r="E25">
        <v>2.4370560000000001</v>
      </c>
      <c r="F25">
        <v>5.0787680000000002</v>
      </c>
      <c r="G25" s="22">
        <v>1.498E-2</v>
      </c>
      <c r="H25" s="47">
        <f>Table13[[#This Row],[c0]]+Table13[[#This Row],[c1]]*(5.15/$S$15)+Table13[[#This Row],[c2]]*(Aw/($S$18)^(2/3))+Table13[[#This Row],[c3]]*$S$14+Table13[[#This Row],[c4]]*((5.15/$S$15)^2)+Table13[[#This Row],[c5]]*(5.15/$S$15)*(Aw/($S$18)^(2/3))</f>
        <v>353.89213524303818</v>
      </c>
      <c r="I25" s="47">
        <f>Table13[[#This Row],[Rrx10^3/Displ]]*180/10^3</f>
        <v>63.700584343746876</v>
      </c>
    </row>
    <row r="26" spans="1:20" x14ac:dyDescent="0.35">
      <c r="A26">
        <f t="shared" ref="A26:A29" si="1">A25+0.025</f>
        <v>0.62500000000000022</v>
      </c>
      <c r="B26">
        <v>324.73570000000001</v>
      </c>
      <c r="C26">
        <v>-51.312519999999999</v>
      </c>
      <c r="D26">
        <v>-15.346</v>
      </c>
      <c r="E26">
        <v>2.3341460000000001</v>
      </c>
      <c r="F26">
        <v>3.8553679999999999</v>
      </c>
      <c r="G26" s="22">
        <v>1.3695000000000001E-2</v>
      </c>
      <c r="H26" s="47">
        <f>Table13[[#This Row],[c0]]+Table13[[#This Row],[c1]]*(5.15/$S$15)+Table13[[#This Row],[c2]]*(Aw/($S$18)^(2/3))+Table13[[#This Row],[c3]]*$S$14+Table13[[#This Row],[c4]]*((5.15/$S$15)^2)+Table13[[#This Row],[c5]]*(5.15/$S$15)*(Aw/($S$18)^(2/3))</f>
        <v>266.44501803917768</v>
      </c>
      <c r="I26" s="47">
        <f>Table13[[#This Row],[Rrx10^3/Displ]]*180/10^3</f>
        <v>47.960103247051983</v>
      </c>
    </row>
    <row r="27" spans="1:20" x14ac:dyDescent="0.35">
      <c r="A27">
        <f t="shared" si="1"/>
        <v>0.65000000000000024</v>
      </c>
      <c r="B27">
        <v>301.1268</v>
      </c>
      <c r="C27">
        <v>-39.796309999999998</v>
      </c>
      <c r="D27">
        <v>-15.023</v>
      </c>
      <c r="E27">
        <v>2.0596570000000001</v>
      </c>
      <c r="F27">
        <v>2.5456759999999998</v>
      </c>
      <c r="G27" s="22">
        <v>1.3587999999999999E-2</v>
      </c>
      <c r="H27" s="47">
        <f>Table13[[#This Row],[c0]]+Table13[[#This Row],[c1]]*(5.15/$S$15)+Table13[[#This Row],[c2]]*(Aw/($S$18)^(2/3))+Table13[[#This Row],[c3]]*$S$14+Table13[[#This Row],[c4]]*((5.15/$S$15)^2)+Table13[[#This Row],[c5]]*(5.15/$S$15)*(Aw/($S$18)^(2/3))</f>
        <v>167.654619951852</v>
      </c>
      <c r="I27" s="47">
        <f>Table13[[#This Row],[Rrx10^3/Displ]]*180/10^3</f>
        <v>30.177831591333362</v>
      </c>
      <c r="M27" s="47" t="s">
        <v>186</v>
      </c>
      <c r="N27" s="47"/>
      <c r="O27" s="47"/>
    </row>
    <row r="28" spans="1:20" x14ac:dyDescent="0.35">
      <c r="A28">
        <f t="shared" si="1"/>
        <v>0.67500000000000027</v>
      </c>
      <c r="B28">
        <v>292.05709999999999</v>
      </c>
      <c r="C28">
        <v>-31.85303</v>
      </c>
      <c r="D28">
        <v>-15.5855</v>
      </c>
      <c r="E28">
        <v>1.847926</v>
      </c>
      <c r="F28">
        <v>1.569917</v>
      </c>
      <c r="G28" s="22">
        <v>1.4014E-2</v>
      </c>
      <c r="H28" s="47">
        <f>Table13[[#This Row],[c0]]+Table13[[#This Row],[c1]]*(5.15/$S$15)+Table13[[#This Row],[c2]]*(Aw/($S$18)^(2/3))+Table13[[#This Row],[c3]]*$S$14+Table13[[#This Row],[c4]]*((5.15/$S$15)^2)+Table13[[#This Row],[c5]]*(5.15/$S$15)*(Aw/($S$18)^(2/3))</f>
        <v>91.382979021218134</v>
      </c>
      <c r="I28" s="47">
        <f>Table13[[#This Row],[Rrx10^3/Displ]]*180/10^3</f>
        <v>16.448936223819263</v>
      </c>
      <c r="M28" s="47" t="s">
        <v>53</v>
      </c>
      <c r="N28" s="47" t="str">
        <f>Table13[[#Headers],[Rrx10^3/Displ]]</f>
        <v>Rrx10^3/Displ</v>
      </c>
      <c r="O28" s="47" t="s">
        <v>64</v>
      </c>
      <c r="P28" t="s">
        <v>187</v>
      </c>
    </row>
    <row r="29" spans="1:20" x14ac:dyDescent="0.35">
      <c r="A29">
        <f t="shared" si="1"/>
        <v>0.70000000000000029</v>
      </c>
      <c r="B29">
        <v>284.46409999999997</v>
      </c>
      <c r="C29">
        <v>-25.145579999999999</v>
      </c>
      <c r="D29">
        <v>-16.154199999999999</v>
      </c>
      <c r="E29">
        <v>1.703981</v>
      </c>
      <c r="F29">
        <v>0.81791199999999997</v>
      </c>
      <c r="G29" s="22">
        <v>1.4574999999999999E-2</v>
      </c>
      <c r="H29" s="47">
        <f>Table13[[#This Row],[c0]]+Table13[[#This Row],[c1]]*(5.15/$S$15)+Table13[[#This Row],[c2]]*(Aw/($S$18)^(2/3))+Table13[[#This Row],[c3]]*$S$14+Table13[[#This Row],[c4]]*((5.15/$S$15)^2)+Table13[[#This Row],[c5]]*(5.15/$S$15)*(Aw/($S$18)^(2/3))</f>
        <v>39.270507111214627</v>
      </c>
      <c r="I29" s="47">
        <f>Table13[[#This Row],[Rrx10^3/Displ]]*180/10^3</f>
        <v>7.0686912800186326</v>
      </c>
      <c r="M29" s="47">
        <f>A3</f>
        <v>0</v>
      </c>
      <c r="N29" s="48">
        <f>L3</f>
        <v>0</v>
      </c>
      <c r="O29" s="47">
        <f>M3</f>
        <v>0</v>
      </c>
    </row>
    <row r="30" spans="1:20" x14ac:dyDescent="0.35">
      <c r="M30" s="47">
        <f t="shared" ref="M30:M43" si="2">A4</f>
        <v>0.125</v>
      </c>
      <c r="N30" s="48">
        <f t="shared" ref="N30:N43" si="3">L4</f>
        <v>-0.67581799943604537</v>
      </c>
      <c r="O30" s="47">
        <f t="shared" ref="O30:O43" si="4">M4</f>
        <v>-0.12164723989848816</v>
      </c>
    </row>
    <row r="31" spans="1:20" x14ac:dyDescent="0.35">
      <c r="M31" s="47">
        <f t="shared" si="2"/>
        <v>0.15</v>
      </c>
      <c r="N31" s="48">
        <f t="shared" si="3"/>
        <v>-0.19404934507011617</v>
      </c>
      <c r="O31" s="47">
        <f t="shared" si="4"/>
        <v>-3.4928882112620914E-2</v>
      </c>
    </row>
    <row r="32" spans="1:20" x14ac:dyDescent="0.35">
      <c r="M32" s="47">
        <f t="shared" si="2"/>
        <v>0.17499999999999999</v>
      </c>
      <c r="N32" s="48">
        <f t="shared" si="3"/>
        <v>-0.109408038210006</v>
      </c>
      <c r="O32" s="47">
        <f t="shared" si="4"/>
        <v>-1.9693446877801078E-2</v>
      </c>
    </row>
    <row r="33" spans="13:15" x14ac:dyDescent="0.35">
      <c r="M33" s="47">
        <f t="shared" si="2"/>
        <v>0.19999999999999998</v>
      </c>
      <c r="N33" s="48">
        <f t="shared" si="3"/>
        <v>0.37921490683571024</v>
      </c>
      <c r="O33" s="47">
        <f t="shared" si="4"/>
        <v>6.8258683230427844E-2</v>
      </c>
    </row>
    <row r="34" spans="13:15" x14ac:dyDescent="0.35">
      <c r="M34" s="47">
        <f t="shared" si="2"/>
        <v>0.22499999999999998</v>
      </c>
      <c r="N34" s="48">
        <f t="shared" si="3"/>
        <v>0.38811313783031132</v>
      </c>
      <c r="O34" s="47">
        <f t="shared" si="4"/>
        <v>6.9860364809456024E-2</v>
      </c>
    </row>
    <row r="35" spans="13:15" x14ac:dyDescent="0.35">
      <c r="M35" s="47">
        <f t="shared" si="2"/>
        <v>0.24999999999999997</v>
      </c>
      <c r="N35" s="48">
        <f t="shared" si="3"/>
        <v>1.0444491454461726</v>
      </c>
      <c r="O35" s="47">
        <f t="shared" si="4"/>
        <v>0.18800084618031107</v>
      </c>
    </row>
    <row r="36" spans="13:15" x14ac:dyDescent="0.35">
      <c r="M36" s="47">
        <f t="shared" si="2"/>
        <v>0.27499999999999997</v>
      </c>
      <c r="N36" s="48">
        <f t="shared" si="3"/>
        <v>1.2344032444017188</v>
      </c>
      <c r="O36" s="47">
        <f t="shared" si="4"/>
        <v>0.22219258399230937</v>
      </c>
    </row>
    <row r="37" spans="13:15" x14ac:dyDescent="0.35">
      <c r="M37" s="47">
        <f t="shared" si="2"/>
        <v>0.3</v>
      </c>
      <c r="N37" s="48">
        <f t="shared" si="3"/>
        <v>2.1449618916642663</v>
      </c>
      <c r="O37" s="47">
        <f t="shared" si="4"/>
        <v>0.38609314049956794</v>
      </c>
    </row>
    <row r="38" spans="13:15" x14ac:dyDescent="0.35">
      <c r="M38" s="47">
        <f>A12</f>
        <v>0.32500000000000001</v>
      </c>
      <c r="N38" s="48">
        <f t="shared" si="3"/>
        <v>3.6664081368951855</v>
      </c>
      <c r="O38" s="47">
        <f t="shared" si="4"/>
        <v>0.65995346464113347</v>
      </c>
    </row>
    <row r="39" spans="13:15" x14ac:dyDescent="0.35">
      <c r="M39" s="47">
        <f t="shared" si="2"/>
        <v>0.35000000000000003</v>
      </c>
      <c r="N39" s="48">
        <f t="shared" si="3"/>
        <v>6.4547233213585713</v>
      </c>
      <c r="O39" s="47">
        <f t="shared" si="4"/>
        <v>1.1618501978445428</v>
      </c>
    </row>
    <row r="40" spans="13:15" x14ac:dyDescent="0.35">
      <c r="M40" s="47">
        <f t="shared" si="2"/>
        <v>0.37500000000000006</v>
      </c>
      <c r="N40" s="48">
        <f t="shared" si="3"/>
        <v>11.505092117210268</v>
      </c>
      <c r="O40" s="47">
        <f t="shared" si="4"/>
        <v>2.0709165810978485</v>
      </c>
    </row>
    <row r="41" spans="13:15" x14ac:dyDescent="0.35">
      <c r="M41" s="47">
        <f t="shared" si="2"/>
        <v>0.40000000000000008</v>
      </c>
      <c r="N41" s="48">
        <f t="shared" si="3"/>
        <v>20.411874370230557</v>
      </c>
      <c r="O41" s="47">
        <f t="shared" si="4"/>
        <v>3.6741373866415001</v>
      </c>
    </row>
    <row r="42" spans="13:15" x14ac:dyDescent="0.35">
      <c r="M42" s="47">
        <f t="shared" si="2"/>
        <v>0.4250000000000001</v>
      </c>
      <c r="N42" s="48">
        <f t="shared" si="3"/>
        <v>28.30871820204225</v>
      </c>
      <c r="O42" s="47">
        <f t="shared" si="4"/>
        <v>5.0955692763676055</v>
      </c>
    </row>
    <row r="43" spans="13:15" x14ac:dyDescent="0.35">
      <c r="M43" s="47">
        <f t="shared" si="2"/>
        <v>0.45000000000000012</v>
      </c>
      <c r="N43" s="48">
        <f t="shared" si="3"/>
        <v>32.930720408231238</v>
      </c>
      <c r="O43" s="47">
        <f t="shared" si="4"/>
        <v>5.9275296734816232</v>
      </c>
    </row>
    <row r="44" spans="13:15" x14ac:dyDescent="0.35">
      <c r="M44" s="47">
        <f>A20</f>
        <v>0.47500000000000014</v>
      </c>
      <c r="N44" s="48">
        <f>H20</f>
        <v>207.37538639327369</v>
      </c>
      <c r="O44" s="47">
        <f>I20</f>
        <v>37.327569550789264</v>
      </c>
    </row>
    <row r="45" spans="13:15" x14ac:dyDescent="0.35">
      <c r="M45" s="47">
        <f t="shared" ref="M45:M52" si="5">A21</f>
        <v>0.50000000000000011</v>
      </c>
      <c r="N45" s="48">
        <f t="shared" ref="N45:N53" si="6">H21</f>
        <v>290.14530195773989</v>
      </c>
      <c r="O45" s="47">
        <f t="shared" ref="O45:O53" si="7">I21</f>
        <v>52.226154352393181</v>
      </c>
    </row>
    <row r="46" spans="13:15" x14ac:dyDescent="0.35">
      <c r="M46" s="47">
        <f t="shared" si="5"/>
        <v>0.52500000000000013</v>
      </c>
      <c r="N46" s="48">
        <f t="shared" si="6"/>
        <v>407.63551208686255</v>
      </c>
      <c r="O46" s="47">
        <f t="shared" si="7"/>
        <v>73.374392175635265</v>
      </c>
    </row>
    <row r="47" spans="13:15" x14ac:dyDescent="0.35">
      <c r="M47" s="47">
        <f t="shared" si="5"/>
        <v>0.55000000000000016</v>
      </c>
      <c r="N47" s="48">
        <f t="shared" si="6"/>
        <v>1828.6678594350969</v>
      </c>
      <c r="O47" s="47">
        <f t="shared" si="7"/>
        <v>329.16021469831747</v>
      </c>
    </row>
    <row r="48" spans="13:15" x14ac:dyDescent="0.35">
      <c r="M48" s="47">
        <f t="shared" si="5"/>
        <v>0.57500000000000018</v>
      </c>
      <c r="N48" s="48">
        <f t="shared" si="6"/>
        <v>331.10832246264567</v>
      </c>
      <c r="O48" s="47">
        <f t="shared" si="7"/>
        <v>59.599498043276228</v>
      </c>
    </row>
    <row r="49" spans="13:15" x14ac:dyDescent="0.35">
      <c r="M49" s="47">
        <f t="shared" si="5"/>
        <v>0.6000000000000002</v>
      </c>
      <c r="N49" s="48">
        <f t="shared" si="6"/>
        <v>353.89213524303818</v>
      </c>
      <c r="O49" s="47">
        <f t="shared" si="7"/>
        <v>63.700584343746876</v>
      </c>
    </row>
    <row r="50" spans="13:15" x14ac:dyDescent="0.35">
      <c r="M50" s="47">
        <f t="shared" si="5"/>
        <v>0.62500000000000022</v>
      </c>
      <c r="N50" s="48">
        <f t="shared" si="6"/>
        <v>266.44501803917768</v>
      </c>
      <c r="O50" s="47">
        <f t="shared" si="7"/>
        <v>47.960103247051983</v>
      </c>
    </row>
    <row r="51" spans="13:15" x14ac:dyDescent="0.35">
      <c r="M51" s="47">
        <f>A27</f>
        <v>0.65000000000000024</v>
      </c>
      <c r="N51" s="48">
        <f t="shared" si="6"/>
        <v>167.654619951852</v>
      </c>
      <c r="O51" s="47">
        <f t="shared" si="7"/>
        <v>30.177831591333362</v>
      </c>
    </row>
    <row r="52" spans="13:15" x14ac:dyDescent="0.35">
      <c r="M52" s="47">
        <f t="shared" si="5"/>
        <v>0.67500000000000027</v>
      </c>
      <c r="N52" s="48">
        <f t="shared" si="6"/>
        <v>91.382979021218134</v>
      </c>
      <c r="O52" s="47">
        <f t="shared" si="7"/>
        <v>16.448936223819263</v>
      </c>
    </row>
    <row r="53" spans="13:15" x14ac:dyDescent="0.35">
      <c r="M53" s="47">
        <f>A29</f>
        <v>0.70000000000000029</v>
      </c>
      <c r="N53" s="48">
        <f t="shared" si="6"/>
        <v>39.270507111214627</v>
      </c>
      <c r="O53" s="47">
        <f t="shared" si="7"/>
        <v>7.0686912800186326</v>
      </c>
    </row>
    <row r="54" spans="13:15" x14ac:dyDescent="0.35">
      <c r="M54" s="47"/>
      <c r="N54" s="47"/>
      <c r="O54" s="47"/>
    </row>
  </sheetData>
  <mergeCells count="2">
    <mergeCell ref="A1:L1"/>
    <mergeCell ref="A18:G18"/>
  </mergeCells>
  <phoneticPr fontId="2" type="noConversion"/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47AAD-8F62-418B-934B-385C63873707}">
  <dimension ref="A1:X32"/>
  <sheetViews>
    <sheetView topLeftCell="G1" zoomScale="74" zoomScaleNormal="85" workbookViewId="0">
      <selection activeCell="O7" sqref="O7"/>
    </sheetView>
  </sheetViews>
  <sheetFormatPr defaultRowHeight="14.5" x14ac:dyDescent="0.35"/>
  <cols>
    <col min="1" max="1" width="16" customWidth="1"/>
    <col min="2" max="2" width="17.08984375" customWidth="1"/>
    <col min="3" max="3" width="18.1796875" customWidth="1"/>
    <col min="4" max="4" width="26.81640625" customWidth="1"/>
    <col min="5" max="5" width="25.6328125" customWidth="1"/>
    <col min="6" max="6" width="25.81640625" customWidth="1"/>
    <col min="7" max="7" width="22.26953125" customWidth="1"/>
    <col min="9" max="9" width="9" bestFit="1" customWidth="1"/>
    <col min="10" max="10" width="16.81640625" customWidth="1"/>
    <col min="11" max="11" width="22.453125" bestFit="1" customWidth="1"/>
    <col min="12" max="12" width="10.7265625" bestFit="1" customWidth="1"/>
    <col min="13" max="13" width="17" bestFit="1" customWidth="1"/>
    <col min="14" max="14" width="36.81640625" bestFit="1" customWidth="1"/>
    <col min="15" max="15" width="14.453125" bestFit="1" customWidth="1"/>
    <col min="16" max="16" width="18.453125" customWidth="1"/>
  </cols>
  <sheetData>
    <row r="1" spans="1:15" ht="30" customHeight="1" x14ac:dyDescent="0.35">
      <c r="A1" s="52" t="s">
        <v>53</v>
      </c>
      <c r="B1" s="53" t="s">
        <v>82</v>
      </c>
      <c r="C1" s="53" t="s">
        <v>203</v>
      </c>
      <c r="D1" s="54" t="s">
        <v>201</v>
      </c>
      <c r="E1" s="54" t="s">
        <v>202</v>
      </c>
      <c r="F1" s="55" t="s">
        <v>199</v>
      </c>
      <c r="G1" s="56" t="s">
        <v>200</v>
      </c>
      <c r="I1" s="52" t="s">
        <v>53</v>
      </c>
      <c r="J1" s="53" t="s">
        <v>82</v>
      </c>
      <c r="K1" s="53" t="s">
        <v>203</v>
      </c>
      <c r="L1" s="54" t="s">
        <v>204</v>
      </c>
      <c r="M1" s="60" t="s">
        <v>206</v>
      </c>
      <c r="N1" s="60" t="s">
        <v>207</v>
      </c>
      <c r="O1" s="60" t="s">
        <v>205</v>
      </c>
    </row>
    <row r="2" spans="1:15" x14ac:dyDescent="0.35">
      <c r="A2" s="63">
        <v>0.2</v>
      </c>
      <c r="B2" s="9">
        <f>A2*SQRT(9.81*5.15)</f>
        <v>1.421569555104498</v>
      </c>
      <c r="C2" s="9">
        <f>B2/0.51444</f>
        <v>2.7633340236072192</v>
      </c>
      <c r="D2" s="5">
        <v>1.7549999999999999</v>
      </c>
      <c r="E2" s="5">
        <v>2.9329999999999998</v>
      </c>
      <c r="F2" s="46">
        <f>D2*10^-3*0.5*1025*1.914*B2^2</f>
        <v>3.4789577276024999</v>
      </c>
      <c r="G2" s="51">
        <f t="shared" ref="G2:G18" si="0">E2*10^-3*0.5*1025*3.828*B2^2</f>
        <v>11.628242752203002</v>
      </c>
      <c r="I2" s="63">
        <v>0.2</v>
      </c>
      <c r="J2" s="9">
        <f t="shared" ref="J2:J18" si="1">I2*SQRT(9.81*5.15)</f>
        <v>1.421569555104498</v>
      </c>
      <c r="K2" s="9">
        <f>J2/0.51444</f>
        <v>2.7633340236072192</v>
      </c>
      <c r="L2" s="10">
        <f>Table79[[#This Row],[Speed (m/s)]]*5.15/'Resistance prediction'!$B$26</f>
        <v>6473.1062854006759</v>
      </c>
      <c r="M2" s="62">
        <f>(0.075/(LOG(Table79[[#This Row],[Re]])-2)^2)</f>
        <v>2.2864951958865721E-2</v>
      </c>
      <c r="N2" s="10">
        <f>Table79[[#This Row],[Cf x 10^3]]*0.5*1025*'Resistance prediction'!$D$36*Table79[[#This Row],[Speed (m/s)]]^2</f>
        <v>90.650941662171874</v>
      </c>
      <c r="O2" s="24">
        <f>Table79[[#This Row],[Frictionnal resistance  (N)]]+G2</f>
        <v>102.27918441437488</v>
      </c>
    </row>
    <row r="3" spans="1:15" x14ac:dyDescent="0.35">
      <c r="A3" s="63">
        <f>A2+0.05</f>
        <v>0.25</v>
      </c>
      <c r="B3" s="9">
        <f t="shared" ref="B3:B18" si="2">A3*SQRT(9.81*5.15)</f>
        <v>1.7769619438806223</v>
      </c>
      <c r="C3" s="9">
        <f t="shared" ref="C3:C18" si="3">B3/0.51444</f>
        <v>3.4541675295090242</v>
      </c>
      <c r="D3" s="5">
        <v>2.1360000000000001</v>
      </c>
      <c r="E3" s="5">
        <v>3.2029999999999998</v>
      </c>
      <c r="F3" s="46">
        <f t="shared" ref="F3:F18" si="4">D3*10^-3*0.5*1025*1.914*B3^2</f>
        <v>6.6159666187312514</v>
      </c>
      <c r="G3" s="51">
        <f t="shared" si="0"/>
        <v>19.841705130895313</v>
      </c>
      <c r="I3" s="63">
        <f>I2+0.05</f>
        <v>0.25</v>
      </c>
      <c r="J3" s="9">
        <f t="shared" si="1"/>
        <v>1.7769619438806223</v>
      </c>
      <c r="K3" s="9">
        <f t="shared" ref="K3:K18" si="5">J3/0.51444</f>
        <v>3.4541675295090242</v>
      </c>
      <c r="L3" s="10">
        <f>Table79[[#This Row],[Speed (m/s)]]*5.15/'Resistance prediction'!$B$26</f>
        <v>8091.3828567508444</v>
      </c>
      <c r="M3" s="62">
        <f>(0.075/(LOG(Table79[[#This Row],[Re]])-2)^2)</f>
        <v>2.0601278142426828E-2</v>
      </c>
      <c r="N3" s="10">
        <f>Table79[[#This Row],[Cf x 10^3]]*0.5*1025*'Resistance prediction'!$D$36*Table79[[#This Row],[Speed (m/s)]]^2</f>
        <v>127.61925888903897</v>
      </c>
      <c r="O3" s="24">
        <f>Table79[[#This Row],[Frictionnal resistance  (N)]]+G3</f>
        <v>147.46096401993429</v>
      </c>
    </row>
    <row r="4" spans="1:15" x14ac:dyDescent="0.35">
      <c r="A4" s="63">
        <f>A3+0.05</f>
        <v>0.3</v>
      </c>
      <c r="B4" s="9">
        <f t="shared" si="2"/>
        <v>2.1323543326567469</v>
      </c>
      <c r="C4" s="9">
        <f t="shared" si="3"/>
        <v>4.1450010354108286</v>
      </c>
      <c r="D4" s="5">
        <v>2.2549999999999999</v>
      </c>
      <c r="E4" s="5">
        <v>3.2509999999999999</v>
      </c>
      <c r="F4" s="46">
        <f t="shared" si="4"/>
        <v>10.057755994543125</v>
      </c>
      <c r="G4" s="51">
        <f t="shared" si="0"/>
        <v>29.000234801117251</v>
      </c>
      <c r="I4" s="63">
        <f>I3+0.05</f>
        <v>0.3</v>
      </c>
      <c r="J4" s="9">
        <f t="shared" si="1"/>
        <v>2.1323543326567469</v>
      </c>
      <c r="K4" s="9">
        <f t="shared" si="5"/>
        <v>4.1450010354108286</v>
      </c>
      <c r="L4" s="10">
        <f>Table79[[#This Row],[Speed (m/s)]]*5.15/'Resistance prediction'!$B$26</f>
        <v>9709.659428101013</v>
      </c>
      <c r="M4" s="62">
        <f>(0.075/(LOG(Table79[[#This Row],[Re]])-2)^2)</f>
        <v>1.8992247417368754E-2</v>
      </c>
      <c r="N4" s="10">
        <f>Table79[[#This Row],[Cf x 10^3]]*0.5*1025*'Resistance prediction'!$D$36*Table79[[#This Row],[Speed (m/s)]]^2</f>
        <v>169.41852799280423</v>
      </c>
      <c r="O4" s="24">
        <f>Table79[[#This Row],[Frictionnal resistance  (N)]]+G4</f>
        <v>198.41876279392147</v>
      </c>
    </row>
    <row r="5" spans="1:15" x14ac:dyDescent="0.35">
      <c r="A5" s="63">
        <f t="shared" ref="A5:A10" si="6">A4+0.05</f>
        <v>0.35</v>
      </c>
      <c r="B5" s="9">
        <f t="shared" si="2"/>
        <v>2.4877467214328712</v>
      </c>
      <c r="C5" s="9">
        <f t="shared" si="3"/>
        <v>4.8358345413126331</v>
      </c>
      <c r="D5" s="5">
        <v>2.12</v>
      </c>
      <c r="E5" s="5">
        <v>3.5019999999999998</v>
      </c>
      <c r="F5" s="46">
        <f t="shared" si="4"/>
        <v>12.870161280033752</v>
      </c>
      <c r="G5" s="51">
        <f t="shared" si="0"/>
        <v>42.520098870451122</v>
      </c>
      <c r="I5" s="63">
        <f t="shared" ref="I5:I10" si="7">I4+0.05</f>
        <v>0.35</v>
      </c>
      <c r="J5" s="9">
        <f t="shared" si="1"/>
        <v>2.4877467214328712</v>
      </c>
      <c r="K5" s="9">
        <f t="shared" si="5"/>
        <v>4.8358345413126331</v>
      </c>
      <c r="L5" s="10">
        <f>Table79[[#This Row],[Speed (m/s)]]*5.15/'Resistance prediction'!$B$26</f>
        <v>11327.935999451181</v>
      </c>
      <c r="M5" s="62">
        <f>(0.075/(LOG(Table79[[#This Row],[Re]])-2)^2)</f>
        <v>1.777446849551198E-2</v>
      </c>
      <c r="N5" s="10">
        <f>Table79[[#This Row],[Cf x 10^3]]*0.5*1025*'Resistance prediction'!$D$36*Table79[[#This Row],[Speed (m/s)]]^2</f>
        <v>215.81158132463963</v>
      </c>
      <c r="O5" s="24">
        <f>Table79[[#This Row],[Frictionnal resistance  (N)]]+G5</f>
        <v>258.33168019509077</v>
      </c>
    </row>
    <row r="6" spans="1:15" x14ac:dyDescent="0.35">
      <c r="A6" s="63">
        <f t="shared" si="6"/>
        <v>0.39999999999999997</v>
      </c>
      <c r="B6" s="9">
        <f t="shared" si="2"/>
        <v>2.8431391102089956</v>
      </c>
      <c r="C6" s="9">
        <f t="shared" si="3"/>
        <v>5.5266680472144385</v>
      </c>
      <c r="D6" s="5">
        <v>2.6389999999999998</v>
      </c>
      <c r="E6" s="5">
        <v>3.9129999999999998</v>
      </c>
      <c r="F6" s="46">
        <f t="shared" si="4"/>
        <v>20.925286480097995</v>
      </c>
      <c r="G6" s="51">
        <f t="shared" si="0"/>
        <v>62.05429783753199</v>
      </c>
      <c r="I6" s="63">
        <f t="shared" si="7"/>
        <v>0.39999999999999997</v>
      </c>
      <c r="J6" s="9">
        <f t="shared" si="1"/>
        <v>2.8431391102089956</v>
      </c>
      <c r="K6" s="9">
        <f t="shared" si="5"/>
        <v>5.5266680472144385</v>
      </c>
      <c r="L6" s="10">
        <f>Table79[[#This Row],[Speed (m/s)]]*5.15/'Resistance prediction'!$B$26</f>
        <v>12946.21257080135</v>
      </c>
      <c r="M6" s="62">
        <f>(0.075/(LOG(Table79[[#This Row],[Re]])-2)^2)</f>
        <v>1.6811820193716957E-2</v>
      </c>
      <c r="N6" s="10">
        <f>Table79[[#This Row],[Cf x 10^3]]*0.5*1025*'Resistance prediction'!$D$36*Table79[[#This Row],[Speed (m/s)]]^2</f>
        <v>266.61019613901021</v>
      </c>
      <c r="O6" s="24">
        <f>Table79[[#This Row],[Frictionnal resistance  (N)]]+G6</f>
        <v>328.66449397654219</v>
      </c>
    </row>
    <row r="7" spans="1:15" x14ac:dyDescent="0.35">
      <c r="A7" s="63">
        <f t="shared" si="6"/>
        <v>0.44999999999999996</v>
      </c>
      <c r="B7" s="9">
        <f t="shared" si="2"/>
        <v>3.1985314989851199</v>
      </c>
      <c r="C7" s="9">
        <f t="shared" si="3"/>
        <v>6.217501553116243</v>
      </c>
      <c r="D7" s="5">
        <v>2.6960000000000002</v>
      </c>
      <c r="E7" s="5">
        <v>3.95</v>
      </c>
      <c r="F7" s="46">
        <f t="shared" si="4"/>
        <v>27.055586635431744</v>
      </c>
      <c r="G7" s="51">
        <f t="shared" si="0"/>
        <v>79.280094369403102</v>
      </c>
      <c r="I7" s="63">
        <f t="shared" si="7"/>
        <v>0.44999999999999996</v>
      </c>
      <c r="J7" s="9">
        <f t="shared" si="1"/>
        <v>3.1985314989851199</v>
      </c>
      <c r="K7" s="9">
        <f t="shared" si="5"/>
        <v>6.217501553116243</v>
      </c>
      <c r="L7" s="10">
        <f>Table79[[#This Row],[Speed (m/s)]]*5.15/'Resistance prediction'!$B$26</f>
        <v>14564.489142151519</v>
      </c>
      <c r="M7" s="62">
        <f>(0.075/(LOG(Table79[[#This Row],[Re]])-2)^2)</f>
        <v>1.6026167132272454E-2</v>
      </c>
      <c r="N7" s="10">
        <f>Table79[[#This Row],[Cf x 10^3]]*0.5*1025*'Resistance prediction'!$D$36*Table79[[#This Row],[Speed (m/s)]]^2</f>
        <v>321.6597576269333</v>
      </c>
      <c r="O7" s="24">
        <f>Table79[[#This Row],[Frictionnal resistance  (N)]]+G7</f>
        <v>400.93985199633642</v>
      </c>
    </row>
    <row r="8" spans="1:15" x14ac:dyDescent="0.35">
      <c r="A8" s="63">
        <f t="shared" si="6"/>
        <v>0.49999999999999994</v>
      </c>
      <c r="B8" s="9">
        <f t="shared" si="2"/>
        <v>3.5539238877612442</v>
      </c>
      <c r="C8" s="9">
        <f t="shared" si="3"/>
        <v>6.9083350590180475</v>
      </c>
      <c r="D8" s="5">
        <v>2.5099999999999998</v>
      </c>
      <c r="E8" s="5">
        <v>3.5920000000000001</v>
      </c>
      <c r="F8" s="46">
        <f t="shared" si="4"/>
        <v>31.097520998156238</v>
      </c>
      <c r="G8" s="51">
        <f t="shared" si="0"/>
        <v>89.005813087949974</v>
      </c>
      <c r="I8" s="63">
        <f t="shared" si="7"/>
        <v>0.49999999999999994</v>
      </c>
      <c r="J8" s="9">
        <f t="shared" si="1"/>
        <v>3.5539238877612442</v>
      </c>
      <c r="K8" s="9">
        <f t="shared" si="5"/>
        <v>6.9083350590180475</v>
      </c>
      <c r="L8" s="10">
        <f>Table79[[#This Row],[Speed (m/s)]]*5.15/'Resistance prediction'!$B$26</f>
        <v>16182.765713501689</v>
      </c>
      <c r="M8" s="62">
        <f>(0.075/(LOG(Table79[[#This Row],[Re]])-2)^2)</f>
        <v>1.5369123190101105E-2</v>
      </c>
      <c r="N8" s="10">
        <f>Table79[[#This Row],[Cf x 10^3]]*0.5*1025*'Resistance prediction'!$D$36*Table79[[#This Row],[Speed (m/s)]]^2</f>
        <v>380.829984962087</v>
      </c>
      <c r="O8" s="24">
        <f>Table79[[#This Row],[Frictionnal resistance  (N)]]+G8</f>
        <v>469.83579805003694</v>
      </c>
    </row>
    <row r="9" spans="1:15" x14ac:dyDescent="0.35">
      <c r="A9" s="63">
        <f t="shared" si="6"/>
        <v>0.54999999999999993</v>
      </c>
      <c r="B9" s="9">
        <f t="shared" si="2"/>
        <v>3.9093162765373686</v>
      </c>
      <c r="C9" s="9">
        <f t="shared" si="3"/>
        <v>7.5991685649198519</v>
      </c>
      <c r="D9" s="5">
        <v>2.3380000000000001</v>
      </c>
      <c r="E9" s="5">
        <v>3.1960000000000002</v>
      </c>
      <c r="F9" s="46">
        <f t="shared" si="4"/>
        <v>35.049507949547426</v>
      </c>
      <c r="G9" s="51">
        <f t="shared" si="0"/>
        <v>95.823975540422225</v>
      </c>
      <c r="I9" s="63">
        <f t="shared" si="7"/>
        <v>0.54999999999999993</v>
      </c>
      <c r="J9" s="9">
        <f t="shared" si="1"/>
        <v>3.9093162765373686</v>
      </c>
      <c r="K9" s="9">
        <f t="shared" si="5"/>
        <v>7.5991685649198519</v>
      </c>
      <c r="L9" s="10">
        <f>Table79[[#This Row],[Speed (m/s)]]*5.15/'Resistance prediction'!$B$26</f>
        <v>17801.042284851854</v>
      </c>
      <c r="M9" s="62">
        <f>(0.075/(LOG(Table79[[#This Row],[Re]])-2)^2)</f>
        <v>1.4808950787391594E-2</v>
      </c>
      <c r="N9" s="10">
        <f>Table79[[#This Row],[Cf x 10^3]]*0.5*1025*'Resistance prediction'!$D$36*Table79[[#This Row],[Speed (m/s)]]^2</f>
        <v>444.00892929609779</v>
      </c>
      <c r="O9" s="24">
        <f>Table79[[#This Row],[Frictionnal resistance  (N)]]+G9</f>
        <v>539.83290483652002</v>
      </c>
    </row>
    <row r="10" spans="1:15" x14ac:dyDescent="0.35">
      <c r="A10" s="63">
        <f t="shared" si="6"/>
        <v>0.6</v>
      </c>
      <c r="B10" s="9">
        <f t="shared" si="2"/>
        <v>4.2647086653134938</v>
      </c>
      <c r="C10" s="9">
        <f t="shared" si="3"/>
        <v>8.2900020708216573</v>
      </c>
      <c r="D10" s="5">
        <v>2.0840000000000001</v>
      </c>
      <c r="E10" s="5">
        <v>2.8660000000000001</v>
      </c>
      <c r="F10" s="46">
        <f t="shared" si="4"/>
        <v>37.180245663197994</v>
      </c>
      <c r="G10" s="51">
        <f t="shared" si="0"/>
        <v>102.26351638265402</v>
      </c>
      <c r="I10" s="63">
        <f t="shared" si="7"/>
        <v>0.6</v>
      </c>
      <c r="J10" s="9">
        <f t="shared" si="1"/>
        <v>4.2647086653134938</v>
      </c>
      <c r="K10" s="9">
        <f t="shared" si="5"/>
        <v>8.2900020708216573</v>
      </c>
      <c r="L10" s="10">
        <f>Table79[[#This Row],[Speed (m/s)]]*5.15/'Resistance prediction'!$B$26</f>
        <v>19419.318856202026</v>
      </c>
      <c r="M10" s="62">
        <f>(0.075/(LOG(Table79[[#This Row],[Re]])-2)^2)</f>
        <v>1.4323870880339538E-2</v>
      </c>
      <c r="N10" s="10">
        <f>Table79[[#This Row],[Cf x 10^3]]*0.5*1025*'Resistance prediction'!$D$36*Table79[[#This Row],[Speed (m/s)]]^2</f>
        <v>511.09888500859142</v>
      </c>
      <c r="O10" s="24">
        <f>Table79[[#This Row],[Frictionnal resistance  (N)]]+G10</f>
        <v>613.36240139124538</v>
      </c>
    </row>
    <row r="11" spans="1:15" x14ac:dyDescent="0.35">
      <c r="A11" s="63">
        <f>A10+0.05</f>
        <v>0.65</v>
      </c>
      <c r="B11" s="9">
        <f t="shared" si="2"/>
        <v>4.6201010540896181</v>
      </c>
      <c r="C11" s="9">
        <f t="shared" si="3"/>
        <v>8.9808355767234627</v>
      </c>
      <c r="D11" s="5">
        <v>1.9</v>
      </c>
      <c r="E11" s="5">
        <v>2.6349999999999998</v>
      </c>
      <c r="F11" s="46">
        <f t="shared" si="4"/>
        <v>39.782525866565628</v>
      </c>
      <c r="G11" s="51">
        <f t="shared" si="0"/>
        <v>110.34416385094782</v>
      </c>
      <c r="I11" s="63">
        <f>I10+0.05</f>
        <v>0.65</v>
      </c>
      <c r="J11" s="9">
        <f t="shared" si="1"/>
        <v>4.6201010540896181</v>
      </c>
      <c r="K11" s="9">
        <f t="shared" si="5"/>
        <v>8.9808355767234627</v>
      </c>
      <c r="L11" s="10">
        <f>Table79[[#This Row],[Speed (m/s)]]*5.15/'Resistance prediction'!$B$26</f>
        <v>21037.595427552198</v>
      </c>
      <c r="M11" s="62">
        <f>(0.075/(LOG(Table79[[#This Row],[Re]])-2)^2)</f>
        <v>1.3898383863683686E-2</v>
      </c>
      <c r="N11" s="10">
        <f>Table79[[#This Row],[Cf x 10^3]]*0.5*1025*'Resistance prediction'!$D$36*Table79[[#This Row],[Speed (m/s)]]^2</f>
        <v>582.01349006363637</v>
      </c>
      <c r="O11" s="24">
        <f>Table79[[#This Row],[Frictionnal resistance  (N)]]+G11</f>
        <v>692.35765391458415</v>
      </c>
    </row>
    <row r="12" spans="1:15" x14ac:dyDescent="0.35">
      <c r="A12" s="63">
        <f>A11+0.05</f>
        <v>0.70000000000000007</v>
      </c>
      <c r="B12" s="9">
        <f t="shared" si="2"/>
        <v>4.9754934428657434</v>
      </c>
      <c r="C12" s="9">
        <f t="shared" si="3"/>
        <v>9.671669082625268</v>
      </c>
      <c r="D12" s="5">
        <v>1.7470000000000001</v>
      </c>
      <c r="E12" s="5">
        <v>2.468</v>
      </c>
      <c r="F12" s="46">
        <f t="shared" si="4"/>
        <v>42.422965577771635</v>
      </c>
      <c r="G12" s="51">
        <f t="shared" si="0"/>
        <v>119.86248316650304</v>
      </c>
      <c r="I12" s="63">
        <f>I11+0.05</f>
        <v>0.70000000000000007</v>
      </c>
      <c r="J12" s="9">
        <f t="shared" si="1"/>
        <v>4.9754934428657434</v>
      </c>
      <c r="K12" s="9">
        <f t="shared" si="5"/>
        <v>9.671669082625268</v>
      </c>
      <c r="L12" s="10">
        <f>Table79[[#This Row],[Speed (m/s)]]*5.15/'Resistance prediction'!$B$26</f>
        <v>22655.87199890237</v>
      </c>
      <c r="M12" s="62">
        <f>(0.075/(LOG(Table79[[#This Row],[Re]])-2)^2)</f>
        <v>1.352112306147344E-2</v>
      </c>
      <c r="N12" s="10">
        <f>Table79[[#This Row],[Cf x 10^3]]*0.5*1025*'Resistance prediction'!$D$36*Table79[[#This Row],[Speed (m/s)]]^2</f>
        <v>656.67560184281854</v>
      </c>
      <c r="O12" s="24">
        <f>Table79[[#This Row],[Frictionnal resistance  (N)]]+G12</f>
        <v>776.53808500932155</v>
      </c>
    </row>
    <row r="13" spans="1:15" x14ac:dyDescent="0.35">
      <c r="A13" s="63">
        <f t="shared" ref="A13:A14" si="8">A12+0.05</f>
        <v>0.75000000000000011</v>
      </c>
      <c r="B13" s="9">
        <f t="shared" si="2"/>
        <v>5.3308858316418677</v>
      </c>
      <c r="C13" s="9">
        <f t="shared" si="3"/>
        <v>10.362502588527073</v>
      </c>
      <c r="D13" s="5">
        <v>1.6559999999999999</v>
      </c>
      <c r="E13" s="5">
        <v>2.339</v>
      </c>
      <c r="F13" s="46">
        <f t="shared" si="4"/>
        <v>46.163092923956263</v>
      </c>
      <c r="G13" s="51">
        <f t="shared" si="0"/>
        <v>130.40516225740785</v>
      </c>
      <c r="I13" s="63">
        <f t="shared" ref="I13:I14" si="9">I12+0.05</f>
        <v>0.75000000000000011</v>
      </c>
      <c r="J13" s="9">
        <f t="shared" si="1"/>
        <v>5.3308858316418677</v>
      </c>
      <c r="K13" s="9">
        <f t="shared" si="5"/>
        <v>10.362502588527073</v>
      </c>
      <c r="L13" s="10">
        <f>Table79[[#This Row],[Speed (m/s)]]*5.15/'Resistance prediction'!$B$26</f>
        <v>24274.148570252535</v>
      </c>
      <c r="M13" s="62">
        <f>(0.075/(LOG(Table79[[#This Row],[Re]])-2)^2)</f>
        <v>1.3183540358692425E-2</v>
      </c>
      <c r="N13" s="10">
        <f>Table79[[#This Row],[Cf x 10^3]]*0.5*1025*'Resistance prediction'!$D$36*Table79[[#This Row],[Speed (m/s)]]^2</f>
        <v>735.01569884667413</v>
      </c>
      <c r="O13" s="24">
        <f>Table79[[#This Row],[Frictionnal resistance  (N)]]+G13</f>
        <v>865.42086110408195</v>
      </c>
    </row>
    <row r="14" spans="1:15" x14ac:dyDescent="0.35">
      <c r="A14" s="63">
        <f t="shared" si="8"/>
        <v>0.80000000000000016</v>
      </c>
      <c r="B14" s="9">
        <f t="shared" si="2"/>
        <v>5.6862782204179929</v>
      </c>
      <c r="C14" s="9">
        <f t="shared" si="3"/>
        <v>11.053336094428879</v>
      </c>
      <c r="D14" s="5">
        <v>1.575</v>
      </c>
      <c r="E14" s="5">
        <v>2.2410000000000001</v>
      </c>
      <c r="F14" s="46">
        <f t="shared" si="4"/>
        <v>49.95426480660003</v>
      </c>
      <c r="G14" s="51">
        <f t="shared" si="0"/>
        <v>142.15556499249607</v>
      </c>
      <c r="I14" s="63">
        <f t="shared" si="9"/>
        <v>0.80000000000000016</v>
      </c>
      <c r="J14" s="9">
        <f t="shared" si="1"/>
        <v>5.6862782204179929</v>
      </c>
      <c r="K14" s="9">
        <f t="shared" si="5"/>
        <v>11.053336094428879</v>
      </c>
      <c r="L14" s="10">
        <f>Table79[[#This Row],[Speed (m/s)]]*5.15/'Resistance prediction'!$B$26</f>
        <v>25892.425141602707</v>
      </c>
      <c r="M14" s="62">
        <f>(0.075/(LOG(Table79[[#This Row],[Re]])-2)^2)</f>
        <v>1.2879068282652202E-2</v>
      </c>
      <c r="N14" s="10">
        <f>Table79[[#This Row],[Cf x 10^3]]*0.5*1025*'Resistance prediction'!$D$36*Table79[[#This Row],[Speed (m/s)]]^2</f>
        <v>816.97065073510043</v>
      </c>
      <c r="O14" s="24">
        <f>Table79[[#This Row],[Frictionnal resistance  (N)]]+G14</f>
        <v>959.12621572759645</v>
      </c>
    </row>
    <row r="15" spans="1:15" x14ac:dyDescent="0.35">
      <c r="A15" s="63">
        <f t="shared" ref="A15:A20" si="10">A14+0.05</f>
        <v>0.8500000000000002</v>
      </c>
      <c r="B15" s="9">
        <f t="shared" si="2"/>
        <v>6.0416706091941172</v>
      </c>
      <c r="C15" s="9">
        <f t="shared" si="3"/>
        <v>11.744169600330684</v>
      </c>
      <c r="D15" s="5">
        <v>1.5269999999999999</v>
      </c>
      <c r="E15" s="5">
        <v>2.1720000000000002</v>
      </c>
      <c r="F15" s="46">
        <f t="shared" si="4"/>
        <v>54.675017167527301</v>
      </c>
      <c r="G15" s="51">
        <f t="shared" si="0"/>
        <v>155.53914510526434</v>
      </c>
      <c r="I15" s="63">
        <f t="shared" ref="I15:I20" si="11">I14+0.05</f>
        <v>0.8500000000000002</v>
      </c>
      <c r="J15" s="9">
        <f t="shared" si="1"/>
        <v>6.0416706091941172</v>
      </c>
      <c r="K15" s="9">
        <f t="shared" si="5"/>
        <v>11.744169600330684</v>
      </c>
      <c r="L15" s="10">
        <f>Table79[[#This Row],[Speed (m/s)]]*5.15/'Resistance prediction'!$B$26</f>
        <v>27510.701712952876</v>
      </c>
      <c r="M15" s="62">
        <f>(0.075/(LOG(Table79[[#This Row],[Re]])-2)^2)</f>
        <v>1.2602567278474563E-2</v>
      </c>
      <c r="N15" s="10">
        <f>Table79[[#This Row],[Cf x 10^3]]*0.5*1025*'Resistance prediction'!$D$36*Table79[[#This Row],[Speed (m/s)]]^2</f>
        <v>902.48275351082452</v>
      </c>
      <c r="O15" s="24">
        <f>Table79[[#This Row],[Frictionnal resistance  (N)]]+G15</f>
        <v>1058.0218986160889</v>
      </c>
    </row>
    <row r="16" spans="1:15" x14ac:dyDescent="0.35">
      <c r="A16" s="63">
        <f t="shared" si="10"/>
        <v>0.90000000000000024</v>
      </c>
      <c r="B16" s="9">
        <f t="shared" si="2"/>
        <v>6.3970629979702425</v>
      </c>
      <c r="C16" s="9">
        <f t="shared" si="3"/>
        <v>12.435003106232491</v>
      </c>
      <c r="D16" s="5">
        <v>1.5229999999999999</v>
      </c>
      <c r="E16" s="5">
        <v>2.129</v>
      </c>
      <c r="F16" s="46">
        <f t="shared" si="4"/>
        <v>61.13599175929167</v>
      </c>
      <c r="G16" s="51">
        <f t="shared" si="0"/>
        <v>170.92386927843987</v>
      </c>
      <c r="I16" s="63">
        <f t="shared" si="11"/>
        <v>0.90000000000000024</v>
      </c>
      <c r="J16" s="9">
        <f t="shared" si="1"/>
        <v>6.3970629979702425</v>
      </c>
      <c r="K16" s="9">
        <f t="shared" si="5"/>
        <v>12.435003106232491</v>
      </c>
      <c r="L16" s="10">
        <f>Table79[[#This Row],[Speed (m/s)]]*5.15/'Resistance prediction'!$B$26</f>
        <v>29128.978284303052</v>
      </c>
      <c r="M16" s="62">
        <f>(0.075/(LOG(Table79[[#This Row],[Re]])-2)^2)</f>
        <v>1.2349950272653816E-2</v>
      </c>
      <c r="N16" s="10">
        <f>Table79[[#This Row],[Cf x 10^3]]*0.5*1025*'Resistance prediction'!$D$36*Table79[[#This Row],[Speed (m/s)]]^2</f>
        <v>991.49896007436053</v>
      </c>
      <c r="O16" s="24">
        <f>Table79[[#This Row],[Frictionnal resistance  (N)]]+G16</f>
        <v>1162.4228293528004</v>
      </c>
    </row>
    <row r="17" spans="1:24" x14ac:dyDescent="0.35">
      <c r="A17" s="63">
        <f t="shared" si="10"/>
        <v>0.95000000000000029</v>
      </c>
      <c r="B17" s="9">
        <f t="shared" si="2"/>
        <v>6.7524553867463668</v>
      </c>
      <c r="C17" s="9">
        <f t="shared" si="3"/>
        <v>13.125836612134295</v>
      </c>
      <c r="D17" s="5">
        <v>1.482</v>
      </c>
      <c r="E17" s="5">
        <v>2.089</v>
      </c>
      <c r="F17" s="46">
        <f t="shared" si="4"/>
        <v>66.283808482293225</v>
      </c>
      <c r="G17" s="51">
        <f t="shared" si="0"/>
        <v>186.86487978341501</v>
      </c>
      <c r="I17" s="63">
        <f t="shared" si="11"/>
        <v>0.95000000000000029</v>
      </c>
      <c r="J17" s="9">
        <f t="shared" si="1"/>
        <v>6.7524553867463668</v>
      </c>
      <c r="K17" s="9">
        <f t="shared" si="5"/>
        <v>13.125836612134295</v>
      </c>
      <c r="L17" s="10">
        <f>Table79[[#This Row],[Speed (m/s)]]*5.15/'Resistance prediction'!$B$26</f>
        <v>30747.25485565322</v>
      </c>
      <c r="M17" s="62">
        <f>(0.075/(LOG(Table79[[#This Row],[Re]])-2)^2)</f>
        <v>1.2117921093146548E-2</v>
      </c>
      <c r="N17" s="10">
        <f>Table79[[#This Row],[Cf x 10^3]]*0.5*1025*'Resistance prediction'!$D$36*Table79[[#This Row],[Speed (m/s)]]^2</f>
        <v>1083.9702576810621</v>
      </c>
      <c r="O17" s="24">
        <f>Table79[[#This Row],[Frictionnal resistance  (N)]]+G17</f>
        <v>1270.8351374644772</v>
      </c>
    </row>
    <row r="18" spans="1:24" x14ac:dyDescent="0.35">
      <c r="A18" s="64">
        <f t="shared" si="10"/>
        <v>1.0000000000000002</v>
      </c>
      <c r="B18" s="57">
        <f t="shared" si="2"/>
        <v>7.1078477755224911</v>
      </c>
      <c r="C18" s="57">
        <f t="shared" si="3"/>
        <v>13.8166701180361</v>
      </c>
      <c r="D18" s="38">
        <v>1.4259999999999999</v>
      </c>
      <c r="E18" s="38">
        <v>2.0630000000000002</v>
      </c>
      <c r="F18" s="58">
        <f t="shared" si="4"/>
        <v>70.669426204575032</v>
      </c>
      <c r="G18" s="59">
        <f t="shared" si="0"/>
        <v>204.47549265082512</v>
      </c>
      <c r="I18" s="64">
        <f t="shared" si="11"/>
        <v>1.0000000000000002</v>
      </c>
      <c r="J18" s="57">
        <f t="shared" si="1"/>
        <v>7.1078477755224911</v>
      </c>
      <c r="K18" s="57">
        <f t="shared" si="5"/>
        <v>13.8166701180361</v>
      </c>
      <c r="L18" s="61">
        <f>Table79[[#This Row],[Speed (m/s)]]*5.15/'Resistance prediction'!$B$26</f>
        <v>32365.531427003389</v>
      </c>
      <c r="M18" s="62">
        <f>(0.075/(LOG(Table79[[#This Row],[Re]])-2)^2)</f>
        <v>1.1903788111928319E-2</v>
      </c>
      <c r="N18" s="10">
        <f>Table79[[#This Row],[Cf x 10^3]]*0.5*1025*'Resistance prediction'!$D$36*Table79[[#This Row],[Speed (m/s)]]^2</f>
        <v>1179.8511578272312</v>
      </c>
      <c r="O18" s="24">
        <f>Table79[[#This Row],[Frictionnal resistance  (N)]]+G18</f>
        <v>1384.3266504780563</v>
      </c>
    </row>
    <row r="19" spans="1:24" x14ac:dyDescent="0.35">
      <c r="A19" s="67">
        <f t="shared" si="10"/>
        <v>1.0500000000000003</v>
      </c>
      <c r="B19" s="69">
        <f t="shared" ref="B19:B32" si="12">A19*SQRT(9.81*5.15)</f>
        <v>7.4632401642986155</v>
      </c>
      <c r="C19" s="69">
        <f>B19/0.51444</f>
        <v>14.507503623937904</v>
      </c>
      <c r="D19" s="69" cm="1">
        <f t="array" ref="D19:D32">TREND(Table7[Model 6b Residuary resistance coefficient monhull (Ct - Cf) x 1000],Table7[Fn],A19:A32,TRUE)</f>
        <v>1.4355220588235289</v>
      </c>
      <c r="E19" s="69" cm="1">
        <f t="array" ref="E19:E32">TREND(Table7[Model 6b Residuary resistance coefficient 2 hulls (Ct - Cf) x 1000],Table7[Fn],A19:A32, TRUE)</f>
        <v>1.9185735294117641</v>
      </c>
      <c r="F19" s="69">
        <f t="shared" ref="F19:F32" si="13">D19*10^-3*0.5*1025*1.914*B19^2</f>
        <v>78.433303661766189</v>
      </c>
      <c r="G19" s="69">
        <f>E19*10^-3*0.5*1025*3.828*B19^2</f>
        <v>209.65203467943104</v>
      </c>
      <c r="I19" s="63">
        <f t="shared" si="11"/>
        <v>1.0500000000000003</v>
      </c>
      <c r="J19" s="9">
        <f t="shared" ref="J19:J32" si="14">I19*SQRT(9.81*5.15)</f>
        <v>7.4632401642986155</v>
      </c>
      <c r="K19" s="9">
        <f t="shared" ref="K19:K32" si="15">J19/0.51444</f>
        <v>14.507503623937904</v>
      </c>
      <c r="L19" s="10">
        <f>Table79[[#This Row],[Speed (m/s)]]*5.15/'Resistance prediction'!$B$26</f>
        <v>33983.80799835355</v>
      </c>
      <c r="M19" s="62">
        <f>(0.075/(LOG(Table79[[#This Row],[Re]])-2)^2)</f>
        <v>1.1705328839032424E-2</v>
      </c>
      <c r="N19" s="10">
        <f>Table79[[#This Row],[Cf x 10^3]]*0.5*1025*'Resistance prediction'!$D$36*Table79[[#This Row],[Speed (m/s)]]^2</f>
        <v>1279.09927353547</v>
      </c>
      <c r="O19" s="24">
        <f>Table79[[#This Row],[Frictionnal resistance  (N)]]+G19</f>
        <v>1488.7513082149012</v>
      </c>
    </row>
    <row r="20" spans="1:24" x14ac:dyDescent="0.35">
      <c r="A20" s="68">
        <f t="shared" si="10"/>
        <v>1.1000000000000003</v>
      </c>
      <c r="B20" s="70">
        <f t="shared" si="12"/>
        <v>7.8186325530747407</v>
      </c>
      <c r="C20" s="70">
        <f t="shared" ref="C20:C32" si="16">B20/0.51444</f>
        <v>15.198337129839711</v>
      </c>
      <c r="D20" s="70">
        <v>1.3769264705882347</v>
      </c>
      <c r="E20" s="70">
        <v>1.8144803921568617</v>
      </c>
      <c r="F20" s="70">
        <f t="shared" si="13"/>
        <v>82.56731441715084</v>
      </c>
      <c r="G20" s="69">
        <f t="shared" ref="G20:G32" si="17">E20*10^-3*0.5*1025*3.828*B20^2</f>
        <v>217.61041891941804</v>
      </c>
      <c r="I20" s="63">
        <f t="shared" si="11"/>
        <v>1.1000000000000003</v>
      </c>
      <c r="J20" s="9">
        <f t="shared" si="14"/>
        <v>7.8186325530747407</v>
      </c>
      <c r="K20" s="9">
        <f t="shared" si="15"/>
        <v>15.198337129839711</v>
      </c>
      <c r="L20" s="10">
        <f>Table79[[#This Row],[Speed (m/s)]]*5.15/'Resistance prediction'!$B$26</f>
        <v>35602.084569703729</v>
      </c>
      <c r="M20" s="62">
        <f>(0.075/(LOG(Table79[[#This Row],[Re]])-2)^2)</f>
        <v>1.1520689798490502E-2</v>
      </c>
      <c r="N20" s="10">
        <f>Table79[[#This Row],[Cf x 10^3]]*0.5*1025*'Resistance prediction'!$D$36*Table79[[#This Row],[Speed (m/s)]]^2</f>
        <v>1381.6749655310973</v>
      </c>
      <c r="O20" s="24">
        <f>Table79[[#This Row],[Frictionnal resistance  (N)]]+G20</f>
        <v>1599.2853844505153</v>
      </c>
    </row>
    <row r="21" spans="1:24" x14ac:dyDescent="0.35">
      <c r="A21" s="67">
        <f t="shared" ref="A21:A32" si="18">A20+0.05</f>
        <v>1.1500000000000004</v>
      </c>
      <c r="B21" s="69">
        <f t="shared" si="12"/>
        <v>8.174024941850865</v>
      </c>
      <c r="C21" s="69">
        <f t="shared" si="16"/>
        <v>15.889170635741515</v>
      </c>
      <c r="D21" s="69">
        <v>1.3183308823529405</v>
      </c>
      <c r="E21" s="69">
        <v>1.7103872549019599</v>
      </c>
      <c r="F21" s="69">
        <f t="shared" si="13"/>
        <v>86.403661334033416</v>
      </c>
      <c r="G21" s="69">
        <f t="shared" si="17"/>
        <v>224.19822383108178</v>
      </c>
      <c r="I21" s="63">
        <f t="shared" ref="I21:I32" si="19">I20+0.05</f>
        <v>1.1500000000000004</v>
      </c>
      <c r="J21" s="9">
        <f t="shared" si="14"/>
        <v>8.174024941850865</v>
      </c>
      <c r="K21" s="9">
        <f t="shared" si="15"/>
        <v>15.889170635741515</v>
      </c>
      <c r="L21" s="10">
        <f>Table79[[#This Row],[Speed (m/s)]]*5.15/'Resistance prediction'!$B$26</f>
        <v>37220.361141053894</v>
      </c>
      <c r="M21" s="62">
        <f>(0.075/(LOG(Table79[[#This Row],[Re]])-2)^2)</f>
        <v>1.1348311321550911E-2</v>
      </c>
      <c r="N21" s="10">
        <f>Table79[[#This Row],[Cf x 10^3]]*0.5*1025*'Resistance prediction'!$D$36*Table79[[#This Row],[Speed (m/s)]]^2</f>
        <v>1487.5410433993845</v>
      </c>
      <c r="O21" s="24">
        <f>Table79[[#This Row],[Frictionnal resistance  (N)]]+G21</f>
        <v>1711.7392672304663</v>
      </c>
    </row>
    <row r="22" spans="1:24" x14ac:dyDescent="0.35">
      <c r="A22" s="68">
        <f t="shared" si="18"/>
        <v>1.2000000000000004</v>
      </c>
      <c r="B22" s="70">
        <f t="shared" si="12"/>
        <v>8.5294173306269894</v>
      </c>
      <c r="C22" s="70">
        <f t="shared" si="16"/>
        <v>16.580004141643318</v>
      </c>
      <c r="D22" s="70">
        <v>1.2597352941176465</v>
      </c>
      <c r="E22" s="70">
        <v>1.606294117647058</v>
      </c>
      <c r="F22" s="70">
        <f t="shared" si="13"/>
        <v>89.898786383675827</v>
      </c>
      <c r="G22" s="69">
        <f t="shared" si="17"/>
        <v>229.26069060064304</v>
      </c>
      <c r="I22" s="63">
        <f t="shared" si="19"/>
        <v>1.2000000000000004</v>
      </c>
      <c r="J22" s="9">
        <f t="shared" si="14"/>
        <v>8.5294173306269894</v>
      </c>
      <c r="K22" s="9">
        <f t="shared" si="15"/>
        <v>16.580004141643318</v>
      </c>
      <c r="L22" s="10">
        <f>Table79[[#This Row],[Speed (m/s)]]*5.15/'Resistance prediction'!$B$26</f>
        <v>38838.637712404059</v>
      </c>
      <c r="M22" s="62">
        <f>(0.075/(LOG(Table79[[#This Row],[Re]])-2)^2)</f>
        <v>1.1186870251297491E-2</v>
      </c>
      <c r="N22" s="10">
        <f>Table79[[#This Row],[Cf x 10^3]]*0.5*1025*'Resistance prediction'!$D$36*Table79[[#This Row],[Speed (m/s)]]^2</f>
        <v>1596.6625111154028</v>
      </c>
      <c r="O22" s="24">
        <f>Table79[[#This Row],[Frictionnal resistance  (N)]]+G22</f>
        <v>1825.9232017160459</v>
      </c>
    </row>
    <row r="23" spans="1:24" x14ac:dyDescent="0.35">
      <c r="A23" s="67">
        <f t="shared" si="18"/>
        <v>1.2500000000000004</v>
      </c>
      <c r="B23" s="69">
        <f t="shared" si="12"/>
        <v>8.8848097194031155</v>
      </c>
      <c r="C23" s="69">
        <f t="shared" si="16"/>
        <v>17.270837647545129</v>
      </c>
      <c r="D23" s="69">
        <v>1.2011397058823523</v>
      </c>
      <c r="E23" s="69">
        <v>1.5022009803921557</v>
      </c>
      <c r="F23" s="69">
        <f t="shared" si="13"/>
        <v>93.009131537339897</v>
      </c>
      <c r="G23" s="69">
        <f t="shared" si="17"/>
        <v>232.64306041432275</v>
      </c>
      <c r="I23" s="63">
        <f t="shared" si="19"/>
        <v>1.2500000000000004</v>
      </c>
      <c r="J23" s="9">
        <f t="shared" si="14"/>
        <v>8.8848097194031155</v>
      </c>
      <c r="K23" s="9">
        <f t="shared" si="15"/>
        <v>17.270837647545129</v>
      </c>
      <c r="L23" s="10">
        <f>Table79[[#This Row],[Speed (m/s)]]*5.15/'Resistance prediction'!$B$26</f>
        <v>40456.914283754246</v>
      </c>
      <c r="M23" s="62">
        <f>(0.075/(LOG(Table79[[#This Row],[Re]])-2)^2)</f>
        <v>1.1035235729857934E-2</v>
      </c>
      <c r="N23" s="10">
        <f>Table79[[#This Row],[Cf x 10^3]]*0.5*1025*'Resistance prediction'!$D$36*Table79[[#This Row],[Speed (m/s)]]^2</f>
        <v>1709.0063487493101</v>
      </c>
      <c r="O23" s="24">
        <f>Table79[[#This Row],[Frictionnal resistance  (N)]]+G23</f>
        <v>1941.6494091636328</v>
      </c>
    </row>
    <row r="24" spans="1:24" x14ac:dyDescent="0.35">
      <c r="A24" s="68">
        <f t="shared" si="18"/>
        <v>1.3000000000000005</v>
      </c>
      <c r="B24" s="70">
        <f t="shared" si="12"/>
        <v>9.2402021081792398</v>
      </c>
      <c r="C24" s="70">
        <f t="shared" si="16"/>
        <v>17.961671153446932</v>
      </c>
      <c r="D24" s="70">
        <v>1.1425441176470581</v>
      </c>
      <c r="E24" s="70">
        <v>1.3981078431372538</v>
      </c>
      <c r="F24" s="70">
        <f t="shared" si="13"/>
        <v>95.691138766287438</v>
      </c>
      <c r="G24" s="69">
        <f t="shared" si="17"/>
        <v>234.19057445834156</v>
      </c>
      <c r="I24" s="63">
        <f t="shared" si="19"/>
        <v>1.3000000000000005</v>
      </c>
      <c r="J24" s="9">
        <f t="shared" si="14"/>
        <v>9.2402021081792398</v>
      </c>
      <c r="K24" s="9">
        <f t="shared" si="15"/>
        <v>17.961671153446932</v>
      </c>
      <c r="L24" s="10">
        <f>Table79[[#This Row],[Speed (m/s)]]*5.15/'Resistance prediction'!$B$26</f>
        <v>42075.190855104403</v>
      </c>
      <c r="M24" s="62">
        <f>(0.075/(LOG(Table79[[#This Row],[Re]])-2)^2)</f>
        <v>1.089243468070507E-2</v>
      </c>
      <c r="N24" s="10">
        <f>Table79[[#This Row],[Cf x 10^3]]*0.5*1025*'Resistance prediction'!$D$36*Table79[[#This Row],[Speed (m/s)]]^2</f>
        <v>1824.5413239369527</v>
      </c>
      <c r="O24" s="24">
        <f>Table79[[#This Row],[Frictionnal resistance  (N)]]+G24</f>
        <v>2058.7318983952941</v>
      </c>
    </row>
    <row r="25" spans="1:24" x14ac:dyDescent="0.35">
      <c r="A25" s="67">
        <f>A24+0.05</f>
        <v>1.3500000000000005</v>
      </c>
      <c r="B25" s="69">
        <f t="shared" si="12"/>
        <v>9.5955944969553641</v>
      </c>
      <c r="C25" s="69">
        <f t="shared" si="16"/>
        <v>18.652504659348736</v>
      </c>
      <c r="D25" s="69">
        <v>1.0839485294117639</v>
      </c>
      <c r="E25" s="69">
        <v>1.2940147058823515</v>
      </c>
      <c r="F25" s="69">
        <f t="shared" si="13"/>
        <v>97.901250041780273</v>
      </c>
      <c r="G25" s="69">
        <f t="shared" si="17"/>
        <v>233.74847391892027</v>
      </c>
      <c r="I25" s="63">
        <f>I24+0.05</f>
        <v>1.3500000000000005</v>
      </c>
      <c r="J25" s="9">
        <f t="shared" si="14"/>
        <v>9.5955944969553641</v>
      </c>
      <c r="K25" s="9">
        <f t="shared" si="15"/>
        <v>18.652504659348736</v>
      </c>
      <c r="L25" s="10">
        <f>Table79[[#This Row],[Speed (m/s)]]*5.15/'Resistance prediction'!$B$26</f>
        <v>43693.467426454576</v>
      </c>
      <c r="M25" s="62">
        <f>(0.075/(LOG(Table79[[#This Row],[Re]])-2)^2)</f>
        <v>1.0757624571245591E-2</v>
      </c>
      <c r="N25" s="10">
        <f>Table79[[#This Row],[Cf x 10^3]]*0.5*1025*'Resistance prediction'!$D$36*Table79[[#This Row],[Speed (m/s)]]^2</f>
        <v>1943.2378280482653</v>
      </c>
      <c r="O25" s="24">
        <f>Table79[[#This Row],[Frictionnal resistance  (N)]]+G25</f>
        <v>2176.9863019671857</v>
      </c>
    </row>
    <row r="26" spans="1:24" x14ac:dyDescent="0.35">
      <c r="A26" s="68">
        <f t="shared" si="18"/>
        <v>1.4000000000000006</v>
      </c>
      <c r="B26" s="70">
        <f t="shared" si="12"/>
        <v>9.9509868857314885</v>
      </c>
      <c r="C26" s="70">
        <f t="shared" si="16"/>
        <v>19.34333816525054</v>
      </c>
      <c r="D26" s="70">
        <v>1.0253529411764699</v>
      </c>
      <c r="E26" s="70">
        <v>1.1899215686274496</v>
      </c>
      <c r="F26" s="70">
        <f t="shared" si="13"/>
        <v>99.595907335080256</v>
      </c>
      <c r="G26" s="69">
        <f t="shared" si="17"/>
        <v>231.16199998227978</v>
      </c>
      <c r="I26" s="63">
        <f t="shared" si="19"/>
        <v>1.4000000000000006</v>
      </c>
      <c r="J26" s="9">
        <f t="shared" si="14"/>
        <v>9.9509868857314885</v>
      </c>
      <c r="K26" s="9">
        <f t="shared" si="15"/>
        <v>19.34333816525054</v>
      </c>
      <c r="L26" s="10">
        <f>Table79[[#This Row],[Speed (m/s)]]*5.15/'Resistance prediction'!$B$26</f>
        <v>45311.743997804748</v>
      </c>
      <c r="M26" s="62">
        <f>(0.075/(LOG(Table79[[#This Row],[Re]])-2)^2)</f>
        <v>1.0630071708890047E-2</v>
      </c>
      <c r="N26" s="10">
        <f>Table79[[#This Row],[Cf x 10^3]]*0.5*1025*'Resistance prediction'!$D$36*Table79[[#This Row],[Speed (m/s)]]^2</f>
        <v>2065.0677330073804</v>
      </c>
      <c r="O26" s="24">
        <f>Table79[[#This Row],[Frictionnal resistance  (N)]]+G26</f>
        <v>2296.2297329896601</v>
      </c>
      <c r="Q26" s="5" t="s">
        <v>189</v>
      </c>
      <c r="R26" s="5"/>
      <c r="S26" s="5"/>
      <c r="T26" s="5"/>
      <c r="U26" s="5"/>
      <c r="V26" s="5"/>
      <c r="W26" s="5"/>
      <c r="X26" s="5"/>
    </row>
    <row r="27" spans="1:24" x14ac:dyDescent="0.35">
      <c r="A27" s="67">
        <f t="shared" si="18"/>
        <v>1.4500000000000006</v>
      </c>
      <c r="B27" s="69">
        <f t="shared" si="12"/>
        <v>10.306379274507615</v>
      </c>
      <c r="C27" s="69">
        <f t="shared" si="16"/>
        <v>20.03417167115235</v>
      </c>
      <c r="D27" s="69">
        <v>0.96675735294117571</v>
      </c>
      <c r="E27" s="69">
        <v>1.0858284313725477</v>
      </c>
      <c r="F27" s="69">
        <f t="shared" si="13"/>
        <v>100.73155261744928</v>
      </c>
      <c r="G27" s="69">
        <f t="shared" si="17"/>
        <v>226.27639383464094</v>
      </c>
      <c r="I27" s="63">
        <f t="shared" si="19"/>
        <v>1.4500000000000006</v>
      </c>
      <c r="J27" s="9">
        <f t="shared" si="14"/>
        <v>10.306379274507615</v>
      </c>
      <c r="K27" s="9">
        <f t="shared" si="15"/>
        <v>20.03417167115235</v>
      </c>
      <c r="L27" s="10">
        <f>Table79[[#This Row],[Speed (m/s)]]*5.15/'Resistance prediction'!$B$26</f>
        <v>46930.02056915492</v>
      </c>
      <c r="M27" s="62">
        <f>(0.075/(LOG(Table79[[#This Row],[Re]])-2)^2)</f>
        <v>1.0509133789932075E-2</v>
      </c>
      <c r="N27" s="10">
        <f>Table79[[#This Row],[Cf x 10^3]]*0.5*1025*'Resistance prediction'!$D$36*Table79[[#This Row],[Speed (m/s)]]^2</f>
        <v>2190.0042655041898</v>
      </c>
      <c r="O27" s="24">
        <f>Table79[[#This Row],[Frictionnal resistance  (N)]]+G27</f>
        <v>2416.2806593388309</v>
      </c>
      <c r="Q27" s="5" t="s">
        <v>190</v>
      </c>
      <c r="R27" s="5" t="s">
        <v>191</v>
      </c>
      <c r="S27" s="5" t="s">
        <v>192</v>
      </c>
      <c r="T27" s="5" t="s">
        <v>193</v>
      </c>
      <c r="U27" s="5" t="s">
        <v>194</v>
      </c>
      <c r="V27" s="5" t="s">
        <v>78</v>
      </c>
      <c r="W27" s="5" t="s">
        <v>195</v>
      </c>
      <c r="X27" s="5"/>
    </row>
    <row r="28" spans="1:24" x14ac:dyDescent="0.35">
      <c r="A28" s="68">
        <f t="shared" si="18"/>
        <v>1.5000000000000007</v>
      </c>
      <c r="B28" s="70">
        <f t="shared" si="12"/>
        <v>10.661771663283739</v>
      </c>
      <c r="C28" s="70">
        <f t="shared" si="16"/>
        <v>20.725005177054154</v>
      </c>
      <c r="D28" s="70">
        <v>0.9081617647058815</v>
      </c>
      <c r="E28" s="70">
        <v>0.98173529411764537</v>
      </c>
      <c r="F28" s="70">
        <f t="shared" si="13"/>
        <v>101.26462786014912</v>
      </c>
      <c r="G28" s="69">
        <f t="shared" si="17"/>
        <v>218.93689666222431</v>
      </c>
      <c r="I28" s="63">
        <f t="shared" si="19"/>
        <v>1.5000000000000007</v>
      </c>
      <c r="J28" s="9">
        <f t="shared" si="14"/>
        <v>10.661771663283739</v>
      </c>
      <c r="K28" s="9">
        <f t="shared" si="15"/>
        <v>20.725005177054154</v>
      </c>
      <c r="L28" s="10">
        <f>Table79[[#This Row],[Speed (m/s)]]*5.15/'Resistance prediction'!$B$26</f>
        <v>48548.297140505092</v>
      </c>
      <c r="M28" s="62">
        <f>(0.075/(LOG(Table79[[#This Row],[Re]])-2)^2)</f>
        <v>1.0394245750640723E-2</v>
      </c>
      <c r="N28" s="10">
        <f>Table79[[#This Row],[Cf x 10^3]]*0.5*1025*'Resistance prediction'!$D$36*Table79[[#This Row],[Speed (m/s)]]^2</f>
        <v>2318.0218959481426</v>
      </c>
      <c r="O28" s="24">
        <f>Table79[[#This Row],[Frictionnal resistance  (N)]]+G28</f>
        <v>2536.9587926103668</v>
      </c>
      <c r="Q28" s="5">
        <v>1.6</v>
      </c>
      <c r="R28" s="5">
        <v>13.1</v>
      </c>
      <c r="S28" s="5">
        <v>2</v>
      </c>
      <c r="T28" s="5">
        <v>9.5</v>
      </c>
      <c r="U28" s="5">
        <v>0.4</v>
      </c>
      <c r="V28" s="5">
        <v>0.69299999999999995</v>
      </c>
      <c r="W28" s="5">
        <v>0.23300000000000001</v>
      </c>
      <c r="X28" s="5"/>
    </row>
    <row r="29" spans="1:24" x14ac:dyDescent="0.35">
      <c r="A29" s="67">
        <f t="shared" si="18"/>
        <v>1.5500000000000007</v>
      </c>
      <c r="B29" s="69">
        <f t="shared" si="12"/>
        <v>11.017164052059863</v>
      </c>
      <c r="C29" s="69">
        <f t="shared" si="16"/>
        <v>21.415838682955957</v>
      </c>
      <c r="D29" s="69">
        <v>0.8495661764705873</v>
      </c>
      <c r="E29" s="69">
        <v>0.87764215686274349</v>
      </c>
      <c r="F29" s="69">
        <f t="shared" si="13"/>
        <v>101.15157503444163</v>
      </c>
      <c r="G29" s="69">
        <f t="shared" si="17"/>
        <v>208.98874965125083</v>
      </c>
      <c r="I29" s="63">
        <f t="shared" si="19"/>
        <v>1.5500000000000007</v>
      </c>
      <c r="J29" s="9">
        <f t="shared" si="14"/>
        <v>11.017164052059863</v>
      </c>
      <c r="K29" s="9">
        <f t="shared" si="15"/>
        <v>21.415838682955957</v>
      </c>
      <c r="L29" s="10">
        <f>Table79[[#This Row],[Speed (m/s)]]*5.15/'Resistance prediction'!$B$26</f>
        <v>50166.573711855257</v>
      </c>
      <c r="M29" s="62">
        <f>(0.075/(LOG(Table79[[#This Row],[Re]])-2)^2)</f>
        <v>1.0284908206878628E-2</v>
      </c>
      <c r="N29" s="10">
        <f>Table79[[#This Row],[Cf x 10^3]]*0.5*1025*'Resistance prediction'!$D$36*Table79[[#This Row],[Speed (m/s)]]^2</f>
        <v>2449.0962399947789</v>
      </c>
      <c r="O29" s="24">
        <f>Table79[[#This Row],[Frictionnal resistance  (N)]]+G29</f>
        <v>2658.0849896460295</v>
      </c>
      <c r="Q29" s="5"/>
      <c r="R29" s="5"/>
      <c r="S29" s="5"/>
      <c r="T29" s="5"/>
      <c r="U29" s="5"/>
      <c r="V29" s="5"/>
      <c r="W29" s="5"/>
      <c r="X29" s="5"/>
    </row>
    <row r="30" spans="1:24" x14ac:dyDescent="0.35">
      <c r="A30" s="68">
        <f t="shared" si="18"/>
        <v>1.6000000000000008</v>
      </c>
      <c r="B30" s="70">
        <f t="shared" si="12"/>
        <v>11.372556440835988</v>
      </c>
      <c r="C30" s="70">
        <f t="shared" si="16"/>
        <v>22.106672188857761</v>
      </c>
      <c r="D30" s="70">
        <v>0.79097058823529309</v>
      </c>
      <c r="E30" s="70">
        <v>0.77354901960784161</v>
      </c>
      <c r="F30" s="70">
        <f t="shared" si="13"/>
        <v>100.34883611158865</v>
      </c>
      <c r="G30" s="69">
        <f t="shared" si="17"/>
        <v>196.27719398794139</v>
      </c>
      <c r="I30" s="63">
        <f t="shared" si="19"/>
        <v>1.6000000000000008</v>
      </c>
      <c r="J30" s="9">
        <f t="shared" si="14"/>
        <v>11.372556440835988</v>
      </c>
      <c r="K30" s="9">
        <f t="shared" si="15"/>
        <v>22.106672188857761</v>
      </c>
      <c r="L30" s="10">
        <f>Table79[[#This Row],[Speed (m/s)]]*5.15/'Resistance prediction'!$B$26</f>
        <v>51784.850283205429</v>
      </c>
      <c r="M30" s="62">
        <f>(0.075/(LOG(Table79[[#This Row],[Re]])-2)^2)</f>
        <v>1.0180677940734215E-2</v>
      </c>
      <c r="N30" s="10">
        <f>Table79[[#This Row],[Cf x 10^3]]*0.5*1025*'Resistance prediction'!$D$36*Table79[[#This Row],[Speed (m/s)]]^2</f>
        <v>2583.203970855358</v>
      </c>
      <c r="O30" s="24">
        <f>Table79[[#This Row],[Frictionnal resistance  (N)]]+G30</f>
        <v>2779.4811648432992</v>
      </c>
      <c r="Q30" s="5" t="s">
        <v>196</v>
      </c>
      <c r="R30" s="5"/>
      <c r="S30" s="5"/>
      <c r="T30" s="5"/>
      <c r="U30" s="5"/>
      <c r="V30" s="5"/>
      <c r="W30" s="5"/>
      <c r="X30" s="5"/>
    </row>
    <row r="31" spans="1:24" x14ac:dyDescent="0.35">
      <c r="A31" s="67">
        <f t="shared" si="18"/>
        <v>1.6500000000000008</v>
      </c>
      <c r="B31" s="69">
        <f t="shared" si="12"/>
        <v>11.727948829612114</v>
      </c>
      <c r="C31" s="69">
        <f t="shared" si="16"/>
        <v>22.797505694759572</v>
      </c>
      <c r="D31" s="69">
        <v>0.73237499999999911</v>
      </c>
      <c r="E31" s="69">
        <v>0.66945588235293929</v>
      </c>
      <c r="F31" s="69">
        <f t="shared" si="13"/>
        <v>98.812853062852085</v>
      </c>
      <c r="G31" s="69">
        <f t="shared" si="17"/>
        <v>180.64747085851664</v>
      </c>
      <c r="I31" s="63">
        <f t="shared" si="19"/>
        <v>1.6500000000000008</v>
      </c>
      <c r="J31" s="9">
        <f t="shared" si="14"/>
        <v>11.727948829612114</v>
      </c>
      <c r="K31" s="9">
        <f t="shared" si="15"/>
        <v>22.797505694759572</v>
      </c>
      <c r="L31" s="10">
        <f>Table79[[#This Row],[Speed (m/s)]]*5.15/'Resistance prediction'!$B$26</f>
        <v>53403.126854555601</v>
      </c>
      <c r="M31" s="62">
        <f>(0.075/(LOG(Table79[[#This Row],[Re]])-2)^2)</f>
        <v>1.0081160019243501E-2</v>
      </c>
      <c r="N31" s="10">
        <f>Table79[[#This Row],[Cf x 10^3]]*0.5*1025*'Resistance prediction'!$D$36*Table79[[#This Row],[Speed (m/s)]]^2</f>
        <v>2720.3227409035217</v>
      </c>
      <c r="O31" s="24">
        <f>Table79[[#This Row],[Frictionnal resistance  (N)]]+G31</f>
        <v>2900.9702117620382</v>
      </c>
      <c r="Q31" s="5"/>
      <c r="R31" s="5"/>
      <c r="S31" s="5"/>
      <c r="T31" s="5"/>
      <c r="U31" s="5"/>
      <c r="V31" s="5"/>
      <c r="W31" s="5"/>
      <c r="X31" s="5" t="s">
        <v>197</v>
      </c>
    </row>
    <row r="32" spans="1:24" x14ac:dyDescent="0.35">
      <c r="A32" s="68">
        <f t="shared" si="18"/>
        <v>1.7000000000000008</v>
      </c>
      <c r="B32" s="70">
        <f t="shared" si="12"/>
        <v>12.083341218388238</v>
      </c>
      <c r="C32" s="70">
        <f t="shared" si="16"/>
        <v>23.488339200661375</v>
      </c>
      <c r="D32" s="70">
        <v>0.67377941176470491</v>
      </c>
      <c r="E32" s="70">
        <v>0.56536274509803741</v>
      </c>
      <c r="F32" s="70">
        <f t="shared" si="13"/>
        <v>96.500067859493669</v>
      </c>
      <c r="G32" s="69">
        <f t="shared" si="17"/>
        <v>161.94482144919752</v>
      </c>
      <c r="I32" s="64">
        <f t="shared" si="19"/>
        <v>1.7000000000000008</v>
      </c>
      <c r="J32" s="57">
        <f t="shared" si="14"/>
        <v>12.083341218388238</v>
      </c>
      <c r="K32" s="57">
        <f t="shared" si="15"/>
        <v>23.488339200661375</v>
      </c>
      <c r="L32" s="61">
        <f>Table79[[#This Row],[Speed (m/s)]]*5.15/'Resistance prediction'!$B$26</f>
        <v>55021.403425905773</v>
      </c>
      <c r="M32" s="66">
        <f>(0.075/(LOG(Table79[[#This Row],[Re]])-2)^2)</f>
        <v>9.9860012243533601E-3</v>
      </c>
      <c r="N32" s="61">
        <f>Table79[[#This Row],[Cf x 10^3]]*0.5*1025*'Resistance prediction'!$D$36*Table79[[#This Row],[Speed (m/s)]]^2</f>
        <v>2860.4311113371</v>
      </c>
      <c r="O32" s="65">
        <f>Table79[[#This Row],[Frictionnal resistance  (N)]]+G32</f>
        <v>3022.3759327862977</v>
      </c>
      <c r="Q32" s="5">
        <v>5.15</v>
      </c>
      <c r="R32" s="5">
        <v>13.2</v>
      </c>
      <c r="S32" s="5">
        <v>2.2999999999999998</v>
      </c>
      <c r="T32" s="5">
        <v>9.6999999999999993</v>
      </c>
      <c r="U32" s="5">
        <v>0.4</v>
      </c>
      <c r="V32" s="5">
        <v>0.53200000000000003</v>
      </c>
      <c r="W32" s="5">
        <v>1.9139999999999999</v>
      </c>
      <c r="X32" s="5">
        <v>0.4</v>
      </c>
    </row>
  </sheetData>
  <pageMargins left="0.7" right="0.7" top="0.75" bottom="0.75" header="0.3" footer="0.3"/>
  <pageSetup paperSize="9" orientation="portrait" r:id="rId1"/>
  <ignoredErrors>
    <ignoredError sqref="A2" calculatedColumn="1"/>
  </ignoredErrors>
  <drawing r:id="rId2"/>
  <tableParts count="2">
    <tablePart r:id="rId3"/>
    <tablePart r:id="r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B8822-50F3-4E0D-BAA1-309AFFB63779}">
  <dimension ref="A1:I49"/>
  <sheetViews>
    <sheetView topLeftCell="A5" zoomScale="73" workbookViewId="0">
      <selection activeCell="F31" sqref="F31"/>
    </sheetView>
  </sheetViews>
  <sheetFormatPr defaultRowHeight="14.5" x14ac:dyDescent="0.35"/>
  <cols>
    <col min="1" max="1" width="31.6328125" customWidth="1"/>
    <col min="2" max="2" width="29.1796875" customWidth="1"/>
    <col min="3" max="3" width="16.08984375" customWidth="1"/>
    <col min="6" max="6" width="13.54296875" customWidth="1"/>
  </cols>
  <sheetData>
    <row r="1" spans="1:9" ht="18.5" x14ac:dyDescent="0.45">
      <c r="A1" s="82" t="s">
        <v>142</v>
      </c>
      <c r="B1" s="82"/>
    </row>
    <row r="2" spans="1:9" ht="29" x14ac:dyDescent="0.35">
      <c r="A2" s="35" t="s">
        <v>140</v>
      </c>
      <c r="B2" s="35" t="s">
        <v>141</v>
      </c>
      <c r="C2" s="83" t="s">
        <v>145</v>
      </c>
      <c r="D2" s="84"/>
      <c r="F2" s="34" t="s">
        <v>169</v>
      </c>
      <c r="G2" s="44" t="s">
        <v>170</v>
      </c>
      <c r="H2" s="34" t="s">
        <v>171</v>
      </c>
      <c r="I2" s="34" t="s">
        <v>106</v>
      </c>
    </row>
    <row r="3" spans="1:9" ht="43.5" x14ac:dyDescent="0.35">
      <c r="A3" s="33" t="s">
        <v>143</v>
      </c>
      <c r="B3" s="33" t="s">
        <v>144</v>
      </c>
      <c r="C3" t="s">
        <v>149</v>
      </c>
      <c r="D3">
        <v>12.6</v>
      </c>
      <c r="F3" s="34" t="s">
        <v>172</v>
      </c>
      <c r="G3" s="5">
        <v>1025.31</v>
      </c>
      <c r="H3" s="5">
        <v>1.204</v>
      </c>
      <c r="I3" s="5" t="s">
        <v>173</v>
      </c>
    </row>
    <row r="4" spans="1:9" ht="29" x14ac:dyDescent="0.35">
      <c r="C4" t="s">
        <v>147</v>
      </c>
      <c r="D4">
        <f>D3*0.51444</f>
        <v>6.4819439999999995</v>
      </c>
      <c r="F4" s="44" t="s">
        <v>174</v>
      </c>
      <c r="G4" s="45">
        <v>1.1310000000000001E-3</v>
      </c>
      <c r="H4" s="45">
        <f>H5*H3</f>
        <v>1.8252640000000001E-5</v>
      </c>
      <c r="I4" s="5" t="s">
        <v>175</v>
      </c>
    </row>
    <row r="5" spans="1:9" ht="29" x14ac:dyDescent="0.35">
      <c r="C5" t="s">
        <v>148</v>
      </c>
      <c r="D5">
        <v>5.15</v>
      </c>
      <c r="F5" s="44" t="s">
        <v>176</v>
      </c>
      <c r="G5" s="45">
        <f>G4/G3</f>
        <v>1.1030810193990111E-6</v>
      </c>
      <c r="H5" s="45">
        <f>1.516*10^-5</f>
        <v>1.5160000000000001E-5</v>
      </c>
      <c r="I5" s="5" t="s">
        <v>177</v>
      </c>
    </row>
    <row r="6" spans="1:9" x14ac:dyDescent="0.35">
      <c r="C6" t="s">
        <v>146</v>
      </c>
      <c r="D6">
        <f>D4/(SQRT(9.81*D5))</f>
        <v>0.91194187111351288</v>
      </c>
    </row>
    <row r="7" spans="1:9" x14ac:dyDescent="0.35">
      <c r="A7" t="s">
        <v>150</v>
      </c>
    </row>
    <row r="8" spans="1:9" x14ac:dyDescent="0.35">
      <c r="A8" t="s">
        <v>151</v>
      </c>
    </row>
    <row r="9" spans="1:9" x14ac:dyDescent="0.35">
      <c r="A9" t="s">
        <v>152</v>
      </c>
      <c r="B9">
        <f>(0.075/((LOG(B27)-2)^2))*(0.5*B25*B36*B23^2)</f>
        <v>102.90201159443554</v>
      </c>
    </row>
    <row r="10" spans="1:9" x14ac:dyDescent="0.35">
      <c r="A10" t="s">
        <v>153</v>
      </c>
      <c r="B10">
        <f>B9</f>
        <v>102.90201159443554</v>
      </c>
    </row>
    <row r="11" spans="1:9" x14ac:dyDescent="0.35">
      <c r="A11" t="s">
        <v>154</v>
      </c>
      <c r="C11" t="s">
        <v>178</v>
      </c>
    </row>
    <row r="12" spans="1:9" x14ac:dyDescent="0.35">
      <c r="A12" t="s">
        <v>155</v>
      </c>
    </row>
    <row r="13" spans="1:9" x14ac:dyDescent="0.35">
      <c r="A13" t="s">
        <v>156</v>
      </c>
    </row>
    <row r="14" spans="1:9" x14ac:dyDescent="0.35">
      <c r="A14" t="s">
        <v>157</v>
      </c>
    </row>
    <row r="16" spans="1:9" x14ac:dyDescent="0.35">
      <c r="A16" t="s">
        <v>179</v>
      </c>
      <c r="B16">
        <f>(B9/0.35)+0.1*(B9/0.35)</f>
        <v>323.40632215394027</v>
      </c>
    </row>
    <row r="17" spans="1:4" ht="15" thickBot="1" x14ac:dyDescent="0.4"/>
    <row r="18" spans="1:4" ht="15" thickTop="1" x14ac:dyDescent="0.35">
      <c r="A18" s="85" t="s">
        <v>158</v>
      </c>
      <c r="B18" s="86"/>
      <c r="C18" s="87"/>
    </row>
    <row r="19" spans="1:4" x14ac:dyDescent="0.35">
      <c r="A19" s="36" t="s">
        <v>159</v>
      </c>
      <c r="B19" s="5">
        <f>D4</f>
        <v>6.4819439999999995</v>
      </c>
      <c r="C19" s="37" t="s">
        <v>160</v>
      </c>
    </row>
    <row r="20" spans="1:4" ht="15" thickBot="1" x14ac:dyDescent="0.4">
      <c r="A20" s="36" t="s">
        <v>161</v>
      </c>
      <c r="B20" s="38">
        <f>D5</f>
        <v>5.15</v>
      </c>
      <c r="C20" s="39" t="s">
        <v>162</v>
      </c>
    </row>
    <row r="21" spans="1:4" ht="15.5" thickTop="1" thickBot="1" x14ac:dyDescent="0.4">
      <c r="A21" s="40" t="s">
        <v>146</v>
      </c>
      <c r="B21" s="80">
        <f>B19/SQRT(9.81*B20)</f>
        <v>0.91194187111351288</v>
      </c>
      <c r="C21" s="81"/>
    </row>
    <row r="22" spans="1:4" ht="15" thickTop="1" x14ac:dyDescent="0.35">
      <c r="A22" s="88" t="s">
        <v>163</v>
      </c>
      <c r="B22" s="89"/>
      <c r="C22" s="90"/>
    </row>
    <row r="23" spans="1:4" x14ac:dyDescent="0.35">
      <c r="A23" s="36" t="s">
        <v>159</v>
      </c>
      <c r="B23" s="5">
        <f>D4</f>
        <v>6.4819439999999995</v>
      </c>
      <c r="C23" s="37" t="s">
        <v>160</v>
      </c>
    </row>
    <row r="24" spans="1:4" x14ac:dyDescent="0.35">
      <c r="A24" s="36" t="s">
        <v>161</v>
      </c>
      <c r="B24" s="5">
        <f>D5</f>
        <v>5.15</v>
      </c>
      <c r="C24" s="37" t="s">
        <v>162</v>
      </c>
    </row>
    <row r="25" spans="1:4" x14ac:dyDescent="0.35">
      <c r="A25" s="41" t="s">
        <v>164</v>
      </c>
      <c r="B25" s="5">
        <v>1025</v>
      </c>
      <c r="C25" s="37" t="s">
        <v>165</v>
      </c>
    </row>
    <row r="26" spans="1:4" ht="15" thickBot="1" x14ac:dyDescent="0.4">
      <c r="A26" s="41" t="s">
        <v>166</v>
      </c>
      <c r="B26" s="42">
        <f>G4</f>
        <v>1.1310000000000001E-3</v>
      </c>
      <c r="C26" s="39" t="s">
        <v>167</v>
      </c>
    </row>
    <row r="27" spans="1:4" ht="15.5" thickTop="1" thickBot="1" x14ac:dyDescent="0.4">
      <c r="A27" s="43" t="s">
        <v>168</v>
      </c>
      <c r="B27" s="80">
        <f>B25*B24*B23/B26</f>
        <v>30253370.371352781</v>
      </c>
      <c r="C27" s="81"/>
    </row>
    <row r="28" spans="1:4" ht="15" thickTop="1" x14ac:dyDescent="0.35"/>
    <row r="30" spans="1:4" x14ac:dyDescent="0.35">
      <c r="A30" t="s">
        <v>104</v>
      </c>
      <c r="B30" t="s">
        <v>105</v>
      </c>
      <c r="C30" t="s">
        <v>106</v>
      </c>
      <c r="D30" t="s">
        <v>109</v>
      </c>
    </row>
    <row r="31" spans="1:4" x14ac:dyDescent="0.35">
      <c r="A31" t="s">
        <v>103</v>
      </c>
      <c r="D31">
        <f>Table47[[#This Row],[Value]]*2</f>
        <v>0</v>
      </c>
    </row>
    <row r="32" spans="1:4" x14ac:dyDescent="0.35">
      <c r="A32" t="s">
        <v>3</v>
      </c>
      <c r="B32">
        <v>5.2510000000000003</v>
      </c>
      <c r="C32" t="s">
        <v>18</v>
      </c>
    </row>
    <row r="33" spans="1:8" x14ac:dyDescent="0.35">
      <c r="A33" t="s">
        <v>83</v>
      </c>
      <c r="B33">
        <v>0.40100000000000002</v>
      </c>
      <c r="C33" t="s">
        <v>18</v>
      </c>
    </row>
    <row r="34" spans="1:8" x14ac:dyDescent="0.35">
      <c r="A34" t="s">
        <v>84</v>
      </c>
      <c r="B34">
        <v>0.14000000000000001</v>
      </c>
      <c r="C34" t="s">
        <v>18</v>
      </c>
    </row>
    <row r="35" spans="1:8" x14ac:dyDescent="0.35">
      <c r="A35" t="s">
        <v>85</v>
      </c>
      <c r="B35">
        <v>0.108</v>
      </c>
      <c r="C35" t="s">
        <v>29</v>
      </c>
      <c r="D35">
        <f>Table47[[#This Row],[Value]]*2</f>
        <v>0.216</v>
      </c>
    </row>
    <row r="36" spans="1:8" x14ac:dyDescent="0.35">
      <c r="A36" t="s">
        <v>86</v>
      </c>
      <c r="B36">
        <v>1.9139999999999999</v>
      </c>
      <c r="C36" t="s">
        <v>87</v>
      </c>
      <c r="D36">
        <f>Table47[[#This Row],[Value]]*2</f>
        <v>3.8279999999999998</v>
      </c>
    </row>
    <row r="37" spans="1:8" x14ac:dyDescent="0.35">
      <c r="A37" t="s">
        <v>88</v>
      </c>
      <c r="B37">
        <v>0.53700000000000003</v>
      </c>
    </row>
    <row r="38" spans="1:8" x14ac:dyDescent="0.35">
      <c r="A38" t="s">
        <v>89</v>
      </c>
      <c r="B38">
        <v>0.72199999999999998</v>
      </c>
      <c r="E38" t="s">
        <v>180</v>
      </c>
      <c r="F38" t="s">
        <v>181</v>
      </c>
      <c r="G38" t="s">
        <v>182</v>
      </c>
      <c r="H38">
        <f>Table47[[#This Row],[Value]]*5.15*0.4</f>
        <v>1.4873200000000002</v>
      </c>
    </row>
    <row r="39" spans="1:8" x14ac:dyDescent="0.35">
      <c r="A39" t="s">
        <v>90</v>
      </c>
      <c r="B39">
        <v>5.6</v>
      </c>
      <c r="C39" t="s">
        <v>91</v>
      </c>
      <c r="D39">
        <f>Table47[[#This Row],[Value]]*2</f>
        <v>11.2</v>
      </c>
    </row>
    <row r="40" spans="1:8" x14ac:dyDescent="0.35">
      <c r="A40" t="s">
        <v>92</v>
      </c>
      <c r="B40">
        <v>-0.12</v>
      </c>
      <c r="C40" t="s">
        <v>18</v>
      </c>
      <c r="D40">
        <f>Table47[[#This Row],[Value]]*2</f>
        <v>-0.24</v>
      </c>
    </row>
    <row r="41" spans="1:8" x14ac:dyDescent="0.35">
      <c r="A41" t="s">
        <v>93</v>
      </c>
      <c r="B41">
        <v>0</v>
      </c>
      <c r="C41" t="s">
        <v>87</v>
      </c>
      <c r="D41">
        <f>Table47[[#This Row],[Value]]*2</f>
        <v>0</v>
      </c>
    </row>
    <row r="42" spans="1:8" x14ac:dyDescent="0.35">
      <c r="A42" t="s">
        <v>94</v>
      </c>
      <c r="B42">
        <v>0</v>
      </c>
      <c r="C42" t="s">
        <v>18</v>
      </c>
      <c r="D42">
        <f>Table47[[#This Row],[Value]]*2</f>
        <v>0</v>
      </c>
    </row>
    <row r="43" spans="1:8" x14ac:dyDescent="0.35">
      <c r="A43" t="s">
        <v>95</v>
      </c>
      <c r="B43">
        <v>0.01</v>
      </c>
      <c r="C43" t="s">
        <v>18</v>
      </c>
      <c r="D43">
        <f>Table47[[#This Row],[Value]]*2</f>
        <v>0.02</v>
      </c>
    </row>
    <row r="44" spans="1:8" x14ac:dyDescent="0.35">
      <c r="A44" t="s">
        <v>96</v>
      </c>
      <c r="B44">
        <v>3.7999999999999999E-2</v>
      </c>
      <c r="C44" t="s">
        <v>87</v>
      </c>
      <c r="D44">
        <f>Table47[[#This Row],[Value]]*2</f>
        <v>7.5999999999999998E-2</v>
      </c>
    </row>
    <row r="45" spans="1:8" x14ac:dyDescent="0.35">
      <c r="A45" t="s">
        <v>97</v>
      </c>
      <c r="B45">
        <v>0</v>
      </c>
      <c r="C45" t="s">
        <v>87</v>
      </c>
      <c r="D45">
        <f>Table47[[#This Row],[Value]]*2</f>
        <v>0</v>
      </c>
    </row>
    <row r="46" spans="1:8" x14ac:dyDescent="0.35">
      <c r="A46" t="s">
        <v>98</v>
      </c>
      <c r="B46">
        <v>0</v>
      </c>
      <c r="C46" t="s">
        <v>18</v>
      </c>
      <c r="D46">
        <f>Table47[[#This Row],[Value]]*2</f>
        <v>0</v>
      </c>
    </row>
    <row r="47" spans="1:8" x14ac:dyDescent="0.35">
      <c r="A47" t="s">
        <v>99</v>
      </c>
      <c r="B47">
        <v>0.13</v>
      </c>
      <c r="C47" t="s">
        <v>18</v>
      </c>
      <c r="D47">
        <f>Table47[[#This Row],[Value]]*2</f>
        <v>0.26</v>
      </c>
    </row>
    <row r="48" spans="1:8" x14ac:dyDescent="0.35">
      <c r="A48" t="s">
        <v>100</v>
      </c>
      <c r="B48">
        <v>21.7</v>
      </c>
      <c r="C48" t="s">
        <v>91</v>
      </c>
      <c r="D48">
        <f>Table47[[#This Row],[Value]]*2</f>
        <v>43.4</v>
      </c>
    </row>
    <row r="49" spans="1:4" x14ac:dyDescent="0.35">
      <c r="A49" t="s">
        <v>101</v>
      </c>
      <c r="B49" t="s">
        <v>102</v>
      </c>
      <c r="D49" t="e">
        <f>Table47[[#This Row],[Value]]*2</f>
        <v>#VALUE!</v>
      </c>
    </row>
  </sheetData>
  <mergeCells count="6">
    <mergeCell ref="B27:C27"/>
    <mergeCell ref="A1:B1"/>
    <mergeCell ref="C2:D2"/>
    <mergeCell ref="A18:C18"/>
    <mergeCell ref="B21:C21"/>
    <mergeCell ref="A22:C22"/>
  </mergeCell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88C0C-3A3F-4EFA-B08B-391C081804C4}">
  <dimension ref="A1:F42"/>
  <sheetViews>
    <sheetView zoomScale="63" zoomScaleNormal="70" workbookViewId="0">
      <selection activeCell="A24" sqref="A24:XFD24"/>
    </sheetView>
  </sheetViews>
  <sheetFormatPr defaultRowHeight="14.5" x14ac:dyDescent="0.35"/>
  <cols>
    <col min="1" max="1" width="14.6328125" customWidth="1"/>
    <col min="2" max="2" width="12.90625" customWidth="1"/>
    <col min="3" max="3" width="18.54296875" customWidth="1"/>
    <col min="4" max="4" width="10.1796875" customWidth="1"/>
    <col min="5" max="5" width="22.6328125" customWidth="1"/>
    <col min="6" max="6" width="24.81640625" customWidth="1"/>
    <col min="7" max="7" width="17" customWidth="1"/>
  </cols>
  <sheetData>
    <row r="1" spans="1:6" s="25" customFormat="1" ht="30" customHeight="1" x14ac:dyDescent="0.35">
      <c r="A1" s="25" t="s">
        <v>139</v>
      </c>
      <c r="B1" s="25" t="s">
        <v>82</v>
      </c>
      <c r="C1" s="25" t="s">
        <v>80</v>
      </c>
      <c r="D1" s="25" t="s">
        <v>81</v>
      </c>
      <c r="E1" s="25" t="s">
        <v>107</v>
      </c>
      <c r="F1" s="25" t="s">
        <v>108</v>
      </c>
    </row>
    <row r="2" spans="1:6" x14ac:dyDescent="0.35">
      <c r="A2">
        <v>0</v>
      </c>
      <c r="B2" s="24">
        <f>A2*0.514444</f>
        <v>0</v>
      </c>
      <c r="C2">
        <v>0</v>
      </c>
      <c r="D2">
        <v>0</v>
      </c>
      <c r="E2">
        <v>0</v>
      </c>
      <c r="F2">
        <f>2*Table3[[#This Row],[Resistance 1 hull(N)]]</f>
        <v>0</v>
      </c>
    </row>
    <row r="3" spans="1:6" x14ac:dyDescent="0.35">
      <c r="A3">
        <v>0.7</v>
      </c>
      <c r="B3" s="24">
        <f t="shared" ref="B3:B42" si="0">A3*0.514444</f>
        <v>0.36011080000000001</v>
      </c>
      <c r="C3">
        <v>0.05</v>
      </c>
      <c r="D3">
        <v>0.16700000000000001</v>
      </c>
      <c r="E3">
        <v>0.68</v>
      </c>
      <c r="F3">
        <f>2*Table3[[#This Row],[Resistance 1 hull(N)]]</f>
        <v>1.36</v>
      </c>
    </row>
    <row r="4" spans="1:6" x14ac:dyDescent="0.35">
      <c r="A4">
        <v>1.4</v>
      </c>
      <c r="B4" s="24">
        <f t="shared" si="0"/>
        <v>0.72022160000000002</v>
      </c>
      <c r="C4">
        <v>0.1</v>
      </c>
      <c r="D4">
        <v>0.33300000000000002</v>
      </c>
      <c r="E4">
        <v>2.42</v>
      </c>
      <c r="F4">
        <f>2*Table3[[#This Row],[Resistance 1 hull(N)]]</f>
        <v>4.84</v>
      </c>
    </row>
    <row r="5" spans="1:6" x14ac:dyDescent="0.35">
      <c r="A5">
        <v>2.1</v>
      </c>
      <c r="B5" s="24">
        <f t="shared" si="0"/>
        <v>1.0803324000000001</v>
      </c>
      <c r="C5">
        <v>0.151</v>
      </c>
      <c r="D5">
        <v>0.5</v>
      </c>
      <c r="E5">
        <v>5.0599999999999996</v>
      </c>
      <c r="F5">
        <f>2*Table3[[#This Row],[Resistance 1 hull(N)]]</f>
        <v>10.119999999999999</v>
      </c>
    </row>
    <row r="6" spans="1:6" x14ac:dyDescent="0.35">
      <c r="A6">
        <v>2.8</v>
      </c>
      <c r="B6" s="24">
        <f t="shared" si="0"/>
        <v>1.4404432</v>
      </c>
      <c r="C6">
        <v>0.20100000000000001</v>
      </c>
      <c r="D6">
        <v>0.66600000000000004</v>
      </c>
      <c r="E6">
        <v>8.58</v>
      </c>
      <c r="F6">
        <f>2*Table3[[#This Row],[Resistance 1 hull(N)]]</f>
        <v>17.16</v>
      </c>
    </row>
    <row r="7" spans="1:6" x14ac:dyDescent="0.35">
      <c r="A7">
        <v>3.5</v>
      </c>
      <c r="B7" s="24">
        <f t="shared" si="0"/>
        <v>1.800554</v>
      </c>
      <c r="C7">
        <v>0.251</v>
      </c>
      <c r="D7">
        <v>0.83299999999999996</v>
      </c>
      <c r="E7">
        <v>13.29</v>
      </c>
      <c r="F7">
        <f>2*Table3[[#This Row],[Resistance 1 hull(N)]]</f>
        <v>26.58</v>
      </c>
    </row>
    <row r="8" spans="1:6" x14ac:dyDescent="0.35">
      <c r="A8">
        <v>4.2</v>
      </c>
      <c r="B8" s="24">
        <f t="shared" si="0"/>
        <v>2.1606648000000002</v>
      </c>
      <c r="C8">
        <v>0.30099999999999999</v>
      </c>
      <c r="D8">
        <v>0.999</v>
      </c>
      <c r="E8">
        <v>19.25</v>
      </c>
      <c r="F8">
        <f>2*Table3[[#This Row],[Resistance 1 hull(N)]]</f>
        <v>38.5</v>
      </c>
    </row>
    <row r="9" spans="1:6" x14ac:dyDescent="0.35">
      <c r="A9">
        <v>4.9000000000000004</v>
      </c>
      <c r="B9" s="24">
        <f t="shared" si="0"/>
        <v>2.5207756000000003</v>
      </c>
      <c r="C9">
        <v>0.35099999999999998</v>
      </c>
      <c r="D9">
        <v>1.1659999999999999</v>
      </c>
      <c r="E9">
        <v>28.37</v>
      </c>
      <c r="F9">
        <f>2*Table3[[#This Row],[Resistance 1 hull(N)]]</f>
        <v>56.74</v>
      </c>
    </row>
    <row r="10" spans="1:6" x14ac:dyDescent="0.35">
      <c r="A10">
        <v>5.6</v>
      </c>
      <c r="B10" s="24">
        <f t="shared" si="0"/>
        <v>2.8808864000000001</v>
      </c>
      <c r="C10">
        <v>0.40100000000000002</v>
      </c>
      <c r="D10">
        <v>1.333</v>
      </c>
      <c r="E10">
        <v>41.76</v>
      </c>
      <c r="F10">
        <f>2*Table3[[#This Row],[Resistance 1 hull(N)]]</f>
        <v>83.52</v>
      </c>
    </row>
    <row r="11" spans="1:6" x14ac:dyDescent="0.35">
      <c r="A11">
        <v>6.3</v>
      </c>
      <c r="B11" s="24">
        <f t="shared" si="0"/>
        <v>3.2409971999999998</v>
      </c>
      <c r="C11">
        <v>0.45200000000000001</v>
      </c>
      <c r="D11">
        <v>1.4990000000000001</v>
      </c>
      <c r="E11">
        <v>54.5</v>
      </c>
      <c r="F11">
        <f>2*Table3[[#This Row],[Resistance 1 hull(N)]]</f>
        <v>109</v>
      </c>
    </row>
    <row r="12" spans="1:6" x14ac:dyDescent="0.35">
      <c r="A12">
        <v>7</v>
      </c>
      <c r="B12" s="24">
        <f t="shared" si="0"/>
        <v>3.601108</v>
      </c>
      <c r="C12">
        <v>0.502</v>
      </c>
      <c r="D12">
        <v>1.6659999999999999</v>
      </c>
      <c r="E12">
        <v>66.040000000000006</v>
      </c>
      <c r="F12">
        <f>2*Table3[[#This Row],[Resistance 1 hull(N)]]</f>
        <v>132.08000000000001</v>
      </c>
    </row>
    <row r="13" spans="1:6" x14ac:dyDescent="0.35">
      <c r="A13">
        <v>7.7</v>
      </c>
      <c r="B13" s="24">
        <f t="shared" si="0"/>
        <v>3.9612188000000002</v>
      </c>
      <c r="C13">
        <v>0.55200000000000005</v>
      </c>
      <c r="D13">
        <v>1.8320000000000001</v>
      </c>
      <c r="E13">
        <v>77.260000000000005</v>
      </c>
      <c r="F13">
        <f>2*Table3[[#This Row],[Resistance 1 hull(N)]]</f>
        <v>154.52000000000001</v>
      </c>
    </row>
    <row r="14" spans="1:6" x14ac:dyDescent="0.35">
      <c r="A14">
        <v>8.4</v>
      </c>
      <c r="B14" s="24">
        <f t="shared" si="0"/>
        <v>4.3213296000000003</v>
      </c>
      <c r="C14">
        <v>0.60199999999999998</v>
      </c>
      <c r="D14">
        <v>1.9990000000000001</v>
      </c>
      <c r="E14">
        <v>88.77</v>
      </c>
      <c r="F14">
        <f>2*Table3[[#This Row],[Resistance 1 hull(N)]]</f>
        <v>177.54</v>
      </c>
    </row>
    <row r="15" spans="1:6" x14ac:dyDescent="0.35">
      <c r="A15">
        <v>9.1</v>
      </c>
      <c r="B15" s="24">
        <f t="shared" si="0"/>
        <v>4.6814403999999996</v>
      </c>
      <c r="C15">
        <v>0.65200000000000002</v>
      </c>
      <c r="D15">
        <v>2.1659999999999999</v>
      </c>
      <c r="E15">
        <v>100.86</v>
      </c>
      <c r="F15">
        <f>2*Table3[[#This Row],[Resistance 1 hull(N)]]</f>
        <v>201.72</v>
      </c>
    </row>
    <row r="16" spans="1:6" x14ac:dyDescent="0.35">
      <c r="A16">
        <v>9.8000000000000007</v>
      </c>
      <c r="B16" s="24">
        <f t="shared" si="0"/>
        <v>5.0415512000000007</v>
      </c>
      <c r="C16">
        <v>0.70299999999999996</v>
      </c>
      <c r="D16">
        <v>2.3319999999999999</v>
      </c>
      <c r="E16">
        <v>113.62</v>
      </c>
      <c r="F16">
        <f>2*Table3[[#This Row],[Resistance 1 hull(N)]]</f>
        <v>227.24</v>
      </c>
    </row>
    <row r="17" spans="1:6" x14ac:dyDescent="0.35">
      <c r="A17">
        <v>10.5</v>
      </c>
      <c r="B17" s="24">
        <f t="shared" si="0"/>
        <v>5.401662</v>
      </c>
      <c r="C17">
        <v>0.753</v>
      </c>
      <c r="D17">
        <v>2.4990000000000001</v>
      </c>
      <c r="E17">
        <v>127.06</v>
      </c>
      <c r="F17">
        <f>2*Table3[[#This Row],[Resistance 1 hull(N)]]</f>
        <v>254.12</v>
      </c>
    </row>
    <row r="18" spans="1:6" x14ac:dyDescent="0.35">
      <c r="A18">
        <v>11.2</v>
      </c>
      <c r="B18" s="24">
        <f t="shared" si="0"/>
        <v>5.7617728000000001</v>
      </c>
      <c r="C18">
        <v>0.80300000000000005</v>
      </c>
      <c r="D18">
        <v>2.665</v>
      </c>
      <c r="E18">
        <v>141.18</v>
      </c>
      <c r="F18">
        <f>2*Table3[[#This Row],[Resistance 1 hull(N)]]</f>
        <v>282.36</v>
      </c>
    </row>
    <row r="19" spans="1:6" x14ac:dyDescent="0.35">
      <c r="A19">
        <v>11.9</v>
      </c>
      <c r="B19" s="24">
        <f t="shared" si="0"/>
        <v>6.1218836000000003</v>
      </c>
      <c r="C19">
        <v>0.85299999999999998</v>
      </c>
      <c r="D19">
        <v>2.8319999999999999</v>
      </c>
      <c r="E19">
        <v>155.94</v>
      </c>
      <c r="F19">
        <f>2*Table3[[#This Row],[Resistance 1 hull(N)]]</f>
        <v>311.88</v>
      </c>
    </row>
    <row r="20" spans="1:6" x14ac:dyDescent="0.35">
      <c r="A20">
        <v>12.6</v>
      </c>
      <c r="B20" s="24">
        <f t="shared" si="0"/>
        <v>6.4819943999999996</v>
      </c>
      <c r="C20">
        <v>0.90300000000000002</v>
      </c>
      <c r="D20">
        <v>2.9980000000000002</v>
      </c>
      <c r="E20">
        <v>171.34</v>
      </c>
      <c r="F20">
        <f>2*Table3[[#This Row],[Resistance 1 hull(N)]]</f>
        <v>342.68</v>
      </c>
    </row>
    <row r="21" spans="1:6" x14ac:dyDescent="0.35">
      <c r="A21">
        <v>13.3</v>
      </c>
      <c r="B21" s="24">
        <f t="shared" si="0"/>
        <v>6.8421052000000007</v>
      </c>
      <c r="C21">
        <v>0.95299999999999996</v>
      </c>
      <c r="D21">
        <v>3.165</v>
      </c>
      <c r="E21">
        <v>187.34</v>
      </c>
      <c r="F21">
        <f>2*Table3[[#This Row],[Resistance 1 hull(N)]]</f>
        <v>374.68</v>
      </c>
    </row>
    <row r="22" spans="1:6" x14ac:dyDescent="0.35">
      <c r="A22">
        <v>14</v>
      </c>
      <c r="B22" s="24">
        <f t="shared" si="0"/>
        <v>7.202216</v>
      </c>
      <c r="C22">
        <v>1.004</v>
      </c>
      <c r="D22">
        <v>3.3319999999999999</v>
      </c>
      <c r="E22">
        <v>203.94</v>
      </c>
      <c r="F22">
        <f>2*Table3[[#This Row],[Resistance 1 hull(N)]]</f>
        <v>407.88</v>
      </c>
    </row>
    <row r="23" spans="1:6" x14ac:dyDescent="0.35">
      <c r="A23">
        <v>14.7</v>
      </c>
      <c r="B23" s="24">
        <f t="shared" si="0"/>
        <v>7.5623268000000001</v>
      </c>
      <c r="C23">
        <v>1.054</v>
      </c>
      <c r="D23">
        <v>3.4980000000000002</v>
      </c>
      <c r="E23">
        <v>221.13</v>
      </c>
      <c r="F23">
        <f>2*Table3[[#This Row],[Resistance 1 hull(N)]]</f>
        <v>442.26</v>
      </c>
    </row>
    <row r="24" spans="1:6" x14ac:dyDescent="0.35">
      <c r="A24">
        <v>15.4</v>
      </c>
      <c r="B24" s="24">
        <f t="shared" si="0"/>
        <v>7.9224376000000003</v>
      </c>
      <c r="C24">
        <v>1.1040000000000001</v>
      </c>
      <c r="D24">
        <v>3.665</v>
      </c>
      <c r="E24">
        <v>238.88</v>
      </c>
      <c r="F24">
        <f>2*Table3[[#This Row],[Resistance 1 hull(N)]]</f>
        <v>477.76</v>
      </c>
    </row>
    <row r="25" spans="1:6" x14ac:dyDescent="0.35">
      <c r="A25">
        <v>16.100000000000001</v>
      </c>
      <c r="B25" s="24">
        <f t="shared" si="0"/>
        <v>8.2825484000000014</v>
      </c>
      <c r="C25">
        <v>1.1539999999999999</v>
      </c>
      <c r="D25">
        <v>3.831</v>
      </c>
      <c r="E25">
        <v>257.20999999999998</v>
      </c>
      <c r="F25">
        <f>2*Table3[[#This Row],[Resistance 1 hull(N)]]</f>
        <v>514.41999999999996</v>
      </c>
    </row>
    <row r="26" spans="1:6" x14ac:dyDescent="0.35">
      <c r="A26">
        <v>16.8</v>
      </c>
      <c r="B26" s="24">
        <f t="shared" si="0"/>
        <v>8.6426592000000007</v>
      </c>
      <c r="C26">
        <v>1.204</v>
      </c>
      <c r="D26">
        <v>3.9980000000000002</v>
      </c>
      <c r="E26">
        <v>276.13</v>
      </c>
      <c r="F26">
        <f>2*Table3[[#This Row],[Resistance 1 hull(N)]]</f>
        <v>552.26</v>
      </c>
    </row>
    <row r="27" spans="1:6" x14ac:dyDescent="0.35">
      <c r="A27">
        <v>17.5</v>
      </c>
      <c r="B27" s="24">
        <f t="shared" si="0"/>
        <v>9.0027699999999999</v>
      </c>
      <c r="C27">
        <v>1.2549999999999999</v>
      </c>
      <c r="D27">
        <v>4.1639999999999997</v>
      </c>
      <c r="E27">
        <v>295.57</v>
      </c>
      <c r="F27">
        <f>2*Table3[[#This Row],[Resistance 1 hull(N)]]</f>
        <v>591.14</v>
      </c>
    </row>
    <row r="28" spans="1:6" x14ac:dyDescent="0.35">
      <c r="A28">
        <v>18.2</v>
      </c>
      <c r="B28" s="24">
        <f t="shared" si="0"/>
        <v>9.3628807999999992</v>
      </c>
      <c r="C28">
        <v>1.3049999999999999</v>
      </c>
      <c r="D28">
        <v>4.3310000000000004</v>
      </c>
      <c r="E28">
        <v>315.62</v>
      </c>
      <c r="F28">
        <f>2*Table3[[#This Row],[Resistance 1 hull(N)]]</f>
        <v>631.24</v>
      </c>
    </row>
    <row r="29" spans="1:6" x14ac:dyDescent="0.35">
      <c r="A29">
        <v>18.899999999999999</v>
      </c>
      <c r="B29" s="24">
        <f t="shared" si="0"/>
        <v>9.7229916000000003</v>
      </c>
      <c r="C29">
        <v>1.355</v>
      </c>
      <c r="D29">
        <v>4.4980000000000002</v>
      </c>
      <c r="E29">
        <v>336.24</v>
      </c>
      <c r="F29">
        <f>2*Table3[[#This Row],[Resistance 1 hull(N)]]</f>
        <v>672.48</v>
      </c>
    </row>
    <row r="30" spans="1:6" x14ac:dyDescent="0.35">
      <c r="A30">
        <v>19.600000000000001</v>
      </c>
      <c r="B30" s="24">
        <f t="shared" si="0"/>
        <v>10.083102400000001</v>
      </c>
      <c r="C30">
        <v>1.405</v>
      </c>
      <c r="D30">
        <v>4.6639999999999997</v>
      </c>
      <c r="E30">
        <v>357.39</v>
      </c>
      <c r="F30">
        <f>2*Table3[[#This Row],[Resistance 1 hull(N)]]</f>
        <v>714.78</v>
      </c>
    </row>
    <row r="31" spans="1:6" x14ac:dyDescent="0.35">
      <c r="A31">
        <v>20.3</v>
      </c>
      <c r="B31" s="24">
        <f t="shared" si="0"/>
        <v>10.443213200000001</v>
      </c>
      <c r="C31">
        <v>1.4550000000000001</v>
      </c>
      <c r="D31">
        <v>4.8310000000000004</v>
      </c>
      <c r="E31">
        <v>379.1</v>
      </c>
      <c r="F31">
        <f>2*Table3[[#This Row],[Resistance 1 hull(N)]]</f>
        <v>758.2</v>
      </c>
    </row>
    <row r="32" spans="1:6" x14ac:dyDescent="0.35">
      <c r="A32">
        <v>21</v>
      </c>
      <c r="B32" s="24">
        <f t="shared" si="0"/>
        <v>10.803324</v>
      </c>
      <c r="C32">
        <v>1.5049999999999999</v>
      </c>
      <c r="D32">
        <v>4.9969999999999999</v>
      </c>
      <c r="E32">
        <v>401.41</v>
      </c>
      <c r="F32">
        <f>2*Table3[[#This Row],[Resistance 1 hull(N)]]</f>
        <v>802.82</v>
      </c>
    </row>
    <row r="33" spans="1:6" x14ac:dyDescent="0.35">
      <c r="A33">
        <v>21.7</v>
      </c>
      <c r="B33" s="24">
        <f t="shared" si="0"/>
        <v>11.163434799999999</v>
      </c>
      <c r="C33">
        <v>1.556</v>
      </c>
      <c r="D33">
        <v>5.1639999999999997</v>
      </c>
      <c r="E33">
        <v>424.34</v>
      </c>
      <c r="F33">
        <f>2*Table3[[#This Row],[Resistance 1 hull(N)]]</f>
        <v>848.68</v>
      </c>
    </row>
    <row r="34" spans="1:6" x14ac:dyDescent="0.35">
      <c r="A34">
        <v>22.4</v>
      </c>
      <c r="B34" s="24">
        <f t="shared" si="0"/>
        <v>11.5235456</v>
      </c>
      <c r="C34">
        <v>1.6060000000000001</v>
      </c>
      <c r="D34">
        <v>5.3310000000000004</v>
      </c>
      <c r="E34">
        <v>447.82</v>
      </c>
      <c r="F34">
        <f>2*Table3[[#This Row],[Resistance 1 hull(N)]]</f>
        <v>895.64</v>
      </c>
    </row>
    <row r="35" spans="1:6" x14ac:dyDescent="0.35">
      <c r="A35">
        <v>23.1</v>
      </c>
      <c r="B35" s="24">
        <f t="shared" si="0"/>
        <v>11.883656400000001</v>
      </c>
      <c r="C35">
        <v>1.6559999999999999</v>
      </c>
      <c r="D35">
        <v>5.4969999999999999</v>
      </c>
      <c r="E35">
        <v>471.8</v>
      </c>
      <c r="F35">
        <f>2*Table3[[#This Row],[Resistance 1 hull(N)]]</f>
        <v>943.6</v>
      </c>
    </row>
    <row r="36" spans="1:6" x14ac:dyDescent="0.35">
      <c r="A36">
        <v>23.8</v>
      </c>
      <c r="B36" s="24">
        <f t="shared" si="0"/>
        <v>12.243767200000001</v>
      </c>
      <c r="C36">
        <v>1.706</v>
      </c>
      <c r="D36">
        <v>5.6639999999999997</v>
      </c>
      <c r="E36">
        <v>496.35</v>
      </c>
      <c r="F36">
        <f>2*Table3[[#This Row],[Resistance 1 hull(N)]]</f>
        <v>992.7</v>
      </c>
    </row>
    <row r="37" spans="1:6" x14ac:dyDescent="0.35">
      <c r="A37">
        <v>24.5</v>
      </c>
      <c r="B37" s="24">
        <f t="shared" si="0"/>
        <v>12.603878</v>
      </c>
      <c r="C37">
        <v>1.756</v>
      </c>
      <c r="D37">
        <v>5.83</v>
      </c>
      <c r="E37">
        <v>521.54999999999995</v>
      </c>
      <c r="F37">
        <f>2*Table3[[#This Row],[Resistance 1 hull(N)]]</f>
        <v>1043.0999999999999</v>
      </c>
    </row>
    <row r="38" spans="1:6" x14ac:dyDescent="0.35">
      <c r="A38">
        <v>25.2</v>
      </c>
      <c r="B38" s="24">
        <f t="shared" si="0"/>
        <v>12.963988799999999</v>
      </c>
      <c r="C38">
        <v>1.8069999999999999</v>
      </c>
      <c r="D38">
        <v>5.9969999999999999</v>
      </c>
      <c r="E38">
        <v>547.38</v>
      </c>
      <c r="F38">
        <f>2*Table3[[#This Row],[Resistance 1 hull(N)]]</f>
        <v>1094.76</v>
      </c>
    </row>
    <row r="39" spans="1:6" x14ac:dyDescent="0.35">
      <c r="A39">
        <v>25.9</v>
      </c>
      <c r="B39" s="24">
        <f t="shared" si="0"/>
        <v>13.3240996</v>
      </c>
      <c r="C39">
        <v>1.857</v>
      </c>
      <c r="D39">
        <v>6.1630000000000003</v>
      </c>
      <c r="E39">
        <v>573.79</v>
      </c>
      <c r="F39">
        <f>2*Table3[[#This Row],[Resistance 1 hull(N)]]</f>
        <v>1147.58</v>
      </c>
    </row>
    <row r="40" spans="1:6" x14ac:dyDescent="0.35">
      <c r="A40">
        <v>26.6</v>
      </c>
      <c r="B40" s="24">
        <f t="shared" si="0"/>
        <v>13.684210400000001</v>
      </c>
      <c r="C40">
        <v>1.907</v>
      </c>
      <c r="D40">
        <v>6.33</v>
      </c>
      <c r="E40">
        <v>600.72</v>
      </c>
      <c r="F40">
        <f>2*Table3[[#This Row],[Resistance 1 hull(N)]]</f>
        <v>1201.44</v>
      </c>
    </row>
    <row r="41" spans="1:6" x14ac:dyDescent="0.35">
      <c r="A41">
        <v>27.3</v>
      </c>
      <c r="B41" s="24">
        <f t="shared" si="0"/>
        <v>14.044321200000001</v>
      </c>
      <c r="C41">
        <v>1.9570000000000001</v>
      </c>
      <c r="D41">
        <v>6.4969999999999999</v>
      </c>
      <c r="E41">
        <v>628.20000000000005</v>
      </c>
      <c r="F41">
        <f>2*Table3[[#This Row],[Resistance 1 hull(N)]]</f>
        <v>1256.4000000000001</v>
      </c>
    </row>
    <row r="42" spans="1:6" x14ac:dyDescent="0.35">
      <c r="A42">
        <v>28</v>
      </c>
      <c r="B42" s="24">
        <f t="shared" si="0"/>
        <v>14.404432</v>
      </c>
      <c r="C42">
        <v>2.0070000000000001</v>
      </c>
      <c r="D42">
        <v>6.6630000000000003</v>
      </c>
      <c r="E42">
        <v>656.28</v>
      </c>
      <c r="F42">
        <f>2*Table3[[#This Row],[Resistance 1 hull(N)]]</f>
        <v>1312.56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EB3DA-E9B0-46B3-940F-B5A9E7A4259A}">
  <dimension ref="A1:H42"/>
  <sheetViews>
    <sheetView topLeftCell="A27" zoomScale="72" workbookViewId="0">
      <selection activeCell="G43" sqref="G43"/>
    </sheetView>
  </sheetViews>
  <sheetFormatPr defaultRowHeight="14.5" x14ac:dyDescent="0.35"/>
  <cols>
    <col min="1" max="1" width="14.1796875" customWidth="1"/>
    <col min="2" max="2" width="12.90625" customWidth="1"/>
    <col min="4" max="4" width="31" customWidth="1"/>
    <col min="5" max="5" width="31.36328125" customWidth="1"/>
  </cols>
  <sheetData>
    <row r="1" spans="1:8" x14ac:dyDescent="0.35">
      <c r="A1" t="s">
        <v>203</v>
      </c>
      <c r="B1" t="s">
        <v>82</v>
      </c>
      <c r="C1" t="s">
        <v>223</v>
      </c>
      <c r="D1" s="25" t="s">
        <v>225</v>
      </c>
      <c r="E1" t="s">
        <v>224</v>
      </c>
    </row>
    <row r="2" spans="1:8" x14ac:dyDescent="0.35">
      <c r="A2">
        <v>0</v>
      </c>
      <c r="B2" s="24">
        <f>A2*0.5144</f>
        <v>0</v>
      </c>
      <c r="C2">
        <v>0</v>
      </c>
      <c r="D2">
        <v>0</v>
      </c>
      <c r="E2">
        <v>0</v>
      </c>
      <c r="H2">
        <v>0</v>
      </c>
    </row>
    <row r="3" spans="1:8" x14ac:dyDescent="0.35">
      <c r="A3">
        <v>0.7</v>
      </c>
      <c r="B3" s="24">
        <f t="shared" ref="B3:B42" si="0">A3*0.5144</f>
        <v>0.36007999999999996</v>
      </c>
      <c r="C3">
        <v>0.05</v>
      </c>
      <c r="D3">
        <v>0.79</v>
      </c>
      <c r="E3">
        <v>1.58</v>
      </c>
      <c r="H3">
        <v>1.58</v>
      </c>
    </row>
    <row r="4" spans="1:8" x14ac:dyDescent="0.35">
      <c r="A4">
        <v>1.4</v>
      </c>
      <c r="B4" s="24">
        <f t="shared" si="0"/>
        <v>0.72015999999999991</v>
      </c>
      <c r="C4">
        <v>0.1</v>
      </c>
      <c r="D4">
        <v>2.8</v>
      </c>
      <c r="E4">
        <v>5.6</v>
      </c>
      <c r="H4">
        <v>5.6</v>
      </c>
    </row>
    <row r="5" spans="1:8" x14ac:dyDescent="0.35">
      <c r="A5">
        <v>2.1</v>
      </c>
      <c r="B5" s="24">
        <f t="shared" si="0"/>
        <v>1.0802400000000001</v>
      </c>
      <c r="C5">
        <v>0.151</v>
      </c>
      <c r="D5">
        <v>5.87</v>
      </c>
      <c r="E5">
        <v>11.74</v>
      </c>
      <c r="H5">
        <v>11.74</v>
      </c>
    </row>
    <row r="6" spans="1:8" x14ac:dyDescent="0.35">
      <c r="A6">
        <v>2.8</v>
      </c>
      <c r="B6" s="24">
        <f t="shared" si="0"/>
        <v>1.4403199999999998</v>
      </c>
      <c r="C6">
        <v>0.20100000000000001</v>
      </c>
      <c r="D6">
        <v>9.98</v>
      </c>
      <c r="E6">
        <v>19.96</v>
      </c>
      <c r="H6">
        <v>19.96</v>
      </c>
    </row>
    <row r="7" spans="1:8" x14ac:dyDescent="0.35">
      <c r="A7">
        <v>3.5</v>
      </c>
      <c r="B7" s="24">
        <f t="shared" si="0"/>
        <v>1.8003999999999998</v>
      </c>
      <c r="C7">
        <v>0.251</v>
      </c>
      <c r="D7">
        <v>15.39</v>
      </c>
      <c r="E7">
        <v>30.78</v>
      </c>
      <c r="H7">
        <v>30.78</v>
      </c>
    </row>
    <row r="8" spans="1:8" x14ac:dyDescent="0.35">
      <c r="A8">
        <v>4.2</v>
      </c>
      <c r="B8" s="24">
        <f t="shared" si="0"/>
        <v>2.1604800000000002</v>
      </c>
      <c r="C8">
        <v>0.30099999999999999</v>
      </c>
      <c r="D8">
        <v>22.56</v>
      </c>
      <c r="E8">
        <v>45.12</v>
      </c>
      <c r="H8">
        <v>45.12</v>
      </c>
    </row>
    <row r="9" spans="1:8" x14ac:dyDescent="0.35">
      <c r="A9">
        <v>4.9000000000000004</v>
      </c>
      <c r="B9" s="24">
        <f t="shared" si="0"/>
        <v>2.5205600000000001</v>
      </c>
      <c r="C9">
        <v>0.35099999999999998</v>
      </c>
      <c r="D9">
        <v>32.24</v>
      </c>
      <c r="E9">
        <v>64.48</v>
      </c>
      <c r="H9">
        <v>64.48</v>
      </c>
    </row>
    <row r="10" spans="1:8" x14ac:dyDescent="0.35">
      <c r="A10">
        <v>5.6</v>
      </c>
      <c r="B10" s="24">
        <f t="shared" si="0"/>
        <v>2.8806399999999996</v>
      </c>
      <c r="C10">
        <v>0.40100000000000002</v>
      </c>
      <c r="D10">
        <v>47.43</v>
      </c>
      <c r="E10">
        <v>94.86</v>
      </c>
      <c r="H10">
        <v>94.86</v>
      </c>
    </row>
    <row r="11" spans="1:8" x14ac:dyDescent="0.35">
      <c r="A11">
        <v>6.3</v>
      </c>
      <c r="B11" s="24">
        <f t="shared" si="0"/>
        <v>3.2407199999999996</v>
      </c>
      <c r="C11">
        <v>0.45200000000000001</v>
      </c>
      <c r="D11">
        <v>63.11</v>
      </c>
      <c r="E11">
        <v>126.22</v>
      </c>
      <c r="H11">
        <v>126.22</v>
      </c>
    </row>
    <row r="12" spans="1:8" x14ac:dyDescent="0.35">
      <c r="A12">
        <v>7</v>
      </c>
      <c r="B12" s="24">
        <f t="shared" si="0"/>
        <v>3.6007999999999996</v>
      </c>
      <c r="C12">
        <v>0.502</v>
      </c>
      <c r="D12">
        <v>77.349999999999994</v>
      </c>
      <c r="E12">
        <v>154.69999999999999</v>
      </c>
      <c r="H12">
        <v>154.69999999999999</v>
      </c>
    </row>
    <row r="13" spans="1:8" x14ac:dyDescent="0.35">
      <c r="A13">
        <v>7.7</v>
      </c>
      <c r="B13" s="24">
        <f t="shared" si="0"/>
        <v>3.96088</v>
      </c>
      <c r="C13">
        <v>0.55200000000000005</v>
      </c>
      <c r="D13">
        <v>90.83</v>
      </c>
      <c r="E13">
        <v>181.66</v>
      </c>
      <c r="H13">
        <v>181.66</v>
      </c>
    </row>
    <row r="14" spans="1:8" x14ac:dyDescent="0.35">
      <c r="A14">
        <v>8.4</v>
      </c>
      <c r="B14" s="24">
        <f t="shared" si="0"/>
        <v>4.3209600000000004</v>
      </c>
      <c r="C14">
        <v>0.60199999999999998</v>
      </c>
      <c r="D14">
        <v>104.37</v>
      </c>
      <c r="E14">
        <v>208.74</v>
      </c>
      <c r="H14">
        <v>208.74</v>
      </c>
    </row>
    <row r="15" spans="1:8" x14ac:dyDescent="0.35">
      <c r="A15">
        <v>9.1</v>
      </c>
      <c r="B15" s="24">
        <f t="shared" si="0"/>
        <v>4.6810399999999994</v>
      </c>
      <c r="C15">
        <v>0.65200000000000002</v>
      </c>
      <c r="D15">
        <v>118.43</v>
      </c>
      <c r="E15">
        <v>236.86</v>
      </c>
      <c r="H15">
        <v>236.86</v>
      </c>
    </row>
    <row r="16" spans="1:8" x14ac:dyDescent="0.35">
      <c r="A16">
        <v>9.8000000000000007</v>
      </c>
      <c r="B16" s="24">
        <f t="shared" si="0"/>
        <v>5.0411200000000003</v>
      </c>
      <c r="C16">
        <v>0.70299999999999996</v>
      </c>
      <c r="D16">
        <v>133.19999999999999</v>
      </c>
      <c r="E16">
        <v>266.39999999999998</v>
      </c>
      <c r="H16">
        <v>266.39999999999998</v>
      </c>
    </row>
    <row r="17" spans="1:8" x14ac:dyDescent="0.35">
      <c r="A17">
        <v>10.5</v>
      </c>
      <c r="B17" s="24">
        <f t="shared" si="0"/>
        <v>5.4011999999999993</v>
      </c>
      <c r="C17">
        <v>0.753</v>
      </c>
      <c r="D17">
        <v>148.74</v>
      </c>
      <c r="E17">
        <v>297.48</v>
      </c>
      <c r="H17">
        <v>297.48</v>
      </c>
    </row>
    <row r="18" spans="1:8" x14ac:dyDescent="0.35">
      <c r="A18">
        <v>11.2</v>
      </c>
      <c r="B18" s="24">
        <f t="shared" si="0"/>
        <v>5.7612799999999993</v>
      </c>
      <c r="C18">
        <v>0.80300000000000005</v>
      </c>
      <c r="D18">
        <v>165.06</v>
      </c>
      <c r="E18">
        <v>330.12</v>
      </c>
      <c r="H18">
        <v>330.12</v>
      </c>
    </row>
    <row r="19" spans="1:8" x14ac:dyDescent="0.35">
      <c r="A19">
        <v>11.9</v>
      </c>
      <c r="B19" s="24">
        <f t="shared" si="0"/>
        <v>6.1213600000000001</v>
      </c>
      <c r="C19">
        <v>0.85299999999999998</v>
      </c>
      <c r="D19">
        <v>182.15</v>
      </c>
      <c r="E19">
        <v>364.3</v>
      </c>
      <c r="H19">
        <v>364.3</v>
      </c>
    </row>
    <row r="20" spans="1:8" x14ac:dyDescent="0.35">
      <c r="A20">
        <v>12.6</v>
      </c>
      <c r="B20" s="24">
        <f t="shared" si="0"/>
        <v>6.4814399999999992</v>
      </c>
      <c r="C20">
        <v>0.90300000000000002</v>
      </c>
      <c r="D20">
        <v>199.98</v>
      </c>
      <c r="E20">
        <v>399.96</v>
      </c>
      <c r="H20">
        <v>399.96</v>
      </c>
    </row>
    <row r="21" spans="1:8" x14ac:dyDescent="0.35">
      <c r="A21">
        <v>13.3</v>
      </c>
      <c r="B21" s="24">
        <f t="shared" si="0"/>
        <v>6.84152</v>
      </c>
      <c r="C21">
        <v>0.95299999999999996</v>
      </c>
      <c r="D21">
        <v>218.52</v>
      </c>
      <c r="E21">
        <v>437.04</v>
      </c>
      <c r="H21">
        <v>437.04</v>
      </c>
    </row>
    <row r="22" spans="1:8" x14ac:dyDescent="0.35">
      <c r="A22">
        <v>14</v>
      </c>
      <c r="B22" s="24">
        <f t="shared" si="0"/>
        <v>7.2015999999999991</v>
      </c>
      <c r="C22">
        <v>1.004</v>
      </c>
      <c r="D22">
        <v>237.77</v>
      </c>
      <c r="E22">
        <v>475.54</v>
      </c>
      <c r="H22">
        <v>475.54</v>
      </c>
    </row>
    <row r="23" spans="1:8" x14ac:dyDescent="0.35">
      <c r="A23">
        <v>14.7</v>
      </c>
      <c r="B23" s="24">
        <f t="shared" si="0"/>
        <v>7.5616799999999991</v>
      </c>
      <c r="C23">
        <v>1.054</v>
      </c>
      <c r="D23">
        <v>257.73</v>
      </c>
      <c r="E23">
        <v>515.46</v>
      </c>
      <c r="H23">
        <v>515.46</v>
      </c>
    </row>
    <row r="24" spans="1:8" x14ac:dyDescent="0.35">
      <c r="A24">
        <v>15.4</v>
      </c>
      <c r="B24" s="24">
        <f t="shared" si="0"/>
        <v>7.9217599999999999</v>
      </c>
      <c r="C24">
        <v>1.1040000000000001</v>
      </c>
      <c r="D24">
        <v>278.33999999999997</v>
      </c>
      <c r="E24">
        <v>556.67999999999995</v>
      </c>
      <c r="H24">
        <v>556.67999999999995</v>
      </c>
    </row>
    <row r="25" spans="1:8" x14ac:dyDescent="0.35">
      <c r="A25">
        <v>16.100000000000001</v>
      </c>
      <c r="B25" s="24">
        <f t="shared" si="0"/>
        <v>8.2818400000000008</v>
      </c>
      <c r="C25">
        <v>1.1539999999999999</v>
      </c>
      <c r="D25">
        <v>299.64999999999998</v>
      </c>
      <c r="E25">
        <v>599.29999999999995</v>
      </c>
      <c r="H25">
        <v>599.29999999999995</v>
      </c>
    </row>
    <row r="26" spans="1:8" x14ac:dyDescent="0.35">
      <c r="A26">
        <v>16.8</v>
      </c>
      <c r="B26" s="24">
        <f t="shared" si="0"/>
        <v>8.6419200000000007</v>
      </c>
      <c r="C26">
        <v>1.204</v>
      </c>
      <c r="D26">
        <v>321.61</v>
      </c>
      <c r="E26">
        <v>643.22</v>
      </c>
      <c r="H26">
        <v>643.22</v>
      </c>
    </row>
    <row r="27" spans="1:8" x14ac:dyDescent="0.35">
      <c r="A27">
        <v>17.5</v>
      </c>
      <c r="B27" s="24">
        <f t="shared" si="0"/>
        <v>9.0019999999999989</v>
      </c>
      <c r="C27">
        <v>1.2549999999999999</v>
      </c>
      <c r="D27">
        <v>344.24</v>
      </c>
      <c r="E27">
        <v>688.48</v>
      </c>
      <c r="H27">
        <v>688.48</v>
      </c>
    </row>
    <row r="28" spans="1:8" x14ac:dyDescent="0.35">
      <c r="A28">
        <v>18.2</v>
      </c>
      <c r="B28" s="24">
        <f t="shared" si="0"/>
        <v>9.3620799999999988</v>
      </c>
      <c r="C28">
        <v>1.3049999999999999</v>
      </c>
      <c r="D28">
        <v>367.56</v>
      </c>
      <c r="E28">
        <v>735.12</v>
      </c>
      <c r="H28">
        <v>735.12</v>
      </c>
    </row>
    <row r="29" spans="1:8" x14ac:dyDescent="0.35">
      <c r="A29">
        <v>18.899999999999999</v>
      </c>
      <c r="B29" s="24">
        <f t="shared" si="0"/>
        <v>9.7221599999999988</v>
      </c>
      <c r="C29">
        <v>1.355</v>
      </c>
      <c r="D29">
        <v>391.49</v>
      </c>
      <c r="E29">
        <v>782.98</v>
      </c>
      <c r="H29">
        <v>782.98</v>
      </c>
    </row>
    <row r="30" spans="1:8" x14ac:dyDescent="0.35">
      <c r="A30">
        <v>19.600000000000001</v>
      </c>
      <c r="B30" s="24">
        <f t="shared" si="0"/>
        <v>10.082240000000001</v>
      </c>
      <c r="C30">
        <v>1.405</v>
      </c>
      <c r="D30">
        <v>416.13</v>
      </c>
      <c r="E30">
        <v>832.26</v>
      </c>
      <c r="H30">
        <v>832.26</v>
      </c>
    </row>
    <row r="31" spans="1:8" x14ac:dyDescent="0.35">
      <c r="A31">
        <v>20.3</v>
      </c>
      <c r="B31" s="24">
        <f t="shared" si="0"/>
        <v>10.44232</v>
      </c>
      <c r="C31">
        <v>1.4550000000000001</v>
      </c>
      <c r="D31">
        <v>441.44</v>
      </c>
      <c r="E31">
        <v>882.88</v>
      </c>
      <c r="H31">
        <v>882.88</v>
      </c>
    </row>
    <row r="32" spans="1:8" x14ac:dyDescent="0.35">
      <c r="A32">
        <v>21</v>
      </c>
      <c r="B32" s="24">
        <f t="shared" si="0"/>
        <v>10.802399999999999</v>
      </c>
      <c r="C32">
        <v>1.506</v>
      </c>
      <c r="D32">
        <v>467.39</v>
      </c>
      <c r="E32">
        <v>934.78</v>
      </c>
      <c r="H32">
        <v>934.78</v>
      </c>
    </row>
    <row r="33" spans="1:8" x14ac:dyDescent="0.35">
      <c r="A33">
        <v>21.7</v>
      </c>
      <c r="B33" s="24">
        <f t="shared" si="0"/>
        <v>11.162479999999999</v>
      </c>
      <c r="C33">
        <v>1.556</v>
      </c>
      <c r="D33">
        <v>493.99</v>
      </c>
      <c r="E33">
        <v>987.98</v>
      </c>
      <c r="H33">
        <v>987.98</v>
      </c>
    </row>
    <row r="34" spans="1:8" x14ac:dyDescent="0.35">
      <c r="A34">
        <v>22.4</v>
      </c>
      <c r="B34" s="24">
        <f t="shared" si="0"/>
        <v>11.522559999999999</v>
      </c>
      <c r="C34">
        <v>1.6060000000000001</v>
      </c>
      <c r="D34">
        <v>521.27</v>
      </c>
      <c r="E34">
        <v>1042.54</v>
      </c>
      <c r="H34">
        <v>1042.54</v>
      </c>
    </row>
    <row r="35" spans="1:8" x14ac:dyDescent="0.35">
      <c r="A35">
        <v>23.1</v>
      </c>
      <c r="B35" s="24">
        <f t="shared" si="0"/>
        <v>11.88264</v>
      </c>
      <c r="C35">
        <v>1.6559999999999999</v>
      </c>
      <c r="D35">
        <v>549.27</v>
      </c>
      <c r="E35">
        <v>1098.54</v>
      </c>
      <c r="H35">
        <v>1098.54</v>
      </c>
    </row>
    <row r="36" spans="1:8" x14ac:dyDescent="0.35">
      <c r="A36">
        <v>23.8</v>
      </c>
      <c r="B36" s="24">
        <f t="shared" si="0"/>
        <v>12.24272</v>
      </c>
      <c r="C36">
        <v>1.706</v>
      </c>
      <c r="D36">
        <v>577.97</v>
      </c>
      <c r="E36">
        <v>1155.94</v>
      </c>
      <c r="H36">
        <v>1155.94</v>
      </c>
    </row>
    <row r="37" spans="1:8" x14ac:dyDescent="0.35">
      <c r="A37">
        <v>24.5</v>
      </c>
      <c r="B37" s="24">
        <f t="shared" si="0"/>
        <v>12.602799999999998</v>
      </c>
      <c r="C37">
        <v>1.756</v>
      </c>
      <c r="D37">
        <v>607.25</v>
      </c>
      <c r="E37">
        <v>1214.5</v>
      </c>
      <c r="H37">
        <v>1214.5</v>
      </c>
    </row>
    <row r="38" spans="1:8" x14ac:dyDescent="0.35">
      <c r="A38">
        <v>25.2</v>
      </c>
      <c r="B38" s="24">
        <f t="shared" si="0"/>
        <v>12.962879999999998</v>
      </c>
      <c r="C38">
        <v>1.8069999999999999</v>
      </c>
      <c r="D38">
        <v>637.16</v>
      </c>
      <c r="E38">
        <v>1274.32</v>
      </c>
      <c r="H38">
        <v>1274.32</v>
      </c>
    </row>
    <row r="39" spans="1:8" x14ac:dyDescent="0.35">
      <c r="A39">
        <v>25.9</v>
      </c>
      <c r="B39" s="24">
        <f t="shared" si="0"/>
        <v>13.322959999999998</v>
      </c>
      <c r="C39">
        <v>1.857</v>
      </c>
      <c r="D39">
        <v>667.79</v>
      </c>
      <c r="E39">
        <v>1335.58</v>
      </c>
      <c r="H39">
        <v>1335.58</v>
      </c>
    </row>
    <row r="40" spans="1:8" x14ac:dyDescent="0.35">
      <c r="A40">
        <v>26.6</v>
      </c>
      <c r="B40" s="24">
        <f t="shared" si="0"/>
        <v>13.68304</v>
      </c>
      <c r="C40">
        <v>1.907</v>
      </c>
      <c r="D40">
        <v>699.19</v>
      </c>
      <c r="E40">
        <v>1398.38</v>
      </c>
      <c r="H40">
        <v>1398.38</v>
      </c>
    </row>
    <row r="41" spans="1:8" x14ac:dyDescent="0.35">
      <c r="A41">
        <v>27.3</v>
      </c>
      <c r="B41" s="24">
        <f t="shared" si="0"/>
        <v>14.04312</v>
      </c>
      <c r="C41">
        <v>1.9570000000000001</v>
      </c>
      <c r="D41">
        <v>731.32</v>
      </c>
      <c r="E41">
        <v>1462.64</v>
      </c>
      <c r="H41">
        <v>1462.64</v>
      </c>
    </row>
    <row r="42" spans="1:8" x14ac:dyDescent="0.35">
      <c r="A42">
        <v>28</v>
      </c>
      <c r="B42" s="24">
        <f t="shared" si="0"/>
        <v>14.403199999999998</v>
      </c>
      <c r="C42">
        <v>2.0070000000000001</v>
      </c>
      <c r="D42">
        <v>764.05</v>
      </c>
      <c r="E42">
        <v>1528.1</v>
      </c>
      <c r="H42">
        <v>1528.1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CE15B-107B-4C9F-8133-A6CCCBDB61F0}">
  <dimension ref="A1:H42"/>
  <sheetViews>
    <sheetView topLeftCell="A21" zoomScale="80" workbookViewId="0">
      <selection activeCell="F42" sqref="F42"/>
    </sheetView>
  </sheetViews>
  <sheetFormatPr defaultRowHeight="14.5" x14ac:dyDescent="0.35"/>
  <cols>
    <col min="1" max="2" width="15.26953125" customWidth="1"/>
    <col min="4" max="4" width="30.54296875" customWidth="1"/>
    <col min="5" max="5" width="31.36328125" customWidth="1"/>
  </cols>
  <sheetData>
    <row r="1" spans="1:8" ht="29" x14ac:dyDescent="0.35">
      <c r="A1" t="s">
        <v>203</v>
      </c>
      <c r="B1" t="s">
        <v>82</v>
      </c>
      <c r="C1" t="s">
        <v>223</v>
      </c>
      <c r="D1" s="25" t="s">
        <v>225</v>
      </c>
      <c r="E1" s="25" t="s">
        <v>224</v>
      </c>
    </row>
    <row r="2" spans="1:8" x14ac:dyDescent="0.35">
      <c r="A2">
        <v>0</v>
      </c>
      <c r="B2" s="24">
        <f>A2*0.5144</f>
        <v>0</v>
      </c>
      <c r="C2">
        <v>0</v>
      </c>
      <c r="D2">
        <v>0</v>
      </c>
      <c r="E2">
        <v>0</v>
      </c>
      <c r="H2">
        <v>0</v>
      </c>
    </row>
    <row r="3" spans="1:8" x14ac:dyDescent="0.35">
      <c r="A3">
        <v>0.7</v>
      </c>
      <c r="B3" s="24">
        <f t="shared" ref="B3:B42" si="0">A3*0.5144</f>
        <v>0.36007999999999996</v>
      </c>
      <c r="C3">
        <v>0.05</v>
      </c>
      <c r="D3">
        <v>0.83</v>
      </c>
      <c r="E3">
        <v>1.66</v>
      </c>
      <c r="H3">
        <v>1.66</v>
      </c>
    </row>
    <row r="4" spans="1:8" x14ac:dyDescent="0.35">
      <c r="A4">
        <v>1.4</v>
      </c>
      <c r="B4" s="24">
        <f t="shared" si="0"/>
        <v>0.72015999999999991</v>
      </c>
      <c r="C4">
        <v>0.1</v>
      </c>
      <c r="D4">
        <v>2.94</v>
      </c>
      <c r="E4">
        <v>5.88</v>
      </c>
      <c r="H4">
        <v>5.88</v>
      </c>
    </row>
    <row r="5" spans="1:8" x14ac:dyDescent="0.35">
      <c r="A5">
        <v>2.1</v>
      </c>
      <c r="B5" s="24">
        <f t="shared" si="0"/>
        <v>1.0802400000000001</v>
      </c>
      <c r="C5">
        <v>0.151</v>
      </c>
      <c r="D5">
        <v>6.17</v>
      </c>
      <c r="E5">
        <v>12.34</v>
      </c>
      <c r="H5">
        <v>12.34</v>
      </c>
    </row>
    <row r="6" spans="1:8" x14ac:dyDescent="0.35">
      <c r="A6">
        <v>2.8</v>
      </c>
      <c r="B6" s="24">
        <f t="shared" si="0"/>
        <v>1.4403199999999998</v>
      </c>
      <c r="C6">
        <v>0.20100000000000001</v>
      </c>
      <c r="D6">
        <v>10.62</v>
      </c>
      <c r="E6">
        <v>21.24</v>
      </c>
      <c r="H6">
        <v>21.24</v>
      </c>
    </row>
    <row r="7" spans="1:8" x14ac:dyDescent="0.35">
      <c r="A7">
        <v>3.5</v>
      </c>
      <c r="B7" s="24">
        <f t="shared" si="0"/>
        <v>1.8003999999999998</v>
      </c>
      <c r="C7">
        <v>0.251</v>
      </c>
      <c r="D7">
        <v>16.420000000000002</v>
      </c>
      <c r="E7">
        <v>32.840000000000003</v>
      </c>
      <c r="H7">
        <v>32.840000000000003</v>
      </c>
    </row>
    <row r="8" spans="1:8" x14ac:dyDescent="0.35">
      <c r="A8">
        <v>4.2</v>
      </c>
      <c r="B8" s="24">
        <f t="shared" si="0"/>
        <v>2.1604800000000002</v>
      </c>
      <c r="C8">
        <v>0.30099999999999999</v>
      </c>
      <c r="D8">
        <v>24.01</v>
      </c>
      <c r="E8">
        <v>48.02</v>
      </c>
      <c r="H8">
        <v>48.02</v>
      </c>
    </row>
    <row r="9" spans="1:8" x14ac:dyDescent="0.35">
      <c r="A9">
        <v>4.9000000000000004</v>
      </c>
      <c r="B9" s="24">
        <f t="shared" si="0"/>
        <v>2.5205600000000001</v>
      </c>
      <c r="C9">
        <v>0.35099999999999998</v>
      </c>
      <c r="D9">
        <v>34.14</v>
      </c>
      <c r="E9">
        <v>68.28</v>
      </c>
      <c r="H9">
        <v>68.28</v>
      </c>
    </row>
    <row r="10" spans="1:8" x14ac:dyDescent="0.35">
      <c r="A10">
        <v>5.6</v>
      </c>
      <c r="B10" s="24">
        <f t="shared" si="0"/>
        <v>2.8806399999999996</v>
      </c>
      <c r="C10">
        <v>0.40100000000000002</v>
      </c>
      <c r="D10">
        <v>49.8</v>
      </c>
      <c r="E10">
        <v>99.6</v>
      </c>
      <c r="H10">
        <v>99.6</v>
      </c>
    </row>
    <row r="11" spans="1:8" x14ac:dyDescent="0.35">
      <c r="A11">
        <v>6.3</v>
      </c>
      <c r="B11" s="24">
        <f t="shared" si="0"/>
        <v>3.2407199999999996</v>
      </c>
      <c r="C11">
        <v>0.45200000000000001</v>
      </c>
      <c r="D11">
        <v>66.83</v>
      </c>
      <c r="E11">
        <v>133.66</v>
      </c>
      <c r="H11">
        <v>133.66</v>
      </c>
    </row>
    <row r="12" spans="1:8" x14ac:dyDescent="0.35">
      <c r="A12">
        <v>7</v>
      </c>
      <c r="B12" s="24">
        <f t="shared" si="0"/>
        <v>3.6007999999999996</v>
      </c>
      <c r="C12">
        <v>0.502</v>
      </c>
      <c r="D12">
        <v>82.45</v>
      </c>
      <c r="E12">
        <v>164.9</v>
      </c>
      <c r="H12">
        <v>164.9</v>
      </c>
    </row>
    <row r="13" spans="1:8" x14ac:dyDescent="0.35">
      <c r="A13">
        <v>7.7</v>
      </c>
      <c r="B13" s="24">
        <f t="shared" si="0"/>
        <v>3.96088</v>
      </c>
      <c r="C13">
        <v>0.55200000000000005</v>
      </c>
      <c r="D13">
        <v>97.02</v>
      </c>
      <c r="E13">
        <v>194.04</v>
      </c>
      <c r="H13">
        <v>194.04</v>
      </c>
    </row>
    <row r="14" spans="1:8" x14ac:dyDescent="0.35">
      <c r="A14">
        <v>8.4</v>
      </c>
      <c r="B14" s="24">
        <f t="shared" si="0"/>
        <v>4.3209600000000004</v>
      </c>
      <c r="C14">
        <v>0.60199999999999998</v>
      </c>
      <c r="D14">
        <v>111.47</v>
      </c>
      <c r="E14">
        <v>222.94</v>
      </c>
      <c r="H14">
        <v>222.94</v>
      </c>
    </row>
    <row r="15" spans="1:8" x14ac:dyDescent="0.35">
      <c r="A15">
        <v>9.1</v>
      </c>
      <c r="B15" s="24">
        <f t="shared" si="0"/>
        <v>4.6810399999999994</v>
      </c>
      <c r="C15">
        <v>0.65200000000000002</v>
      </c>
      <c r="D15">
        <v>126.35</v>
      </c>
      <c r="E15">
        <v>252.7</v>
      </c>
      <c r="H15">
        <v>252.7</v>
      </c>
    </row>
    <row r="16" spans="1:8" x14ac:dyDescent="0.35">
      <c r="A16">
        <v>9.8000000000000007</v>
      </c>
      <c r="B16" s="24">
        <f t="shared" si="0"/>
        <v>5.0411200000000003</v>
      </c>
      <c r="C16">
        <v>0.70299999999999996</v>
      </c>
      <c r="D16">
        <v>141.93</v>
      </c>
      <c r="E16">
        <v>283.86</v>
      </c>
      <c r="H16">
        <v>283.86</v>
      </c>
    </row>
    <row r="17" spans="1:8" x14ac:dyDescent="0.35">
      <c r="A17">
        <v>10.5</v>
      </c>
      <c r="B17" s="24">
        <f t="shared" si="0"/>
        <v>5.4011999999999993</v>
      </c>
      <c r="C17">
        <v>0.753</v>
      </c>
      <c r="D17">
        <v>158.30000000000001</v>
      </c>
      <c r="E17">
        <v>316.60000000000002</v>
      </c>
      <c r="H17">
        <v>316.60000000000002</v>
      </c>
    </row>
    <row r="18" spans="1:8" x14ac:dyDescent="0.35">
      <c r="A18">
        <v>11.2</v>
      </c>
      <c r="B18" s="24">
        <f t="shared" si="0"/>
        <v>5.7612799999999993</v>
      </c>
      <c r="C18">
        <v>0.80300000000000005</v>
      </c>
      <c r="D18">
        <v>175.48</v>
      </c>
      <c r="E18">
        <v>350.96</v>
      </c>
      <c r="H18">
        <v>350.96</v>
      </c>
    </row>
    <row r="19" spans="1:8" x14ac:dyDescent="0.35">
      <c r="A19">
        <v>11.9</v>
      </c>
      <c r="B19" s="24">
        <f t="shared" si="0"/>
        <v>6.1213600000000001</v>
      </c>
      <c r="C19">
        <v>0.85299999999999998</v>
      </c>
      <c r="D19">
        <v>193.47</v>
      </c>
      <c r="E19">
        <v>386.94</v>
      </c>
      <c r="H19">
        <v>386.94</v>
      </c>
    </row>
    <row r="20" spans="1:8" x14ac:dyDescent="0.35">
      <c r="A20">
        <v>12.6</v>
      </c>
      <c r="B20" s="24">
        <f t="shared" si="0"/>
        <v>6.4814399999999992</v>
      </c>
      <c r="C20">
        <v>0.90300000000000002</v>
      </c>
      <c r="D20">
        <v>212.24</v>
      </c>
      <c r="E20">
        <v>424.48</v>
      </c>
      <c r="H20">
        <v>424.48</v>
      </c>
    </row>
    <row r="21" spans="1:8" x14ac:dyDescent="0.35">
      <c r="A21">
        <v>13.3</v>
      </c>
      <c r="B21" s="24">
        <f t="shared" si="0"/>
        <v>6.84152</v>
      </c>
      <c r="C21">
        <v>0.95299999999999996</v>
      </c>
      <c r="D21">
        <v>231.78</v>
      </c>
      <c r="E21">
        <v>463.56</v>
      </c>
      <c r="H21">
        <v>463.56</v>
      </c>
    </row>
    <row r="22" spans="1:8" x14ac:dyDescent="0.35">
      <c r="A22">
        <v>14</v>
      </c>
      <c r="B22" s="24">
        <f t="shared" si="0"/>
        <v>7.2015999999999991</v>
      </c>
      <c r="C22">
        <v>1.004</v>
      </c>
      <c r="D22">
        <v>252.05</v>
      </c>
      <c r="E22">
        <v>504.1</v>
      </c>
      <c r="H22">
        <v>504.1</v>
      </c>
    </row>
    <row r="23" spans="1:8" x14ac:dyDescent="0.35">
      <c r="A23">
        <v>14.7</v>
      </c>
      <c r="B23" s="24">
        <f t="shared" si="0"/>
        <v>7.5616799999999991</v>
      </c>
      <c r="C23">
        <v>1.054</v>
      </c>
      <c r="D23">
        <v>273.08</v>
      </c>
      <c r="E23">
        <v>546.16</v>
      </c>
      <c r="H23">
        <v>546.16</v>
      </c>
    </row>
    <row r="24" spans="1:8" x14ac:dyDescent="0.35">
      <c r="A24">
        <v>15.4</v>
      </c>
      <c r="B24" s="24">
        <f t="shared" si="0"/>
        <v>7.9217599999999999</v>
      </c>
      <c r="C24">
        <v>1.1040000000000001</v>
      </c>
      <c r="D24">
        <v>294.79000000000002</v>
      </c>
      <c r="E24">
        <v>589.58000000000004</v>
      </c>
      <c r="H24">
        <v>589.58000000000004</v>
      </c>
    </row>
    <row r="25" spans="1:8" x14ac:dyDescent="0.35">
      <c r="A25">
        <v>16.100000000000001</v>
      </c>
      <c r="B25" s="24">
        <f t="shared" si="0"/>
        <v>8.2818400000000008</v>
      </c>
      <c r="C25">
        <v>1.1539999999999999</v>
      </c>
      <c r="D25">
        <v>317.25</v>
      </c>
      <c r="E25">
        <v>634.5</v>
      </c>
      <c r="H25">
        <v>634.5</v>
      </c>
    </row>
    <row r="26" spans="1:8" x14ac:dyDescent="0.35">
      <c r="A26">
        <v>16.8</v>
      </c>
      <c r="B26" s="24">
        <f t="shared" si="0"/>
        <v>8.6419200000000007</v>
      </c>
      <c r="C26">
        <v>1.204</v>
      </c>
      <c r="D26">
        <v>340.39</v>
      </c>
      <c r="E26">
        <v>680.78</v>
      </c>
      <c r="H26">
        <v>680.78</v>
      </c>
    </row>
    <row r="27" spans="1:8" x14ac:dyDescent="0.35">
      <c r="A27">
        <v>17.5</v>
      </c>
      <c r="B27" s="24">
        <f t="shared" si="0"/>
        <v>9.0019999999999989</v>
      </c>
      <c r="C27">
        <v>1.2549999999999999</v>
      </c>
      <c r="D27">
        <v>364.23</v>
      </c>
      <c r="E27">
        <v>728.46</v>
      </c>
      <c r="H27">
        <v>728.46</v>
      </c>
    </row>
    <row r="28" spans="1:8" x14ac:dyDescent="0.35">
      <c r="A28">
        <v>18.2</v>
      </c>
      <c r="B28" s="24">
        <f t="shared" si="0"/>
        <v>9.3620799999999988</v>
      </c>
      <c r="C28">
        <v>1.3049999999999999</v>
      </c>
      <c r="D28">
        <v>388.82</v>
      </c>
      <c r="E28">
        <v>777.64</v>
      </c>
      <c r="H28">
        <v>777.64</v>
      </c>
    </row>
    <row r="29" spans="1:8" x14ac:dyDescent="0.35">
      <c r="A29">
        <v>18.899999999999999</v>
      </c>
      <c r="B29" s="24">
        <f t="shared" si="0"/>
        <v>9.7221599999999988</v>
      </c>
      <c r="C29">
        <v>1.355</v>
      </c>
      <c r="D29">
        <v>414.02</v>
      </c>
      <c r="E29">
        <v>828.04</v>
      </c>
      <c r="H29">
        <v>828.04</v>
      </c>
    </row>
    <row r="30" spans="1:8" x14ac:dyDescent="0.35">
      <c r="A30">
        <v>19.600000000000001</v>
      </c>
      <c r="B30" s="24">
        <f t="shared" si="0"/>
        <v>10.082240000000001</v>
      </c>
      <c r="C30">
        <v>1.405</v>
      </c>
      <c r="D30">
        <v>439.95</v>
      </c>
      <c r="E30">
        <v>879.9</v>
      </c>
      <c r="H30">
        <v>879.9</v>
      </c>
    </row>
    <row r="31" spans="1:8" x14ac:dyDescent="0.35">
      <c r="A31">
        <v>20.3</v>
      </c>
      <c r="B31" s="24">
        <f t="shared" si="0"/>
        <v>10.44232</v>
      </c>
      <c r="C31">
        <v>1.4550000000000001</v>
      </c>
      <c r="D31">
        <v>466.65</v>
      </c>
      <c r="E31">
        <v>933.3</v>
      </c>
      <c r="H31">
        <v>933.3</v>
      </c>
    </row>
    <row r="32" spans="1:8" x14ac:dyDescent="0.35">
      <c r="A32">
        <v>21</v>
      </c>
      <c r="B32" s="24">
        <f t="shared" si="0"/>
        <v>10.802399999999999</v>
      </c>
      <c r="C32">
        <v>1.5049999999999999</v>
      </c>
      <c r="D32">
        <v>494</v>
      </c>
      <c r="E32">
        <v>988</v>
      </c>
      <c r="H32">
        <v>988</v>
      </c>
    </row>
    <row r="33" spans="1:8" x14ac:dyDescent="0.35">
      <c r="A33">
        <v>21.7</v>
      </c>
      <c r="B33" s="24">
        <f t="shared" si="0"/>
        <v>11.162479999999999</v>
      </c>
      <c r="C33">
        <v>1.556</v>
      </c>
      <c r="D33">
        <v>522</v>
      </c>
      <c r="E33">
        <v>1044</v>
      </c>
      <c r="H33">
        <v>1044</v>
      </c>
    </row>
    <row r="34" spans="1:8" x14ac:dyDescent="0.35">
      <c r="A34">
        <v>22.4</v>
      </c>
      <c r="B34" s="24">
        <f t="shared" si="0"/>
        <v>11.522559999999999</v>
      </c>
      <c r="C34">
        <v>1.6060000000000001</v>
      </c>
      <c r="D34">
        <v>550.70000000000005</v>
      </c>
      <c r="E34">
        <v>1101.4000000000001</v>
      </c>
      <c r="H34">
        <v>1101.4000000000001</v>
      </c>
    </row>
    <row r="35" spans="1:8" x14ac:dyDescent="0.35">
      <c r="A35">
        <v>23.1</v>
      </c>
      <c r="B35" s="24">
        <f t="shared" si="0"/>
        <v>11.88264</v>
      </c>
      <c r="C35">
        <v>1.6559999999999999</v>
      </c>
      <c r="D35">
        <v>580.16999999999996</v>
      </c>
      <c r="E35">
        <v>1160.3399999999999</v>
      </c>
      <c r="H35">
        <v>1160.3399999999999</v>
      </c>
    </row>
    <row r="36" spans="1:8" x14ac:dyDescent="0.35">
      <c r="A36">
        <v>23.8</v>
      </c>
      <c r="B36" s="24">
        <f t="shared" si="0"/>
        <v>12.24272</v>
      </c>
      <c r="C36">
        <v>1.706</v>
      </c>
      <c r="D36">
        <v>610.44000000000005</v>
      </c>
      <c r="E36">
        <v>1220.8800000000001</v>
      </c>
      <c r="H36">
        <v>1220.8800000000001</v>
      </c>
    </row>
    <row r="37" spans="1:8" x14ac:dyDescent="0.35">
      <c r="A37">
        <v>24.5</v>
      </c>
      <c r="B37" s="24">
        <f t="shared" si="0"/>
        <v>12.602799999999998</v>
      </c>
      <c r="C37">
        <v>1.756</v>
      </c>
      <c r="D37">
        <v>641.33000000000004</v>
      </c>
      <c r="E37">
        <v>1282.6600000000001</v>
      </c>
      <c r="H37">
        <v>1282.6600000000001</v>
      </c>
    </row>
    <row r="38" spans="1:8" x14ac:dyDescent="0.35">
      <c r="A38">
        <v>25.2</v>
      </c>
      <c r="B38" s="24">
        <f t="shared" si="0"/>
        <v>12.962879999999998</v>
      </c>
      <c r="C38">
        <v>1.8069999999999999</v>
      </c>
      <c r="D38">
        <v>672.8</v>
      </c>
      <c r="E38">
        <v>1345.6</v>
      </c>
      <c r="H38">
        <v>1345.6</v>
      </c>
    </row>
    <row r="39" spans="1:8" x14ac:dyDescent="0.35">
      <c r="A39">
        <v>25.9</v>
      </c>
      <c r="B39" s="24">
        <f t="shared" si="0"/>
        <v>13.322959999999998</v>
      </c>
      <c r="C39">
        <v>1.857</v>
      </c>
      <c r="D39">
        <v>704.98</v>
      </c>
      <c r="E39">
        <v>1409.96</v>
      </c>
      <c r="H39">
        <v>1409.96</v>
      </c>
    </row>
    <row r="40" spans="1:8" x14ac:dyDescent="0.35">
      <c r="A40">
        <v>26.6</v>
      </c>
      <c r="B40" s="24">
        <f t="shared" si="0"/>
        <v>13.68304</v>
      </c>
      <c r="C40">
        <v>1.907</v>
      </c>
      <c r="D40">
        <v>738</v>
      </c>
      <c r="E40">
        <v>1476</v>
      </c>
      <c r="H40">
        <v>1476</v>
      </c>
    </row>
    <row r="41" spans="1:8" x14ac:dyDescent="0.35">
      <c r="A41">
        <v>27.3</v>
      </c>
      <c r="B41" s="24">
        <f t="shared" si="0"/>
        <v>14.04312</v>
      </c>
      <c r="C41">
        <v>1.9570000000000001</v>
      </c>
      <c r="D41">
        <v>771.83</v>
      </c>
      <c r="E41">
        <v>1543.66</v>
      </c>
      <c r="H41">
        <v>1543.66</v>
      </c>
    </row>
    <row r="42" spans="1:8" x14ac:dyDescent="0.35">
      <c r="A42">
        <v>28</v>
      </c>
      <c r="B42" s="24">
        <f t="shared" si="0"/>
        <v>14.403199999999998</v>
      </c>
      <c r="C42">
        <v>2.0070000000000001</v>
      </c>
      <c r="D42">
        <v>806.36</v>
      </c>
      <c r="E42">
        <v>1612.72</v>
      </c>
      <c r="H42">
        <v>1612.72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8BDE3-63A2-45B0-A662-5293CA292DDF}">
  <dimension ref="A1:M42"/>
  <sheetViews>
    <sheetView zoomScale="49" workbookViewId="0">
      <selection activeCell="A5" sqref="A5"/>
    </sheetView>
  </sheetViews>
  <sheetFormatPr defaultRowHeight="14.5" x14ac:dyDescent="0.35"/>
  <cols>
    <col min="1" max="1" width="14.1796875" customWidth="1"/>
    <col min="2" max="2" width="12.90625" customWidth="1"/>
    <col min="3" max="3" width="15.26953125" customWidth="1"/>
    <col min="4" max="4" width="30.54296875" customWidth="1"/>
    <col min="5" max="5" width="31.36328125" customWidth="1"/>
  </cols>
  <sheetData>
    <row r="1" spans="1:7" x14ac:dyDescent="0.35">
      <c r="A1" t="s">
        <v>203</v>
      </c>
      <c r="B1" t="s">
        <v>82</v>
      </c>
      <c r="C1" t="s">
        <v>223</v>
      </c>
      <c r="D1" s="25" t="s">
        <v>225</v>
      </c>
      <c r="E1" s="25" t="s">
        <v>224</v>
      </c>
    </row>
    <row r="2" spans="1:7" x14ac:dyDescent="0.35">
      <c r="A2">
        <v>0</v>
      </c>
      <c r="B2">
        <f>A2*0.5144</f>
        <v>0</v>
      </c>
      <c r="C2">
        <v>0</v>
      </c>
      <c r="D2" s="25">
        <v>0</v>
      </c>
      <c r="E2" s="25">
        <v>0</v>
      </c>
      <c r="G2">
        <v>0</v>
      </c>
    </row>
    <row r="3" spans="1:7" x14ac:dyDescent="0.35">
      <c r="A3">
        <v>0.7</v>
      </c>
      <c r="B3">
        <f t="shared" ref="B3:B42" si="0">A3*0.5144</f>
        <v>0.36007999999999996</v>
      </c>
      <c r="C3">
        <v>0.05</v>
      </c>
      <c r="D3" s="25">
        <v>0.87</v>
      </c>
      <c r="E3" s="25">
        <v>1.74</v>
      </c>
      <c r="G3">
        <v>1.74</v>
      </c>
    </row>
    <row r="4" spans="1:7" x14ac:dyDescent="0.35">
      <c r="A4">
        <v>1.4</v>
      </c>
      <c r="B4">
        <f t="shared" si="0"/>
        <v>0.72015999999999991</v>
      </c>
      <c r="C4">
        <v>0.1</v>
      </c>
      <c r="D4" s="25">
        <v>3.09</v>
      </c>
      <c r="E4" s="25">
        <v>6.18</v>
      </c>
      <c r="G4">
        <v>6.18</v>
      </c>
    </row>
    <row r="5" spans="1:7" x14ac:dyDescent="0.35">
      <c r="A5">
        <v>2.1</v>
      </c>
      <c r="B5">
        <f t="shared" si="0"/>
        <v>1.0802400000000001</v>
      </c>
      <c r="C5">
        <v>0.151</v>
      </c>
      <c r="D5" s="25">
        <v>6.5</v>
      </c>
      <c r="E5" s="25">
        <v>13</v>
      </c>
      <c r="G5">
        <v>13</v>
      </c>
    </row>
    <row r="6" spans="1:7" x14ac:dyDescent="0.35">
      <c r="A6">
        <v>2.8</v>
      </c>
      <c r="B6">
        <f t="shared" si="0"/>
        <v>1.4403199999999998</v>
      </c>
      <c r="C6">
        <v>0.20100000000000001</v>
      </c>
      <c r="D6" s="25">
        <v>11.09</v>
      </c>
      <c r="E6" s="25">
        <v>22.18</v>
      </c>
      <c r="G6">
        <v>22.18</v>
      </c>
    </row>
    <row r="7" spans="1:7" x14ac:dyDescent="0.35">
      <c r="A7">
        <v>3.5</v>
      </c>
      <c r="B7">
        <f t="shared" si="0"/>
        <v>1.8003999999999998</v>
      </c>
      <c r="C7">
        <v>0.251</v>
      </c>
      <c r="D7" s="25">
        <v>17.32</v>
      </c>
      <c r="E7" s="25">
        <v>34.64</v>
      </c>
      <c r="G7">
        <v>34.64</v>
      </c>
    </row>
    <row r="8" spans="1:7" x14ac:dyDescent="0.35">
      <c r="A8">
        <v>4.2</v>
      </c>
      <c r="B8">
        <f t="shared" si="0"/>
        <v>2.1604800000000002</v>
      </c>
      <c r="C8">
        <v>0.30099999999999999</v>
      </c>
      <c r="D8">
        <v>25.37</v>
      </c>
      <c r="E8" s="25">
        <v>50.74</v>
      </c>
      <c r="G8">
        <v>50.74</v>
      </c>
    </row>
    <row r="9" spans="1:7" x14ac:dyDescent="0.35">
      <c r="A9">
        <v>4.9000000000000004</v>
      </c>
      <c r="B9">
        <f t="shared" si="0"/>
        <v>2.5205600000000001</v>
      </c>
      <c r="C9">
        <v>0.35099999999999998</v>
      </c>
      <c r="D9">
        <v>36</v>
      </c>
      <c r="E9" s="25">
        <v>72</v>
      </c>
      <c r="G9">
        <v>72</v>
      </c>
    </row>
    <row r="10" spans="1:7" x14ac:dyDescent="0.35">
      <c r="A10">
        <v>5.6</v>
      </c>
      <c r="B10">
        <f t="shared" si="0"/>
        <v>2.8806399999999996</v>
      </c>
      <c r="C10">
        <v>0.40100000000000002</v>
      </c>
      <c r="D10">
        <v>52.06</v>
      </c>
      <c r="E10" s="25">
        <v>104.12</v>
      </c>
      <c r="G10">
        <v>104.12</v>
      </c>
    </row>
    <row r="11" spans="1:7" x14ac:dyDescent="0.35">
      <c r="A11">
        <v>6.3</v>
      </c>
      <c r="B11">
        <f t="shared" si="0"/>
        <v>3.2407199999999996</v>
      </c>
      <c r="C11">
        <v>0.45200000000000001</v>
      </c>
      <c r="D11">
        <v>70.56</v>
      </c>
      <c r="E11" s="25">
        <v>141.12</v>
      </c>
      <c r="G11">
        <v>141.12</v>
      </c>
    </row>
    <row r="12" spans="1:7" x14ac:dyDescent="0.35">
      <c r="A12">
        <v>7</v>
      </c>
      <c r="B12">
        <f t="shared" si="0"/>
        <v>3.6007999999999996</v>
      </c>
      <c r="C12">
        <v>0.502</v>
      </c>
      <c r="D12">
        <v>87.69</v>
      </c>
      <c r="E12" s="25">
        <v>175.38</v>
      </c>
      <c r="G12">
        <v>175.38</v>
      </c>
    </row>
    <row r="13" spans="1:7" x14ac:dyDescent="0.35">
      <c r="A13">
        <v>7.7</v>
      </c>
      <c r="B13">
        <f t="shared" si="0"/>
        <v>3.96088</v>
      </c>
      <c r="C13">
        <v>0.55200000000000005</v>
      </c>
      <c r="D13">
        <v>103.5</v>
      </c>
      <c r="E13" s="25">
        <v>207</v>
      </c>
      <c r="G13">
        <v>207</v>
      </c>
    </row>
    <row r="14" spans="1:7" x14ac:dyDescent="0.35">
      <c r="A14">
        <v>8.4</v>
      </c>
      <c r="B14">
        <f t="shared" si="0"/>
        <v>4.3209600000000004</v>
      </c>
      <c r="C14">
        <v>0.60199999999999998</v>
      </c>
      <c r="D14">
        <v>118.95</v>
      </c>
      <c r="E14" s="25">
        <v>237.9</v>
      </c>
      <c r="G14">
        <v>237.9</v>
      </c>
    </row>
    <row r="15" spans="1:7" x14ac:dyDescent="0.35">
      <c r="A15">
        <v>9.1</v>
      </c>
      <c r="B15">
        <f t="shared" si="0"/>
        <v>4.6810399999999994</v>
      </c>
      <c r="C15">
        <v>0.65200000000000002</v>
      </c>
      <c r="D15">
        <v>134.72999999999999</v>
      </c>
      <c r="E15" s="25">
        <v>269.45999999999998</v>
      </c>
      <c r="G15">
        <v>269.45999999999998</v>
      </c>
    </row>
    <row r="16" spans="1:7" x14ac:dyDescent="0.35">
      <c r="A16">
        <v>9.8000000000000007</v>
      </c>
      <c r="B16">
        <f t="shared" si="0"/>
        <v>5.0411200000000003</v>
      </c>
      <c r="C16">
        <v>0.70199999999999996</v>
      </c>
      <c r="D16">
        <v>151.18</v>
      </c>
      <c r="E16" s="25">
        <v>302.36</v>
      </c>
      <c r="G16">
        <v>302.36</v>
      </c>
    </row>
    <row r="17" spans="1:7" x14ac:dyDescent="0.35">
      <c r="A17">
        <v>10.5</v>
      </c>
      <c r="B17">
        <f t="shared" si="0"/>
        <v>5.4011999999999993</v>
      </c>
      <c r="C17">
        <v>0.753</v>
      </c>
      <c r="D17">
        <v>168.44</v>
      </c>
      <c r="E17" s="25">
        <v>336.88</v>
      </c>
      <c r="G17">
        <v>336.88</v>
      </c>
    </row>
    <row r="18" spans="1:7" x14ac:dyDescent="0.35">
      <c r="A18">
        <v>11.2</v>
      </c>
      <c r="B18">
        <f t="shared" si="0"/>
        <v>5.7612799999999993</v>
      </c>
      <c r="C18">
        <v>0.80300000000000005</v>
      </c>
      <c r="D18">
        <v>186.53</v>
      </c>
      <c r="E18" s="25">
        <v>373.06</v>
      </c>
      <c r="G18">
        <v>373.06</v>
      </c>
    </row>
    <row r="19" spans="1:7" x14ac:dyDescent="0.35">
      <c r="A19">
        <v>11.9</v>
      </c>
      <c r="B19">
        <f t="shared" si="0"/>
        <v>6.1213600000000001</v>
      </c>
      <c r="C19">
        <v>0.85299999999999998</v>
      </c>
      <c r="D19">
        <v>205.46</v>
      </c>
      <c r="E19" s="25">
        <v>410.92</v>
      </c>
      <c r="G19">
        <v>410.92</v>
      </c>
    </row>
    <row r="20" spans="1:7" x14ac:dyDescent="0.35">
      <c r="A20">
        <v>12.6</v>
      </c>
      <c r="B20">
        <f t="shared" si="0"/>
        <v>6.4814399999999992</v>
      </c>
      <c r="C20">
        <v>0.90300000000000002</v>
      </c>
      <c r="D20">
        <v>225.22</v>
      </c>
      <c r="E20" s="25">
        <v>450.44</v>
      </c>
      <c r="G20">
        <v>450.44</v>
      </c>
    </row>
    <row r="21" spans="1:7" x14ac:dyDescent="0.35">
      <c r="A21">
        <v>13.3</v>
      </c>
      <c r="B21">
        <f t="shared" si="0"/>
        <v>6.84152</v>
      </c>
      <c r="C21">
        <v>0.95299999999999996</v>
      </c>
      <c r="D21">
        <v>245.76</v>
      </c>
      <c r="E21" s="25">
        <v>491.52</v>
      </c>
      <c r="G21">
        <v>491.52</v>
      </c>
    </row>
    <row r="22" spans="1:7" x14ac:dyDescent="0.35">
      <c r="A22">
        <v>14</v>
      </c>
      <c r="B22">
        <f t="shared" si="0"/>
        <v>7.2015999999999991</v>
      </c>
      <c r="C22">
        <v>1.004</v>
      </c>
      <c r="D22">
        <v>267.08999999999997</v>
      </c>
      <c r="E22" s="25">
        <v>534.17999999999995</v>
      </c>
      <c r="G22">
        <v>534.17999999999995</v>
      </c>
    </row>
    <row r="23" spans="1:7" x14ac:dyDescent="0.35">
      <c r="A23">
        <v>14.7</v>
      </c>
      <c r="B23">
        <f t="shared" si="0"/>
        <v>7.5616799999999991</v>
      </c>
      <c r="C23">
        <v>1.054</v>
      </c>
      <c r="D23">
        <v>289.2</v>
      </c>
      <c r="E23" s="25">
        <v>578.4</v>
      </c>
      <c r="G23">
        <v>578.4</v>
      </c>
    </row>
    <row r="24" spans="1:7" x14ac:dyDescent="0.35">
      <c r="A24">
        <v>15.4</v>
      </c>
      <c r="B24">
        <f t="shared" si="0"/>
        <v>7.9217599999999999</v>
      </c>
      <c r="C24">
        <v>1.1040000000000001</v>
      </c>
      <c r="D24">
        <v>312.02</v>
      </c>
      <c r="E24" s="25">
        <v>624.04</v>
      </c>
      <c r="G24">
        <v>624.04</v>
      </c>
    </row>
    <row r="25" spans="1:7" x14ac:dyDescent="0.35">
      <c r="A25">
        <v>16.100000000000001</v>
      </c>
      <c r="B25">
        <f t="shared" si="0"/>
        <v>8.2818400000000008</v>
      </c>
      <c r="C25">
        <v>1.1539999999999999</v>
      </c>
      <c r="D25">
        <v>335.63</v>
      </c>
      <c r="E25" s="25">
        <v>671.26</v>
      </c>
      <c r="G25">
        <v>671.26</v>
      </c>
    </row>
    <row r="26" spans="1:7" x14ac:dyDescent="0.35">
      <c r="A26">
        <v>16.8</v>
      </c>
      <c r="B26">
        <f t="shared" si="0"/>
        <v>8.6419200000000007</v>
      </c>
      <c r="C26">
        <v>1.204</v>
      </c>
      <c r="D26">
        <v>359.95</v>
      </c>
      <c r="E26" s="25">
        <v>719.9</v>
      </c>
      <c r="G26">
        <v>719.9</v>
      </c>
    </row>
    <row r="27" spans="1:7" x14ac:dyDescent="0.35">
      <c r="A27">
        <v>17.5</v>
      </c>
      <c r="B27">
        <f t="shared" si="0"/>
        <v>9.0019999999999989</v>
      </c>
      <c r="C27">
        <v>1.254</v>
      </c>
      <c r="D27">
        <v>384.98</v>
      </c>
      <c r="E27" s="25">
        <v>769.96</v>
      </c>
      <c r="G27">
        <v>769.96</v>
      </c>
    </row>
    <row r="28" spans="1:7" x14ac:dyDescent="0.35">
      <c r="A28">
        <v>18.2</v>
      </c>
      <c r="B28">
        <f t="shared" si="0"/>
        <v>9.3620799999999988</v>
      </c>
      <c r="C28">
        <v>1.3049999999999999</v>
      </c>
      <c r="D28">
        <v>410.82</v>
      </c>
      <c r="E28" s="25">
        <v>821.64</v>
      </c>
      <c r="G28">
        <v>821.64</v>
      </c>
    </row>
    <row r="29" spans="1:7" x14ac:dyDescent="0.35">
      <c r="A29">
        <v>18.899999999999999</v>
      </c>
      <c r="B29">
        <f t="shared" si="0"/>
        <v>9.7221599999999988</v>
      </c>
      <c r="C29">
        <v>1.355</v>
      </c>
      <c r="D29">
        <v>437.3</v>
      </c>
      <c r="E29" s="25">
        <v>874.6</v>
      </c>
      <c r="G29">
        <v>874.6</v>
      </c>
    </row>
    <row r="30" spans="1:7" x14ac:dyDescent="0.35">
      <c r="A30">
        <v>19.600000000000001</v>
      </c>
      <c r="B30">
        <f t="shared" si="0"/>
        <v>10.082240000000001</v>
      </c>
      <c r="C30">
        <v>1.405</v>
      </c>
      <c r="D30">
        <v>464.51</v>
      </c>
      <c r="E30" s="25">
        <v>929.02</v>
      </c>
      <c r="G30">
        <v>929.02</v>
      </c>
    </row>
    <row r="31" spans="1:7" x14ac:dyDescent="0.35">
      <c r="A31">
        <v>20.3</v>
      </c>
      <c r="B31">
        <f t="shared" si="0"/>
        <v>10.44232</v>
      </c>
      <c r="C31">
        <v>1.4550000000000001</v>
      </c>
      <c r="D31">
        <v>492.55</v>
      </c>
      <c r="E31" s="25">
        <v>985.1</v>
      </c>
      <c r="G31">
        <v>985.1</v>
      </c>
    </row>
    <row r="32" spans="1:7" x14ac:dyDescent="0.35">
      <c r="A32">
        <v>21</v>
      </c>
      <c r="B32">
        <f t="shared" si="0"/>
        <v>10.802399999999999</v>
      </c>
      <c r="C32">
        <v>1.5049999999999999</v>
      </c>
      <c r="D32">
        <v>521.27</v>
      </c>
      <c r="E32" s="25">
        <v>1042.54</v>
      </c>
      <c r="G32">
        <v>1042.54</v>
      </c>
    </row>
    <row r="33" spans="1:13" x14ac:dyDescent="0.35">
      <c r="A33">
        <v>21.7</v>
      </c>
      <c r="B33">
        <f t="shared" si="0"/>
        <v>11.162479999999999</v>
      </c>
      <c r="C33">
        <v>1.556</v>
      </c>
      <c r="D33">
        <v>550.67999999999995</v>
      </c>
      <c r="E33" s="25">
        <v>1101.3599999999999</v>
      </c>
      <c r="G33">
        <v>1101.3599999999999</v>
      </c>
    </row>
    <row r="34" spans="1:13" x14ac:dyDescent="0.35">
      <c r="A34">
        <v>22.4</v>
      </c>
      <c r="B34">
        <f t="shared" si="0"/>
        <v>11.522559999999999</v>
      </c>
      <c r="C34">
        <v>1.6060000000000001</v>
      </c>
      <c r="D34">
        <v>580.79999999999995</v>
      </c>
      <c r="E34" s="25">
        <v>1161.5999999999999</v>
      </c>
      <c r="G34">
        <v>1161.5999999999999</v>
      </c>
      <c r="M34" t="s">
        <v>226</v>
      </c>
    </row>
    <row r="35" spans="1:13" x14ac:dyDescent="0.35">
      <c r="A35">
        <v>23.1</v>
      </c>
      <c r="B35">
        <f t="shared" si="0"/>
        <v>11.88264</v>
      </c>
      <c r="C35">
        <v>1.6559999999999999</v>
      </c>
      <c r="D35">
        <v>611.69000000000005</v>
      </c>
      <c r="E35" s="25">
        <v>1223.3800000000001</v>
      </c>
      <c r="G35">
        <v>1223.3800000000001</v>
      </c>
    </row>
    <row r="36" spans="1:13" x14ac:dyDescent="0.35">
      <c r="A36">
        <v>23.8</v>
      </c>
      <c r="B36">
        <f t="shared" si="0"/>
        <v>12.24272</v>
      </c>
      <c r="C36">
        <v>1.706</v>
      </c>
      <c r="D36">
        <v>643.46</v>
      </c>
      <c r="E36" s="25">
        <v>1286.92</v>
      </c>
      <c r="G36">
        <v>1286.92</v>
      </c>
    </row>
    <row r="37" spans="1:13" x14ac:dyDescent="0.35">
      <c r="A37">
        <v>24.5</v>
      </c>
      <c r="B37">
        <f t="shared" si="0"/>
        <v>12.602799999999998</v>
      </c>
      <c r="C37">
        <v>1.756</v>
      </c>
      <c r="D37">
        <v>675.92</v>
      </c>
      <c r="E37" s="25">
        <v>1351.84</v>
      </c>
      <c r="G37">
        <v>1351.84</v>
      </c>
    </row>
    <row r="38" spans="1:13" x14ac:dyDescent="0.35">
      <c r="A38">
        <v>25.2</v>
      </c>
      <c r="B38">
        <f t="shared" si="0"/>
        <v>12.962879999999998</v>
      </c>
      <c r="C38">
        <v>1.806</v>
      </c>
      <c r="D38">
        <v>708.95</v>
      </c>
      <c r="E38" s="25">
        <v>1417.9</v>
      </c>
      <c r="G38">
        <v>1417.9</v>
      </c>
    </row>
    <row r="39" spans="1:13" x14ac:dyDescent="0.35">
      <c r="A39">
        <v>25.9</v>
      </c>
      <c r="B39">
        <f t="shared" si="0"/>
        <v>13.322959999999998</v>
      </c>
      <c r="C39">
        <v>1.857</v>
      </c>
      <c r="D39">
        <v>742.7</v>
      </c>
      <c r="E39" s="25">
        <v>1485.4</v>
      </c>
      <c r="G39">
        <v>1485.4</v>
      </c>
    </row>
    <row r="40" spans="1:13" x14ac:dyDescent="0.35">
      <c r="A40">
        <v>26.6</v>
      </c>
      <c r="B40">
        <f t="shared" si="0"/>
        <v>13.68304</v>
      </c>
      <c r="C40">
        <v>1.907</v>
      </c>
      <c r="D40">
        <v>777.3</v>
      </c>
      <c r="E40" s="25">
        <v>1554.6</v>
      </c>
      <c r="G40">
        <v>1554.6</v>
      </c>
    </row>
    <row r="41" spans="1:13" x14ac:dyDescent="0.35">
      <c r="A41">
        <v>27.3</v>
      </c>
      <c r="B41">
        <f t="shared" si="0"/>
        <v>14.04312</v>
      </c>
      <c r="C41">
        <v>1.9570000000000001</v>
      </c>
      <c r="D41">
        <v>812.78</v>
      </c>
      <c r="E41" s="25">
        <v>1625.56</v>
      </c>
      <c r="G41">
        <v>1625.56</v>
      </c>
    </row>
    <row r="42" spans="1:13" x14ac:dyDescent="0.35">
      <c r="A42">
        <v>28</v>
      </c>
      <c r="B42">
        <f t="shared" si="0"/>
        <v>14.403199999999998</v>
      </c>
      <c r="C42">
        <v>2.0070000000000001</v>
      </c>
      <c r="D42">
        <v>849.03</v>
      </c>
      <c r="E42" s="25">
        <v>1698.06</v>
      </c>
      <c r="G42">
        <v>1698.06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E4FFD-F22E-4D84-85EE-6FCC694EE7D5}">
  <dimension ref="A1:N200"/>
  <sheetViews>
    <sheetView zoomScale="74" zoomScaleNormal="100" workbookViewId="0">
      <selection activeCell="A16" sqref="A16:XFD16"/>
    </sheetView>
  </sheetViews>
  <sheetFormatPr defaultRowHeight="14.5" x14ac:dyDescent="0.35"/>
  <cols>
    <col min="1" max="1" width="12.36328125" customWidth="1"/>
    <col min="2" max="2" width="11.453125" customWidth="1"/>
    <col min="3" max="3" width="14.08984375" customWidth="1"/>
    <col min="4" max="4" width="16.54296875" customWidth="1"/>
    <col min="5" max="5" width="18.453125" customWidth="1"/>
    <col min="6" max="7" width="20.6328125" customWidth="1"/>
    <col min="8" max="8" width="20.81640625" customWidth="1"/>
    <col min="9" max="9" width="18.81640625" customWidth="1"/>
  </cols>
  <sheetData>
    <row r="1" spans="1:14" x14ac:dyDescent="0.35">
      <c r="A1" t="s">
        <v>127</v>
      </c>
      <c r="B1" t="s">
        <v>128</v>
      </c>
      <c r="C1" t="s">
        <v>129</v>
      </c>
      <c r="D1" t="s">
        <v>137</v>
      </c>
      <c r="E1" t="s">
        <v>133</v>
      </c>
      <c r="F1" t="s">
        <v>134</v>
      </c>
      <c r="G1" t="s">
        <v>138</v>
      </c>
      <c r="H1" t="s">
        <v>135</v>
      </c>
      <c r="I1" t="s">
        <v>136</v>
      </c>
      <c r="J1" t="s">
        <v>228</v>
      </c>
    </row>
    <row r="2" spans="1:14" x14ac:dyDescent="0.35">
      <c r="A2">
        <v>0</v>
      </c>
      <c r="B2">
        <v>0</v>
      </c>
      <c r="C2">
        <f>(163)*9.81*Table5[[#This Row],[GZ (m)]]</f>
        <v>0</v>
      </c>
      <c r="D2">
        <f>$E$21*9.81*COS(RADIANS((Table5[[#This Row],[Heel (deg)]])))*(2.2+2.2)</f>
        <v>2589.84</v>
      </c>
      <c r="E2">
        <f>$E$21*9.81*COS(RADIANS((Table5[[#This Row],[Heel (deg)]])))*(3.4+2.2)</f>
        <v>3296.16</v>
      </c>
      <c r="F2">
        <f>$E$21*9.81*COS(RADIANS((Table5[[#This Row],[Heel (deg)]])))*(3.4+3.4)</f>
        <v>4002.48</v>
      </c>
      <c r="G2">
        <f>Table5[[#This Row],[RM (boat)]]+Table5[[#This Row],[RM crew 0 trap]]</f>
        <v>2589.84</v>
      </c>
      <c r="H2">
        <f>Table5[[#This Row],[RM (boat)]]+Table5[[#This Row],[RM crew 1 trapeze]]</f>
        <v>3296.16</v>
      </c>
      <c r="I2" s="30">
        <f>Table5[[#This Row],[RM (boat)]]+Table5[[#This Row],[RM crew 2 trapeze]]</f>
        <v>4002.48</v>
      </c>
      <c r="J2">
        <f>1100*3.8*COS(RADIANS(Table5[[#This Row],[Heel (deg)]]))</f>
        <v>4180</v>
      </c>
      <c r="L2" t="s">
        <v>130</v>
      </c>
      <c r="M2">
        <f>MAX(Table5[Total RM 2 trap (N.m)])</f>
        <v>5654.1805942644423</v>
      </c>
      <c r="N2" t="s">
        <v>131</v>
      </c>
    </row>
    <row r="3" spans="1:14" x14ac:dyDescent="0.35">
      <c r="A3">
        <v>0.90909099999999998</v>
      </c>
      <c r="B3">
        <v>0.108802</v>
      </c>
      <c r="C3">
        <f>(163)*9.81*Table5[[#This Row],[GZ (m)]]</f>
        <v>173.97766206</v>
      </c>
      <c r="D3">
        <f>$E$21*9.81*COS(RADIANS((Table5[[#This Row],[Heel (deg)]])))*(2.2+2.2)</f>
        <v>2589.5140107497123</v>
      </c>
      <c r="E3">
        <f>$E$21*9.81*COS(RADIANS((Table5[[#This Row],[Heel (deg)]])))*(3.4+2.2)</f>
        <v>3295.7451045905423</v>
      </c>
      <c r="F3">
        <f>$E$21*9.81*COS(RADIANS((Table5[[#This Row],[Heel (deg)]])))*(3.4+3.4)</f>
        <v>4001.9761984313732</v>
      </c>
      <c r="G3">
        <f>Table5[[#This Row],[RM (boat)]]+Table5[[#This Row],[RM crew 0 trap]]</f>
        <v>2763.4916728097123</v>
      </c>
      <c r="H3">
        <f>Table5[[#This Row],[RM (boat)]]+Table5[[#This Row],[RM crew 1 trapeze]]</f>
        <v>3469.7227666505423</v>
      </c>
      <c r="I3" s="30">
        <f>Table5[[#This Row],[RM (boat)]]+Table5[[#This Row],[RM crew 2 trapeze]]</f>
        <v>4175.9538604913732</v>
      </c>
      <c r="J3">
        <f>1100*3.8*COS(RADIANS(Table5[[#This Row],[Heel (deg)]]))</f>
        <v>4179.4738535715705</v>
      </c>
    </row>
    <row r="4" spans="1:14" x14ac:dyDescent="0.35">
      <c r="A4">
        <v>1.818182</v>
      </c>
      <c r="B4">
        <v>0.22917899999999999</v>
      </c>
      <c r="C4">
        <f>(163)*9.81*Table5[[#This Row],[GZ (m)]]</f>
        <v>366.46409636999999</v>
      </c>
      <c r="D4">
        <f>$E$21*9.81*COS(RADIANS((Table5[[#This Row],[Heel (deg)]])))*(2.2+2.2)</f>
        <v>2588.5361250649157</v>
      </c>
      <c r="E4">
        <f>$E$21*9.81*COS(RADIANS((Table5[[#This Row],[Heel (deg)]])))*(3.4+2.2)</f>
        <v>3294.5005228098921</v>
      </c>
      <c r="F4">
        <f>$E$21*9.81*COS(RADIANS((Table5[[#This Row],[Heel (deg)]])))*(3.4+3.4)</f>
        <v>4000.4649205548694</v>
      </c>
      <c r="G4">
        <f>Table5[[#This Row],[RM (boat)]]+Table5[[#This Row],[RM crew 0 trap]]</f>
        <v>2955.0002214349156</v>
      </c>
      <c r="H4">
        <f>Table5[[#This Row],[RM (boat)]]+Table5[[#This Row],[RM crew 1 trapeze]]</f>
        <v>3660.964619179892</v>
      </c>
      <c r="I4" s="30">
        <f>Table5[[#This Row],[RM (boat)]]+Table5[[#This Row],[RM crew 2 trapeze]]</f>
        <v>4366.9290169248698</v>
      </c>
      <c r="J4">
        <f>1100*3.8*COS(RADIANS(Table5[[#This Row],[Heel (deg)]]))</f>
        <v>4177.8955467408587</v>
      </c>
    </row>
    <row r="5" spans="1:14" x14ac:dyDescent="0.35">
      <c r="A5">
        <v>2.7272729999999998</v>
      </c>
      <c r="B5">
        <v>0.34717399999999998</v>
      </c>
      <c r="C5">
        <f>(163)*9.81*Table5[[#This Row],[GZ (m)]]</f>
        <v>555.14164122</v>
      </c>
      <c r="D5">
        <f>$E$21*9.81*COS(RADIANS((Table5[[#This Row],[Heel (deg)]])))*(2.2+2.2)</f>
        <v>2586.9065891231503</v>
      </c>
      <c r="E5">
        <f>$E$21*9.81*COS(RADIANS((Table5[[#This Row],[Heel (deg)]])))*(3.4+2.2)</f>
        <v>3292.4265679749183</v>
      </c>
      <c r="F5">
        <f>$E$21*9.81*COS(RADIANS((Table5[[#This Row],[Heel (deg)]])))*(3.4+3.4)</f>
        <v>3997.9465468266862</v>
      </c>
      <c r="G5">
        <f>Table5[[#This Row],[RM (boat)]]+Table5[[#This Row],[RM crew 0 trap]]</f>
        <v>3142.0482303431504</v>
      </c>
      <c r="H5">
        <f>Table5[[#This Row],[RM (boat)]]+Table5[[#This Row],[RM crew 1 trapeze]]</f>
        <v>3847.5682091949184</v>
      </c>
      <c r="I5" s="30">
        <f>Table5[[#This Row],[RM (boat)]]+Table5[[#This Row],[RM crew 2 trapeze]]</f>
        <v>4553.0881880466859</v>
      </c>
      <c r="J5">
        <f>1100*3.8*COS(RADIANS(Table5[[#This Row],[Heel (deg)]]))</f>
        <v>4175.2654768382481</v>
      </c>
    </row>
    <row r="6" spans="1:14" x14ac:dyDescent="0.35">
      <c r="A6">
        <v>3.6363639999999999</v>
      </c>
      <c r="B6">
        <v>0.46135999999999999</v>
      </c>
      <c r="C6">
        <f>(163)*9.81*Table5[[#This Row],[GZ (m)]]</f>
        <v>737.72848079999994</v>
      </c>
      <c r="D6">
        <f>$E$21*9.81*COS(RADIANS((Table5[[#This Row],[Heel (deg)]])))*(2.2+2.2)</f>
        <v>2584.6258131514587</v>
      </c>
      <c r="E6">
        <f>$E$21*9.81*COS(RADIANS((Table5[[#This Row],[Heel (deg)]])))*(3.4+2.2)</f>
        <v>3289.5237621927649</v>
      </c>
      <c r="F6">
        <f>$E$21*9.81*COS(RADIANS((Table5[[#This Row],[Heel (deg)]])))*(3.4+3.4)</f>
        <v>3994.4217112340716</v>
      </c>
      <c r="G6">
        <f>Table5[[#This Row],[RM (boat)]]+Table5[[#This Row],[RM crew 0 trap]]</f>
        <v>3322.3542939514587</v>
      </c>
      <c r="H6">
        <f>Table5[[#This Row],[RM (boat)]]+Table5[[#This Row],[RM crew 1 trapeze]]</f>
        <v>4027.2522429927649</v>
      </c>
      <c r="I6" s="30">
        <f>Table5[[#This Row],[RM (boat)]]+Table5[[#This Row],[RM crew 2 trapeze]]</f>
        <v>4732.1501920340716</v>
      </c>
      <c r="J6">
        <f>1100*3.8*COS(RADIANS(Table5[[#This Row],[Heel (deg)]]))</f>
        <v>4171.5843059699037</v>
      </c>
    </row>
    <row r="7" spans="1:14" x14ac:dyDescent="0.35">
      <c r="A7">
        <v>4.5454549999999996</v>
      </c>
      <c r="B7">
        <v>0.57030599999999998</v>
      </c>
      <c r="C7">
        <f>(163)*9.81*Table5[[#This Row],[GZ (m)]]</f>
        <v>911.93640317999996</v>
      </c>
      <c r="D7">
        <f>$E$21*9.81*COS(RADIANS((Table5[[#This Row],[Heel (deg)]])))*(2.2+2.2)</f>
        <v>2581.6943713231076</v>
      </c>
      <c r="E7">
        <f>$E$21*9.81*COS(RADIANS((Table5[[#This Row],[Heel (deg)]])))*(3.4+2.2)</f>
        <v>3285.7928362294097</v>
      </c>
      <c r="F7">
        <f>$E$21*9.81*COS(RADIANS((Table5[[#This Row],[Heel (deg)]])))*(3.4+3.4)</f>
        <v>3989.8913011357117</v>
      </c>
      <c r="G7" s="31">
        <f>Table5[[#This Row],[RM (boat)]]+Table5[[#This Row],[RM crew 0 trap]]</f>
        <v>3493.6307745031077</v>
      </c>
      <c r="H7" s="31">
        <f>Table5[[#This Row],[RM (boat)]]+Table5[[#This Row],[RM crew 1 trapeze]]</f>
        <v>4197.7292394094093</v>
      </c>
      <c r="I7" s="32">
        <f>Table5[[#This Row],[RM (boat)]]+Table5[[#This Row],[RM crew 2 trapeze]]</f>
        <v>4901.8277043157113</v>
      </c>
      <c r="J7">
        <f>1100*3.8*COS(RADIANS(Table5[[#This Row],[Heel (deg)]]))</f>
        <v>4166.8529608510908</v>
      </c>
    </row>
    <row r="8" spans="1:14" x14ac:dyDescent="0.35">
      <c r="A8">
        <v>5.4545450000000004</v>
      </c>
      <c r="B8">
        <v>0.67258499999999999</v>
      </c>
      <c r="C8">
        <f>(163)*9.81*Table5[[#This Row],[GZ (m)]]</f>
        <v>1075.4835925499999</v>
      </c>
      <c r="D8">
        <f>$E$21*9.81*COS(RADIANS((Table5[[#This Row],[Heel (deg)]])))*(2.2+2.2)</f>
        <v>2578.1130059097009</v>
      </c>
      <c r="E8">
        <f>$E$21*9.81*COS(RADIANS((Table5[[#This Row],[Heel (deg)]])))*(3.4+2.2)</f>
        <v>3281.2347347941645</v>
      </c>
      <c r="F8">
        <f>$E$21*9.81*COS(RADIANS((Table5[[#This Row],[Heel (deg)]])))*(3.4+3.4)</f>
        <v>3984.3564636786282</v>
      </c>
      <c r="G8" s="31">
        <f>Table5[[#This Row],[RM (boat)]]+Table5[[#This Row],[RM crew 0 trap]]</f>
        <v>3653.5965984597005</v>
      </c>
      <c r="H8" s="31">
        <f>Table5[[#This Row],[RM (boat)]]+Table5[[#This Row],[RM crew 1 trapeze]]</f>
        <v>4356.7183273441642</v>
      </c>
      <c r="I8" s="32">
        <f>Table5[[#This Row],[RM (boat)]]+Table5[[#This Row],[RM crew 2 trapeze]]</f>
        <v>5059.8400562286279</v>
      </c>
      <c r="J8">
        <f>1100*3.8*COS(RADIANS(Table5[[#This Row],[Heel (deg)]]))</f>
        <v>4161.0726395076717</v>
      </c>
    </row>
    <row r="9" spans="1:14" x14ac:dyDescent="0.35">
      <c r="A9">
        <v>6.3636359999999996</v>
      </c>
      <c r="B9">
        <v>0.76676699999999998</v>
      </c>
      <c r="C9">
        <f>(163)*9.81*Table5[[#This Row],[GZ (m)]]</f>
        <v>1226.08343601</v>
      </c>
      <c r="D9">
        <f>$E$21*9.81*COS(RADIANS((Table5[[#This Row],[Heel (deg)]])))*(2.2+2.2)</f>
        <v>2573.8826106221618</v>
      </c>
      <c r="E9">
        <f>$E$21*9.81*COS(RADIANS((Table5[[#This Row],[Heel (deg)]])))*(3.4+2.2)</f>
        <v>3275.850595337296</v>
      </c>
      <c r="F9">
        <f>$E$21*9.81*COS(RADIANS((Table5[[#This Row],[Heel (deg)]])))*(3.4+3.4)</f>
        <v>3977.8185800524311</v>
      </c>
      <c r="G9" s="31">
        <f>Table5[[#This Row],[RM (boat)]]+Table5[[#This Row],[RM crew 0 trap]]</f>
        <v>3799.966046632162</v>
      </c>
      <c r="H9" s="31">
        <f>Table5[[#This Row],[RM (boat)]]+Table5[[#This Row],[RM crew 1 trapeze]]</f>
        <v>4501.9340313472958</v>
      </c>
      <c r="I9" s="32">
        <f>Table5[[#This Row],[RM (boat)]]+Table5[[#This Row],[RM crew 2 trapeze]]</f>
        <v>5203.9020160624314</v>
      </c>
      <c r="J9">
        <f>1100*3.8*COS(RADIANS(Table5[[#This Row],[Heel (deg)]]))</f>
        <v>4154.2447843884693</v>
      </c>
    </row>
    <row r="10" spans="1:14" x14ac:dyDescent="0.35">
      <c r="A10">
        <v>7.2727269999999997</v>
      </c>
      <c r="B10">
        <v>0.85142200000000001</v>
      </c>
      <c r="C10">
        <f>(163)*9.81*Table5[[#This Row],[GZ (m)]]</f>
        <v>1361.44932066</v>
      </c>
      <c r="D10">
        <f>$E$21*9.81*COS(RADIANS((Table5[[#This Row],[Heel (deg)]])))*(2.2+2.2)</f>
        <v>2569.0042540222898</v>
      </c>
      <c r="E10">
        <f>$E$21*9.81*COS(RADIANS((Table5[[#This Row],[Heel (deg)]])))*(3.4+2.2)</f>
        <v>3269.6417778465502</v>
      </c>
      <c r="F10">
        <f>$E$21*9.81*COS(RADIANS((Table5[[#This Row],[Heel (deg)]])))*(3.4+3.4)</f>
        <v>3970.279301670811</v>
      </c>
      <c r="G10" s="31">
        <f>Table5[[#This Row],[RM (boat)]]+Table5[[#This Row],[RM crew 0 trap]]</f>
        <v>3930.4535746822899</v>
      </c>
      <c r="H10" s="31">
        <f>Table5[[#This Row],[RM (boat)]]+Table5[[#This Row],[RM crew 1 trapeze]]</f>
        <v>4631.0910985065502</v>
      </c>
      <c r="I10" s="32">
        <f>Table5[[#This Row],[RM (boat)]]+Table5[[#This Row],[RM crew 2 trapeze]]</f>
        <v>5331.728622330811</v>
      </c>
      <c r="J10">
        <f>1100*3.8*COS(RADIANS(Table5[[#This Row],[Heel (deg)]]))</f>
        <v>4146.3711201515034</v>
      </c>
    </row>
    <row r="11" spans="1:14" x14ac:dyDescent="0.35">
      <c r="A11">
        <v>8.1818179999999998</v>
      </c>
      <c r="B11">
        <v>0.925122</v>
      </c>
      <c r="C11">
        <f>(163)*9.81*Table5[[#This Row],[GZ (m)]]</f>
        <v>1479.2978316599999</v>
      </c>
      <c r="D11">
        <f>$E$21*9.81*COS(RADIANS((Table5[[#This Row],[Heel (deg)]])))*(2.2+2.2)</f>
        <v>2563.4791642105165</v>
      </c>
      <c r="E11">
        <f>$E$21*9.81*COS(RADIANS((Table5[[#This Row],[Heel (deg)]])))*(3.4+2.2)</f>
        <v>3262.6098453588384</v>
      </c>
      <c r="F11">
        <f>$E$21*9.81*COS(RADIANS((Table5[[#This Row],[Heel (deg)]])))*(3.4+3.4)</f>
        <v>3961.7405265071611</v>
      </c>
      <c r="G11" s="31">
        <f>Table5[[#This Row],[RM (boat)]]+Table5[[#This Row],[RM crew 0 trap]]</f>
        <v>4042.7769958705167</v>
      </c>
      <c r="H11" s="31">
        <f>Table5[[#This Row],[RM (boat)]]+Table5[[#This Row],[RM crew 1 trapeze]]</f>
        <v>4741.9076770188385</v>
      </c>
      <c r="I11" s="32">
        <f>Table5[[#This Row],[RM (boat)]]+Table5[[#This Row],[RM crew 2 trapeze]]</f>
        <v>5441.0383581671613</v>
      </c>
      <c r="J11">
        <f>1100*3.8*COS(RADIANS(Table5[[#This Row],[Heel (deg)]]))</f>
        <v>4137.4536289500347</v>
      </c>
    </row>
    <row r="12" spans="1:14" x14ac:dyDescent="0.35">
      <c r="A12">
        <v>9.0909089999999999</v>
      </c>
      <c r="B12">
        <v>0.98643700000000001</v>
      </c>
      <c r="C12">
        <f>(163)*9.81*Table5[[#This Row],[GZ (m)]]</f>
        <v>1577.3423561100001</v>
      </c>
      <c r="D12">
        <f>$E$21*9.81*COS(RADIANS((Table5[[#This Row],[Heel (deg)]])))*(2.2+2.2)</f>
        <v>2557.3087320989334</v>
      </c>
      <c r="E12">
        <f>$E$21*9.81*COS(RADIANS((Table5[[#This Row],[Heel (deg)]])))*(3.4+2.2)</f>
        <v>3254.7565681259148</v>
      </c>
      <c r="F12">
        <f>$E$21*9.81*COS(RADIANS((Table5[[#This Row],[Heel (deg)]])))*(3.4+3.4)</f>
        <v>3952.2044041528966</v>
      </c>
      <c r="G12" s="31">
        <f>Table5[[#This Row],[RM (boat)]]+Table5[[#This Row],[RM crew 0 trap]]</f>
        <v>4134.6510882089333</v>
      </c>
      <c r="H12" s="31">
        <f>Table5[[#This Row],[RM (boat)]]+Table5[[#This Row],[RM crew 1 trapeze]]</f>
        <v>4832.0989242359146</v>
      </c>
      <c r="I12" s="32">
        <f>Table5[[#This Row],[RM (boat)]]+Table5[[#This Row],[RM crew 2 trapeze]]</f>
        <v>5529.5467602628969</v>
      </c>
      <c r="J12">
        <f>1100*3.8*COS(RADIANS(Table5[[#This Row],[Heel (deg)]]))</f>
        <v>4127.4945557152332</v>
      </c>
    </row>
    <row r="13" spans="1:14" x14ac:dyDescent="0.35">
      <c r="A13">
        <v>10</v>
      </c>
      <c r="B13">
        <v>1.0339389999999999</v>
      </c>
      <c r="C13">
        <f>(163)*9.81*Table5[[#This Row],[GZ (m)]]</f>
        <v>1653.2994791699998</v>
      </c>
      <c r="D13">
        <f>$E$21*9.81*COS(RADIANS((Table5[[#This Row],[Heel (deg)]])))*(2.2+2.2)</f>
        <v>2550.4945110611375</v>
      </c>
      <c r="E13">
        <f>$E$21*9.81*COS(RADIANS((Table5[[#This Row],[Heel (deg)]])))*(3.4+2.2)</f>
        <v>3246.0839231687196</v>
      </c>
      <c r="F13">
        <f>$E$21*9.81*COS(RADIANS((Table5[[#This Row],[Heel (deg)]])))*(3.4+3.4)</f>
        <v>3941.6733352763026</v>
      </c>
      <c r="G13" s="31">
        <f>Table5[[#This Row],[RM (boat)]]+Table5[[#This Row],[RM crew 0 trap]]</f>
        <v>4203.7939902311373</v>
      </c>
      <c r="H13" s="31">
        <f>Table5[[#This Row],[RM (boat)]]+Table5[[#This Row],[RM crew 1 trapeze]]</f>
        <v>4899.383402338719</v>
      </c>
      <c r="I13" s="32">
        <f>Table5[[#This Row],[RM (boat)]]+Table5[[#This Row],[RM crew 2 trapeze]]</f>
        <v>5594.9728144463024</v>
      </c>
      <c r="J13">
        <f>1100*3.8*COS(RADIANS(Table5[[#This Row],[Heel (deg)]]))</f>
        <v>4116.4964075910293</v>
      </c>
    </row>
    <row r="14" spans="1:14" x14ac:dyDescent="0.35">
      <c r="A14">
        <v>10.909091</v>
      </c>
      <c r="B14">
        <v>1.0667249999999999</v>
      </c>
      <c r="C14">
        <f>(163)*9.81*Table5[[#This Row],[GZ (m)]]</f>
        <v>1705.7252767499999</v>
      </c>
      <c r="D14">
        <f>$E$21*9.81*COS(RADIANS((Table5[[#This Row],[Heel (deg)]])))*(2.2+2.2)</f>
        <v>2543.0382165411766</v>
      </c>
      <c r="E14">
        <f>$E$21*9.81*COS(RADIANS((Table5[[#This Row],[Heel (deg)]])))*(3.4+2.2)</f>
        <v>3236.594093779679</v>
      </c>
      <c r="F14">
        <f>$E$21*9.81*COS(RADIANS((Table5[[#This Row],[Heel (deg)]])))*(3.4+3.4)</f>
        <v>3930.1499710181815</v>
      </c>
      <c r="G14" s="31">
        <f>Table5[[#This Row],[RM (boat)]]+Table5[[#This Row],[RM crew 0 trap]]</f>
        <v>4248.7634932911769</v>
      </c>
      <c r="H14" s="31">
        <f>Table5[[#This Row],[RM (boat)]]+Table5[[#This Row],[RM crew 1 trapeze]]</f>
        <v>4942.319370529679</v>
      </c>
      <c r="I14" s="32">
        <f>Table5[[#This Row],[RM (boat)]]+Table5[[#This Row],[RM crew 2 trapeze]]</f>
        <v>5635.875247768181</v>
      </c>
      <c r="J14">
        <f>1100*3.8*COS(RADIANS(Table5[[#This Row],[Heel (deg)]]))</f>
        <v>4104.4619533029527</v>
      </c>
    </row>
    <row r="15" spans="1:14" x14ac:dyDescent="0.35">
      <c r="A15">
        <v>11.818182</v>
      </c>
      <c r="B15">
        <v>1.085998</v>
      </c>
      <c r="C15">
        <f>(163)*9.81*Table5[[#This Row],[GZ (m)]]</f>
        <v>1736.54338194</v>
      </c>
      <c r="D15">
        <f>$E$21*9.81*COS(RADIANS((Table5[[#This Row],[Heel (deg)]])))*(2.2+2.2)</f>
        <v>2534.941725621698</v>
      </c>
      <c r="E15">
        <f>$E$21*9.81*COS(RADIANS((Table5[[#This Row],[Heel (deg)]])))*(3.4+2.2)</f>
        <v>3226.2894689730701</v>
      </c>
      <c r="F15">
        <f>$E$21*9.81*COS(RADIANS((Table5[[#This Row],[Heel (deg)]])))*(3.4+3.4)</f>
        <v>3917.6372123244423</v>
      </c>
      <c r="G15" s="31">
        <f>Table5[[#This Row],[RM (boat)]]+Table5[[#This Row],[RM crew 0 trap]]</f>
        <v>4271.485107561698</v>
      </c>
      <c r="H15" s="31">
        <f>Table5[[#This Row],[RM (boat)]]+Table5[[#This Row],[RM crew 1 trapeze]]</f>
        <v>4962.8328509130697</v>
      </c>
      <c r="I15" s="32">
        <f>Table5[[#This Row],[RM (boat)]]+Table5[[#This Row],[RM crew 2 trapeze]]</f>
        <v>5654.1805942644423</v>
      </c>
      <c r="J15">
        <f>1100*3.8*COS(RADIANS(Table5[[#This Row],[Heel (deg)]]))</f>
        <v>4091.3942224611164</v>
      </c>
    </row>
    <row r="16" spans="1:14" x14ac:dyDescent="0.35">
      <c r="G16" s="31"/>
      <c r="H16" s="31"/>
      <c r="I16" s="32"/>
    </row>
    <row r="17" spans="4:9" x14ac:dyDescent="0.35">
      <c r="I17" s="30"/>
    </row>
    <row r="18" spans="4:9" x14ac:dyDescent="0.35">
      <c r="I18" s="30"/>
    </row>
    <row r="19" spans="4:9" x14ac:dyDescent="0.35">
      <c r="I19" s="30"/>
    </row>
    <row r="20" spans="4:9" x14ac:dyDescent="0.35">
      <c r="F20" t="s">
        <v>222</v>
      </c>
      <c r="I20" s="30"/>
    </row>
    <row r="21" spans="4:9" x14ac:dyDescent="0.35">
      <c r="D21" t="s">
        <v>221</v>
      </c>
      <c r="E21">
        <v>60</v>
      </c>
      <c r="F21" t="e">
        <f>Table5[[#This Row],[RM crew 1 trapeze]]*2</f>
        <v>#VALUE!</v>
      </c>
      <c r="I21" s="30"/>
    </row>
    <row r="22" spans="4:9" x14ac:dyDescent="0.35">
      <c r="E22">
        <v>65</v>
      </c>
      <c r="F22" t="e">
        <f>Table5[[#This Row],[RM crew 1 trapeze]]*2</f>
        <v>#VALUE!</v>
      </c>
      <c r="I22" s="30"/>
    </row>
    <row r="23" spans="4:9" x14ac:dyDescent="0.35">
      <c r="E23">
        <v>70</v>
      </c>
      <c r="F23" t="e">
        <f>Table5[[#This Row],[RM crew 1 trapeze]]*2</f>
        <v>#VALUE!</v>
      </c>
      <c r="I23" s="30"/>
    </row>
    <row r="24" spans="4:9" x14ac:dyDescent="0.35">
      <c r="E24">
        <v>75</v>
      </c>
      <c r="F24" t="e">
        <f>Table5[[#This Row],[RM crew 1 trapeze]]*2</f>
        <v>#VALUE!</v>
      </c>
      <c r="I24" s="30"/>
    </row>
    <row r="25" spans="4:9" x14ac:dyDescent="0.35">
      <c r="E25">
        <v>80</v>
      </c>
      <c r="F25" t="e">
        <f>Table5[[#This Row],[RM crew 1 trapeze]]*2</f>
        <v>#VALUE!</v>
      </c>
      <c r="I25" s="30"/>
    </row>
    <row r="26" spans="4:9" x14ac:dyDescent="0.35">
      <c r="E26">
        <v>85</v>
      </c>
      <c r="F26" t="e">
        <f>Table5[[#This Row],[RM crew 1 trapeze]]*2</f>
        <v>#VALUE!</v>
      </c>
      <c r="I26" s="30"/>
    </row>
    <row r="27" spans="4:9" x14ac:dyDescent="0.35">
      <c r="E27">
        <v>90</v>
      </c>
      <c r="F27" t="e">
        <f>Table5[[#This Row],[RM crew 1 trapeze]]*2</f>
        <v>#VALUE!</v>
      </c>
      <c r="I27" s="30"/>
    </row>
    <row r="28" spans="4:9" x14ac:dyDescent="0.35">
      <c r="I28" s="30"/>
    </row>
    <row r="29" spans="4:9" x14ac:dyDescent="0.35">
      <c r="I29" s="30"/>
    </row>
    <row r="30" spans="4:9" x14ac:dyDescent="0.35">
      <c r="I30" s="30"/>
    </row>
    <row r="31" spans="4:9" x14ac:dyDescent="0.35">
      <c r="I31" s="30"/>
    </row>
    <row r="32" spans="4:9" x14ac:dyDescent="0.35">
      <c r="I32" s="30"/>
    </row>
    <row r="33" spans="9:9" x14ac:dyDescent="0.35">
      <c r="I33" s="30"/>
    </row>
    <row r="34" spans="9:9" x14ac:dyDescent="0.35">
      <c r="I34" s="30"/>
    </row>
    <row r="35" spans="9:9" x14ac:dyDescent="0.35">
      <c r="I35" s="30"/>
    </row>
    <row r="36" spans="9:9" x14ac:dyDescent="0.35">
      <c r="I36" s="30"/>
    </row>
    <row r="37" spans="9:9" x14ac:dyDescent="0.35">
      <c r="I37" s="30"/>
    </row>
    <row r="38" spans="9:9" x14ac:dyDescent="0.35">
      <c r="I38" s="30"/>
    </row>
    <row r="39" spans="9:9" x14ac:dyDescent="0.35">
      <c r="I39" s="30"/>
    </row>
    <row r="40" spans="9:9" x14ac:dyDescent="0.35">
      <c r="I40" s="30"/>
    </row>
    <row r="41" spans="9:9" x14ac:dyDescent="0.35">
      <c r="I41" s="30"/>
    </row>
    <row r="42" spans="9:9" x14ac:dyDescent="0.35">
      <c r="I42" s="30"/>
    </row>
    <row r="43" spans="9:9" x14ac:dyDescent="0.35">
      <c r="I43" s="30"/>
    </row>
    <row r="44" spans="9:9" x14ac:dyDescent="0.35">
      <c r="I44" s="30"/>
    </row>
    <row r="45" spans="9:9" x14ac:dyDescent="0.35">
      <c r="I45" s="30"/>
    </row>
    <row r="46" spans="9:9" x14ac:dyDescent="0.35">
      <c r="I46" s="30"/>
    </row>
    <row r="47" spans="9:9" x14ac:dyDescent="0.35">
      <c r="I47" s="30"/>
    </row>
    <row r="48" spans="9:9" x14ac:dyDescent="0.35">
      <c r="I48" s="30"/>
    </row>
    <row r="49" spans="9:9" x14ac:dyDescent="0.35">
      <c r="I49" s="30"/>
    </row>
    <row r="50" spans="9:9" x14ac:dyDescent="0.35">
      <c r="I50" s="30"/>
    </row>
    <row r="51" spans="9:9" x14ac:dyDescent="0.35">
      <c r="I51" s="30"/>
    </row>
    <row r="52" spans="9:9" x14ac:dyDescent="0.35">
      <c r="I52" s="30"/>
    </row>
    <row r="53" spans="9:9" x14ac:dyDescent="0.35">
      <c r="I53" s="30"/>
    </row>
    <row r="54" spans="9:9" x14ac:dyDescent="0.35">
      <c r="I54" s="30"/>
    </row>
    <row r="55" spans="9:9" x14ac:dyDescent="0.35">
      <c r="I55" s="30"/>
    </row>
    <row r="56" spans="9:9" x14ac:dyDescent="0.35">
      <c r="I56" s="30"/>
    </row>
    <row r="57" spans="9:9" x14ac:dyDescent="0.35">
      <c r="I57" s="30"/>
    </row>
    <row r="58" spans="9:9" x14ac:dyDescent="0.35">
      <c r="I58" s="30"/>
    </row>
    <row r="59" spans="9:9" x14ac:dyDescent="0.35">
      <c r="I59" s="30"/>
    </row>
    <row r="60" spans="9:9" x14ac:dyDescent="0.35">
      <c r="I60" s="30"/>
    </row>
    <row r="61" spans="9:9" x14ac:dyDescent="0.35">
      <c r="I61" s="30"/>
    </row>
    <row r="62" spans="9:9" x14ac:dyDescent="0.35">
      <c r="I62" s="30"/>
    </row>
    <row r="63" spans="9:9" x14ac:dyDescent="0.35">
      <c r="I63" s="30"/>
    </row>
    <row r="64" spans="9:9" x14ac:dyDescent="0.35">
      <c r="I64" s="30"/>
    </row>
    <row r="65" spans="9:9" x14ac:dyDescent="0.35">
      <c r="I65" s="30"/>
    </row>
    <row r="66" spans="9:9" x14ac:dyDescent="0.35">
      <c r="I66" s="30"/>
    </row>
    <row r="67" spans="9:9" x14ac:dyDescent="0.35">
      <c r="I67" s="30"/>
    </row>
    <row r="68" spans="9:9" x14ac:dyDescent="0.35">
      <c r="I68" s="30"/>
    </row>
    <row r="69" spans="9:9" x14ac:dyDescent="0.35">
      <c r="I69" s="30"/>
    </row>
    <row r="70" spans="9:9" x14ac:dyDescent="0.35">
      <c r="I70" s="30"/>
    </row>
    <row r="71" spans="9:9" x14ac:dyDescent="0.35">
      <c r="I71" s="30"/>
    </row>
    <row r="72" spans="9:9" x14ac:dyDescent="0.35">
      <c r="I72" s="30"/>
    </row>
    <row r="73" spans="9:9" x14ac:dyDescent="0.35">
      <c r="I73" s="30"/>
    </row>
    <row r="74" spans="9:9" x14ac:dyDescent="0.35">
      <c r="I74" s="30"/>
    </row>
    <row r="75" spans="9:9" x14ac:dyDescent="0.35">
      <c r="I75" s="30"/>
    </row>
    <row r="76" spans="9:9" x14ac:dyDescent="0.35">
      <c r="I76" s="30"/>
    </row>
    <row r="77" spans="9:9" x14ac:dyDescent="0.35">
      <c r="I77" s="30"/>
    </row>
    <row r="78" spans="9:9" x14ac:dyDescent="0.35">
      <c r="I78" s="30"/>
    </row>
    <row r="79" spans="9:9" x14ac:dyDescent="0.35">
      <c r="I79" s="30"/>
    </row>
    <row r="80" spans="9:9" x14ac:dyDescent="0.35">
      <c r="I80" s="30"/>
    </row>
    <row r="81" spans="9:9" x14ac:dyDescent="0.35">
      <c r="I81" s="30"/>
    </row>
    <row r="82" spans="9:9" x14ac:dyDescent="0.35">
      <c r="I82" s="30"/>
    </row>
    <row r="83" spans="9:9" x14ac:dyDescent="0.35">
      <c r="I83" s="30"/>
    </row>
    <row r="84" spans="9:9" x14ac:dyDescent="0.35">
      <c r="I84" s="30"/>
    </row>
    <row r="85" spans="9:9" x14ac:dyDescent="0.35">
      <c r="I85" s="30"/>
    </row>
    <row r="86" spans="9:9" x14ac:dyDescent="0.35">
      <c r="I86" s="30"/>
    </row>
    <row r="87" spans="9:9" x14ac:dyDescent="0.35">
      <c r="I87" s="30"/>
    </row>
    <row r="88" spans="9:9" x14ac:dyDescent="0.35">
      <c r="I88" s="30"/>
    </row>
    <row r="89" spans="9:9" x14ac:dyDescent="0.35">
      <c r="I89" s="30"/>
    </row>
    <row r="90" spans="9:9" x14ac:dyDescent="0.35">
      <c r="I90" s="30"/>
    </row>
    <row r="91" spans="9:9" x14ac:dyDescent="0.35">
      <c r="I91" s="30"/>
    </row>
    <row r="92" spans="9:9" x14ac:dyDescent="0.35">
      <c r="I92" s="30"/>
    </row>
    <row r="93" spans="9:9" x14ac:dyDescent="0.35">
      <c r="I93" s="30"/>
    </row>
    <row r="94" spans="9:9" x14ac:dyDescent="0.35">
      <c r="I94" s="30"/>
    </row>
    <row r="95" spans="9:9" x14ac:dyDescent="0.35">
      <c r="I95" s="30"/>
    </row>
    <row r="96" spans="9:9" x14ac:dyDescent="0.35">
      <c r="I96" s="30"/>
    </row>
    <row r="97" spans="9:9" x14ac:dyDescent="0.35">
      <c r="I97" s="30"/>
    </row>
    <row r="98" spans="9:9" x14ac:dyDescent="0.35">
      <c r="I98" s="30"/>
    </row>
    <row r="99" spans="9:9" x14ac:dyDescent="0.35">
      <c r="I99" s="30"/>
    </row>
    <row r="100" spans="9:9" x14ac:dyDescent="0.35">
      <c r="I100" s="30"/>
    </row>
    <row r="101" spans="9:9" x14ac:dyDescent="0.35">
      <c r="I101" s="30"/>
    </row>
    <row r="102" spans="9:9" x14ac:dyDescent="0.35">
      <c r="I102" s="30"/>
    </row>
    <row r="103" spans="9:9" x14ac:dyDescent="0.35">
      <c r="I103" s="30"/>
    </row>
    <row r="104" spans="9:9" x14ac:dyDescent="0.35">
      <c r="I104" s="30"/>
    </row>
    <row r="105" spans="9:9" x14ac:dyDescent="0.35">
      <c r="I105" s="30"/>
    </row>
    <row r="106" spans="9:9" x14ac:dyDescent="0.35">
      <c r="I106" s="30"/>
    </row>
    <row r="107" spans="9:9" x14ac:dyDescent="0.35">
      <c r="I107" s="30"/>
    </row>
    <row r="108" spans="9:9" x14ac:dyDescent="0.35">
      <c r="I108" s="30"/>
    </row>
    <row r="109" spans="9:9" x14ac:dyDescent="0.35">
      <c r="I109" s="30"/>
    </row>
    <row r="110" spans="9:9" x14ac:dyDescent="0.35">
      <c r="I110" s="30"/>
    </row>
    <row r="111" spans="9:9" x14ac:dyDescent="0.35">
      <c r="I111" s="30"/>
    </row>
    <row r="112" spans="9:9" x14ac:dyDescent="0.35">
      <c r="I112" s="30"/>
    </row>
    <row r="113" spans="9:9" x14ac:dyDescent="0.35">
      <c r="I113" s="30"/>
    </row>
    <row r="114" spans="9:9" x14ac:dyDescent="0.35">
      <c r="I114" s="30"/>
    </row>
    <row r="115" spans="9:9" x14ac:dyDescent="0.35">
      <c r="I115" s="30"/>
    </row>
    <row r="116" spans="9:9" x14ac:dyDescent="0.35">
      <c r="I116" s="30"/>
    </row>
    <row r="117" spans="9:9" x14ac:dyDescent="0.35">
      <c r="I117" s="30"/>
    </row>
    <row r="118" spans="9:9" x14ac:dyDescent="0.35">
      <c r="I118" s="30"/>
    </row>
    <row r="119" spans="9:9" x14ac:dyDescent="0.35">
      <c r="I119" s="30"/>
    </row>
    <row r="120" spans="9:9" x14ac:dyDescent="0.35">
      <c r="I120" s="30"/>
    </row>
    <row r="121" spans="9:9" x14ac:dyDescent="0.35">
      <c r="I121" s="30"/>
    </row>
    <row r="122" spans="9:9" x14ac:dyDescent="0.35">
      <c r="I122" s="30"/>
    </row>
    <row r="123" spans="9:9" x14ac:dyDescent="0.35">
      <c r="I123" s="30"/>
    </row>
    <row r="124" spans="9:9" x14ac:dyDescent="0.35">
      <c r="I124" s="30"/>
    </row>
    <row r="125" spans="9:9" x14ac:dyDescent="0.35">
      <c r="I125" s="30"/>
    </row>
    <row r="126" spans="9:9" x14ac:dyDescent="0.35">
      <c r="I126" s="30"/>
    </row>
    <row r="127" spans="9:9" x14ac:dyDescent="0.35">
      <c r="I127" s="30"/>
    </row>
    <row r="128" spans="9:9" x14ac:dyDescent="0.35">
      <c r="I128" s="30"/>
    </row>
    <row r="129" spans="9:9" x14ac:dyDescent="0.35">
      <c r="I129" s="30"/>
    </row>
    <row r="130" spans="9:9" x14ac:dyDescent="0.35">
      <c r="I130" s="30"/>
    </row>
    <row r="131" spans="9:9" x14ac:dyDescent="0.35">
      <c r="I131" s="30"/>
    </row>
    <row r="132" spans="9:9" x14ac:dyDescent="0.35">
      <c r="I132" s="30"/>
    </row>
    <row r="133" spans="9:9" x14ac:dyDescent="0.35">
      <c r="I133" s="30"/>
    </row>
    <row r="134" spans="9:9" x14ac:dyDescent="0.35">
      <c r="I134" s="30"/>
    </row>
    <row r="135" spans="9:9" x14ac:dyDescent="0.35">
      <c r="I135" s="30"/>
    </row>
    <row r="136" spans="9:9" x14ac:dyDescent="0.35">
      <c r="I136" s="30"/>
    </row>
    <row r="137" spans="9:9" x14ac:dyDescent="0.35">
      <c r="I137" s="30"/>
    </row>
    <row r="138" spans="9:9" x14ac:dyDescent="0.35">
      <c r="I138" s="30"/>
    </row>
    <row r="139" spans="9:9" x14ac:dyDescent="0.35">
      <c r="I139" s="30"/>
    </row>
    <row r="140" spans="9:9" x14ac:dyDescent="0.35">
      <c r="I140" s="30"/>
    </row>
    <row r="141" spans="9:9" x14ac:dyDescent="0.35">
      <c r="I141" s="30"/>
    </row>
    <row r="142" spans="9:9" x14ac:dyDescent="0.35">
      <c r="I142" s="30"/>
    </row>
    <row r="143" spans="9:9" x14ac:dyDescent="0.35">
      <c r="I143" s="30"/>
    </row>
    <row r="144" spans="9:9" x14ac:dyDescent="0.35">
      <c r="I144" s="30"/>
    </row>
    <row r="145" spans="9:9" x14ac:dyDescent="0.35">
      <c r="I145" s="30"/>
    </row>
    <row r="146" spans="9:9" x14ac:dyDescent="0.35">
      <c r="I146" s="30"/>
    </row>
    <row r="147" spans="9:9" x14ac:dyDescent="0.35">
      <c r="I147" s="30"/>
    </row>
    <row r="148" spans="9:9" x14ac:dyDescent="0.35">
      <c r="I148" s="30"/>
    </row>
    <row r="149" spans="9:9" x14ac:dyDescent="0.35">
      <c r="I149" s="30"/>
    </row>
    <row r="150" spans="9:9" x14ac:dyDescent="0.35">
      <c r="I150" s="30"/>
    </row>
    <row r="151" spans="9:9" x14ac:dyDescent="0.35">
      <c r="I151" s="30"/>
    </row>
    <row r="152" spans="9:9" x14ac:dyDescent="0.35">
      <c r="I152" s="30"/>
    </row>
    <row r="153" spans="9:9" x14ac:dyDescent="0.35">
      <c r="I153" s="30"/>
    </row>
    <row r="154" spans="9:9" x14ac:dyDescent="0.35">
      <c r="I154" s="30"/>
    </row>
    <row r="155" spans="9:9" x14ac:dyDescent="0.35">
      <c r="I155" s="30"/>
    </row>
    <row r="156" spans="9:9" x14ac:dyDescent="0.35">
      <c r="I156" s="30"/>
    </row>
    <row r="157" spans="9:9" x14ac:dyDescent="0.35">
      <c r="I157" s="30"/>
    </row>
    <row r="158" spans="9:9" x14ac:dyDescent="0.35">
      <c r="I158" s="30"/>
    </row>
    <row r="159" spans="9:9" x14ac:dyDescent="0.35">
      <c r="I159" s="30"/>
    </row>
    <row r="160" spans="9:9" x14ac:dyDescent="0.35">
      <c r="I160" s="30"/>
    </row>
    <row r="161" spans="9:9" x14ac:dyDescent="0.35">
      <c r="I161" s="30"/>
    </row>
    <row r="162" spans="9:9" x14ac:dyDescent="0.35">
      <c r="I162" s="30"/>
    </row>
    <row r="163" spans="9:9" x14ac:dyDescent="0.35">
      <c r="I163" s="30"/>
    </row>
    <row r="164" spans="9:9" x14ac:dyDescent="0.35">
      <c r="I164" s="30"/>
    </row>
    <row r="165" spans="9:9" x14ac:dyDescent="0.35">
      <c r="I165" s="30"/>
    </row>
    <row r="166" spans="9:9" x14ac:dyDescent="0.35">
      <c r="I166" s="30"/>
    </row>
    <row r="167" spans="9:9" x14ac:dyDescent="0.35">
      <c r="I167" s="30"/>
    </row>
    <row r="168" spans="9:9" x14ac:dyDescent="0.35">
      <c r="I168" s="30"/>
    </row>
    <row r="169" spans="9:9" x14ac:dyDescent="0.35">
      <c r="I169" s="30"/>
    </row>
    <row r="170" spans="9:9" x14ac:dyDescent="0.35">
      <c r="I170" s="30"/>
    </row>
    <row r="171" spans="9:9" x14ac:dyDescent="0.35">
      <c r="I171" s="30"/>
    </row>
    <row r="172" spans="9:9" x14ac:dyDescent="0.35">
      <c r="I172" s="30"/>
    </row>
    <row r="173" spans="9:9" x14ac:dyDescent="0.35">
      <c r="I173" s="30"/>
    </row>
    <row r="174" spans="9:9" x14ac:dyDescent="0.35">
      <c r="I174" s="30"/>
    </row>
    <row r="175" spans="9:9" x14ac:dyDescent="0.35">
      <c r="I175" s="30"/>
    </row>
    <row r="176" spans="9:9" x14ac:dyDescent="0.35">
      <c r="I176" s="30"/>
    </row>
    <row r="177" spans="9:9" x14ac:dyDescent="0.35">
      <c r="I177" s="30"/>
    </row>
    <row r="178" spans="9:9" x14ac:dyDescent="0.35">
      <c r="I178" s="30"/>
    </row>
    <row r="179" spans="9:9" x14ac:dyDescent="0.35">
      <c r="I179" s="30"/>
    </row>
    <row r="180" spans="9:9" x14ac:dyDescent="0.35">
      <c r="I180" s="30"/>
    </row>
    <row r="181" spans="9:9" x14ac:dyDescent="0.35">
      <c r="I181" s="30"/>
    </row>
    <row r="182" spans="9:9" x14ac:dyDescent="0.35">
      <c r="I182" s="30"/>
    </row>
    <row r="183" spans="9:9" x14ac:dyDescent="0.35">
      <c r="I183" s="30"/>
    </row>
    <row r="184" spans="9:9" x14ac:dyDescent="0.35">
      <c r="I184" s="30"/>
    </row>
    <row r="185" spans="9:9" x14ac:dyDescent="0.35">
      <c r="I185" s="30"/>
    </row>
    <row r="186" spans="9:9" x14ac:dyDescent="0.35">
      <c r="I186" s="30"/>
    </row>
    <row r="187" spans="9:9" x14ac:dyDescent="0.35">
      <c r="I187" s="30"/>
    </row>
    <row r="188" spans="9:9" x14ac:dyDescent="0.35">
      <c r="I188" s="30"/>
    </row>
    <row r="189" spans="9:9" x14ac:dyDescent="0.35">
      <c r="I189" s="30"/>
    </row>
    <row r="190" spans="9:9" x14ac:dyDescent="0.35">
      <c r="I190" s="30"/>
    </row>
    <row r="191" spans="9:9" x14ac:dyDescent="0.35">
      <c r="I191" s="30"/>
    </row>
    <row r="192" spans="9:9" x14ac:dyDescent="0.35">
      <c r="I192" s="30"/>
    </row>
    <row r="193" spans="9:9" x14ac:dyDescent="0.35">
      <c r="I193" s="30"/>
    </row>
    <row r="194" spans="9:9" x14ac:dyDescent="0.35">
      <c r="I194" s="30"/>
    </row>
    <row r="195" spans="9:9" x14ac:dyDescent="0.35">
      <c r="I195" s="30"/>
    </row>
    <row r="196" spans="9:9" x14ac:dyDescent="0.35">
      <c r="I196" s="30"/>
    </row>
    <row r="197" spans="9:9" x14ac:dyDescent="0.35">
      <c r="I197" s="30"/>
    </row>
    <row r="198" spans="9:9" x14ac:dyDescent="0.35">
      <c r="I198" s="30"/>
    </row>
    <row r="199" spans="9:9" x14ac:dyDescent="0.35">
      <c r="I199" s="30"/>
    </row>
    <row r="200" spans="9:9" x14ac:dyDescent="0.35">
      <c r="I200" s="30"/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35505-A947-4F01-9F9B-DFACA3B8B7FB}">
  <dimension ref="A1:L200"/>
  <sheetViews>
    <sheetView zoomScale="74" zoomScaleNormal="100" workbookViewId="0">
      <selection activeCell="A16" sqref="A16:XFD16"/>
    </sheetView>
  </sheetViews>
  <sheetFormatPr defaultRowHeight="14.5" x14ac:dyDescent="0.35"/>
  <cols>
    <col min="1" max="1" width="12.36328125" customWidth="1"/>
    <col min="2" max="2" width="11.453125" customWidth="1"/>
    <col min="3" max="3" width="14.08984375" customWidth="1"/>
    <col min="4" max="4" width="16.54296875" customWidth="1"/>
    <col min="5" max="5" width="18.453125" customWidth="1"/>
    <col min="6" max="7" width="20.6328125" customWidth="1"/>
    <col min="8" max="8" width="20.81640625" customWidth="1"/>
    <col min="9" max="9" width="18.81640625" customWidth="1"/>
  </cols>
  <sheetData>
    <row r="1" spans="1:12" x14ac:dyDescent="0.35">
      <c r="A1" t="s">
        <v>127</v>
      </c>
      <c r="B1" t="s">
        <v>128</v>
      </c>
      <c r="C1" t="s">
        <v>129</v>
      </c>
      <c r="D1" t="s">
        <v>137</v>
      </c>
      <c r="E1" t="s">
        <v>133</v>
      </c>
      <c r="F1" t="s">
        <v>134</v>
      </c>
      <c r="G1" t="s">
        <v>138</v>
      </c>
      <c r="H1" t="s">
        <v>135</v>
      </c>
      <c r="I1" t="s">
        <v>136</v>
      </c>
    </row>
    <row r="2" spans="1:12" x14ac:dyDescent="0.35">
      <c r="A2">
        <v>0</v>
      </c>
      <c r="B2">
        <v>0</v>
      </c>
      <c r="C2">
        <f>(163)*9.81*Table513[[#This Row],[GZ (m)]]</f>
        <v>0</v>
      </c>
      <c r="D2">
        <f>$E$24*9.81*COS(RADIANS((Table513[[#This Row],[Heel (deg)]])))*(2.2+2.2)</f>
        <v>3237.3</v>
      </c>
      <c r="E2">
        <f>$E$24*9.81*COS(RADIANS((Table513[[#This Row],[Heel (deg)]])))*(3.4+2.2)</f>
        <v>4120.2</v>
      </c>
      <c r="F2">
        <f>$E$24*9.81*COS(RADIANS((Table513[[#This Row],[Heel (deg)]])))*(3.4+3.4)</f>
        <v>5003.0999999999995</v>
      </c>
      <c r="G2">
        <f>Table513[[#This Row],[RM (boat)]]+Table513[[#This Row],[RM crew 0 trap]]</f>
        <v>3237.3</v>
      </c>
      <c r="H2">
        <f>Table513[[#This Row],[RM (boat)]]+Table513[[#This Row],[RM crew 1 trapeze]]</f>
        <v>4120.2</v>
      </c>
      <c r="I2" s="30">
        <f>Table513[[#This Row],[RM (boat)]]+Table513[[#This Row],[RM crew 2 trapeze]]</f>
        <v>5003.0999999999995</v>
      </c>
      <c r="J2" t="s">
        <v>130</v>
      </c>
      <c r="K2">
        <f>MAX(Table513[Total RM 2 trap (N.m)])</f>
        <v>6633.5898973455533</v>
      </c>
      <c r="L2" t="s">
        <v>131</v>
      </c>
    </row>
    <row r="3" spans="1:12" x14ac:dyDescent="0.35">
      <c r="A3">
        <v>0.90909099999999998</v>
      </c>
      <c r="B3">
        <v>0.108802</v>
      </c>
      <c r="C3">
        <f>(163)*9.81*Table513[[#This Row],[GZ (m)]]</f>
        <v>173.97766206</v>
      </c>
      <c r="D3">
        <f>$E$24*9.81*COS(RADIANS((Table513[[#This Row],[Heel (deg)]])))*(2.2+2.2)</f>
        <v>3236.8925134371402</v>
      </c>
      <c r="E3">
        <f>$E$24*9.81*COS(RADIANS((Table513[[#This Row],[Heel (deg)]])))*(3.4+2.2)</f>
        <v>4119.6813807381777</v>
      </c>
      <c r="F3">
        <f>$E$24*9.81*COS(RADIANS((Table513[[#This Row],[Heel (deg)]])))*(3.4+3.4)</f>
        <v>5002.4702480392161</v>
      </c>
      <c r="G3">
        <f>Table513[[#This Row],[RM (boat)]]+Table513[[#This Row],[RM crew 0 trap]]</f>
        <v>3410.8701754971403</v>
      </c>
      <c r="H3">
        <f>Table513[[#This Row],[RM (boat)]]+Table513[[#This Row],[RM crew 1 trapeze]]</f>
        <v>4293.6590427981773</v>
      </c>
      <c r="I3" s="30">
        <f>Table513[[#This Row],[RM (boat)]]+Table513[[#This Row],[RM crew 2 trapeze]]</f>
        <v>5176.4479100992157</v>
      </c>
    </row>
    <row r="4" spans="1:12" x14ac:dyDescent="0.35">
      <c r="A4">
        <v>1.818182</v>
      </c>
      <c r="B4">
        <v>0.22917899999999999</v>
      </c>
      <c r="C4">
        <f>(163)*9.81*Table513[[#This Row],[GZ (m)]]</f>
        <v>366.46409636999999</v>
      </c>
      <c r="D4">
        <f>$E$24*9.81*COS(RADIANS((Table513[[#This Row],[Heel (deg)]])))*(2.2+2.2)</f>
        <v>3235.6701563311444</v>
      </c>
      <c r="E4">
        <f>$E$24*9.81*COS(RADIANS((Table513[[#This Row],[Heel (deg)]])))*(3.4+2.2)</f>
        <v>4118.1256535123648</v>
      </c>
      <c r="F4">
        <f>$E$24*9.81*COS(RADIANS((Table513[[#This Row],[Heel (deg)]])))*(3.4+3.4)</f>
        <v>5000.5811506935861</v>
      </c>
      <c r="G4">
        <f>Table513[[#This Row],[RM (boat)]]+Table513[[#This Row],[RM crew 0 trap]]</f>
        <v>3602.1342527011443</v>
      </c>
      <c r="H4">
        <f>Table513[[#This Row],[RM (boat)]]+Table513[[#This Row],[RM crew 1 trapeze]]</f>
        <v>4484.5897498823651</v>
      </c>
      <c r="I4" s="30">
        <f>Table513[[#This Row],[RM (boat)]]+Table513[[#This Row],[RM crew 2 trapeze]]</f>
        <v>5367.0452470635864</v>
      </c>
    </row>
    <row r="5" spans="1:12" x14ac:dyDescent="0.35">
      <c r="A5">
        <v>2.7272729999999998</v>
      </c>
      <c r="B5">
        <v>0.34717399999999998</v>
      </c>
      <c r="C5">
        <f>(163)*9.81*Table513[[#This Row],[GZ (m)]]</f>
        <v>555.14164122</v>
      </c>
      <c r="D5">
        <f>$E$24*9.81*COS(RADIANS((Table513[[#This Row],[Heel (deg)]])))*(2.2+2.2)</f>
        <v>3233.6332364039376</v>
      </c>
      <c r="E5">
        <f>$E$24*9.81*COS(RADIANS((Table513[[#This Row],[Heel (deg)]])))*(3.4+2.2)</f>
        <v>4115.5332099686475</v>
      </c>
      <c r="F5">
        <f>$E$24*9.81*COS(RADIANS((Table513[[#This Row],[Heel (deg)]])))*(3.4+3.4)</f>
        <v>4997.4331835333578</v>
      </c>
      <c r="G5">
        <f>Table513[[#This Row],[RM (boat)]]+Table513[[#This Row],[RM crew 0 trap]]</f>
        <v>3788.7748776239378</v>
      </c>
      <c r="H5">
        <f>Table513[[#This Row],[RM (boat)]]+Table513[[#This Row],[RM crew 1 trapeze]]</f>
        <v>4670.6748511886472</v>
      </c>
      <c r="I5" s="30">
        <f>Table513[[#This Row],[RM (boat)]]+Table513[[#This Row],[RM crew 2 trapeze]]</f>
        <v>5552.5748247533575</v>
      </c>
    </row>
    <row r="6" spans="1:12" x14ac:dyDescent="0.35">
      <c r="A6">
        <v>3.6363639999999999</v>
      </c>
      <c r="B6">
        <v>0.46135999999999999</v>
      </c>
      <c r="C6">
        <f>(163)*9.81*Table513[[#This Row],[GZ (m)]]</f>
        <v>737.72848079999994</v>
      </c>
      <c r="D6">
        <f>$E$24*9.81*COS(RADIANS((Table513[[#This Row],[Heel (deg)]])))*(2.2+2.2)</f>
        <v>3230.7822664393229</v>
      </c>
      <c r="E6">
        <f>$E$24*9.81*COS(RADIANS((Table513[[#This Row],[Heel (deg)]])))*(3.4+2.2)</f>
        <v>4111.9047027409561</v>
      </c>
      <c r="F6">
        <f>$E$24*9.81*COS(RADIANS((Table513[[#This Row],[Heel (deg)]])))*(3.4+3.4)</f>
        <v>4993.0271390425896</v>
      </c>
      <c r="G6">
        <f>Table513[[#This Row],[RM (boat)]]+Table513[[#This Row],[RM crew 0 trap]]</f>
        <v>3968.5107472393229</v>
      </c>
      <c r="H6">
        <f>Table513[[#This Row],[RM (boat)]]+Table513[[#This Row],[RM crew 1 trapeze]]</f>
        <v>4849.6331835409565</v>
      </c>
      <c r="I6" s="30">
        <f>Table513[[#This Row],[RM (boat)]]+Table513[[#This Row],[RM crew 2 trapeze]]</f>
        <v>5730.75561984259</v>
      </c>
    </row>
    <row r="7" spans="1:12" x14ac:dyDescent="0.35">
      <c r="A7">
        <v>4.5454549999999996</v>
      </c>
      <c r="B7">
        <v>0.57030599999999998</v>
      </c>
      <c r="C7">
        <f>(163)*9.81*Table513[[#This Row],[GZ (m)]]</f>
        <v>911.93640317999996</v>
      </c>
      <c r="D7">
        <f>$E$24*9.81*COS(RADIANS((Table513[[#This Row],[Heel (deg)]])))*(2.2+2.2)</f>
        <v>3227.1179641538843</v>
      </c>
      <c r="E7">
        <f>$E$24*9.81*COS(RADIANS((Table513[[#This Row],[Heel (deg)]])))*(3.4+2.2)</f>
        <v>4107.2410452867616</v>
      </c>
      <c r="F7">
        <f>$E$24*9.81*COS(RADIANS((Table513[[#This Row],[Heel (deg)]])))*(3.4+3.4)</f>
        <v>4987.3641264196385</v>
      </c>
      <c r="G7" s="31">
        <f>Table513[[#This Row],[RM (boat)]]+Table513[[#This Row],[RM crew 0 trap]]</f>
        <v>4139.0543673338843</v>
      </c>
      <c r="H7" s="31">
        <f>Table513[[#This Row],[RM (boat)]]+Table513[[#This Row],[RM crew 1 trapeze]]</f>
        <v>5019.1774484667612</v>
      </c>
      <c r="I7" s="32">
        <f>Table513[[#This Row],[RM (boat)]]+Table513[[#This Row],[RM crew 2 trapeze]]</f>
        <v>5899.3005295996381</v>
      </c>
    </row>
    <row r="8" spans="1:12" x14ac:dyDescent="0.35">
      <c r="A8">
        <v>5.4545450000000004</v>
      </c>
      <c r="B8">
        <v>0.67258499999999999</v>
      </c>
      <c r="C8">
        <f>(163)*9.81*Table513[[#This Row],[GZ (m)]]</f>
        <v>1075.4835925499999</v>
      </c>
      <c r="D8">
        <f>$E$24*9.81*COS(RADIANS((Table513[[#This Row],[Heel (deg)]])))*(2.2+2.2)</f>
        <v>3222.6412573871257</v>
      </c>
      <c r="E8">
        <f>$E$24*9.81*COS(RADIANS((Table513[[#This Row],[Heel (deg)]])))*(3.4+2.2)</f>
        <v>4101.5434184927053</v>
      </c>
      <c r="F8">
        <f>$E$24*9.81*COS(RADIANS((Table513[[#This Row],[Heel (deg)]])))*(3.4+3.4)</f>
        <v>4980.4455795982849</v>
      </c>
      <c r="G8" s="31">
        <f>Table513[[#This Row],[RM (boat)]]+Table513[[#This Row],[RM crew 0 trap]]</f>
        <v>4298.1248499371259</v>
      </c>
      <c r="H8" s="31">
        <f>Table513[[#This Row],[RM (boat)]]+Table513[[#This Row],[RM crew 1 trapeze]]</f>
        <v>5177.0270110427055</v>
      </c>
      <c r="I8" s="32">
        <f>Table513[[#This Row],[RM (boat)]]+Table513[[#This Row],[RM crew 2 trapeze]]</f>
        <v>6055.929172148285</v>
      </c>
    </row>
    <row r="9" spans="1:12" x14ac:dyDescent="0.35">
      <c r="A9">
        <v>6.3636359999999996</v>
      </c>
      <c r="B9">
        <v>0.76676699999999998</v>
      </c>
      <c r="C9">
        <f>(163)*9.81*Table513[[#This Row],[GZ (m)]]</f>
        <v>1226.08343601</v>
      </c>
      <c r="D9">
        <f>$E$24*9.81*COS(RADIANS((Table513[[#This Row],[Heel (deg)]])))*(2.2+2.2)</f>
        <v>3217.3532632777019</v>
      </c>
      <c r="E9">
        <f>$E$24*9.81*COS(RADIANS((Table513[[#This Row],[Heel (deg)]])))*(3.4+2.2)</f>
        <v>4094.8132441716198</v>
      </c>
      <c r="F9">
        <f>$E$24*9.81*COS(RADIANS((Table513[[#This Row],[Heel (deg)]])))*(3.4+3.4)</f>
        <v>4972.273225065539</v>
      </c>
      <c r="G9" s="31">
        <f>Table513[[#This Row],[RM (boat)]]+Table513[[#This Row],[RM crew 0 trap]]</f>
        <v>4443.4366992877021</v>
      </c>
      <c r="H9" s="31">
        <f>Table513[[#This Row],[RM (boat)]]+Table513[[#This Row],[RM crew 1 trapeze]]</f>
        <v>5320.8966801816196</v>
      </c>
      <c r="I9" s="32">
        <f>Table513[[#This Row],[RM (boat)]]+Table513[[#This Row],[RM crew 2 trapeze]]</f>
        <v>6198.3566610755388</v>
      </c>
    </row>
    <row r="10" spans="1:12" x14ac:dyDescent="0.35">
      <c r="A10">
        <v>7.2727269999999997</v>
      </c>
      <c r="B10">
        <v>0.85142200000000001</v>
      </c>
      <c r="C10">
        <f>(163)*9.81*Table513[[#This Row],[GZ (m)]]</f>
        <v>1361.44932066</v>
      </c>
      <c r="D10">
        <f>$E$24*9.81*COS(RADIANS((Table513[[#This Row],[Heel (deg)]])))*(2.2+2.2)</f>
        <v>3211.2553175278622</v>
      </c>
      <c r="E10">
        <f>$E$24*9.81*COS(RADIANS((Table513[[#This Row],[Heel (deg)]])))*(3.4+2.2)</f>
        <v>4087.0522223081875</v>
      </c>
      <c r="F10">
        <f>$E$24*9.81*COS(RADIANS((Table513[[#This Row],[Heel (deg)]])))*(3.4+3.4)</f>
        <v>4962.8491270885133</v>
      </c>
      <c r="G10" s="31">
        <f>Table513[[#This Row],[RM (boat)]]+Table513[[#This Row],[RM crew 0 trap]]</f>
        <v>4572.7046381878627</v>
      </c>
      <c r="H10" s="31">
        <f>Table513[[#This Row],[RM (boat)]]+Table513[[#This Row],[RM crew 1 trapeze]]</f>
        <v>5448.501542968188</v>
      </c>
      <c r="I10" s="32">
        <f>Table513[[#This Row],[RM (boat)]]+Table513[[#This Row],[RM crew 2 trapeze]]</f>
        <v>6324.2984477485134</v>
      </c>
    </row>
    <row r="11" spans="1:12" x14ac:dyDescent="0.35">
      <c r="A11">
        <v>8.1818179999999998</v>
      </c>
      <c r="B11">
        <v>0.925122</v>
      </c>
      <c r="C11">
        <f>(163)*9.81*Table513[[#This Row],[GZ (m)]]</f>
        <v>1479.2978316599999</v>
      </c>
      <c r="D11">
        <f>$E$24*9.81*COS(RADIANS((Table513[[#This Row],[Heel (deg)]])))*(2.2+2.2)</f>
        <v>3204.3489552631454</v>
      </c>
      <c r="E11">
        <f>$E$24*9.81*COS(RADIANS((Table513[[#This Row],[Heel (deg)]])))*(3.4+2.2)</f>
        <v>4078.2623066985479</v>
      </c>
      <c r="F11">
        <f>$E$24*9.81*COS(RADIANS((Table513[[#This Row],[Heel (deg)]])))*(3.4+3.4)</f>
        <v>4952.1756581339514</v>
      </c>
      <c r="G11" s="31">
        <f>Table513[[#This Row],[RM (boat)]]+Table513[[#This Row],[RM crew 0 trap]]</f>
        <v>4683.6467869231456</v>
      </c>
      <c r="H11" s="31">
        <f>Table513[[#This Row],[RM (boat)]]+Table513[[#This Row],[RM crew 1 trapeze]]</f>
        <v>5557.5601383585481</v>
      </c>
      <c r="I11" s="32">
        <f>Table513[[#This Row],[RM (boat)]]+Table513[[#This Row],[RM crew 2 trapeze]]</f>
        <v>6431.4734897939516</v>
      </c>
    </row>
    <row r="12" spans="1:12" x14ac:dyDescent="0.35">
      <c r="A12">
        <v>9.0909089999999999</v>
      </c>
      <c r="B12">
        <v>0.98643700000000001</v>
      </c>
      <c r="C12">
        <f>(163)*9.81*Table513[[#This Row],[GZ (m)]]</f>
        <v>1577.3423561100001</v>
      </c>
      <c r="D12">
        <f>$E$24*9.81*COS(RADIANS((Table513[[#This Row],[Heel (deg)]])))*(2.2+2.2)</f>
        <v>3196.6359151236661</v>
      </c>
      <c r="E12">
        <f>$E$24*9.81*COS(RADIANS((Table513[[#This Row],[Heel (deg)]])))*(3.4+2.2)</f>
        <v>4068.445710157393</v>
      </c>
      <c r="F12">
        <f>$E$24*9.81*COS(RADIANS((Table513[[#This Row],[Heel (deg)]])))*(3.4+3.4)</f>
        <v>4940.2555051911204</v>
      </c>
      <c r="G12" s="31">
        <f>Table513[[#This Row],[RM (boat)]]+Table513[[#This Row],[RM crew 0 trap]]</f>
        <v>4773.9782712336664</v>
      </c>
      <c r="H12" s="31">
        <f>Table513[[#This Row],[RM (boat)]]+Table513[[#This Row],[RM crew 1 trapeze]]</f>
        <v>5645.7880662673933</v>
      </c>
      <c r="I12" s="32">
        <f>Table513[[#This Row],[RM (boat)]]+Table513[[#This Row],[RM crew 2 trapeze]]</f>
        <v>6517.5978613011202</v>
      </c>
    </row>
    <row r="13" spans="1:12" x14ac:dyDescent="0.35">
      <c r="A13">
        <v>10</v>
      </c>
      <c r="B13">
        <v>1.0339389999999999</v>
      </c>
      <c r="C13">
        <f>(163)*9.81*Table513[[#This Row],[GZ (m)]]</f>
        <v>1653.2994791699998</v>
      </c>
      <c r="D13">
        <f>$E$24*9.81*COS(RADIANS((Table513[[#This Row],[Heel (deg)]])))*(2.2+2.2)</f>
        <v>3188.1181388264213</v>
      </c>
      <c r="E13">
        <f>$E$24*9.81*COS(RADIANS((Table513[[#This Row],[Heel (deg)]])))*(3.4+2.2)</f>
        <v>4057.6049039608993</v>
      </c>
      <c r="F13">
        <f>$E$24*9.81*COS(RADIANS((Table513[[#This Row],[Heel (deg)]])))*(3.4+3.4)</f>
        <v>4927.0916690953782</v>
      </c>
      <c r="G13" s="31">
        <f>Table513[[#This Row],[RM (boat)]]+Table513[[#This Row],[RM crew 0 trap]]</f>
        <v>4841.4176179964215</v>
      </c>
      <c r="H13" s="31">
        <f>Table513[[#This Row],[RM (boat)]]+Table513[[#This Row],[RM crew 1 trapeze]]</f>
        <v>5710.9043831308991</v>
      </c>
      <c r="I13" s="32">
        <f>Table513[[#This Row],[RM (boat)]]+Table513[[#This Row],[RM crew 2 trapeze]]</f>
        <v>6580.3911482653784</v>
      </c>
    </row>
    <row r="14" spans="1:12" x14ac:dyDescent="0.35">
      <c r="A14">
        <v>10.909091</v>
      </c>
      <c r="B14">
        <v>1.0667249999999999</v>
      </c>
      <c r="C14">
        <f>(163)*9.81*Table513[[#This Row],[GZ (m)]]</f>
        <v>1705.7252767499999</v>
      </c>
      <c r="D14">
        <f>$E$24*9.81*COS(RADIANS((Table513[[#This Row],[Heel (deg)]])))*(2.2+2.2)</f>
        <v>3178.7977706764709</v>
      </c>
      <c r="E14">
        <f>$E$24*9.81*COS(RADIANS((Table513[[#This Row],[Heel (deg)]])))*(3.4+2.2)</f>
        <v>4045.7426172245991</v>
      </c>
      <c r="F14">
        <f>$E$24*9.81*COS(RADIANS((Table513[[#This Row],[Heel (deg)]])))*(3.4+3.4)</f>
        <v>4912.6874637727278</v>
      </c>
      <c r="G14" s="31">
        <f>Table513[[#This Row],[RM (boat)]]+Table513[[#This Row],[RM crew 0 trap]]</f>
        <v>4884.5230474264708</v>
      </c>
      <c r="H14" s="31">
        <f>Table513[[#This Row],[RM (boat)]]+Table513[[#This Row],[RM crew 1 trapeze]]</f>
        <v>5751.4678939745991</v>
      </c>
      <c r="I14" s="32">
        <f>Table513[[#This Row],[RM (boat)]]+Table513[[#This Row],[RM crew 2 trapeze]]</f>
        <v>6618.4127405227282</v>
      </c>
    </row>
    <row r="15" spans="1:12" x14ac:dyDescent="0.35">
      <c r="A15">
        <v>11.818182</v>
      </c>
      <c r="B15">
        <v>1.085998</v>
      </c>
      <c r="C15">
        <f>(163)*9.81*Table513[[#This Row],[GZ (m)]]</f>
        <v>1736.54338194</v>
      </c>
      <c r="D15">
        <f>$E$24*9.81*COS(RADIANS((Table513[[#This Row],[Heel (deg)]])))*(2.2+2.2)</f>
        <v>3168.677157027123</v>
      </c>
      <c r="E15">
        <f>$E$24*9.81*COS(RADIANS((Table513[[#This Row],[Heel (deg)]])))*(3.4+2.2)</f>
        <v>4032.8618362163379</v>
      </c>
      <c r="F15">
        <f>$E$24*9.81*COS(RADIANS((Table513[[#This Row],[Heel (deg)]])))*(3.4+3.4)</f>
        <v>4897.0465154055528</v>
      </c>
      <c r="G15" s="31">
        <f>Table513[[#This Row],[RM (boat)]]+Table513[[#This Row],[RM crew 0 trap]]</f>
        <v>4905.2205389671235</v>
      </c>
      <c r="H15" s="31">
        <f>Table513[[#This Row],[RM (boat)]]+Table513[[#This Row],[RM crew 1 trapeze]]</f>
        <v>5769.4052181563384</v>
      </c>
      <c r="I15" s="32">
        <f>Table513[[#This Row],[RM (boat)]]+Table513[[#This Row],[RM crew 2 trapeze]]</f>
        <v>6633.5898973455533</v>
      </c>
    </row>
    <row r="16" spans="1:12" x14ac:dyDescent="0.35">
      <c r="G16" s="31"/>
      <c r="H16" s="31"/>
      <c r="I16" s="32"/>
    </row>
    <row r="17" spans="4:9" x14ac:dyDescent="0.35">
      <c r="I17" s="30"/>
    </row>
    <row r="18" spans="4:9" x14ac:dyDescent="0.35">
      <c r="I18" s="30"/>
    </row>
    <row r="19" spans="4:9" x14ac:dyDescent="0.35">
      <c r="I19" s="30"/>
    </row>
    <row r="20" spans="4:9" x14ac:dyDescent="0.35">
      <c r="F20" t="s">
        <v>222</v>
      </c>
      <c r="I20" s="30"/>
    </row>
    <row r="21" spans="4:9" x14ac:dyDescent="0.35">
      <c r="D21" t="s">
        <v>221</v>
      </c>
      <c r="E21">
        <v>60</v>
      </c>
      <c r="F21" t="e">
        <f>Table513[[#This Row],[RM crew 1 trapeze]]*2</f>
        <v>#VALUE!</v>
      </c>
      <c r="I21" s="30"/>
    </row>
    <row r="22" spans="4:9" x14ac:dyDescent="0.35">
      <c r="E22">
        <v>65</v>
      </c>
      <c r="F22" t="e">
        <f>Table513[[#This Row],[RM crew 1 trapeze]]*2</f>
        <v>#VALUE!</v>
      </c>
      <c r="I22" s="30"/>
    </row>
    <row r="23" spans="4:9" x14ac:dyDescent="0.35">
      <c r="E23">
        <v>70</v>
      </c>
      <c r="F23" t="e">
        <f>Table513[[#This Row],[RM crew 1 trapeze]]*2</f>
        <v>#VALUE!</v>
      </c>
      <c r="I23" s="30"/>
    </row>
    <row r="24" spans="4:9" x14ac:dyDescent="0.35">
      <c r="E24">
        <v>75</v>
      </c>
      <c r="F24" t="e">
        <f>Table513[[#This Row],[RM crew 1 trapeze]]*2</f>
        <v>#VALUE!</v>
      </c>
      <c r="I24" s="30"/>
    </row>
    <row r="25" spans="4:9" x14ac:dyDescent="0.35">
      <c r="E25">
        <v>80</v>
      </c>
      <c r="F25" t="e">
        <f>Table513[[#This Row],[RM crew 1 trapeze]]*2</f>
        <v>#VALUE!</v>
      </c>
      <c r="I25" s="30"/>
    </row>
    <row r="26" spans="4:9" x14ac:dyDescent="0.35">
      <c r="E26">
        <v>85</v>
      </c>
      <c r="F26" t="e">
        <f>Table513[[#This Row],[RM crew 1 trapeze]]*2</f>
        <v>#VALUE!</v>
      </c>
      <c r="I26" s="30"/>
    </row>
    <row r="27" spans="4:9" x14ac:dyDescent="0.35">
      <c r="E27">
        <v>90</v>
      </c>
      <c r="F27" t="e">
        <f>Table513[[#This Row],[RM crew 1 trapeze]]*2</f>
        <v>#VALUE!</v>
      </c>
      <c r="I27" s="30"/>
    </row>
    <row r="28" spans="4:9" x14ac:dyDescent="0.35">
      <c r="I28" s="30"/>
    </row>
    <row r="29" spans="4:9" x14ac:dyDescent="0.35">
      <c r="I29" s="30"/>
    </row>
    <row r="30" spans="4:9" x14ac:dyDescent="0.35">
      <c r="I30" s="30"/>
    </row>
    <row r="31" spans="4:9" x14ac:dyDescent="0.35">
      <c r="I31" s="30"/>
    </row>
    <row r="32" spans="4:9" x14ac:dyDescent="0.35">
      <c r="I32" s="30"/>
    </row>
    <row r="33" spans="9:9" x14ac:dyDescent="0.35">
      <c r="I33" s="30"/>
    </row>
    <row r="34" spans="9:9" x14ac:dyDescent="0.35">
      <c r="I34" s="30"/>
    </row>
    <row r="35" spans="9:9" x14ac:dyDescent="0.35">
      <c r="I35" s="30"/>
    </row>
    <row r="36" spans="9:9" x14ac:dyDescent="0.35">
      <c r="I36" s="30"/>
    </row>
    <row r="37" spans="9:9" x14ac:dyDescent="0.35">
      <c r="I37" s="30"/>
    </row>
    <row r="38" spans="9:9" x14ac:dyDescent="0.35">
      <c r="I38" s="30"/>
    </row>
    <row r="39" spans="9:9" x14ac:dyDescent="0.35">
      <c r="I39" s="30"/>
    </row>
    <row r="40" spans="9:9" x14ac:dyDescent="0.35">
      <c r="I40" s="30"/>
    </row>
    <row r="41" spans="9:9" x14ac:dyDescent="0.35">
      <c r="I41" s="30"/>
    </row>
    <row r="42" spans="9:9" x14ac:dyDescent="0.35">
      <c r="I42" s="30"/>
    </row>
    <row r="43" spans="9:9" x14ac:dyDescent="0.35">
      <c r="I43" s="30"/>
    </row>
    <row r="44" spans="9:9" x14ac:dyDescent="0.35">
      <c r="I44" s="30"/>
    </row>
    <row r="45" spans="9:9" x14ac:dyDescent="0.35">
      <c r="I45" s="30"/>
    </row>
    <row r="46" spans="9:9" x14ac:dyDescent="0.35">
      <c r="I46" s="30"/>
    </row>
    <row r="47" spans="9:9" x14ac:dyDescent="0.35">
      <c r="I47" s="30"/>
    </row>
    <row r="48" spans="9:9" x14ac:dyDescent="0.35">
      <c r="I48" s="30"/>
    </row>
    <row r="49" spans="9:9" x14ac:dyDescent="0.35">
      <c r="I49" s="30"/>
    </row>
    <row r="50" spans="9:9" x14ac:dyDescent="0.35">
      <c r="I50" s="30"/>
    </row>
    <row r="51" spans="9:9" x14ac:dyDescent="0.35">
      <c r="I51" s="30"/>
    </row>
    <row r="52" spans="9:9" x14ac:dyDescent="0.35">
      <c r="I52" s="30"/>
    </row>
    <row r="53" spans="9:9" x14ac:dyDescent="0.35">
      <c r="I53" s="30"/>
    </row>
    <row r="54" spans="9:9" x14ac:dyDescent="0.35">
      <c r="I54" s="30"/>
    </row>
    <row r="55" spans="9:9" x14ac:dyDescent="0.35">
      <c r="I55" s="30"/>
    </row>
    <row r="56" spans="9:9" x14ac:dyDescent="0.35">
      <c r="I56" s="30"/>
    </row>
    <row r="57" spans="9:9" x14ac:dyDescent="0.35">
      <c r="I57" s="30"/>
    </row>
    <row r="58" spans="9:9" x14ac:dyDescent="0.35">
      <c r="I58" s="30"/>
    </row>
    <row r="59" spans="9:9" x14ac:dyDescent="0.35">
      <c r="I59" s="30"/>
    </row>
    <row r="60" spans="9:9" x14ac:dyDescent="0.35">
      <c r="I60" s="30"/>
    </row>
    <row r="61" spans="9:9" x14ac:dyDescent="0.35">
      <c r="I61" s="30"/>
    </row>
    <row r="62" spans="9:9" x14ac:dyDescent="0.35">
      <c r="I62" s="30"/>
    </row>
    <row r="63" spans="9:9" x14ac:dyDescent="0.35">
      <c r="I63" s="30"/>
    </row>
    <row r="64" spans="9:9" x14ac:dyDescent="0.35">
      <c r="I64" s="30"/>
    </row>
    <row r="65" spans="9:9" x14ac:dyDescent="0.35">
      <c r="I65" s="30"/>
    </row>
    <row r="66" spans="9:9" x14ac:dyDescent="0.35">
      <c r="I66" s="30"/>
    </row>
    <row r="67" spans="9:9" x14ac:dyDescent="0.35">
      <c r="I67" s="30"/>
    </row>
    <row r="68" spans="9:9" x14ac:dyDescent="0.35">
      <c r="I68" s="30"/>
    </row>
    <row r="69" spans="9:9" x14ac:dyDescent="0.35">
      <c r="I69" s="30"/>
    </row>
    <row r="70" spans="9:9" x14ac:dyDescent="0.35">
      <c r="I70" s="30"/>
    </row>
    <row r="71" spans="9:9" x14ac:dyDescent="0.35">
      <c r="I71" s="30"/>
    </row>
    <row r="72" spans="9:9" x14ac:dyDescent="0.35">
      <c r="I72" s="30"/>
    </row>
    <row r="73" spans="9:9" x14ac:dyDescent="0.35">
      <c r="I73" s="30"/>
    </row>
    <row r="74" spans="9:9" x14ac:dyDescent="0.35">
      <c r="I74" s="30"/>
    </row>
    <row r="75" spans="9:9" x14ac:dyDescent="0.35">
      <c r="I75" s="30"/>
    </row>
    <row r="76" spans="9:9" x14ac:dyDescent="0.35">
      <c r="I76" s="30"/>
    </row>
    <row r="77" spans="9:9" x14ac:dyDescent="0.35">
      <c r="I77" s="30"/>
    </row>
    <row r="78" spans="9:9" x14ac:dyDescent="0.35">
      <c r="I78" s="30"/>
    </row>
    <row r="79" spans="9:9" x14ac:dyDescent="0.35">
      <c r="I79" s="30"/>
    </row>
    <row r="80" spans="9:9" x14ac:dyDescent="0.35">
      <c r="I80" s="30"/>
    </row>
    <row r="81" spans="9:9" x14ac:dyDescent="0.35">
      <c r="I81" s="30"/>
    </row>
    <row r="82" spans="9:9" x14ac:dyDescent="0.35">
      <c r="I82" s="30"/>
    </row>
    <row r="83" spans="9:9" x14ac:dyDescent="0.35">
      <c r="I83" s="30"/>
    </row>
    <row r="84" spans="9:9" x14ac:dyDescent="0.35">
      <c r="I84" s="30"/>
    </row>
    <row r="85" spans="9:9" x14ac:dyDescent="0.35">
      <c r="I85" s="30"/>
    </row>
    <row r="86" spans="9:9" x14ac:dyDescent="0.35">
      <c r="I86" s="30"/>
    </row>
    <row r="87" spans="9:9" x14ac:dyDescent="0.35">
      <c r="I87" s="30"/>
    </row>
    <row r="88" spans="9:9" x14ac:dyDescent="0.35">
      <c r="I88" s="30"/>
    </row>
    <row r="89" spans="9:9" x14ac:dyDescent="0.35">
      <c r="I89" s="30"/>
    </row>
    <row r="90" spans="9:9" x14ac:dyDescent="0.35">
      <c r="I90" s="30"/>
    </row>
    <row r="91" spans="9:9" x14ac:dyDescent="0.35">
      <c r="I91" s="30"/>
    </row>
    <row r="92" spans="9:9" x14ac:dyDescent="0.35">
      <c r="I92" s="30"/>
    </row>
    <row r="93" spans="9:9" x14ac:dyDescent="0.35">
      <c r="I93" s="30"/>
    </row>
    <row r="94" spans="9:9" x14ac:dyDescent="0.35">
      <c r="I94" s="30"/>
    </row>
    <row r="95" spans="9:9" x14ac:dyDescent="0.35">
      <c r="I95" s="30"/>
    </row>
    <row r="96" spans="9:9" x14ac:dyDescent="0.35">
      <c r="I96" s="30"/>
    </row>
    <row r="97" spans="9:9" x14ac:dyDescent="0.35">
      <c r="I97" s="30"/>
    </row>
    <row r="98" spans="9:9" x14ac:dyDescent="0.35">
      <c r="I98" s="30"/>
    </row>
    <row r="99" spans="9:9" x14ac:dyDescent="0.35">
      <c r="I99" s="30"/>
    </row>
    <row r="100" spans="9:9" x14ac:dyDescent="0.35">
      <c r="I100" s="30"/>
    </row>
    <row r="101" spans="9:9" x14ac:dyDescent="0.35">
      <c r="I101" s="30"/>
    </row>
    <row r="102" spans="9:9" x14ac:dyDescent="0.35">
      <c r="I102" s="30"/>
    </row>
    <row r="103" spans="9:9" x14ac:dyDescent="0.35">
      <c r="I103" s="30"/>
    </row>
    <row r="104" spans="9:9" x14ac:dyDescent="0.35">
      <c r="I104" s="30"/>
    </row>
    <row r="105" spans="9:9" x14ac:dyDescent="0.35">
      <c r="I105" s="30"/>
    </row>
    <row r="106" spans="9:9" x14ac:dyDescent="0.35">
      <c r="I106" s="30"/>
    </row>
    <row r="107" spans="9:9" x14ac:dyDescent="0.35">
      <c r="I107" s="30"/>
    </row>
    <row r="108" spans="9:9" x14ac:dyDescent="0.35">
      <c r="I108" s="30"/>
    </row>
    <row r="109" spans="9:9" x14ac:dyDescent="0.35">
      <c r="I109" s="30"/>
    </row>
    <row r="110" spans="9:9" x14ac:dyDescent="0.35">
      <c r="I110" s="30"/>
    </row>
    <row r="111" spans="9:9" x14ac:dyDescent="0.35">
      <c r="I111" s="30"/>
    </row>
    <row r="112" spans="9:9" x14ac:dyDescent="0.35">
      <c r="I112" s="30"/>
    </row>
    <row r="113" spans="9:9" x14ac:dyDescent="0.35">
      <c r="I113" s="30"/>
    </row>
    <row r="114" spans="9:9" x14ac:dyDescent="0.35">
      <c r="I114" s="30"/>
    </row>
    <row r="115" spans="9:9" x14ac:dyDescent="0.35">
      <c r="I115" s="30"/>
    </row>
    <row r="116" spans="9:9" x14ac:dyDescent="0.35">
      <c r="I116" s="30"/>
    </row>
    <row r="117" spans="9:9" x14ac:dyDescent="0.35">
      <c r="I117" s="30"/>
    </row>
    <row r="118" spans="9:9" x14ac:dyDescent="0.35">
      <c r="I118" s="30"/>
    </row>
    <row r="119" spans="9:9" x14ac:dyDescent="0.35">
      <c r="I119" s="30"/>
    </row>
    <row r="120" spans="9:9" x14ac:dyDescent="0.35">
      <c r="I120" s="30"/>
    </row>
    <row r="121" spans="9:9" x14ac:dyDescent="0.35">
      <c r="I121" s="30"/>
    </row>
    <row r="122" spans="9:9" x14ac:dyDescent="0.35">
      <c r="I122" s="30"/>
    </row>
    <row r="123" spans="9:9" x14ac:dyDescent="0.35">
      <c r="I123" s="30"/>
    </row>
    <row r="124" spans="9:9" x14ac:dyDescent="0.35">
      <c r="I124" s="30"/>
    </row>
    <row r="125" spans="9:9" x14ac:dyDescent="0.35">
      <c r="I125" s="30"/>
    </row>
    <row r="126" spans="9:9" x14ac:dyDescent="0.35">
      <c r="I126" s="30"/>
    </row>
    <row r="127" spans="9:9" x14ac:dyDescent="0.35">
      <c r="I127" s="30"/>
    </row>
    <row r="128" spans="9:9" x14ac:dyDescent="0.35">
      <c r="I128" s="30"/>
    </row>
    <row r="129" spans="9:9" x14ac:dyDescent="0.35">
      <c r="I129" s="30"/>
    </row>
    <row r="130" spans="9:9" x14ac:dyDescent="0.35">
      <c r="I130" s="30"/>
    </row>
    <row r="131" spans="9:9" x14ac:dyDescent="0.35">
      <c r="I131" s="30"/>
    </row>
    <row r="132" spans="9:9" x14ac:dyDescent="0.35">
      <c r="I132" s="30"/>
    </row>
    <row r="133" spans="9:9" x14ac:dyDescent="0.35">
      <c r="I133" s="30"/>
    </row>
    <row r="134" spans="9:9" x14ac:dyDescent="0.35">
      <c r="I134" s="30"/>
    </row>
    <row r="135" spans="9:9" x14ac:dyDescent="0.35">
      <c r="I135" s="30"/>
    </row>
    <row r="136" spans="9:9" x14ac:dyDescent="0.35">
      <c r="I136" s="30"/>
    </row>
    <row r="137" spans="9:9" x14ac:dyDescent="0.35">
      <c r="I137" s="30"/>
    </row>
    <row r="138" spans="9:9" x14ac:dyDescent="0.35">
      <c r="I138" s="30"/>
    </row>
    <row r="139" spans="9:9" x14ac:dyDescent="0.35">
      <c r="I139" s="30"/>
    </row>
    <row r="140" spans="9:9" x14ac:dyDescent="0.35">
      <c r="I140" s="30"/>
    </row>
    <row r="141" spans="9:9" x14ac:dyDescent="0.35">
      <c r="I141" s="30"/>
    </row>
    <row r="142" spans="9:9" x14ac:dyDescent="0.35">
      <c r="I142" s="30"/>
    </row>
    <row r="143" spans="9:9" x14ac:dyDescent="0.35">
      <c r="I143" s="30"/>
    </row>
    <row r="144" spans="9:9" x14ac:dyDescent="0.35">
      <c r="I144" s="30"/>
    </row>
    <row r="145" spans="9:9" x14ac:dyDescent="0.35">
      <c r="I145" s="30"/>
    </row>
    <row r="146" spans="9:9" x14ac:dyDescent="0.35">
      <c r="I146" s="30"/>
    </row>
    <row r="147" spans="9:9" x14ac:dyDescent="0.35">
      <c r="I147" s="30"/>
    </row>
    <row r="148" spans="9:9" x14ac:dyDescent="0.35">
      <c r="I148" s="30"/>
    </row>
    <row r="149" spans="9:9" x14ac:dyDescent="0.35">
      <c r="I149" s="30"/>
    </row>
    <row r="150" spans="9:9" x14ac:dyDescent="0.35">
      <c r="I150" s="30"/>
    </row>
    <row r="151" spans="9:9" x14ac:dyDescent="0.35">
      <c r="I151" s="30"/>
    </row>
    <row r="152" spans="9:9" x14ac:dyDescent="0.35">
      <c r="I152" s="30"/>
    </row>
    <row r="153" spans="9:9" x14ac:dyDescent="0.35">
      <c r="I153" s="30"/>
    </row>
    <row r="154" spans="9:9" x14ac:dyDescent="0.35">
      <c r="I154" s="30"/>
    </row>
    <row r="155" spans="9:9" x14ac:dyDescent="0.35">
      <c r="I155" s="30"/>
    </row>
    <row r="156" spans="9:9" x14ac:dyDescent="0.35">
      <c r="I156" s="30"/>
    </row>
    <row r="157" spans="9:9" x14ac:dyDescent="0.35">
      <c r="I157" s="30"/>
    </row>
    <row r="158" spans="9:9" x14ac:dyDescent="0.35">
      <c r="I158" s="30"/>
    </row>
    <row r="159" spans="9:9" x14ac:dyDescent="0.35">
      <c r="I159" s="30"/>
    </row>
    <row r="160" spans="9:9" x14ac:dyDescent="0.35">
      <c r="I160" s="30"/>
    </row>
    <row r="161" spans="9:9" x14ac:dyDescent="0.35">
      <c r="I161" s="30"/>
    </row>
    <row r="162" spans="9:9" x14ac:dyDescent="0.35">
      <c r="I162" s="30"/>
    </row>
    <row r="163" spans="9:9" x14ac:dyDescent="0.35">
      <c r="I163" s="30"/>
    </row>
    <row r="164" spans="9:9" x14ac:dyDescent="0.35">
      <c r="I164" s="30"/>
    </row>
    <row r="165" spans="9:9" x14ac:dyDescent="0.35">
      <c r="I165" s="30"/>
    </row>
    <row r="166" spans="9:9" x14ac:dyDescent="0.35">
      <c r="I166" s="30"/>
    </row>
    <row r="167" spans="9:9" x14ac:dyDescent="0.35">
      <c r="I167" s="30"/>
    </row>
    <row r="168" spans="9:9" x14ac:dyDescent="0.35">
      <c r="I168" s="30"/>
    </row>
    <row r="169" spans="9:9" x14ac:dyDescent="0.35">
      <c r="I169" s="30"/>
    </row>
    <row r="170" spans="9:9" x14ac:dyDescent="0.35">
      <c r="I170" s="30"/>
    </row>
    <row r="171" spans="9:9" x14ac:dyDescent="0.35">
      <c r="I171" s="30"/>
    </row>
    <row r="172" spans="9:9" x14ac:dyDescent="0.35">
      <c r="I172" s="30"/>
    </row>
    <row r="173" spans="9:9" x14ac:dyDescent="0.35">
      <c r="I173" s="30"/>
    </row>
    <row r="174" spans="9:9" x14ac:dyDescent="0.35">
      <c r="I174" s="30"/>
    </row>
    <row r="175" spans="9:9" x14ac:dyDescent="0.35">
      <c r="I175" s="30"/>
    </row>
    <row r="176" spans="9:9" x14ac:dyDescent="0.35">
      <c r="I176" s="30"/>
    </row>
    <row r="177" spans="9:9" x14ac:dyDescent="0.35">
      <c r="I177" s="30"/>
    </row>
    <row r="178" spans="9:9" x14ac:dyDescent="0.35">
      <c r="I178" s="30"/>
    </row>
    <row r="179" spans="9:9" x14ac:dyDescent="0.35">
      <c r="I179" s="30"/>
    </row>
    <row r="180" spans="9:9" x14ac:dyDescent="0.35">
      <c r="I180" s="30"/>
    </row>
    <row r="181" spans="9:9" x14ac:dyDescent="0.35">
      <c r="I181" s="30"/>
    </row>
    <row r="182" spans="9:9" x14ac:dyDescent="0.35">
      <c r="I182" s="30"/>
    </row>
    <row r="183" spans="9:9" x14ac:dyDescent="0.35">
      <c r="I183" s="30"/>
    </row>
    <row r="184" spans="9:9" x14ac:dyDescent="0.35">
      <c r="I184" s="30"/>
    </row>
    <row r="185" spans="9:9" x14ac:dyDescent="0.35">
      <c r="I185" s="30"/>
    </row>
    <row r="186" spans="9:9" x14ac:dyDescent="0.35">
      <c r="I186" s="30"/>
    </row>
    <row r="187" spans="9:9" x14ac:dyDescent="0.35">
      <c r="I187" s="30"/>
    </row>
    <row r="188" spans="9:9" x14ac:dyDescent="0.35">
      <c r="I188" s="30"/>
    </row>
    <row r="189" spans="9:9" x14ac:dyDescent="0.35">
      <c r="I189" s="30"/>
    </row>
    <row r="190" spans="9:9" x14ac:dyDescent="0.35">
      <c r="I190" s="30"/>
    </row>
    <row r="191" spans="9:9" x14ac:dyDescent="0.35">
      <c r="I191" s="30"/>
    </row>
    <row r="192" spans="9:9" x14ac:dyDescent="0.35">
      <c r="I192" s="30"/>
    </row>
    <row r="193" spans="9:9" x14ac:dyDescent="0.35">
      <c r="I193" s="30"/>
    </row>
    <row r="194" spans="9:9" x14ac:dyDescent="0.35">
      <c r="I194" s="30"/>
    </row>
    <row r="195" spans="9:9" x14ac:dyDescent="0.35">
      <c r="I195" s="30"/>
    </row>
    <row r="196" spans="9:9" x14ac:dyDescent="0.35">
      <c r="I196" s="30"/>
    </row>
    <row r="197" spans="9:9" x14ac:dyDescent="0.35">
      <c r="I197" s="30"/>
    </row>
    <row r="198" spans="9:9" x14ac:dyDescent="0.35">
      <c r="I198" s="30"/>
    </row>
    <row r="199" spans="9:9" x14ac:dyDescent="0.35">
      <c r="I199" s="30"/>
    </row>
    <row r="200" spans="9:9" x14ac:dyDescent="0.35">
      <c r="I200" s="30"/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1861E-F578-4C4D-8266-88C419713BF1}">
  <dimension ref="A1:L200"/>
  <sheetViews>
    <sheetView tabSelected="1" zoomScale="74" zoomScaleNormal="100" workbookViewId="0">
      <selection activeCell="I21" sqref="I21"/>
    </sheetView>
  </sheetViews>
  <sheetFormatPr defaultRowHeight="14.5" x14ac:dyDescent="0.35"/>
  <cols>
    <col min="1" max="1" width="12.36328125" customWidth="1"/>
    <col min="2" max="2" width="11.453125" customWidth="1"/>
    <col min="3" max="3" width="14.08984375" customWidth="1"/>
    <col min="4" max="4" width="16.54296875" customWidth="1"/>
    <col min="5" max="5" width="18.453125" customWidth="1"/>
    <col min="6" max="7" width="20.6328125" customWidth="1"/>
    <col min="8" max="8" width="20.81640625" customWidth="1"/>
    <col min="9" max="9" width="18.81640625" customWidth="1"/>
  </cols>
  <sheetData>
    <row r="1" spans="1:12" x14ac:dyDescent="0.35">
      <c r="A1" t="s">
        <v>127</v>
      </c>
      <c r="B1" t="s">
        <v>128</v>
      </c>
      <c r="C1" t="s">
        <v>129</v>
      </c>
      <c r="D1" t="s">
        <v>137</v>
      </c>
      <c r="E1" t="s">
        <v>133</v>
      </c>
      <c r="F1" t="s">
        <v>134</v>
      </c>
      <c r="G1" t="s">
        <v>138</v>
      </c>
      <c r="H1" t="s">
        <v>135</v>
      </c>
      <c r="I1" t="s">
        <v>136</v>
      </c>
      <c r="J1" t="s">
        <v>130</v>
      </c>
    </row>
    <row r="2" spans="1:12" x14ac:dyDescent="0.35">
      <c r="A2">
        <v>0</v>
      </c>
      <c r="B2">
        <v>0</v>
      </c>
      <c r="C2">
        <f>(163)*9.81*Table51314[[#This Row],[GZ (m)]]</f>
        <v>0</v>
      </c>
      <c r="D2">
        <f>$E$27*9.81*COS(RADIANS((Table51314[[#This Row],[Heel (deg)]])))*(2.2+2.2)</f>
        <v>3884.7600000000007</v>
      </c>
      <c r="E2">
        <f>$E$27*9.81*COS(RADIANS((Table51314[[#This Row],[Heel (deg)]])))*(3.4+2.2)</f>
        <v>4944.24</v>
      </c>
      <c r="F2">
        <f>$E$27*9.81*COS(RADIANS((Table51314[[#This Row],[Heel (deg)]])))*(3.4+3.4)</f>
        <v>6003.72</v>
      </c>
      <c r="G2">
        <f>Table51314[[#This Row],[RM (boat)]]+Table51314[[#This Row],[RM crew 0 trap]]</f>
        <v>3884.7600000000007</v>
      </c>
      <c r="H2">
        <f>Table51314[[#This Row],[RM (boat)]]+Table51314[[#This Row],[RM crew 1 trapeze]]</f>
        <v>4944.24</v>
      </c>
      <c r="I2" s="30">
        <f>Table51314[[#This Row],[RM (boat)]]+Table51314[[#This Row],[RM crew 2 trapeze]]</f>
        <v>6003.72</v>
      </c>
      <c r="J2">
        <f>MAX(Table51314[Total RM 2 trap (N.m)])</f>
        <v>7612.9992004266642</v>
      </c>
      <c r="L2" t="s">
        <v>131</v>
      </c>
    </row>
    <row r="3" spans="1:12" x14ac:dyDescent="0.35">
      <c r="A3">
        <v>0.90909099999999998</v>
      </c>
      <c r="B3">
        <v>0.108802</v>
      </c>
      <c r="C3">
        <f>(163)*9.81*Table51314[[#This Row],[GZ (m)]]</f>
        <v>173.97766206</v>
      </c>
      <c r="D3">
        <f>$E$27*9.81*COS(RADIANS((Table51314[[#This Row],[Heel (deg)]])))*(2.2+2.2)</f>
        <v>3884.2710161245686</v>
      </c>
      <c r="E3">
        <f>$E$27*9.81*COS(RADIANS((Table51314[[#This Row],[Heel (deg)]])))*(3.4+2.2)</f>
        <v>4943.6176568858145</v>
      </c>
      <c r="F3">
        <f>$E$27*9.81*COS(RADIANS((Table51314[[#This Row],[Heel (deg)]])))*(3.4+3.4)</f>
        <v>6002.9642976470604</v>
      </c>
      <c r="G3">
        <f>Table51314[[#This Row],[RM (boat)]]+Table51314[[#This Row],[RM crew 0 trap]]</f>
        <v>4058.2486781845687</v>
      </c>
      <c r="H3">
        <f>Table51314[[#This Row],[RM (boat)]]+Table51314[[#This Row],[RM crew 1 trapeze]]</f>
        <v>5117.5953189458141</v>
      </c>
      <c r="I3" s="30">
        <f>Table51314[[#This Row],[RM (boat)]]+Table51314[[#This Row],[RM crew 2 trapeze]]</f>
        <v>6176.9419597070601</v>
      </c>
      <c r="J3" s="30"/>
    </row>
    <row r="4" spans="1:12" x14ac:dyDescent="0.35">
      <c r="A4">
        <v>1.818182</v>
      </c>
      <c r="B4">
        <v>0.22917899999999999</v>
      </c>
      <c r="C4">
        <f>(163)*9.81*Table51314[[#This Row],[GZ (m)]]</f>
        <v>366.46409636999999</v>
      </c>
      <c r="D4">
        <f>$E$27*9.81*COS(RADIANS((Table51314[[#This Row],[Heel (deg)]])))*(2.2+2.2)</f>
        <v>3882.8041875973736</v>
      </c>
      <c r="E4">
        <f>$E$27*9.81*COS(RADIANS((Table51314[[#This Row],[Heel (deg)]])))*(3.4+2.2)</f>
        <v>4941.7507842148379</v>
      </c>
      <c r="F4">
        <f>$E$27*9.81*COS(RADIANS((Table51314[[#This Row],[Heel (deg)]])))*(3.4+3.4)</f>
        <v>6000.6973808323037</v>
      </c>
      <c r="G4">
        <f>Table51314[[#This Row],[RM (boat)]]+Table51314[[#This Row],[RM crew 0 trap]]</f>
        <v>4249.2682839673735</v>
      </c>
      <c r="H4">
        <f>Table51314[[#This Row],[RM (boat)]]+Table51314[[#This Row],[RM crew 1 trapeze]]</f>
        <v>5308.2148805848383</v>
      </c>
      <c r="I4" s="30">
        <f>Table51314[[#This Row],[RM (boat)]]+Table51314[[#This Row],[RM crew 2 trapeze]]</f>
        <v>6367.161477202304</v>
      </c>
      <c r="J4" s="30"/>
    </row>
    <row r="5" spans="1:12" x14ac:dyDescent="0.35">
      <c r="A5">
        <v>2.7272729999999998</v>
      </c>
      <c r="B5">
        <v>0.34717399999999998</v>
      </c>
      <c r="C5">
        <f>(163)*9.81*Table51314[[#This Row],[GZ (m)]]</f>
        <v>555.14164122</v>
      </c>
      <c r="D5">
        <f>$E$27*9.81*COS(RADIANS((Table51314[[#This Row],[Heel (deg)]])))*(2.2+2.2)</f>
        <v>3880.3598836847254</v>
      </c>
      <c r="E5">
        <f>$E$27*9.81*COS(RADIANS((Table51314[[#This Row],[Heel (deg)]])))*(3.4+2.2)</f>
        <v>4938.6398519623772</v>
      </c>
      <c r="F5">
        <f>$E$27*9.81*COS(RADIANS((Table51314[[#This Row],[Heel (deg)]])))*(3.4+3.4)</f>
        <v>5996.9198202400303</v>
      </c>
      <c r="G5">
        <f>Table51314[[#This Row],[RM (boat)]]+Table51314[[#This Row],[RM crew 0 trap]]</f>
        <v>4435.5015249047256</v>
      </c>
      <c r="H5">
        <f>Table51314[[#This Row],[RM (boat)]]+Table51314[[#This Row],[RM crew 1 trapeze]]</f>
        <v>5493.7814931823768</v>
      </c>
      <c r="I5" s="30">
        <f>Table51314[[#This Row],[RM (boat)]]+Table51314[[#This Row],[RM crew 2 trapeze]]</f>
        <v>6552.0614614600299</v>
      </c>
      <c r="J5" s="30"/>
    </row>
    <row r="6" spans="1:12" x14ac:dyDescent="0.35">
      <c r="A6">
        <v>3.6363639999999999</v>
      </c>
      <c r="B6">
        <v>0.46135999999999999</v>
      </c>
      <c r="C6">
        <f>(163)*9.81*Table51314[[#This Row],[GZ (m)]]</f>
        <v>737.72848079999994</v>
      </c>
      <c r="D6">
        <f>$E$27*9.81*COS(RADIANS((Table51314[[#This Row],[Heel (deg)]])))*(2.2+2.2)</f>
        <v>3876.9387197271876</v>
      </c>
      <c r="E6">
        <f>$E$27*9.81*COS(RADIANS((Table51314[[#This Row],[Heel (deg)]])))*(3.4+2.2)</f>
        <v>4934.2856432891467</v>
      </c>
      <c r="F6">
        <f>$E$27*9.81*COS(RADIANS((Table51314[[#This Row],[Heel (deg)]])))*(3.4+3.4)</f>
        <v>5991.6325668511072</v>
      </c>
      <c r="G6">
        <f>Table51314[[#This Row],[RM (boat)]]+Table51314[[#This Row],[RM crew 0 trap]]</f>
        <v>4614.6672005271876</v>
      </c>
      <c r="H6">
        <f>Table51314[[#This Row],[RM (boat)]]+Table51314[[#This Row],[RM crew 1 trapeze]]</f>
        <v>5672.0141240891462</v>
      </c>
      <c r="I6" s="30">
        <f>Table51314[[#This Row],[RM (boat)]]+Table51314[[#This Row],[RM crew 2 trapeze]]</f>
        <v>6729.3610476511076</v>
      </c>
      <c r="J6" s="30"/>
    </row>
    <row r="7" spans="1:12" x14ac:dyDescent="0.35">
      <c r="A7">
        <v>4.5454549999999996</v>
      </c>
      <c r="B7">
        <v>0.57030599999999998</v>
      </c>
      <c r="C7">
        <f>(163)*9.81*Table51314[[#This Row],[GZ (m)]]</f>
        <v>911.93640317999996</v>
      </c>
      <c r="D7">
        <f>$E$27*9.81*COS(RADIANS((Table51314[[#This Row],[Heel (deg)]])))*(2.2+2.2)</f>
        <v>3872.5415569846618</v>
      </c>
      <c r="E7">
        <f>$E$27*9.81*COS(RADIANS((Table51314[[#This Row],[Heel (deg)]])))*(3.4+2.2)</f>
        <v>4928.6892543441145</v>
      </c>
      <c r="F7">
        <f>$E$27*9.81*COS(RADIANS((Table51314[[#This Row],[Heel (deg)]])))*(3.4+3.4)</f>
        <v>5984.8369517035671</v>
      </c>
      <c r="G7" s="31">
        <f>Table51314[[#This Row],[RM (boat)]]+Table51314[[#This Row],[RM crew 0 trap]]</f>
        <v>4784.4779601646615</v>
      </c>
      <c r="H7" s="31">
        <f>Table51314[[#This Row],[RM (boat)]]+Table51314[[#This Row],[RM crew 1 trapeze]]</f>
        <v>5840.6256575241141</v>
      </c>
      <c r="I7" s="32">
        <f>Table51314[[#This Row],[RM (boat)]]+Table51314[[#This Row],[RM crew 2 trapeze]]</f>
        <v>6896.7733548835668</v>
      </c>
      <c r="J7" s="30"/>
    </row>
    <row r="8" spans="1:12" x14ac:dyDescent="0.35">
      <c r="A8">
        <v>5.4545450000000004</v>
      </c>
      <c r="B8">
        <v>0.67258499999999999</v>
      </c>
      <c r="C8">
        <f>(163)*9.81*Table51314[[#This Row],[GZ (m)]]</f>
        <v>1075.4835925499999</v>
      </c>
      <c r="D8">
        <f>$E$27*9.81*COS(RADIANS((Table51314[[#This Row],[Heel (deg)]])))*(2.2+2.2)</f>
        <v>3867.1695088645515</v>
      </c>
      <c r="E8">
        <f>$E$27*9.81*COS(RADIANS((Table51314[[#This Row],[Heel (deg)]])))*(3.4+2.2)</f>
        <v>4921.8521021912466</v>
      </c>
      <c r="F8">
        <f>$E$27*9.81*COS(RADIANS((Table51314[[#This Row],[Heel (deg)]])))*(3.4+3.4)</f>
        <v>5976.534695517943</v>
      </c>
      <c r="G8" s="31">
        <f>Table51314[[#This Row],[RM (boat)]]+Table51314[[#This Row],[RM crew 0 trap]]</f>
        <v>4942.6531014145512</v>
      </c>
      <c r="H8" s="31">
        <f>Table51314[[#This Row],[RM (boat)]]+Table51314[[#This Row],[RM crew 1 trapeze]]</f>
        <v>5997.3356947412467</v>
      </c>
      <c r="I8" s="32">
        <f>Table51314[[#This Row],[RM (boat)]]+Table51314[[#This Row],[RM crew 2 trapeze]]</f>
        <v>7052.0182880679431</v>
      </c>
      <c r="J8" s="30"/>
    </row>
    <row r="9" spans="1:12" x14ac:dyDescent="0.35">
      <c r="A9">
        <v>6.3636359999999996</v>
      </c>
      <c r="B9">
        <v>0.76676699999999998</v>
      </c>
      <c r="C9">
        <f>(163)*9.81*Table51314[[#This Row],[GZ (m)]]</f>
        <v>1226.08343601</v>
      </c>
      <c r="D9">
        <f>$E$27*9.81*COS(RADIANS((Table51314[[#This Row],[Heel (deg)]])))*(2.2+2.2)</f>
        <v>3860.8239159332425</v>
      </c>
      <c r="E9">
        <f>$E$27*9.81*COS(RADIANS((Table51314[[#This Row],[Heel (deg)]])))*(3.4+2.2)</f>
        <v>4913.7758930059445</v>
      </c>
      <c r="F9">
        <f>$E$27*9.81*COS(RADIANS((Table51314[[#This Row],[Heel (deg)]])))*(3.4+3.4)</f>
        <v>5966.7278700786464</v>
      </c>
      <c r="G9" s="31">
        <f>Table51314[[#This Row],[RM (boat)]]+Table51314[[#This Row],[RM crew 0 trap]]</f>
        <v>5086.9073519432422</v>
      </c>
      <c r="H9" s="31">
        <f>Table51314[[#This Row],[RM (boat)]]+Table51314[[#This Row],[RM crew 1 trapeze]]</f>
        <v>6139.8593290159442</v>
      </c>
      <c r="I9" s="32">
        <f>Table51314[[#This Row],[RM (boat)]]+Table51314[[#This Row],[RM crew 2 trapeze]]</f>
        <v>7192.8113060886462</v>
      </c>
      <c r="J9" s="30"/>
    </row>
    <row r="10" spans="1:12" x14ac:dyDescent="0.35">
      <c r="A10">
        <v>7.2727269999999997</v>
      </c>
      <c r="B10">
        <v>0.85142200000000001</v>
      </c>
      <c r="C10">
        <f>(163)*9.81*Table51314[[#This Row],[GZ (m)]]</f>
        <v>1361.44932066</v>
      </c>
      <c r="D10">
        <f>$E$27*9.81*COS(RADIANS((Table51314[[#This Row],[Heel (deg)]])))*(2.2+2.2)</f>
        <v>3853.506381033435</v>
      </c>
      <c r="E10">
        <f>$E$27*9.81*COS(RADIANS((Table51314[[#This Row],[Heel (deg)]])))*(3.4+2.2)</f>
        <v>4904.4626667698258</v>
      </c>
      <c r="F10">
        <f>$E$27*9.81*COS(RADIANS((Table51314[[#This Row],[Heel (deg)]])))*(3.4+3.4)</f>
        <v>5955.4189525062166</v>
      </c>
      <c r="G10" s="31">
        <f>Table51314[[#This Row],[RM (boat)]]+Table51314[[#This Row],[RM crew 0 trap]]</f>
        <v>5214.955701693435</v>
      </c>
      <c r="H10" s="31">
        <f>Table51314[[#This Row],[RM (boat)]]+Table51314[[#This Row],[RM crew 1 trapeze]]</f>
        <v>6265.9119874298258</v>
      </c>
      <c r="I10" s="32">
        <f>Table51314[[#This Row],[RM (boat)]]+Table51314[[#This Row],[RM crew 2 trapeze]]</f>
        <v>7316.8682731662166</v>
      </c>
      <c r="J10" s="30"/>
    </row>
    <row r="11" spans="1:12" x14ac:dyDescent="0.35">
      <c r="A11">
        <v>8.1818179999999998</v>
      </c>
      <c r="B11">
        <v>0.925122</v>
      </c>
      <c r="C11">
        <f>(163)*9.81*Table51314[[#This Row],[GZ (m)]]</f>
        <v>1479.2978316599999</v>
      </c>
      <c r="D11">
        <f>$E$27*9.81*COS(RADIANS((Table51314[[#This Row],[Heel (deg)]])))*(2.2+2.2)</f>
        <v>3845.2187463157743</v>
      </c>
      <c r="E11">
        <f>$E$27*9.81*COS(RADIANS((Table51314[[#This Row],[Heel (deg)]])))*(3.4+2.2)</f>
        <v>4893.9147680382575</v>
      </c>
      <c r="F11">
        <f>$E$27*9.81*COS(RADIANS((Table51314[[#This Row],[Heel (deg)]])))*(3.4+3.4)</f>
        <v>5942.6107897607417</v>
      </c>
      <c r="G11" s="31">
        <f>Table51314[[#This Row],[RM (boat)]]+Table51314[[#This Row],[RM crew 0 trap]]</f>
        <v>5324.5165779757745</v>
      </c>
      <c r="H11" s="31">
        <f>Table51314[[#This Row],[RM (boat)]]+Table51314[[#This Row],[RM crew 1 trapeze]]</f>
        <v>6373.2125996982577</v>
      </c>
      <c r="I11" s="32">
        <f>Table51314[[#This Row],[RM (boat)]]+Table51314[[#This Row],[RM crew 2 trapeze]]</f>
        <v>7421.9086214207418</v>
      </c>
      <c r="J11" s="30"/>
    </row>
    <row r="12" spans="1:12" x14ac:dyDescent="0.35">
      <c r="A12">
        <v>9.0909089999999999</v>
      </c>
      <c r="B12">
        <v>0.98643700000000001</v>
      </c>
      <c r="C12">
        <f>(163)*9.81*Table51314[[#This Row],[GZ (m)]]</f>
        <v>1577.3423561100001</v>
      </c>
      <c r="D12">
        <f>$E$27*9.81*COS(RADIANS((Table51314[[#This Row],[Heel (deg)]])))*(2.2+2.2)</f>
        <v>3835.9630981484001</v>
      </c>
      <c r="E12">
        <f>$E$27*9.81*COS(RADIANS((Table51314[[#This Row],[Heel (deg)]])))*(3.4+2.2)</f>
        <v>4882.1348521888722</v>
      </c>
      <c r="F12">
        <f>$E$27*9.81*COS(RADIANS((Table51314[[#This Row],[Heel (deg)]])))*(3.4+3.4)</f>
        <v>5928.3066062293456</v>
      </c>
      <c r="G12" s="31">
        <f>Table51314[[#This Row],[RM (boat)]]+Table51314[[#This Row],[RM crew 0 trap]]</f>
        <v>5413.3054542584005</v>
      </c>
      <c r="H12" s="31">
        <f>Table51314[[#This Row],[RM (boat)]]+Table51314[[#This Row],[RM crew 1 trapeze]]</f>
        <v>6459.477208298872</v>
      </c>
      <c r="I12" s="32">
        <f>Table51314[[#This Row],[RM (boat)]]+Table51314[[#This Row],[RM crew 2 trapeze]]</f>
        <v>7505.6489623393454</v>
      </c>
      <c r="J12" s="30"/>
    </row>
    <row r="13" spans="1:12" x14ac:dyDescent="0.35">
      <c r="A13">
        <v>10</v>
      </c>
      <c r="B13">
        <v>1.0339389999999999</v>
      </c>
      <c r="C13">
        <f>(163)*9.81*Table51314[[#This Row],[GZ (m)]]</f>
        <v>1653.2994791699998</v>
      </c>
      <c r="D13">
        <f>$E$27*9.81*COS(RADIANS((Table51314[[#This Row],[Heel (deg)]])))*(2.2+2.2)</f>
        <v>3825.741766591706</v>
      </c>
      <c r="E13">
        <f>$E$27*9.81*COS(RADIANS((Table51314[[#This Row],[Heel (deg)]])))*(3.4+2.2)</f>
        <v>4869.1258847530798</v>
      </c>
      <c r="F13">
        <f>$E$27*9.81*COS(RADIANS((Table51314[[#This Row],[Heel (deg)]])))*(3.4+3.4)</f>
        <v>5912.5100029144542</v>
      </c>
      <c r="G13" s="31">
        <f>Table51314[[#This Row],[RM (boat)]]+Table51314[[#This Row],[RM crew 0 trap]]</f>
        <v>5479.0412457617058</v>
      </c>
      <c r="H13" s="31">
        <f>Table51314[[#This Row],[RM (boat)]]+Table51314[[#This Row],[RM crew 1 trapeze]]</f>
        <v>6522.4253639230792</v>
      </c>
      <c r="I13" s="32">
        <f>Table51314[[#This Row],[RM (boat)]]+Table51314[[#This Row],[RM crew 2 trapeze]]</f>
        <v>7565.8094820844544</v>
      </c>
      <c r="J13" s="30"/>
    </row>
    <row r="14" spans="1:12" x14ac:dyDescent="0.35">
      <c r="A14">
        <v>10.909091</v>
      </c>
      <c r="B14">
        <v>1.0667249999999999</v>
      </c>
      <c r="C14">
        <f>(163)*9.81*Table51314[[#This Row],[GZ (m)]]</f>
        <v>1705.7252767499999</v>
      </c>
      <c r="D14">
        <f>$E$27*9.81*COS(RADIANS((Table51314[[#This Row],[Heel (deg)]])))*(2.2+2.2)</f>
        <v>3814.5573248117653</v>
      </c>
      <c r="E14">
        <f>$E$27*9.81*COS(RADIANS((Table51314[[#This Row],[Heel (deg)]])))*(3.4+2.2)</f>
        <v>4854.8911406695188</v>
      </c>
      <c r="F14">
        <f>$E$27*9.81*COS(RADIANS((Table51314[[#This Row],[Heel (deg)]])))*(3.4+3.4)</f>
        <v>5895.2249565272732</v>
      </c>
      <c r="G14" s="31">
        <f>Table51314[[#This Row],[RM (boat)]]+Table51314[[#This Row],[RM crew 0 trap]]</f>
        <v>5520.2826015617647</v>
      </c>
      <c r="H14" s="31">
        <f>Table51314[[#This Row],[RM (boat)]]+Table51314[[#This Row],[RM crew 1 trapeze]]</f>
        <v>6560.6164174195183</v>
      </c>
      <c r="I14" s="32">
        <f>Table51314[[#This Row],[RM (boat)]]+Table51314[[#This Row],[RM crew 2 trapeze]]</f>
        <v>7600.9502332772736</v>
      </c>
      <c r="J14" s="30"/>
    </row>
    <row r="15" spans="1:12" x14ac:dyDescent="0.35">
      <c r="A15">
        <v>11.818182</v>
      </c>
      <c r="B15">
        <v>1.085998</v>
      </c>
      <c r="C15">
        <f>(163)*9.81*Table51314[[#This Row],[GZ (m)]]</f>
        <v>1736.54338194</v>
      </c>
      <c r="D15">
        <f>$E$27*9.81*COS(RADIANS((Table51314[[#This Row],[Heel (deg)]])))*(2.2+2.2)</f>
        <v>3802.4125884325476</v>
      </c>
      <c r="E15">
        <f>$E$27*9.81*COS(RADIANS((Table51314[[#This Row],[Heel (deg)]])))*(3.4+2.2)</f>
        <v>4839.4342034596057</v>
      </c>
      <c r="F15">
        <f>$E$27*9.81*COS(RADIANS((Table51314[[#This Row],[Heel (deg)]])))*(3.4+3.4)</f>
        <v>5876.4558184866637</v>
      </c>
      <c r="G15" s="31">
        <f>Table51314[[#This Row],[RM (boat)]]+Table51314[[#This Row],[RM crew 0 trap]]</f>
        <v>5538.9559703725481</v>
      </c>
      <c r="H15" s="31">
        <f>Table51314[[#This Row],[RM (boat)]]+Table51314[[#This Row],[RM crew 1 trapeze]]</f>
        <v>6575.9775853996052</v>
      </c>
      <c r="I15" s="32">
        <f>Table51314[[#This Row],[RM (boat)]]+Table51314[[#This Row],[RM crew 2 trapeze]]</f>
        <v>7612.9992004266642</v>
      </c>
      <c r="J15" s="30"/>
    </row>
    <row r="16" spans="1:12" x14ac:dyDescent="0.35">
      <c r="G16" s="31"/>
      <c r="H16" s="31"/>
      <c r="I16" s="32"/>
      <c r="J16" s="30"/>
    </row>
    <row r="17" spans="4:10" x14ac:dyDescent="0.35">
      <c r="I17" s="30"/>
      <c r="J17" s="30"/>
    </row>
    <row r="18" spans="4:10" x14ac:dyDescent="0.35">
      <c r="I18" s="30"/>
      <c r="J18" s="30"/>
    </row>
    <row r="19" spans="4:10" x14ac:dyDescent="0.35">
      <c r="I19" s="30"/>
      <c r="J19" s="30"/>
    </row>
    <row r="20" spans="4:10" x14ac:dyDescent="0.35">
      <c r="F20" t="s">
        <v>222</v>
      </c>
      <c r="I20" s="30"/>
      <c r="J20" s="30"/>
    </row>
    <row r="21" spans="4:10" x14ac:dyDescent="0.35">
      <c r="D21" t="s">
        <v>221</v>
      </c>
      <c r="E21">
        <v>60</v>
      </c>
      <c r="F21" t="e">
        <f>Table51314[[#This Row],[RM crew 1 trapeze]]*2</f>
        <v>#VALUE!</v>
      </c>
      <c r="I21" s="30"/>
      <c r="J21" s="30"/>
    </row>
    <row r="22" spans="4:10" x14ac:dyDescent="0.35">
      <c r="E22">
        <v>65</v>
      </c>
      <c r="F22" t="e">
        <f>Table51314[[#This Row],[RM crew 1 trapeze]]*2</f>
        <v>#VALUE!</v>
      </c>
      <c r="I22" s="30"/>
      <c r="J22" s="30"/>
    </row>
    <row r="23" spans="4:10" x14ac:dyDescent="0.35">
      <c r="E23">
        <v>70</v>
      </c>
      <c r="F23" t="e">
        <f>Table51314[[#This Row],[RM crew 1 trapeze]]*2</f>
        <v>#VALUE!</v>
      </c>
      <c r="I23" s="30"/>
      <c r="J23" s="30"/>
    </row>
    <row r="24" spans="4:10" x14ac:dyDescent="0.35">
      <c r="E24">
        <v>75</v>
      </c>
      <c r="F24" t="e">
        <f>Table51314[[#This Row],[RM crew 1 trapeze]]*2</f>
        <v>#VALUE!</v>
      </c>
      <c r="I24" s="30"/>
      <c r="J24" s="30"/>
    </row>
    <row r="25" spans="4:10" x14ac:dyDescent="0.35">
      <c r="E25">
        <v>80</v>
      </c>
      <c r="F25" t="e">
        <f>Table51314[[#This Row],[RM crew 1 trapeze]]*2</f>
        <v>#VALUE!</v>
      </c>
      <c r="I25" s="30"/>
      <c r="J25" s="30"/>
    </row>
    <row r="26" spans="4:10" x14ac:dyDescent="0.35">
      <c r="E26">
        <v>85</v>
      </c>
      <c r="F26" t="e">
        <f>Table51314[[#This Row],[RM crew 1 trapeze]]*2</f>
        <v>#VALUE!</v>
      </c>
      <c r="I26" s="30"/>
      <c r="J26" s="30"/>
    </row>
    <row r="27" spans="4:10" x14ac:dyDescent="0.35">
      <c r="E27">
        <v>90</v>
      </c>
      <c r="F27" t="e">
        <f>Table51314[[#This Row],[RM crew 1 trapeze]]*2</f>
        <v>#VALUE!</v>
      </c>
      <c r="I27" s="30"/>
      <c r="J27" s="30"/>
    </row>
    <row r="28" spans="4:10" x14ac:dyDescent="0.35">
      <c r="I28" s="30"/>
      <c r="J28" s="30"/>
    </row>
    <row r="29" spans="4:10" x14ac:dyDescent="0.35">
      <c r="I29" s="30"/>
      <c r="J29" s="30"/>
    </row>
    <row r="30" spans="4:10" x14ac:dyDescent="0.35">
      <c r="I30" s="30"/>
      <c r="J30" s="30"/>
    </row>
    <row r="31" spans="4:10" x14ac:dyDescent="0.35">
      <c r="I31" s="30"/>
      <c r="J31" s="30"/>
    </row>
    <row r="32" spans="4:10" x14ac:dyDescent="0.35">
      <c r="I32" s="30"/>
      <c r="J32" s="30"/>
    </row>
    <row r="33" spans="9:10" x14ac:dyDescent="0.35">
      <c r="I33" s="30"/>
      <c r="J33" s="30"/>
    </row>
    <row r="34" spans="9:10" x14ac:dyDescent="0.35">
      <c r="I34" s="30"/>
      <c r="J34" s="30"/>
    </row>
    <row r="35" spans="9:10" x14ac:dyDescent="0.35">
      <c r="I35" s="30"/>
      <c r="J35" s="30"/>
    </row>
    <row r="36" spans="9:10" x14ac:dyDescent="0.35">
      <c r="I36" s="30"/>
      <c r="J36" s="30"/>
    </row>
    <row r="37" spans="9:10" x14ac:dyDescent="0.35">
      <c r="I37" s="30"/>
      <c r="J37" s="30"/>
    </row>
    <row r="38" spans="9:10" x14ac:dyDescent="0.35">
      <c r="I38" s="30"/>
      <c r="J38" s="30"/>
    </row>
    <row r="39" spans="9:10" x14ac:dyDescent="0.35">
      <c r="I39" s="30"/>
      <c r="J39" s="30"/>
    </row>
    <row r="40" spans="9:10" x14ac:dyDescent="0.35">
      <c r="I40" s="30"/>
      <c r="J40" s="30"/>
    </row>
    <row r="41" spans="9:10" x14ac:dyDescent="0.35">
      <c r="I41" s="30"/>
      <c r="J41" s="30"/>
    </row>
    <row r="42" spans="9:10" x14ac:dyDescent="0.35">
      <c r="I42" s="30"/>
      <c r="J42" s="30"/>
    </row>
    <row r="43" spans="9:10" x14ac:dyDescent="0.35">
      <c r="I43" s="30"/>
      <c r="J43" s="30"/>
    </row>
    <row r="44" spans="9:10" x14ac:dyDescent="0.35">
      <c r="I44" s="30"/>
      <c r="J44" s="30"/>
    </row>
    <row r="45" spans="9:10" x14ac:dyDescent="0.35">
      <c r="I45" s="30"/>
      <c r="J45" s="30"/>
    </row>
    <row r="46" spans="9:10" x14ac:dyDescent="0.35">
      <c r="I46" s="30"/>
      <c r="J46" s="30"/>
    </row>
    <row r="47" spans="9:10" x14ac:dyDescent="0.35">
      <c r="I47" s="30"/>
      <c r="J47" s="30"/>
    </row>
    <row r="48" spans="9:10" x14ac:dyDescent="0.35">
      <c r="I48" s="30"/>
      <c r="J48" s="30"/>
    </row>
    <row r="49" spans="9:10" x14ac:dyDescent="0.35">
      <c r="I49" s="30"/>
      <c r="J49" s="30"/>
    </row>
    <row r="50" spans="9:10" x14ac:dyDescent="0.35">
      <c r="I50" s="30"/>
      <c r="J50" s="30"/>
    </row>
    <row r="51" spans="9:10" x14ac:dyDescent="0.35">
      <c r="I51" s="30"/>
      <c r="J51" s="30"/>
    </row>
    <row r="52" spans="9:10" x14ac:dyDescent="0.35">
      <c r="I52" s="30"/>
      <c r="J52" s="30"/>
    </row>
    <row r="53" spans="9:10" x14ac:dyDescent="0.35">
      <c r="I53" s="30"/>
      <c r="J53" s="30"/>
    </row>
    <row r="54" spans="9:10" x14ac:dyDescent="0.35">
      <c r="I54" s="30"/>
      <c r="J54" s="30"/>
    </row>
    <row r="55" spans="9:10" x14ac:dyDescent="0.35">
      <c r="I55" s="30"/>
      <c r="J55" s="30"/>
    </row>
    <row r="56" spans="9:10" x14ac:dyDescent="0.35">
      <c r="I56" s="30"/>
      <c r="J56" s="30"/>
    </row>
    <row r="57" spans="9:10" x14ac:dyDescent="0.35">
      <c r="I57" s="30"/>
      <c r="J57" s="30"/>
    </row>
    <row r="58" spans="9:10" x14ac:dyDescent="0.35">
      <c r="I58" s="30"/>
      <c r="J58" s="30"/>
    </row>
    <row r="59" spans="9:10" x14ac:dyDescent="0.35">
      <c r="I59" s="30"/>
      <c r="J59" s="30"/>
    </row>
    <row r="60" spans="9:10" x14ac:dyDescent="0.35">
      <c r="I60" s="30"/>
      <c r="J60" s="30"/>
    </row>
    <row r="61" spans="9:10" x14ac:dyDescent="0.35">
      <c r="I61" s="30"/>
      <c r="J61" s="30"/>
    </row>
    <row r="62" spans="9:10" x14ac:dyDescent="0.35">
      <c r="I62" s="30"/>
      <c r="J62" s="30"/>
    </row>
    <row r="63" spans="9:10" x14ac:dyDescent="0.35">
      <c r="I63" s="30"/>
      <c r="J63" s="30"/>
    </row>
    <row r="64" spans="9:10" x14ac:dyDescent="0.35">
      <c r="I64" s="30"/>
      <c r="J64" s="30"/>
    </row>
    <row r="65" spans="9:10" x14ac:dyDescent="0.35">
      <c r="I65" s="30"/>
      <c r="J65" s="30"/>
    </row>
    <row r="66" spans="9:10" x14ac:dyDescent="0.35">
      <c r="I66" s="30"/>
      <c r="J66" s="30"/>
    </row>
    <row r="67" spans="9:10" x14ac:dyDescent="0.35">
      <c r="I67" s="30"/>
      <c r="J67" s="30"/>
    </row>
    <row r="68" spans="9:10" x14ac:dyDescent="0.35">
      <c r="I68" s="30"/>
      <c r="J68" s="30"/>
    </row>
    <row r="69" spans="9:10" x14ac:dyDescent="0.35">
      <c r="I69" s="30"/>
      <c r="J69" s="30"/>
    </row>
    <row r="70" spans="9:10" x14ac:dyDescent="0.35">
      <c r="I70" s="30"/>
      <c r="J70" s="30"/>
    </row>
    <row r="71" spans="9:10" x14ac:dyDescent="0.35">
      <c r="I71" s="30"/>
      <c r="J71" s="30"/>
    </row>
    <row r="72" spans="9:10" x14ac:dyDescent="0.35">
      <c r="I72" s="30"/>
      <c r="J72" s="30"/>
    </row>
    <row r="73" spans="9:10" x14ac:dyDescent="0.35">
      <c r="I73" s="30"/>
      <c r="J73" s="30"/>
    </row>
    <row r="74" spans="9:10" x14ac:dyDescent="0.35">
      <c r="I74" s="30"/>
      <c r="J74" s="30"/>
    </row>
    <row r="75" spans="9:10" x14ac:dyDescent="0.35">
      <c r="I75" s="30"/>
      <c r="J75" s="30"/>
    </row>
    <row r="76" spans="9:10" x14ac:dyDescent="0.35">
      <c r="I76" s="30"/>
      <c r="J76" s="30"/>
    </row>
    <row r="77" spans="9:10" x14ac:dyDescent="0.35">
      <c r="I77" s="30"/>
      <c r="J77" s="30"/>
    </row>
    <row r="78" spans="9:10" x14ac:dyDescent="0.35">
      <c r="I78" s="30"/>
      <c r="J78" s="30"/>
    </row>
    <row r="79" spans="9:10" x14ac:dyDescent="0.35">
      <c r="I79" s="30"/>
      <c r="J79" s="30"/>
    </row>
    <row r="80" spans="9:10" x14ac:dyDescent="0.35">
      <c r="I80" s="30"/>
      <c r="J80" s="30"/>
    </row>
    <row r="81" spans="9:10" x14ac:dyDescent="0.35">
      <c r="I81" s="30"/>
      <c r="J81" s="30"/>
    </row>
    <row r="82" spans="9:10" x14ac:dyDescent="0.35">
      <c r="I82" s="30"/>
      <c r="J82" s="30"/>
    </row>
    <row r="83" spans="9:10" x14ac:dyDescent="0.35">
      <c r="I83" s="30"/>
      <c r="J83" s="30"/>
    </row>
    <row r="84" spans="9:10" x14ac:dyDescent="0.35">
      <c r="I84" s="30"/>
      <c r="J84" s="30"/>
    </row>
    <row r="85" spans="9:10" x14ac:dyDescent="0.35">
      <c r="I85" s="30"/>
      <c r="J85" s="30"/>
    </row>
    <row r="86" spans="9:10" x14ac:dyDescent="0.35">
      <c r="I86" s="30"/>
      <c r="J86" s="30"/>
    </row>
    <row r="87" spans="9:10" x14ac:dyDescent="0.35">
      <c r="I87" s="30"/>
      <c r="J87" s="30"/>
    </row>
    <row r="88" spans="9:10" x14ac:dyDescent="0.35">
      <c r="I88" s="30"/>
      <c r="J88" s="30"/>
    </row>
    <row r="89" spans="9:10" x14ac:dyDescent="0.35">
      <c r="I89" s="30"/>
      <c r="J89" s="30"/>
    </row>
    <row r="90" spans="9:10" x14ac:dyDescent="0.35">
      <c r="I90" s="30"/>
      <c r="J90" s="30"/>
    </row>
    <row r="91" spans="9:10" x14ac:dyDescent="0.35">
      <c r="I91" s="30"/>
      <c r="J91" s="30"/>
    </row>
    <row r="92" spans="9:10" x14ac:dyDescent="0.35">
      <c r="I92" s="30"/>
      <c r="J92" s="30"/>
    </row>
    <row r="93" spans="9:10" x14ac:dyDescent="0.35">
      <c r="I93" s="30"/>
      <c r="J93" s="30"/>
    </row>
    <row r="94" spans="9:10" x14ac:dyDescent="0.35">
      <c r="I94" s="30"/>
      <c r="J94" s="30"/>
    </row>
    <row r="95" spans="9:10" x14ac:dyDescent="0.35">
      <c r="I95" s="30"/>
      <c r="J95" s="30"/>
    </row>
    <row r="96" spans="9:10" x14ac:dyDescent="0.35">
      <c r="I96" s="30"/>
      <c r="J96" s="30"/>
    </row>
    <row r="97" spans="9:10" x14ac:dyDescent="0.35">
      <c r="I97" s="30"/>
      <c r="J97" s="30"/>
    </row>
    <row r="98" spans="9:10" x14ac:dyDescent="0.35">
      <c r="I98" s="30"/>
      <c r="J98" s="30"/>
    </row>
    <row r="99" spans="9:10" x14ac:dyDescent="0.35">
      <c r="I99" s="30"/>
      <c r="J99" s="30"/>
    </row>
    <row r="100" spans="9:10" x14ac:dyDescent="0.35">
      <c r="I100" s="30"/>
      <c r="J100" s="30"/>
    </row>
    <row r="101" spans="9:10" x14ac:dyDescent="0.35">
      <c r="I101" s="30"/>
      <c r="J101" s="30"/>
    </row>
    <row r="102" spans="9:10" x14ac:dyDescent="0.35">
      <c r="I102" s="30"/>
      <c r="J102" s="30"/>
    </row>
    <row r="103" spans="9:10" x14ac:dyDescent="0.35">
      <c r="I103" s="30"/>
      <c r="J103" s="30"/>
    </row>
    <row r="104" spans="9:10" x14ac:dyDescent="0.35">
      <c r="I104" s="30"/>
      <c r="J104" s="30"/>
    </row>
    <row r="105" spans="9:10" x14ac:dyDescent="0.35">
      <c r="I105" s="30"/>
      <c r="J105" s="30"/>
    </row>
    <row r="106" spans="9:10" x14ac:dyDescent="0.35">
      <c r="I106" s="30"/>
      <c r="J106" s="30"/>
    </row>
    <row r="107" spans="9:10" x14ac:dyDescent="0.35">
      <c r="I107" s="30"/>
      <c r="J107" s="30"/>
    </row>
    <row r="108" spans="9:10" x14ac:dyDescent="0.35">
      <c r="I108" s="30"/>
      <c r="J108" s="30"/>
    </row>
    <row r="109" spans="9:10" x14ac:dyDescent="0.35">
      <c r="I109" s="30"/>
      <c r="J109" s="30"/>
    </row>
    <row r="110" spans="9:10" x14ac:dyDescent="0.35">
      <c r="I110" s="30"/>
      <c r="J110" s="30"/>
    </row>
    <row r="111" spans="9:10" x14ac:dyDescent="0.35">
      <c r="I111" s="30"/>
      <c r="J111" s="30"/>
    </row>
    <row r="112" spans="9:10" x14ac:dyDescent="0.35">
      <c r="I112" s="30"/>
      <c r="J112" s="30"/>
    </row>
    <row r="113" spans="9:10" x14ac:dyDescent="0.35">
      <c r="I113" s="30"/>
      <c r="J113" s="30"/>
    </row>
    <row r="114" spans="9:10" x14ac:dyDescent="0.35">
      <c r="I114" s="30"/>
      <c r="J114" s="30"/>
    </row>
    <row r="115" spans="9:10" x14ac:dyDescent="0.35">
      <c r="I115" s="30"/>
      <c r="J115" s="30"/>
    </row>
    <row r="116" spans="9:10" x14ac:dyDescent="0.35">
      <c r="I116" s="30"/>
      <c r="J116" s="30"/>
    </row>
    <row r="117" spans="9:10" x14ac:dyDescent="0.35">
      <c r="I117" s="30"/>
      <c r="J117" s="30"/>
    </row>
    <row r="118" spans="9:10" x14ac:dyDescent="0.35">
      <c r="I118" s="30"/>
      <c r="J118" s="30"/>
    </row>
    <row r="119" spans="9:10" x14ac:dyDescent="0.35">
      <c r="I119" s="30"/>
      <c r="J119" s="30"/>
    </row>
    <row r="120" spans="9:10" x14ac:dyDescent="0.35">
      <c r="I120" s="30"/>
      <c r="J120" s="30"/>
    </row>
    <row r="121" spans="9:10" x14ac:dyDescent="0.35">
      <c r="I121" s="30"/>
      <c r="J121" s="30"/>
    </row>
    <row r="122" spans="9:10" x14ac:dyDescent="0.35">
      <c r="I122" s="30"/>
      <c r="J122" s="30"/>
    </row>
    <row r="123" spans="9:10" x14ac:dyDescent="0.35">
      <c r="I123" s="30"/>
      <c r="J123" s="30"/>
    </row>
    <row r="124" spans="9:10" x14ac:dyDescent="0.35">
      <c r="I124" s="30"/>
      <c r="J124" s="30"/>
    </row>
    <row r="125" spans="9:10" x14ac:dyDescent="0.35">
      <c r="I125" s="30"/>
      <c r="J125" s="30"/>
    </row>
    <row r="126" spans="9:10" x14ac:dyDescent="0.35">
      <c r="I126" s="30"/>
      <c r="J126" s="30"/>
    </row>
    <row r="127" spans="9:10" x14ac:dyDescent="0.35">
      <c r="I127" s="30"/>
      <c r="J127" s="30"/>
    </row>
    <row r="128" spans="9:10" x14ac:dyDescent="0.35">
      <c r="I128" s="30"/>
      <c r="J128" s="30"/>
    </row>
    <row r="129" spans="9:10" x14ac:dyDescent="0.35">
      <c r="I129" s="30"/>
      <c r="J129" s="30"/>
    </row>
    <row r="130" spans="9:10" x14ac:dyDescent="0.35">
      <c r="I130" s="30"/>
      <c r="J130" s="30"/>
    </row>
    <row r="131" spans="9:10" x14ac:dyDescent="0.35">
      <c r="I131" s="30"/>
      <c r="J131" s="30"/>
    </row>
    <row r="132" spans="9:10" x14ac:dyDescent="0.35">
      <c r="I132" s="30"/>
      <c r="J132" s="30"/>
    </row>
    <row r="133" spans="9:10" x14ac:dyDescent="0.35">
      <c r="I133" s="30"/>
      <c r="J133" s="30"/>
    </row>
    <row r="134" spans="9:10" x14ac:dyDescent="0.35">
      <c r="I134" s="30"/>
      <c r="J134" s="30"/>
    </row>
    <row r="135" spans="9:10" x14ac:dyDescent="0.35">
      <c r="I135" s="30"/>
      <c r="J135" s="30"/>
    </row>
    <row r="136" spans="9:10" x14ac:dyDescent="0.35">
      <c r="I136" s="30"/>
      <c r="J136" s="30"/>
    </row>
    <row r="137" spans="9:10" x14ac:dyDescent="0.35">
      <c r="I137" s="30"/>
      <c r="J137" s="30"/>
    </row>
    <row r="138" spans="9:10" x14ac:dyDescent="0.35">
      <c r="I138" s="30"/>
      <c r="J138" s="30"/>
    </row>
    <row r="139" spans="9:10" x14ac:dyDescent="0.35">
      <c r="I139" s="30"/>
      <c r="J139" s="30"/>
    </row>
    <row r="140" spans="9:10" x14ac:dyDescent="0.35">
      <c r="I140" s="30"/>
      <c r="J140" s="30"/>
    </row>
    <row r="141" spans="9:10" x14ac:dyDescent="0.35">
      <c r="I141" s="30"/>
      <c r="J141" s="30"/>
    </row>
    <row r="142" spans="9:10" x14ac:dyDescent="0.35">
      <c r="I142" s="30"/>
      <c r="J142" s="30"/>
    </row>
    <row r="143" spans="9:10" x14ac:dyDescent="0.35">
      <c r="I143" s="30"/>
      <c r="J143" s="30"/>
    </row>
    <row r="144" spans="9:10" x14ac:dyDescent="0.35">
      <c r="I144" s="30"/>
      <c r="J144" s="30"/>
    </row>
    <row r="145" spans="9:10" x14ac:dyDescent="0.35">
      <c r="I145" s="30"/>
      <c r="J145" s="30"/>
    </row>
    <row r="146" spans="9:10" x14ac:dyDescent="0.35">
      <c r="I146" s="30"/>
      <c r="J146" s="30"/>
    </row>
    <row r="147" spans="9:10" x14ac:dyDescent="0.35">
      <c r="I147" s="30"/>
      <c r="J147" s="30"/>
    </row>
    <row r="148" spans="9:10" x14ac:dyDescent="0.35">
      <c r="I148" s="30"/>
      <c r="J148" s="30"/>
    </row>
    <row r="149" spans="9:10" x14ac:dyDescent="0.35">
      <c r="I149" s="30"/>
      <c r="J149" s="30"/>
    </row>
    <row r="150" spans="9:10" x14ac:dyDescent="0.35">
      <c r="I150" s="30"/>
      <c r="J150" s="30"/>
    </row>
    <row r="151" spans="9:10" x14ac:dyDescent="0.35">
      <c r="I151" s="30"/>
      <c r="J151" s="30"/>
    </row>
    <row r="152" spans="9:10" x14ac:dyDescent="0.35">
      <c r="I152" s="30"/>
      <c r="J152" s="30"/>
    </row>
    <row r="153" spans="9:10" x14ac:dyDescent="0.35">
      <c r="I153" s="30"/>
      <c r="J153" s="30"/>
    </row>
    <row r="154" spans="9:10" x14ac:dyDescent="0.35">
      <c r="I154" s="30"/>
      <c r="J154" s="30"/>
    </row>
    <row r="155" spans="9:10" x14ac:dyDescent="0.35">
      <c r="I155" s="30"/>
      <c r="J155" s="30"/>
    </row>
    <row r="156" spans="9:10" x14ac:dyDescent="0.35">
      <c r="I156" s="30"/>
      <c r="J156" s="30"/>
    </row>
    <row r="157" spans="9:10" x14ac:dyDescent="0.35">
      <c r="I157" s="30"/>
      <c r="J157" s="30"/>
    </row>
    <row r="158" spans="9:10" x14ac:dyDescent="0.35">
      <c r="I158" s="30"/>
      <c r="J158" s="30"/>
    </row>
    <row r="159" spans="9:10" x14ac:dyDescent="0.35">
      <c r="I159" s="30"/>
      <c r="J159" s="30"/>
    </row>
    <row r="160" spans="9:10" x14ac:dyDescent="0.35">
      <c r="I160" s="30"/>
      <c r="J160" s="30"/>
    </row>
    <row r="161" spans="9:10" x14ac:dyDescent="0.35">
      <c r="I161" s="30"/>
      <c r="J161" s="30"/>
    </row>
    <row r="162" spans="9:10" x14ac:dyDescent="0.35">
      <c r="I162" s="30"/>
      <c r="J162" s="30"/>
    </row>
    <row r="163" spans="9:10" x14ac:dyDescent="0.35">
      <c r="I163" s="30"/>
      <c r="J163" s="30"/>
    </row>
    <row r="164" spans="9:10" x14ac:dyDescent="0.35">
      <c r="I164" s="30"/>
      <c r="J164" s="30"/>
    </row>
    <row r="165" spans="9:10" x14ac:dyDescent="0.35">
      <c r="I165" s="30"/>
      <c r="J165" s="30"/>
    </row>
    <row r="166" spans="9:10" x14ac:dyDescent="0.35">
      <c r="I166" s="30"/>
      <c r="J166" s="30"/>
    </row>
    <row r="167" spans="9:10" x14ac:dyDescent="0.35">
      <c r="I167" s="30"/>
      <c r="J167" s="30"/>
    </row>
    <row r="168" spans="9:10" x14ac:dyDescent="0.35">
      <c r="I168" s="30"/>
      <c r="J168" s="30"/>
    </row>
    <row r="169" spans="9:10" x14ac:dyDescent="0.35">
      <c r="I169" s="30"/>
      <c r="J169" s="30"/>
    </row>
    <row r="170" spans="9:10" x14ac:dyDescent="0.35">
      <c r="I170" s="30"/>
      <c r="J170" s="30"/>
    </row>
    <row r="171" spans="9:10" x14ac:dyDescent="0.35">
      <c r="I171" s="30"/>
      <c r="J171" s="30"/>
    </row>
    <row r="172" spans="9:10" x14ac:dyDescent="0.35">
      <c r="I172" s="30"/>
      <c r="J172" s="30"/>
    </row>
    <row r="173" spans="9:10" x14ac:dyDescent="0.35">
      <c r="I173" s="30"/>
      <c r="J173" s="30"/>
    </row>
    <row r="174" spans="9:10" x14ac:dyDescent="0.35">
      <c r="I174" s="30"/>
      <c r="J174" s="30"/>
    </row>
    <row r="175" spans="9:10" x14ac:dyDescent="0.35">
      <c r="I175" s="30"/>
      <c r="J175" s="30"/>
    </row>
    <row r="176" spans="9:10" x14ac:dyDescent="0.35">
      <c r="I176" s="30"/>
      <c r="J176" s="30"/>
    </row>
    <row r="177" spans="9:10" x14ac:dyDescent="0.35">
      <c r="I177" s="30"/>
      <c r="J177" s="30"/>
    </row>
    <row r="178" spans="9:10" x14ac:dyDescent="0.35">
      <c r="I178" s="30"/>
      <c r="J178" s="30"/>
    </row>
    <row r="179" spans="9:10" x14ac:dyDescent="0.35">
      <c r="I179" s="30"/>
      <c r="J179" s="30"/>
    </row>
    <row r="180" spans="9:10" x14ac:dyDescent="0.35">
      <c r="I180" s="30"/>
      <c r="J180" s="30"/>
    </row>
    <row r="181" spans="9:10" x14ac:dyDescent="0.35">
      <c r="I181" s="30"/>
      <c r="J181" s="30"/>
    </row>
    <row r="182" spans="9:10" x14ac:dyDescent="0.35">
      <c r="I182" s="30"/>
      <c r="J182" s="30"/>
    </row>
    <row r="183" spans="9:10" x14ac:dyDescent="0.35">
      <c r="I183" s="30"/>
      <c r="J183" s="30"/>
    </row>
    <row r="184" spans="9:10" x14ac:dyDescent="0.35">
      <c r="I184" s="30"/>
      <c r="J184" s="30"/>
    </row>
    <row r="185" spans="9:10" x14ac:dyDescent="0.35">
      <c r="I185" s="30"/>
      <c r="J185" s="30"/>
    </row>
    <row r="186" spans="9:10" x14ac:dyDescent="0.35">
      <c r="I186" s="30"/>
      <c r="J186" s="30"/>
    </row>
    <row r="187" spans="9:10" x14ac:dyDescent="0.35">
      <c r="I187" s="30"/>
      <c r="J187" s="30"/>
    </row>
    <row r="188" spans="9:10" x14ac:dyDescent="0.35">
      <c r="I188" s="30"/>
      <c r="J188" s="30"/>
    </row>
    <row r="189" spans="9:10" x14ac:dyDescent="0.35">
      <c r="I189" s="30"/>
      <c r="J189" s="30"/>
    </row>
    <row r="190" spans="9:10" x14ac:dyDescent="0.35">
      <c r="I190" s="30"/>
      <c r="J190" s="30"/>
    </row>
    <row r="191" spans="9:10" x14ac:dyDescent="0.35">
      <c r="I191" s="30"/>
      <c r="J191" s="30"/>
    </row>
    <row r="192" spans="9:10" x14ac:dyDescent="0.35">
      <c r="I192" s="30"/>
      <c r="J192" s="30"/>
    </row>
    <row r="193" spans="9:10" x14ac:dyDescent="0.35">
      <c r="I193" s="30"/>
      <c r="J193" s="30"/>
    </row>
    <row r="194" spans="9:10" x14ac:dyDescent="0.35">
      <c r="I194" s="30"/>
      <c r="J194" s="30"/>
    </row>
    <row r="195" spans="9:10" x14ac:dyDescent="0.35">
      <c r="I195" s="30"/>
      <c r="J195" s="30"/>
    </row>
    <row r="196" spans="9:10" x14ac:dyDescent="0.35">
      <c r="I196" s="30"/>
      <c r="J196" s="30"/>
    </row>
    <row r="197" spans="9:10" x14ac:dyDescent="0.35">
      <c r="I197" s="30"/>
      <c r="J197" s="30"/>
    </row>
    <row r="198" spans="9:10" x14ac:dyDescent="0.35">
      <c r="I198" s="30"/>
      <c r="J198" s="30"/>
    </row>
    <row r="199" spans="9:10" x14ac:dyDescent="0.35">
      <c r="I199" s="30"/>
      <c r="J199" s="30"/>
    </row>
    <row r="200" spans="9:10" x14ac:dyDescent="0.35">
      <c r="I200" s="30"/>
      <c r="J200" s="30"/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B0A21-B8BB-449F-BB05-FBA0180807C9}">
  <dimension ref="A1:T17"/>
  <sheetViews>
    <sheetView zoomScale="70" zoomScaleNormal="70" workbookViewId="0">
      <selection activeCell="H31" sqref="H31"/>
    </sheetView>
  </sheetViews>
  <sheetFormatPr defaultRowHeight="14.5" x14ac:dyDescent="0.35"/>
  <cols>
    <col min="1" max="1" width="14.7265625" customWidth="1"/>
    <col min="2" max="2" width="5.7265625" bestFit="1" customWidth="1"/>
    <col min="3" max="6" width="6.08984375" bestFit="1" customWidth="1"/>
    <col min="7" max="7" width="5.7265625" bestFit="1" customWidth="1"/>
    <col min="8" max="12" width="6.08984375" bestFit="1" customWidth="1"/>
    <col min="13" max="20" width="6.90625" bestFit="1" customWidth="1"/>
  </cols>
  <sheetData>
    <row r="1" spans="1:20" x14ac:dyDescent="0.35">
      <c r="A1" s="26" t="s">
        <v>122</v>
      </c>
      <c r="B1" s="91">
        <v>0</v>
      </c>
      <c r="C1" s="91">
        <v>10</v>
      </c>
      <c r="D1" s="91">
        <v>20</v>
      </c>
      <c r="E1" s="91">
        <v>30</v>
      </c>
      <c r="F1" s="91">
        <v>40</v>
      </c>
      <c r="G1" s="91">
        <v>50</v>
      </c>
      <c r="H1" s="91">
        <v>60</v>
      </c>
      <c r="I1" s="91">
        <v>70</v>
      </c>
      <c r="J1" s="91">
        <v>80</v>
      </c>
      <c r="K1" s="91">
        <v>90</v>
      </c>
      <c r="L1" s="91">
        <v>100</v>
      </c>
      <c r="M1" s="91">
        <v>110</v>
      </c>
      <c r="N1" s="91">
        <v>120</v>
      </c>
      <c r="O1" s="91">
        <v>130</v>
      </c>
      <c r="P1" s="91">
        <v>140</v>
      </c>
      <c r="Q1" s="91">
        <v>150</v>
      </c>
      <c r="R1" s="91">
        <v>160</v>
      </c>
      <c r="S1" s="91">
        <v>170</v>
      </c>
      <c r="T1" s="91">
        <v>180</v>
      </c>
    </row>
    <row r="2" spans="1:20" ht="15" thickBot="1" x14ac:dyDescent="0.4">
      <c r="A2" s="27" t="s">
        <v>123</v>
      </c>
      <c r="B2" s="92"/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  <c r="N2" s="92"/>
      <c r="O2" s="92"/>
      <c r="P2" s="92"/>
      <c r="Q2" s="92"/>
      <c r="R2" s="92"/>
      <c r="S2" s="92"/>
      <c r="T2" s="92"/>
    </row>
    <row r="3" spans="1:20" ht="15" thickBot="1" x14ac:dyDescent="0.4">
      <c r="A3" s="28" t="s">
        <v>124</v>
      </c>
      <c r="B3" s="29">
        <v>-1.2999999999999999E-2</v>
      </c>
      <c r="C3" s="29">
        <v>1.034</v>
      </c>
      <c r="D3" s="29">
        <v>0.93700000000000006</v>
      </c>
      <c r="E3" s="29">
        <v>0.81200000000000006</v>
      </c>
      <c r="F3" s="29">
        <v>0.66500000000000004</v>
      </c>
      <c r="G3" s="29">
        <v>0.499</v>
      </c>
      <c r="H3" s="29">
        <v>0.32300000000000001</v>
      </c>
      <c r="I3" s="29">
        <v>0.14399999999999999</v>
      </c>
      <c r="J3" s="29">
        <v>-3.7999999999999999E-2</v>
      </c>
      <c r="K3" s="29">
        <v>-0.222</v>
      </c>
      <c r="L3" s="29">
        <v>-0.4</v>
      </c>
      <c r="M3" s="29">
        <v>-0.56699999999999995</v>
      </c>
      <c r="N3" s="29">
        <v>-0.72</v>
      </c>
      <c r="O3" s="29">
        <v>-0.85399999999999998</v>
      </c>
      <c r="P3" s="29">
        <v>-0.96399999999999997</v>
      </c>
      <c r="Q3" s="29">
        <v>-1.046</v>
      </c>
      <c r="R3" s="29">
        <v>-1.0960000000000001</v>
      </c>
      <c r="S3" s="29">
        <v>-1.107</v>
      </c>
      <c r="T3" s="29">
        <v>1.2E-2</v>
      </c>
    </row>
    <row r="4" spans="1:20" ht="20.5" thickBot="1" x14ac:dyDescent="0.4">
      <c r="A4" s="28" t="s">
        <v>125</v>
      </c>
      <c r="B4" s="29">
        <v>-2.2599999999999999E-2</v>
      </c>
      <c r="C4" s="29">
        <v>5.8452999999999999</v>
      </c>
      <c r="D4" s="29">
        <v>16.271999999999998</v>
      </c>
      <c r="E4" s="29">
        <v>24.891500000000001</v>
      </c>
      <c r="F4" s="29">
        <v>32.331899999999997</v>
      </c>
      <c r="G4" s="29">
        <v>38.152000000000001</v>
      </c>
      <c r="H4" s="29">
        <v>42.273600000000002</v>
      </c>
      <c r="I4" s="29">
        <v>44.609400000000001</v>
      </c>
      <c r="J4" s="29">
        <v>45.137700000000002</v>
      </c>
      <c r="K4" s="29">
        <v>43.838200000000001</v>
      </c>
      <c r="L4" s="29">
        <v>40.722200000000001</v>
      </c>
      <c r="M4" s="29">
        <v>35.8733</v>
      </c>
      <c r="N4" s="29">
        <v>29.425999999999998</v>
      </c>
      <c r="O4" s="29">
        <v>21.5395</v>
      </c>
      <c r="P4" s="29">
        <v>12.4407</v>
      </c>
      <c r="Q4" s="29">
        <v>2.3273999999999999</v>
      </c>
      <c r="R4" s="29">
        <v>-8.2670999999999992</v>
      </c>
      <c r="S4" s="29">
        <v>-19.846299999999999</v>
      </c>
      <c r="T4" s="29">
        <v>-26.066700000000001</v>
      </c>
    </row>
    <row r="5" spans="1:20" ht="15" thickBot="1" x14ac:dyDescent="0.4">
      <c r="A5" s="28" t="s">
        <v>110</v>
      </c>
      <c r="B5" s="29">
        <v>0.18</v>
      </c>
      <c r="C5" s="29">
        <v>0.18</v>
      </c>
      <c r="D5" s="29">
        <v>0.18</v>
      </c>
      <c r="E5" s="29">
        <v>0.18</v>
      </c>
      <c r="F5" s="29">
        <v>0.18</v>
      </c>
      <c r="G5" s="29">
        <v>0.18</v>
      </c>
      <c r="H5" s="29">
        <v>0.18</v>
      </c>
      <c r="I5" s="29">
        <v>0.18</v>
      </c>
      <c r="J5" s="29">
        <v>0.18</v>
      </c>
      <c r="K5" s="29">
        <v>0.18</v>
      </c>
      <c r="L5" s="29">
        <v>0.18</v>
      </c>
      <c r="M5" s="29">
        <v>0.18</v>
      </c>
      <c r="N5" s="29">
        <v>0.18</v>
      </c>
      <c r="O5" s="29">
        <v>0.18</v>
      </c>
      <c r="P5" s="29">
        <v>0.18</v>
      </c>
      <c r="Q5" s="29">
        <v>0.18</v>
      </c>
      <c r="R5" s="29">
        <v>0.18</v>
      </c>
      <c r="S5" s="29">
        <v>0.18</v>
      </c>
      <c r="T5" s="29">
        <v>0.18</v>
      </c>
    </row>
    <row r="6" spans="1:20" ht="15" thickBot="1" x14ac:dyDescent="0.4">
      <c r="A6" s="28" t="s">
        <v>111</v>
      </c>
      <c r="B6" s="29">
        <v>0.127</v>
      </c>
      <c r="C6" s="29">
        <v>0.21099999999999999</v>
      </c>
      <c r="D6" s="29">
        <v>0.21199999999999999</v>
      </c>
      <c r="E6" s="29">
        <v>0.21199999999999999</v>
      </c>
      <c r="F6" s="29">
        <v>0.21</v>
      </c>
      <c r="G6" s="29">
        <v>0.20599999999999999</v>
      </c>
      <c r="H6" s="29">
        <v>0.19400000000000001</v>
      </c>
      <c r="I6" s="29">
        <v>0.16800000000000001</v>
      </c>
      <c r="J6" s="29">
        <v>9.5000000000000001E-2</v>
      </c>
      <c r="K6" s="29" t="s">
        <v>126</v>
      </c>
      <c r="L6" s="29">
        <v>-0.46300000000000002</v>
      </c>
      <c r="M6" s="29">
        <v>-0.38100000000000001</v>
      </c>
      <c r="N6" s="29">
        <v>-0.35899999999999999</v>
      </c>
      <c r="O6" s="29">
        <v>-0.35</v>
      </c>
      <c r="P6" s="29">
        <v>-0.34699999999999998</v>
      </c>
      <c r="Q6" s="29">
        <v>-0.34599999999999997</v>
      </c>
      <c r="R6" s="29">
        <v>-0.34599999999999997</v>
      </c>
      <c r="S6" s="29">
        <v>-0.34599999999999997</v>
      </c>
      <c r="T6" s="29">
        <v>-0.41799999999999998</v>
      </c>
    </row>
    <row r="7" spans="1:20" ht="15" thickBot="1" x14ac:dyDescent="0.4">
      <c r="A7" s="28" t="s">
        <v>112</v>
      </c>
      <c r="B7" s="29">
        <v>0.109</v>
      </c>
      <c r="C7" s="29">
        <v>0.14599999999999999</v>
      </c>
      <c r="D7" s="29">
        <v>0.14099999999999999</v>
      </c>
      <c r="E7" s="29">
        <v>0.13300000000000001</v>
      </c>
      <c r="F7" s="29">
        <v>0.11600000000000001</v>
      </c>
      <c r="G7" s="29">
        <v>8.7999999999999995E-2</v>
      </c>
      <c r="H7" s="29">
        <v>3.4000000000000002E-2</v>
      </c>
      <c r="I7" s="29">
        <v>-8.5000000000000006E-2</v>
      </c>
      <c r="J7" s="29">
        <v>-0.45200000000000001</v>
      </c>
      <c r="K7" s="29" t="s">
        <v>126</v>
      </c>
      <c r="L7" s="29">
        <v>-0.997</v>
      </c>
      <c r="M7" s="29">
        <v>-0.63100000000000001</v>
      </c>
      <c r="N7" s="29">
        <v>-0.50800000000000001</v>
      </c>
      <c r="O7" s="29">
        <v>-0.45400000000000001</v>
      </c>
      <c r="P7" s="29">
        <v>-0.42599999999999999</v>
      </c>
      <c r="Q7" s="29">
        <v>-0.41199999999999998</v>
      </c>
      <c r="R7" s="29">
        <v>-0.40600000000000003</v>
      </c>
      <c r="S7" s="29">
        <v>-0.40699999999999997</v>
      </c>
      <c r="T7" s="29">
        <v>-0.45400000000000001</v>
      </c>
    </row>
    <row r="8" spans="1:20" ht="15" thickBot="1" x14ac:dyDescent="0.4">
      <c r="A8" s="28" t="s">
        <v>113</v>
      </c>
      <c r="B8" s="29">
        <v>5.1059999999999999</v>
      </c>
      <c r="C8" s="29">
        <v>5.2549999999999999</v>
      </c>
      <c r="D8" s="29">
        <v>5.2560000000000002</v>
      </c>
      <c r="E8" s="29">
        <v>5.2560000000000002</v>
      </c>
      <c r="F8" s="29">
        <v>5.2560000000000002</v>
      </c>
      <c r="G8" s="29">
        <v>5.2569999999999997</v>
      </c>
      <c r="H8" s="29">
        <v>5.2569999999999997</v>
      </c>
      <c r="I8" s="29">
        <v>5.2569999999999997</v>
      </c>
      <c r="J8" s="29">
        <v>5.0289999999999999</v>
      </c>
      <c r="K8" s="29">
        <v>5.0410000000000004</v>
      </c>
      <c r="L8" s="29">
        <v>5.1820000000000004</v>
      </c>
      <c r="M8" s="29">
        <v>5.2380000000000004</v>
      </c>
      <c r="N8" s="29">
        <v>5.2439999999999998</v>
      </c>
      <c r="O8" s="29">
        <v>5.2460000000000004</v>
      </c>
      <c r="P8" s="29">
        <v>5.2469999999999999</v>
      </c>
      <c r="Q8" s="29">
        <v>5.2480000000000002</v>
      </c>
      <c r="R8" s="29">
        <v>5.2480000000000002</v>
      </c>
      <c r="S8" s="29">
        <v>5.2489999999999997</v>
      </c>
      <c r="T8" s="29">
        <v>5.2210000000000001</v>
      </c>
    </row>
    <row r="9" spans="1:20" ht="20.5" thickBot="1" x14ac:dyDescent="0.4">
      <c r="A9" s="28" t="s">
        <v>114</v>
      </c>
      <c r="B9" s="29">
        <v>2.593</v>
      </c>
      <c r="C9" s="29">
        <v>0.42499999999999999</v>
      </c>
      <c r="D9" s="29">
        <v>0.435</v>
      </c>
      <c r="E9" s="29">
        <v>0.45</v>
      </c>
      <c r="F9" s="29">
        <v>0.46400000000000002</v>
      </c>
      <c r="G9" s="29">
        <v>0.48199999999999998</v>
      </c>
      <c r="H9" s="29">
        <v>0.5</v>
      </c>
      <c r="I9" s="29">
        <v>0.501</v>
      </c>
      <c r="J9" s="29">
        <v>0.495</v>
      </c>
      <c r="K9" s="29">
        <v>0.48</v>
      </c>
      <c r="L9" s="29">
        <v>0.47399999999999998</v>
      </c>
      <c r="M9" s="29">
        <v>0.47099999999999997</v>
      </c>
      <c r="N9" s="29">
        <v>0.46100000000000002</v>
      </c>
      <c r="O9" s="29">
        <v>0.45</v>
      </c>
      <c r="P9" s="29">
        <v>0.45500000000000002</v>
      </c>
      <c r="Q9" s="29">
        <v>0.49199999999999999</v>
      </c>
      <c r="R9" s="29">
        <v>0.59299999999999997</v>
      </c>
      <c r="S9" s="29">
        <v>0.93100000000000005</v>
      </c>
      <c r="T9" s="29">
        <v>2.5859999999999999</v>
      </c>
    </row>
    <row r="10" spans="1:20" ht="15" thickBot="1" x14ac:dyDescent="0.4">
      <c r="A10" s="28" t="s">
        <v>115</v>
      </c>
      <c r="B10" s="29">
        <v>3.3919999999999999</v>
      </c>
      <c r="C10" s="29">
        <v>2.4350000000000001</v>
      </c>
      <c r="D10" s="29">
        <v>2.431</v>
      </c>
      <c r="E10" s="29">
        <v>2.4380000000000002</v>
      </c>
      <c r="F10" s="29">
        <v>2.4609999999999999</v>
      </c>
      <c r="G10" s="29">
        <v>2.5049999999999999</v>
      </c>
      <c r="H10" s="29">
        <v>2.57</v>
      </c>
      <c r="I10" s="29">
        <v>2.6179999999999999</v>
      </c>
      <c r="J10" s="29">
        <v>2.5960000000000001</v>
      </c>
      <c r="K10" s="29">
        <v>2.5790000000000002</v>
      </c>
      <c r="L10" s="29">
        <v>2.5910000000000002</v>
      </c>
      <c r="M10" s="29">
        <v>2.5939999999999999</v>
      </c>
      <c r="N10" s="29">
        <v>2.524</v>
      </c>
      <c r="O10" s="29">
        <v>2.5150000000000001</v>
      </c>
      <c r="P10" s="29">
        <v>2.5139999999999998</v>
      </c>
      <c r="Q10" s="29">
        <v>2.5379999999999998</v>
      </c>
      <c r="R10" s="29">
        <v>2.5990000000000002</v>
      </c>
      <c r="S10" s="29">
        <v>3.2770000000000001</v>
      </c>
      <c r="T10" s="29">
        <v>10.54</v>
      </c>
    </row>
    <row r="11" spans="1:20" ht="15" thickBot="1" x14ac:dyDescent="0.4">
      <c r="A11" s="28" t="s">
        <v>116</v>
      </c>
      <c r="B11" s="29">
        <v>2.6819999999999999</v>
      </c>
      <c r="C11" s="29">
        <v>1.623</v>
      </c>
      <c r="D11" s="29">
        <v>1.6339999999999999</v>
      </c>
      <c r="E11" s="29">
        <v>1.6679999999999999</v>
      </c>
      <c r="F11" s="29">
        <v>1.7250000000000001</v>
      </c>
      <c r="G11" s="29">
        <v>1.825</v>
      </c>
      <c r="H11" s="29">
        <v>1.9730000000000001</v>
      </c>
      <c r="I11" s="29">
        <v>2.0960000000000001</v>
      </c>
      <c r="J11" s="29">
        <v>2.1080000000000001</v>
      </c>
      <c r="K11" s="29">
        <v>2.0449999999999999</v>
      </c>
      <c r="L11" s="29">
        <v>2.028</v>
      </c>
      <c r="M11" s="29">
        <v>1.9890000000000001</v>
      </c>
      <c r="N11" s="29">
        <v>1.911</v>
      </c>
      <c r="O11" s="29">
        <v>1.839</v>
      </c>
      <c r="P11" s="29">
        <v>1.7869999999999999</v>
      </c>
      <c r="Q11" s="29">
        <v>1.7729999999999999</v>
      </c>
      <c r="R11" s="29">
        <v>1.794</v>
      </c>
      <c r="S11" s="29">
        <v>1.8169999999999999</v>
      </c>
      <c r="T11" s="29">
        <v>4.3929999999999998</v>
      </c>
    </row>
    <row r="12" spans="1:20" ht="15" thickBot="1" x14ac:dyDescent="0.4">
      <c r="A12" s="28" t="s">
        <v>88</v>
      </c>
      <c r="B12" s="29">
        <v>0.50800000000000001</v>
      </c>
      <c r="C12" s="29">
        <v>0.56200000000000006</v>
      </c>
      <c r="D12" s="29">
        <v>0.56200000000000006</v>
      </c>
      <c r="E12" s="29">
        <v>0.56299999999999994</v>
      </c>
      <c r="F12" s="29">
        <v>0.56399999999999995</v>
      </c>
      <c r="G12" s="29">
        <v>0.56299999999999994</v>
      </c>
      <c r="H12" s="29">
        <v>0.56299999999999994</v>
      </c>
      <c r="I12" s="29">
        <v>0.56699999999999995</v>
      </c>
      <c r="J12" s="29">
        <v>0.60299999999999998</v>
      </c>
      <c r="K12" s="29">
        <v>0.61699999999999999</v>
      </c>
      <c r="L12" s="29">
        <v>0.623</v>
      </c>
      <c r="M12" s="29">
        <v>0.63700000000000001</v>
      </c>
      <c r="N12" s="29">
        <v>0.65900000000000003</v>
      </c>
      <c r="O12" s="29">
        <v>0.68400000000000005</v>
      </c>
      <c r="P12" s="29">
        <v>0.70499999999999996</v>
      </c>
      <c r="Q12" s="29">
        <v>0.71299999999999997</v>
      </c>
      <c r="R12" s="29">
        <v>0.65600000000000003</v>
      </c>
      <c r="S12" s="29">
        <v>0.49</v>
      </c>
      <c r="T12" s="29">
        <v>0.189</v>
      </c>
    </row>
    <row r="13" spans="1:20" ht="15" thickBot="1" x14ac:dyDescent="0.4">
      <c r="A13" s="28" t="s">
        <v>117</v>
      </c>
      <c r="B13" s="29">
        <v>0.10299999999999999</v>
      </c>
      <c r="C13" s="29">
        <v>0.41099999999999998</v>
      </c>
      <c r="D13" s="29">
        <v>0.42399999999999999</v>
      </c>
      <c r="E13" s="29">
        <v>0.40899999999999997</v>
      </c>
      <c r="F13" s="29">
        <v>0.39200000000000002</v>
      </c>
      <c r="G13" s="29">
        <v>0.38200000000000001</v>
      </c>
      <c r="H13" s="29">
        <v>0.38700000000000001</v>
      </c>
      <c r="I13" s="29">
        <v>0.41399999999999998</v>
      </c>
      <c r="J13" s="29">
        <v>0.47199999999999998</v>
      </c>
      <c r="K13" s="29">
        <v>0.501</v>
      </c>
      <c r="L13" s="29">
        <v>0.47199999999999998</v>
      </c>
      <c r="M13" s="29">
        <v>0.435</v>
      </c>
      <c r="N13" s="29">
        <v>0.41599999999999998</v>
      </c>
      <c r="O13" s="29">
        <v>0.40899999999999997</v>
      </c>
      <c r="P13" s="29">
        <v>0.40400000000000003</v>
      </c>
      <c r="Q13" s="29">
        <v>0.38800000000000001</v>
      </c>
      <c r="R13" s="29">
        <v>0.34300000000000003</v>
      </c>
      <c r="S13" s="29">
        <v>0.23799999999999999</v>
      </c>
      <c r="T13" s="29">
        <v>0.14499999999999999</v>
      </c>
    </row>
    <row r="14" spans="1:20" ht="20.5" thickBot="1" x14ac:dyDescent="0.4">
      <c r="A14" s="28" t="s">
        <v>118</v>
      </c>
      <c r="B14" s="29">
        <v>2E-3</v>
      </c>
      <c r="C14" s="29">
        <v>7.0000000000000001E-3</v>
      </c>
      <c r="D14" s="29">
        <v>8.9999999999999993E-3</v>
      </c>
      <c r="E14" s="29">
        <v>1.2E-2</v>
      </c>
      <c r="F14" s="29">
        <v>1.4E-2</v>
      </c>
      <c r="G14" s="29">
        <v>1.7000000000000001E-2</v>
      </c>
      <c r="H14" s="29">
        <v>1.9E-2</v>
      </c>
      <c r="I14" s="29">
        <v>2.1000000000000001E-2</v>
      </c>
      <c r="J14" s="29">
        <v>2.3E-2</v>
      </c>
      <c r="K14" s="29">
        <v>2.3E-2</v>
      </c>
      <c r="L14" s="29">
        <v>2.1000000000000001E-2</v>
      </c>
      <c r="M14" s="29">
        <v>1.7999999999999999E-2</v>
      </c>
      <c r="N14" s="29">
        <v>1.4E-2</v>
      </c>
      <c r="O14" s="29">
        <v>1.0999999999999999E-2</v>
      </c>
      <c r="P14" s="29">
        <v>8.0000000000000002E-3</v>
      </c>
      <c r="Q14" s="29">
        <v>5.0000000000000001E-3</v>
      </c>
      <c r="R14" s="29">
        <v>4.0000000000000001E-3</v>
      </c>
      <c r="S14" s="29">
        <v>1E-3</v>
      </c>
      <c r="T14" s="29">
        <v>0</v>
      </c>
    </row>
    <row r="15" spans="1:20" ht="20.5" thickBot="1" x14ac:dyDescent="0.4">
      <c r="A15" s="28" t="s">
        <v>119</v>
      </c>
      <c r="B15" s="29">
        <v>-0.17199999999999999</v>
      </c>
      <c r="C15" s="29">
        <v>-0.221</v>
      </c>
      <c r="D15" s="29">
        <v>-0.186</v>
      </c>
      <c r="E15" s="29">
        <v>-0.14899999999999999</v>
      </c>
      <c r="F15" s="29">
        <v>-0.12</v>
      </c>
      <c r="G15" s="29">
        <v>-9.6000000000000002E-2</v>
      </c>
      <c r="H15" s="29">
        <v>-7.8E-2</v>
      </c>
      <c r="I15" s="29">
        <v>-5.2999999999999999E-2</v>
      </c>
      <c r="J15" s="29">
        <v>-1.9E-2</v>
      </c>
      <c r="K15" s="29">
        <v>-3.6999999999999998E-2</v>
      </c>
      <c r="L15" s="29">
        <v>-4.9000000000000002E-2</v>
      </c>
      <c r="M15" s="29">
        <v>-6.9000000000000006E-2</v>
      </c>
      <c r="N15" s="29">
        <v>-7.8E-2</v>
      </c>
      <c r="O15" s="29">
        <v>-9.6000000000000002E-2</v>
      </c>
      <c r="P15" s="29">
        <v>-0.127</v>
      </c>
      <c r="Q15" s="29">
        <v>-0.17100000000000001</v>
      </c>
      <c r="R15" s="29">
        <v>-0.22600000000000001</v>
      </c>
      <c r="S15" s="29">
        <v>-0.26600000000000001</v>
      </c>
      <c r="T15" s="29">
        <v>-0.55400000000000005</v>
      </c>
    </row>
    <row r="16" spans="1:20" ht="20.5" thickBot="1" x14ac:dyDescent="0.4">
      <c r="A16" s="28" t="s">
        <v>120</v>
      </c>
      <c r="B16" s="29">
        <v>0.18970000000000001</v>
      </c>
      <c r="C16" s="29">
        <v>10.0244</v>
      </c>
      <c r="D16" s="29">
        <v>20.012499999999999</v>
      </c>
      <c r="E16" s="29">
        <v>30.008500000000002</v>
      </c>
      <c r="F16" s="29">
        <v>40.006399999999999</v>
      </c>
      <c r="G16" s="29">
        <v>50.005000000000003</v>
      </c>
      <c r="H16" s="29">
        <v>60.003799999999998</v>
      </c>
      <c r="I16" s="29">
        <v>70.002799999999993</v>
      </c>
      <c r="J16" s="29">
        <v>80.0017</v>
      </c>
      <c r="K16" s="29">
        <v>90</v>
      </c>
      <c r="L16" s="29">
        <v>99.998400000000004</v>
      </c>
      <c r="M16" s="29">
        <v>109.99720000000001</v>
      </c>
      <c r="N16" s="29">
        <v>119.9967</v>
      </c>
      <c r="O16" s="29">
        <v>129.99610000000001</v>
      </c>
      <c r="P16" s="29">
        <v>139.99539999999999</v>
      </c>
      <c r="Q16" s="29">
        <v>149.99420000000001</v>
      </c>
      <c r="R16" s="29">
        <v>159.99090000000001</v>
      </c>
      <c r="S16" s="29">
        <v>169.97890000000001</v>
      </c>
      <c r="T16" s="29">
        <v>179.60069999999999</v>
      </c>
    </row>
    <row r="17" spans="1:20" ht="20.5" thickBot="1" x14ac:dyDescent="0.4">
      <c r="A17" s="28" t="s">
        <v>121</v>
      </c>
      <c r="B17" s="29">
        <v>-0.18970000000000001</v>
      </c>
      <c r="C17" s="29">
        <v>-0.71330000000000005</v>
      </c>
      <c r="D17" s="29">
        <v>-0.76770000000000005</v>
      </c>
      <c r="E17" s="29">
        <v>-0.8649</v>
      </c>
      <c r="F17" s="29">
        <v>-1.0259</v>
      </c>
      <c r="G17" s="29">
        <v>-1.2847</v>
      </c>
      <c r="H17" s="29">
        <v>-1.7436</v>
      </c>
      <c r="I17" s="29">
        <v>-2.7564000000000002</v>
      </c>
      <c r="J17" s="29">
        <v>-5.9459999999999997</v>
      </c>
      <c r="K17" s="29" t="s">
        <v>126</v>
      </c>
      <c r="L17" s="29">
        <v>-5.8154000000000003</v>
      </c>
      <c r="M17" s="29">
        <v>-2.7246000000000001</v>
      </c>
      <c r="N17" s="29">
        <v>-1.6226</v>
      </c>
      <c r="O17" s="29">
        <v>-1.1316999999999999</v>
      </c>
      <c r="P17" s="29">
        <v>-0.86509999999999998</v>
      </c>
      <c r="Q17" s="29">
        <v>-0.71640000000000004</v>
      </c>
      <c r="R17" s="29">
        <v>-0.65490000000000004</v>
      </c>
      <c r="S17" s="29">
        <v>-0.66369999999999996</v>
      </c>
      <c r="T17" s="29">
        <v>-0.39929999999999999</v>
      </c>
    </row>
  </sheetData>
  <mergeCells count="19">
    <mergeCell ref="Q1:Q2"/>
    <mergeCell ref="R1:R2"/>
    <mergeCell ref="S1:S2"/>
    <mergeCell ref="T1:T2"/>
    <mergeCell ref="K1:K2"/>
    <mergeCell ref="L1:L2"/>
    <mergeCell ref="M1:M2"/>
    <mergeCell ref="N1:N2"/>
    <mergeCell ref="O1:O2"/>
    <mergeCell ref="P1:P2"/>
    <mergeCell ref="J1:J2"/>
    <mergeCell ref="B1:B2"/>
    <mergeCell ref="C1:C2"/>
    <mergeCell ref="D1:D2"/>
    <mergeCell ref="E1:E2"/>
    <mergeCell ref="F1:F2"/>
    <mergeCell ref="G1:G2"/>
    <mergeCell ref="H1:H2"/>
    <mergeCell ref="I1:I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910B0-9F79-4023-AAB8-33EA609F195D}">
  <dimension ref="A1:W25"/>
  <sheetViews>
    <sheetView topLeftCell="H1" zoomScale="62" zoomScaleNormal="85" workbookViewId="0">
      <selection activeCell="X11" sqref="X11"/>
    </sheetView>
  </sheetViews>
  <sheetFormatPr defaultRowHeight="14.5" x14ac:dyDescent="0.35"/>
  <cols>
    <col min="18" max="19" width="17.1796875" customWidth="1"/>
    <col min="20" max="20" width="15.1796875" customWidth="1"/>
    <col min="21" max="22" width="14.453125" customWidth="1"/>
    <col min="23" max="23" width="13.26953125" customWidth="1"/>
  </cols>
  <sheetData>
    <row r="1" spans="1:23" x14ac:dyDescent="0.35">
      <c r="B1">
        <v>0</v>
      </c>
      <c r="C1">
        <v>1.75</v>
      </c>
      <c r="E1">
        <f>B1/2</f>
        <v>0</v>
      </c>
      <c r="F1">
        <f>C1/2</f>
        <v>0.875</v>
      </c>
      <c r="G1">
        <f>F1+0.125</f>
        <v>1</v>
      </c>
      <c r="H1">
        <v>1</v>
      </c>
    </row>
    <row r="2" spans="1:23" x14ac:dyDescent="0.35">
      <c r="B2">
        <v>0</v>
      </c>
      <c r="C2">
        <v>1</v>
      </c>
      <c r="E2">
        <f t="shared" ref="E2:F7" si="0">B2/2</f>
        <v>0</v>
      </c>
      <c r="F2">
        <f t="shared" si="0"/>
        <v>0.5</v>
      </c>
      <c r="G2">
        <f t="shared" ref="G2:G7" si="1">F2+0.125</f>
        <v>0.625</v>
      </c>
      <c r="H2">
        <f t="shared" ref="H2:H6" si="2">G2-0.1</f>
        <v>0.52500000000000002</v>
      </c>
      <c r="J2" s="93" t="s">
        <v>220</v>
      </c>
      <c r="K2" s="93"/>
      <c r="L2" s="93"/>
      <c r="M2" s="93"/>
      <c r="N2" s="93"/>
    </row>
    <row r="3" spans="1:23" ht="43.5" x14ac:dyDescent="0.35">
      <c r="B3">
        <v>0</v>
      </c>
      <c r="C3">
        <v>0.5</v>
      </c>
      <c r="E3">
        <f t="shared" si="0"/>
        <v>0</v>
      </c>
      <c r="F3">
        <f t="shared" si="0"/>
        <v>0.25</v>
      </c>
      <c r="G3">
        <f t="shared" si="1"/>
        <v>0.375</v>
      </c>
      <c r="H3">
        <f t="shared" si="2"/>
        <v>0.27500000000000002</v>
      </c>
      <c r="R3" s="25" t="s">
        <v>217</v>
      </c>
      <c r="S3" s="72" t="s">
        <v>216</v>
      </c>
      <c r="T3" s="25" t="s">
        <v>218</v>
      </c>
      <c r="U3" s="72" t="s">
        <v>86</v>
      </c>
      <c r="V3" s="72" t="s">
        <v>219</v>
      </c>
      <c r="W3" s="72" t="s">
        <v>227</v>
      </c>
    </row>
    <row r="4" spans="1:23" x14ac:dyDescent="0.35">
      <c r="B4">
        <v>-0.1</v>
      </c>
      <c r="C4">
        <v>-0.05</v>
      </c>
      <c r="E4">
        <f t="shared" si="0"/>
        <v>-0.05</v>
      </c>
      <c r="F4">
        <f t="shared" si="0"/>
        <v>-2.5000000000000001E-2</v>
      </c>
      <c r="G4">
        <f t="shared" si="1"/>
        <v>0.1</v>
      </c>
      <c r="H4">
        <f t="shared" si="2"/>
        <v>0</v>
      </c>
      <c r="R4">
        <v>-1</v>
      </c>
      <c r="S4">
        <f>0.3*R4</f>
        <v>-0.3</v>
      </c>
      <c r="T4">
        <v>60619</v>
      </c>
      <c r="U4">
        <f>(T4/10^6)*2</f>
        <v>0.121238</v>
      </c>
      <c r="V4">
        <v>40131</v>
      </c>
      <c r="W4">
        <f>2*V4/10^6</f>
        <v>8.0262E-2</v>
      </c>
    </row>
    <row r="5" spans="1:23" x14ac:dyDescent="0.35">
      <c r="B5">
        <v>-0.48</v>
      </c>
      <c r="C5">
        <v>-0.5</v>
      </c>
      <c r="E5">
        <f t="shared" si="0"/>
        <v>-0.24</v>
      </c>
      <c r="F5">
        <f t="shared" si="0"/>
        <v>-0.25</v>
      </c>
      <c r="G5">
        <f t="shared" si="1"/>
        <v>-0.125</v>
      </c>
      <c r="H5">
        <f t="shared" si="2"/>
        <v>-0.22500000000000001</v>
      </c>
      <c r="R5">
        <v>-1</v>
      </c>
      <c r="S5">
        <f>0.4*-1</f>
        <v>-0.4</v>
      </c>
      <c r="T5">
        <v>92304</v>
      </c>
      <c r="U5">
        <f t="shared" ref="U5:U12" si="3">(T5/10^6)*2</f>
        <v>0.18460799999999999</v>
      </c>
      <c r="V5">
        <v>63280</v>
      </c>
      <c r="W5">
        <f t="shared" ref="W5:W12" si="4">2*V5/10^6</f>
        <v>0.12656000000000001</v>
      </c>
    </row>
    <row r="6" spans="1:23" x14ac:dyDescent="0.35">
      <c r="B6">
        <v>-1.05</v>
      </c>
      <c r="C6">
        <v>-1</v>
      </c>
      <c r="E6">
        <f t="shared" si="0"/>
        <v>-0.52500000000000002</v>
      </c>
      <c r="F6">
        <f t="shared" si="0"/>
        <v>-0.5</v>
      </c>
      <c r="G6">
        <f t="shared" si="1"/>
        <v>-0.375</v>
      </c>
      <c r="H6">
        <f t="shared" si="2"/>
        <v>-0.47499999999999998</v>
      </c>
      <c r="R6">
        <v>-1</v>
      </c>
      <c r="S6">
        <f>0.5*-1</f>
        <v>-0.5</v>
      </c>
      <c r="T6">
        <v>125999</v>
      </c>
      <c r="U6">
        <f t="shared" si="3"/>
        <v>0.251998</v>
      </c>
      <c r="V6">
        <v>87561</v>
      </c>
      <c r="W6">
        <f t="shared" si="4"/>
        <v>0.175122</v>
      </c>
    </row>
    <row r="7" spans="1:23" x14ac:dyDescent="0.35">
      <c r="B7">
        <v>-1.4</v>
      </c>
      <c r="C7">
        <v>-1.4</v>
      </c>
      <c r="E7">
        <f t="shared" si="0"/>
        <v>-0.7</v>
      </c>
      <c r="F7">
        <f t="shared" si="0"/>
        <v>-0.7</v>
      </c>
      <c r="G7">
        <f t="shared" si="1"/>
        <v>-0.57499999999999996</v>
      </c>
      <c r="H7">
        <v>-0.67500000000000004</v>
      </c>
      <c r="R7">
        <v>-1</v>
      </c>
      <c r="S7">
        <v>-0.6</v>
      </c>
      <c r="T7">
        <v>157845</v>
      </c>
      <c r="U7">
        <f t="shared" si="3"/>
        <v>0.31569000000000003</v>
      </c>
      <c r="V7">
        <v>108152</v>
      </c>
      <c r="W7">
        <f t="shared" si="4"/>
        <v>0.216304</v>
      </c>
    </row>
    <row r="8" spans="1:23" x14ac:dyDescent="0.35">
      <c r="R8">
        <v>-1</v>
      </c>
      <c r="S8">
        <v>-0.7</v>
      </c>
      <c r="T8">
        <v>185676</v>
      </c>
      <c r="U8">
        <f t="shared" si="3"/>
        <v>0.37135200000000002</v>
      </c>
      <c r="V8">
        <v>121098</v>
      </c>
      <c r="W8">
        <f t="shared" si="4"/>
        <v>0.24219599999999999</v>
      </c>
    </row>
    <row r="9" spans="1:23" x14ac:dyDescent="0.35">
      <c r="R9">
        <v>-1</v>
      </c>
      <c r="S9">
        <v>-0.8</v>
      </c>
      <c r="T9">
        <f>422972/2</f>
        <v>211486</v>
      </c>
      <c r="U9">
        <f t="shared" si="3"/>
        <v>0.42297200000000001</v>
      </c>
      <c r="V9">
        <v>127197</v>
      </c>
      <c r="W9">
        <f t="shared" si="4"/>
        <v>0.25439400000000001</v>
      </c>
    </row>
    <row r="10" spans="1:23" x14ac:dyDescent="0.35">
      <c r="A10">
        <v>0</v>
      </c>
      <c r="B10">
        <v>0</v>
      </c>
      <c r="D10" t="s">
        <v>132</v>
      </c>
      <c r="R10">
        <v>-1</v>
      </c>
      <c r="S10">
        <v>-0.9</v>
      </c>
      <c r="T10">
        <f>471909/2</f>
        <v>235954.5</v>
      </c>
      <c r="U10">
        <f t="shared" si="3"/>
        <v>0.47190900000000002</v>
      </c>
      <c r="V10">
        <v>129590</v>
      </c>
      <c r="W10">
        <f t="shared" si="4"/>
        <v>0.25918000000000002</v>
      </c>
    </row>
    <row r="11" spans="1:23" x14ac:dyDescent="0.35">
      <c r="A11">
        <v>0</v>
      </c>
      <c r="B11">
        <v>750</v>
      </c>
      <c r="G11">
        <v>0</v>
      </c>
      <c r="H11">
        <v>0</v>
      </c>
      <c r="R11">
        <v>-1</v>
      </c>
      <c r="S11">
        <v>-1</v>
      </c>
      <c r="T11">
        <f>520478/2</f>
        <v>260239</v>
      </c>
      <c r="U11">
        <f t="shared" si="3"/>
        <v>0.520478</v>
      </c>
      <c r="V11">
        <v>130241</v>
      </c>
      <c r="W11">
        <f t="shared" si="4"/>
        <v>0.26048199999999999</v>
      </c>
    </row>
    <row r="12" spans="1:23" x14ac:dyDescent="0.35">
      <c r="A12">
        <v>0</v>
      </c>
      <c r="B12">
        <v>1250</v>
      </c>
      <c r="G12">
        <v>0</v>
      </c>
      <c r="H12">
        <v>475</v>
      </c>
      <c r="S12">
        <v>-1.1000000000000001</v>
      </c>
      <c r="T12">
        <f>568990/2</f>
        <v>284495</v>
      </c>
      <c r="U12">
        <f t="shared" si="3"/>
        <v>0.56899</v>
      </c>
      <c r="V12">
        <v>130175</v>
      </c>
      <c r="W12">
        <f t="shared" si="4"/>
        <v>0.26035000000000003</v>
      </c>
    </row>
    <row r="13" spans="1:23" x14ac:dyDescent="0.35">
      <c r="A13">
        <v>100</v>
      </c>
      <c r="B13">
        <v>1800</v>
      </c>
      <c r="G13">
        <v>0</v>
      </c>
      <c r="H13">
        <v>725</v>
      </c>
    </row>
    <row r="14" spans="1:23" x14ac:dyDescent="0.35">
      <c r="A14">
        <v>480</v>
      </c>
      <c r="B14">
        <v>2250</v>
      </c>
      <c r="G14">
        <v>50</v>
      </c>
      <c r="H14">
        <v>1000</v>
      </c>
    </row>
    <row r="15" spans="1:23" x14ac:dyDescent="0.35">
      <c r="A15">
        <v>1050</v>
      </c>
      <c r="B15">
        <v>2750</v>
      </c>
      <c r="G15">
        <v>240</v>
      </c>
      <c r="H15">
        <v>1225.0000000000002</v>
      </c>
    </row>
    <row r="16" spans="1:23" x14ac:dyDescent="0.35">
      <c r="A16">
        <v>1400</v>
      </c>
      <c r="B16">
        <v>3150</v>
      </c>
      <c r="G16">
        <v>525</v>
      </c>
      <c r="H16">
        <v>1475</v>
      </c>
      <c r="W16">
        <f>U12/2</f>
        <v>0.284495</v>
      </c>
    </row>
    <row r="17" spans="1:8" x14ac:dyDescent="0.35">
      <c r="G17">
        <v>700</v>
      </c>
      <c r="H17">
        <v>1675</v>
      </c>
    </row>
    <row r="19" spans="1:8" x14ac:dyDescent="0.35">
      <c r="A19">
        <f>A10/2</f>
        <v>0</v>
      </c>
      <c r="B19">
        <f>B10/2</f>
        <v>0</v>
      </c>
    </row>
    <row r="20" spans="1:8" x14ac:dyDescent="0.35">
      <c r="A20">
        <f t="shared" ref="A20:B25" si="5">A11/2</f>
        <v>0</v>
      </c>
      <c r="B20">
        <f t="shared" si="5"/>
        <v>375</v>
      </c>
    </row>
    <row r="21" spans="1:8" x14ac:dyDescent="0.35">
      <c r="A21">
        <f t="shared" si="5"/>
        <v>0</v>
      </c>
      <c r="B21">
        <f t="shared" si="5"/>
        <v>625</v>
      </c>
    </row>
    <row r="22" spans="1:8" x14ac:dyDescent="0.35">
      <c r="A22">
        <f t="shared" si="5"/>
        <v>50</v>
      </c>
      <c r="B22">
        <f t="shared" si="5"/>
        <v>900</v>
      </c>
    </row>
    <row r="23" spans="1:8" x14ac:dyDescent="0.35">
      <c r="A23">
        <f t="shared" si="5"/>
        <v>240</v>
      </c>
      <c r="B23">
        <f t="shared" si="5"/>
        <v>1125</v>
      </c>
    </row>
    <row r="24" spans="1:8" x14ac:dyDescent="0.35">
      <c r="A24">
        <f t="shared" si="5"/>
        <v>525</v>
      </c>
      <c r="B24">
        <f t="shared" si="5"/>
        <v>1375</v>
      </c>
    </row>
    <row r="25" spans="1:8" x14ac:dyDescent="0.35">
      <c r="A25">
        <f t="shared" si="5"/>
        <v>700</v>
      </c>
      <c r="B25">
        <f t="shared" si="5"/>
        <v>1575</v>
      </c>
    </row>
  </sheetData>
  <mergeCells count="1">
    <mergeCell ref="J2:N2"/>
  </mergeCells>
  <phoneticPr fontId="2" type="noConversion"/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59212-3A4E-44E4-B993-00BE1E4F8A47}">
  <dimension ref="A2:F23"/>
  <sheetViews>
    <sheetView topLeftCell="B1" workbookViewId="0">
      <selection activeCell="G28" sqref="G28"/>
    </sheetView>
  </sheetViews>
  <sheetFormatPr defaultRowHeight="14.5" x14ac:dyDescent="0.35"/>
  <cols>
    <col min="1" max="1" width="18.7265625" customWidth="1"/>
    <col min="2" max="2" width="15.453125" customWidth="1"/>
  </cols>
  <sheetData>
    <row r="2" spans="1:6" x14ac:dyDescent="0.35">
      <c r="A2" s="73" t="s">
        <v>210</v>
      </c>
      <c r="B2" s="73"/>
      <c r="D2" t="s">
        <v>215</v>
      </c>
      <c r="E2" t="s">
        <v>45</v>
      </c>
      <c r="F2" t="s">
        <v>46</v>
      </c>
    </row>
    <row r="3" spans="1:6" x14ac:dyDescent="0.35">
      <c r="A3" s="5" t="s">
        <v>211</v>
      </c>
      <c r="B3" s="5">
        <v>0.23799999999999999</v>
      </c>
      <c r="D3">
        <v>-8</v>
      </c>
    </row>
    <row r="4" spans="1:6" x14ac:dyDescent="0.35">
      <c r="A4" s="5" t="s">
        <v>214</v>
      </c>
      <c r="B4" s="5">
        <f>0.16*B3</f>
        <v>3.8079999999999996E-2</v>
      </c>
      <c r="D4">
        <f>D3+2</f>
        <v>-6</v>
      </c>
    </row>
    <row r="5" spans="1:6" x14ac:dyDescent="0.35">
      <c r="A5" s="5" t="s">
        <v>212</v>
      </c>
      <c r="B5" s="5">
        <v>2</v>
      </c>
      <c r="D5">
        <f>D4+2</f>
        <v>-4</v>
      </c>
      <c r="E5">
        <v>-0.18</v>
      </c>
    </row>
    <row r="6" spans="1:6" x14ac:dyDescent="0.35">
      <c r="A6" s="5" t="s">
        <v>213</v>
      </c>
      <c r="B6" s="71">
        <v>0.4</v>
      </c>
      <c r="D6">
        <v>16</v>
      </c>
      <c r="E6">
        <v>1.3</v>
      </c>
    </row>
    <row r="7" spans="1:6" x14ac:dyDescent="0.35">
      <c r="A7" s="5" t="s">
        <v>198</v>
      </c>
      <c r="B7" s="5">
        <f>B4/B3</f>
        <v>0.16</v>
      </c>
    </row>
    <row r="8" spans="1:6" x14ac:dyDescent="0.35">
      <c r="A8" s="5" t="s">
        <v>209</v>
      </c>
      <c r="B8" s="5">
        <v>1.9</v>
      </c>
    </row>
    <row r="12" spans="1:6" x14ac:dyDescent="0.35">
      <c r="D12">
        <v>-4</v>
      </c>
      <c r="E12">
        <v>1.7999999999999999E-2</v>
      </c>
    </row>
    <row r="13" spans="1:6" x14ac:dyDescent="0.35">
      <c r="D13">
        <v>-2</v>
      </c>
      <c r="E13">
        <v>1.4999999999999999E-2</v>
      </c>
    </row>
    <row r="14" spans="1:6" x14ac:dyDescent="0.35">
      <c r="D14">
        <v>0</v>
      </c>
      <c r="E14">
        <v>1.6E-2</v>
      </c>
    </row>
    <row r="15" spans="1:6" x14ac:dyDescent="0.35">
      <c r="D15">
        <v>2</v>
      </c>
      <c r="E15">
        <v>1.9E-2</v>
      </c>
    </row>
    <row r="16" spans="1:6" x14ac:dyDescent="0.35">
      <c r="D16">
        <v>4</v>
      </c>
      <c r="E16">
        <v>2.1999999999999999E-2</v>
      </c>
    </row>
    <row r="17" spans="4:5" x14ac:dyDescent="0.35">
      <c r="D17">
        <v>6</v>
      </c>
      <c r="E17">
        <v>0.03</v>
      </c>
    </row>
    <row r="18" spans="4:5" x14ac:dyDescent="0.35">
      <c r="D18">
        <v>8</v>
      </c>
      <c r="E18">
        <v>4.4999999999999998E-2</v>
      </c>
    </row>
    <row r="19" spans="4:5" x14ac:dyDescent="0.35">
      <c r="D19">
        <v>10</v>
      </c>
      <c r="E19">
        <v>0.06</v>
      </c>
    </row>
    <row r="20" spans="4:5" x14ac:dyDescent="0.35">
      <c r="D20">
        <v>12</v>
      </c>
      <c r="E20">
        <v>7.8E-2</v>
      </c>
    </row>
    <row r="21" spans="4:5" x14ac:dyDescent="0.35">
      <c r="D21">
        <v>14</v>
      </c>
      <c r="E21">
        <v>9.2999999999999999E-2</v>
      </c>
    </row>
    <row r="22" spans="4:5" x14ac:dyDescent="0.35">
      <c r="D22">
        <v>16</v>
      </c>
      <c r="E22">
        <v>0.11799999999999999</v>
      </c>
    </row>
    <row r="23" spans="4:5" x14ac:dyDescent="0.35">
      <c r="D23">
        <v>18</v>
      </c>
    </row>
  </sheetData>
  <mergeCells count="1">
    <mergeCell ref="A2:B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2</vt:i4>
      </vt:variant>
    </vt:vector>
  </HeadingPairs>
  <TitlesOfParts>
    <vt:vector size="17" baseType="lpstr">
      <vt:lpstr>Hull + sails Particulars</vt:lpstr>
      <vt:lpstr>Asymmetric spinnaker on pole</vt:lpstr>
      <vt:lpstr>Resid. resist. coeff</vt:lpstr>
      <vt:lpstr>Resid Resistance Molland-Soton</vt:lpstr>
      <vt:lpstr>Resistance prediction</vt:lpstr>
      <vt:lpstr>Maxsurf Resist. calc</vt:lpstr>
      <vt:lpstr>120kg crew hull resistance</vt:lpstr>
      <vt:lpstr>150kg crew hull resistance</vt:lpstr>
      <vt:lpstr>180kg crew hull resistance</vt:lpstr>
      <vt:lpstr>Stability case 120kg crew</vt:lpstr>
      <vt:lpstr>Stability case 150kg crew</vt:lpstr>
      <vt:lpstr>Stability case 180kg crew</vt:lpstr>
      <vt:lpstr>Stability data</vt:lpstr>
      <vt:lpstr>Foil profile shape</vt:lpstr>
      <vt:lpstr>Foil data</vt:lpstr>
      <vt:lpstr>Aw</vt:lpstr>
      <vt:lpstr>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Huchet</dc:creator>
  <cp:lastModifiedBy>louis.huchet@outlook.com</cp:lastModifiedBy>
  <dcterms:created xsi:type="dcterms:W3CDTF">2020-10-14T11:01:23Z</dcterms:created>
  <dcterms:modified xsi:type="dcterms:W3CDTF">2021-04-21T16:48:19Z</dcterms:modified>
</cp:coreProperties>
</file>