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rnst\"/>
    </mc:Choice>
  </mc:AlternateContent>
  <xr:revisionPtr revIDLastSave="0" documentId="13_ncr:1_{0B282BD6-D4D3-450F-8FA2-69412F702115}" xr6:coauthVersionLast="47" xr6:coauthVersionMax="47" xr10:uidLastSave="{00000000-0000-0000-0000-000000000000}"/>
  <bookViews>
    <workbookView xWindow="-108" yWindow="-108" windowWidth="23256" windowHeight="12456" firstSheet="3" activeTab="3" xr2:uid="{91DB87D4-D5C7-45E1-BB99-D79C14884DB4}"/>
  </bookViews>
  <sheets>
    <sheet name="Read Me" sheetId="6" r:id="rId1"/>
    <sheet name="A320 Basic Inputs" sheetId="5" r:id="rId2"/>
    <sheet name="Inputs" sheetId="4" r:id="rId3"/>
    <sheet name="Calc_with_delMass" sheetId="7" r:id="rId4"/>
    <sheet name="Calc_without_delMass" sheetId="10" r:id="rId5"/>
    <sheet name="Results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4" l="1"/>
  <c r="C12" i="4"/>
  <c r="C30" i="4"/>
  <c r="C29" i="4"/>
  <c r="C13" i="4"/>
  <c r="C14" i="4" s="1"/>
  <c r="C11" i="4"/>
  <c r="L11" i="4"/>
  <c r="P8" i="8"/>
  <c r="P9" i="8"/>
  <c r="P10" i="8"/>
  <c r="P2" i="8"/>
  <c r="C65" i="10"/>
  <c r="U19" i="10"/>
  <c r="U16" i="10"/>
  <c r="U14" i="10"/>
  <c r="U13" i="10"/>
  <c r="L13" i="10"/>
  <c r="U12" i="10"/>
  <c r="U11" i="10"/>
  <c r="U6" i="10"/>
  <c r="L5" i="10"/>
  <c r="U16" i="7"/>
  <c r="C16" i="4"/>
  <c r="L13" i="7" l="1"/>
  <c r="U19" i="7"/>
  <c r="L6" i="4"/>
  <c r="C65" i="7"/>
  <c r="U14" i="7"/>
  <c r="U13" i="7"/>
  <c r="U12" i="7"/>
  <c r="U11" i="7"/>
  <c r="U6" i="7"/>
  <c r="L5" i="7"/>
  <c r="C4" i="4"/>
  <c r="C4" i="10" s="1"/>
  <c r="C5" i="4"/>
  <c r="C5" i="10" s="1"/>
  <c r="C6" i="4"/>
  <c r="U7" i="10" s="1"/>
  <c r="U17" i="10" s="1"/>
  <c r="U9" i="10" s="1"/>
  <c r="C6" i="10" s="1"/>
  <c r="C7" i="4"/>
  <c r="C8" i="4"/>
  <c r="C10" i="4"/>
  <c r="C10" i="10" s="1"/>
  <c r="C11" i="10"/>
  <c r="C12" i="10"/>
  <c r="C15" i="4"/>
  <c r="C17" i="4"/>
  <c r="C18" i="4"/>
  <c r="C23" i="4"/>
  <c r="C24" i="4"/>
  <c r="C26" i="4"/>
  <c r="C50" i="10" s="1"/>
  <c r="C27" i="4"/>
  <c r="C3" i="4"/>
  <c r="C3" i="10" s="1"/>
  <c r="C5" i="7" l="1"/>
  <c r="C17" i="10"/>
  <c r="M3" i="8" s="1"/>
  <c r="N3" i="8" s="1"/>
  <c r="C22" i="7"/>
  <c r="C22" i="10"/>
  <c r="C60" i="7"/>
  <c r="C60" i="10"/>
  <c r="C19" i="4"/>
  <c r="C21" i="4"/>
  <c r="C22" i="4" s="1"/>
  <c r="C9" i="4"/>
  <c r="C25" i="4"/>
  <c r="C28" i="4"/>
  <c r="U7" i="7"/>
  <c r="D20" i="8"/>
  <c r="C50" i="7"/>
  <c r="C12" i="7"/>
  <c r="C11" i="7"/>
  <c r="C10" i="7"/>
  <c r="C4" i="7"/>
  <c r="C3" i="7"/>
  <c r="C62" i="7" l="1"/>
  <c r="C35" i="7"/>
  <c r="C35" i="10"/>
  <c r="C63" i="10"/>
  <c r="C64" i="10" s="1"/>
  <c r="C62" i="10"/>
  <c r="C17" i="7"/>
  <c r="B3" i="8" s="1"/>
  <c r="C59" i="7"/>
  <c r="C51" i="7" s="1"/>
  <c r="C52" i="7" s="1"/>
  <c r="C59" i="10"/>
  <c r="B47" i="8"/>
  <c r="B46" i="8" s="1"/>
  <c r="B48" i="8"/>
  <c r="C63" i="7"/>
  <c r="C64" i="7" s="1"/>
  <c r="C21" i="10"/>
  <c r="C49" i="10"/>
  <c r="C7" i="7"/>
  <c r="C7" i="10"/>
  <c r="C8" i="10" s="1"/>
  <c r="C9" i="10" s="1"/>
  <c r="C39" i="7"/>
  <c r="C39" i="10"/>
  <c r="C27" i="10"/>
  <c r="U17" i="7"/>
  <c r="U9" i="7" s="1"/>
  <c r="C6" i="7" s="1"/>
  <c r="C21" i="7"/>
  <c r="C49" i="7"/>
  <c r="B20" i="8"/>
  <c r="C13" i="10" l="1"/>
  <c r="C14" i="10" s="1"/>
  <c r="C15" i="10" s="1"/>
  <c r="C16" i="10" s="1"/>
  <c r="C8" i="7"/>
  <c r="C9" i="7" s="1"/>
  <c r="B42" i="8"/>
  <c r="B43" i="8" s="1"/>
  <c r="C23" i="10"/>
  <c r="C36" i="10"/>
  <c r="C37" i="10" s="1"/>
  <c r="C38" i="10" s="1"/>
  <c r="C51" i="10"/>
  <c r="C23" i="7"/>
  <c r="C24" i="7" s="1"/>
  <c r="C36" i="7"/>
  <c r="C37" i="7" s="1"/>
  <c r="C38" i="7" s="1"/>
  <c r="C29" i="7" s="1"/>
  <c r="B44" i="8"/>
  <c r="B45" i="8" s="1"/>
  <c r="A43" i="8"/>
  <c r="A21" i="8"/>
  <c r="C55" i="10" l="1"/>
  <c r="C52" i="10"/>
  <c r="C19" i="10"/>
  <c r="C18" i="10" s="1"/>
  <c r="O3" i="8"/>
  <c r="P3" i="8" s="1"/>
  <c r="C31" i="7"/>
  <c r="B4" i="8" s="1"/>
  <c r="B5" i="8" s="1"/>
  <c r="C25" i="7"/>
  <c r="C40" i="10"/>
  <c r="C45" i="10" s="1"/>
  <c r="C29" i="10"/>
  <c r="C25" i="10" s="1"/>
  <c r="C24" i="10"/>
  <c r="C31" i="10"/>
  <c r="M4" i="8" s="1"/>
  <c r="C13" i="7"/>
  <c r="C14" i="7" s="1"/>
  <c r="C15" i="7" s="1"/>
  <c r="C16" i="7" s="1"/>
  <c r="C40" i="7"/>
  <c r="M6" i="8" l="1"/>
  <c r="N6" i="8" s="1"/>
  <c r="A22" i="8"/>
  <c r="A44" i="8"/>
  <c r="C26" i="10"/>
  <c r="C28" i="10" s="1"/>
  <c r="C30" i="10" s="1"/>
  <c r="C19" i="7"/>
  <c r="C3" i="8"/>
  <c r="C41" i="10"/>
  <c r="N4" i="8"/>
  <c r="M5" i="8"/>
  <c r="N5" i="8" s="1"/>
  <c r="C42" i="10"/>
  <c r="C41" i="7"/>
  <c r="C45" i="7"/>
  <c r="B6" i="8" s="1"/>
  <c r="A45" i="8" s="1"/>
  <c r="M7" i="8" l="1"/>
  <c r="M8" i="8" s="1"/>
  <c r="N8" i="8" s="1"/>
  <c r="C33" i="10"/>
  <c r="C32" i="10" s="1"/>
  <c r="O4" i="8"/>
  <c r="P4" i="8" s="1"/>
  <c r="C18" i="7"/>
  <c r="B21" i="8" s="1"/>
  <c r="C21" i="8" s="1"/>
  <c r="D21" i="8" s="1"/>
  <c r="C20" i="7"/>
  <c r="C44" i="10"/>
  <c r="O5" i="8" s="1"/>
  <c r="C43" i="10"/>
  <c r="C53" i="10" s="1"/>
  <c r="M9" i="8" l="1"/>
  <c r="N9" i="8" s="1"/>
  <c r="N7" i="8"/>
  <c r="P5" i="8"/>
  <c r="O6" i="8"/>
  <c r="C26" i="7"/>
  <c r="C27" i="7"/>
  <c r="C54" i="10"/>
  <c r="C57" i="10" s="1"/>
  <c r="C56" i="10" s="1"/>
  <c r="C47" i="10"/>
  <c r="A23" i="8"/>
  <c r="C55" i="7"/>
  <c r="B7" i="8" s="1"/>
  <c r="M10" i="8" l="1"/>
  <c r="N10" i="8" s="1"/>
  <c r="C28" i="7"/>
  <c r="C30" i="7" s="1"/>
  <c r="C33" i="7" s="1"/>
  <c r="C34" i="7" s="1"/>
  <c r="C42" i="7" s="1"/>
  <c r="C44" i="7" s="1"/>
  <c r="O7" i="8"/>
  <c r="P7" i="8" s="1"/>
  <c r="P6" i="8"/>
  <c r="C46" i="10"/>
  <c r="A24" i="8"/>
  <c r="B9" i="8"/>
  <c r="B10" i="8" s="1"/>
  <c r="A48" i="8" s="1"/>
  <c r="B8" i="8"/>
  <c r="C43" i="7" l="1"/>
  <c r="C53" i="7" s="1"/>
  <c r="C32" i="7"/>
  <c r="B22" i="8" s="1"/>
  <c r="C22" i="8" s="1"/>
  <c r="D22" i="8" s="1"/>
  <c r="C4" i="8"/>
  <c r="A46" i="8"/>
  <c r="A47" i="8"/>
  <c r="C54" i="7"/>
  <c r="C47" i="7"/>
  <c r="C46" i="7" s="1"/>
  <c r="C5" i="8"/>
  <c r="A25" i="8"/>
  <c r="B23" i="8" l="1"/>
  <c r="C23" i="8" s="1"/>
  <c r="D23" i="8" s="1"/>
  <c r="C57" i="7"/>
  <c r="C56" i="7" s="1"/>
  <c r="C48" i="7"/>
  <c r="C6" i="8"/>
  <c r="B24" i="8" l="1"/>
  <c r="B25" i="8" s="1"/>
  <c r="C25" i="8" s="1"/>
  <c r="C58" i="7"/>
  <c r="C7" i="8"/>
  <c r="C24" i="8" l="1"/>
  <c r="D24" i="8" s="1"/>
  <c r="D25" i="8" s="1"/>
</calcChain>
</file>

<file path=xl/sharedStrings.xml><?xml version="1.0" encoding="utf-8"?>
<sst xmlns="http://schemas.openxmlformats.org/spreadsheetml/2006/main" count="655" uniqueCount="229">
  <si>
    <t>Read Me - Performance Mectrics Calculator Excel Sheet</t>
  </si>
  <si>
    <t>This Excel sheet is designed to calculate power profiles and fuel consumption plots based on user inputs for different phases of flight, considering aircraft specifications. Here's how it works:</t>
  </si>
  <si>
    <t xml:space="preserve"> Inputs Sheets:</t>
  </si>
  <si>
    <t>Users can input data for various phases of flight and aircraft specifications in the respective input sheets. These inputs are crucial for accurate calculations.</t>
  </si>
  <si>
    <t>For the A320 aircraft, standard inputs are provided in the "A320 Inputs" chart. Users can copy these inputs to the respective input charts to run calculations for the default case.</t>
  </si>
  <si>
    <t>This sheet performs the necessary calculations based on the inputs provided. Each calculation is appropriately referenced, following the equations documented.</t>
  </si>
  <si>
    <t>Ensure that inputs are correctly entered to obtain accurate results. Refer to the documentation for equations and references used in the calculations.</t>
  </si>
  <si>
    <t>This sheet performs the necessary calculations based on the inputs provided similar to the calculations sheet, but considers no reduction in mass with fuel consumption</t>
  </si>
  <si>
    <t xml:space="preserve"> Results:</t>
  </si>
  <si>
    <t>The calculated data required to generate power profiles and fuel consumption plots is displayed in this sheet.</t>
  </si>
  <si>
    <t>Users can utilize this data to analyze power profiles and fuel consumption trends for different flight scenarios.</t>
  </si>
  <si>
    <t>Usage Instructions:</t>
  </si>
  <si>
    <t>1. Input the required data for each phase of flight and aircraft specifications in the respective input sheets.</t>
  </si>
  <si>
    <t>2. Optionally, use the provided standard inputs for the A320 aircraft by copying them to the input charts.</t>
  </si>
  <si>
    <t>3. Ensure all inputs are accurate and complete.</t>
  </si>
  <si>
    <t>4. Navigate to the "Calculations" sheet to initiate the calculation process.</t>
  </si>
  <si>
    <t>5. Review the calculated results in the "Results" sheet to obtain power profiles and fuel consumption plots.</t>
  </si>
  <si>
    <t>Note:</t>
  </si>
  <si>
    <t>It's recommended to review the documentation for detailed equations and references used in the calculations.</t>
  </si>
  <si>
    <t>Double-check inputs and calculations to ensure accuracy in results.</t>
  </si>
  <si>
    <t>For any assistance or inquiries, refer to the documentation or contact the creator of this Excel sheet.</t>
  </si>
  <si>
    <t>Documentation:</t>
  </si>
  <si>
    <t>Detailed documentation explaining the equations, references, and usage of this Excel sheet is available. Please refer to the documentation for comprehensive guidance.</t>
  </si>
  <si>
    <t>You can find the corresponding documentation in the link below:</t>
  </si>
  <si>
    <t>Input Parameters for Performance Calculations</t>
  </si>
  <si>
    <t>Input parameters</t>
  </si>
  <si>
    <t>Values</t>
  </si>
  <si>
    <t>Unit</t>
  </si>
  <si>
    <t>Remarks</t>
  </si>
  <si>
    <t>Aircraft Specific Parameters</t>
  </si>
  <si>
    <t>Fuel Density</t>
  </si>
  <si>
    <t>kg/l</t>
  </si>
  <si>
    <t>Density of Jet-A fuel, taken from POH for A320</t>
  </si>
  <si>
    <t>Fuel Burn Rate</t>
  </si>
  <si>
    <t>L/NM</t>
  </si>
  <si>
    <t>Amount of fuel burn per NM travelled, taken from POH for A320</t>
  </si>
  <si>
    <t>Specific Fuel Consumption</t>
  </si>
  <si>
    <t>Kg/KNhr</t>
  </si>
  <si>
    <t>Aspect Ratio (AR)</t>
  </si>
  <si>
    <t>Based on aircraft's structural geometry</t>
  </si>
  <si>
    <t xml:space="preserve">Wing Planform Area (S) </t>
  </si>
  <si>
    <t>m^2</t>
  </si>
  <si>
    <t>Take-off Phase</t>
  </si>
  <si>
    <t>Take-off Runway Altitude</t>
  </si>
  <si>
    <t>ft</t>
  </si>
  <si>
    <t>Can be Changed Arbitarily</t>
  </si>
  <si>
    <t>Take off Weight</t>
  </si>
  <si>
    <t>kg</t>
  </si>
  <si>
    <t>Maximum Takeoff Weight, Set Arbitarily</t>
  </si>
  <si>
    <t>Take-off Decision Speed</t>
  </si>
  <si>
    <t>Knots</t>
  </si>
  <si>
    <t>Vr - Rotate Speed = 115 Knots, taken from POH for A320</t>
  </si>
  <si>
    <t>Take-off Distance at the altitude and weight</t>
  </si>
  <si>
    <t>Taken from the takeoff chart based on the take off weight included below</t>
  </si>
  <si>
    <t>Climb Phase</t>
  </si>
  <si>
    <t>Vertical speed</t>
  </si>
  <si>
    <t>ft/min</t>
  </si>
  <si>
    <t>Set to 1,800 ft./min ,  taken from POH for A320</t>
  </si>
  <si>
    <t>Climb Mach Number</t>
  </si>
  <si>
    <t>M or Mach Number</t>
  </si>
  <si>
    <t>In the range of 0.72 to 0.82</t>
  </si>
  <si>
    <t>Climb Angle</t>
  </si>
  <si>
    <t>degrees</t>
  </si>
  <si>
    <t>Set Arbitrarily</t>
  </si>
  <si>
    <t>Cruise Phase</t>
  </si>
  <si>
    <t>Cruise Altitude</t>
  </si>
  <si>
    <t>Set Arbitrarily, (for A320 is around 10000-20000 ft)</t>
  </si>
  <si>
    <t>Cruise Distance</t>
  </si>
  <si>
    <t>NM</t>
  </si>
  <si>
    <t>Cruise Mach Number</t>
  </si>
  <si>
    <t>M</t>
  </si>
  <si>
    <t>For A320 is around  Mach .62 to .70, taken from the POHfor A320</t>
  </si>
  <si>
    <t>Descent Phase</t>
  </si>
  <si>
    <t>Landing Phase</t>
  </si>
  <si>
    <t>Runway Altitude</t>
  </si>
  <si>
    <t>Landing Distance at the altitude and weight</t>
  </si>
  <si>
    <t xml:space="preserve">Generallly based on the type of fuel used (Same for most Jet aircrafts) </t>
  </si>
  <si>
    <t>Amount of fuel burn per NM travelled</t>
  </si>
  <si>
    <t>Conversions:</t>
  </si>
  <si>
    <t>1 Hour to Seconds</t>
  </si>
  <si>
    <t>s</t>
  </si>
  <si>
    <t>1 Minute to Seconds</t>
  </si>
  <si>
    <t>Take-off Runway Altitude in ft</t>
  </si>
  <si>
    <t>1 feet to metre</t>
  </si>
  <si>
    <t>m</t>
  </si>
  <si>
    <t>Take-off Runway Altitude in m</t>
  </si>
  <si>
    <t>1 Nautical Mile to kilometres</t>
  </si>
  <si>
    <t>km</t>
  </si>
  <si>
    <t>Maximum Takeoff weight/ Can be changed</t>
  </si>
  <si>
    <t>1 kilometre to metres</t>
  </si>
  <si>
    <t>1 Knot to metre per s</t>
  </si>
  <si>
    <t>m/s</t>
  </si>
  <si>
    <t>Obtained from the takeoff performance chart for the aircraft</t>
  </si>
  <si>
    <t>Rate of climb at which the aircraft climbs to the cruise altitude</t>
  </si>
  <si>
    <t>Mach .72 to .82, POH's Checklist</t>
  </si>
  <si>
    <t>Angle of Climb with reference to horizon at which the aircraft climbs to the cruise altitude</t>
  </si>
  <si>
    <t>Cruise Altitude in ft</t>
  </si>
  <si>
    <t>Cruise Altitude in m</t>
  </si>
  <si>
    <t>Cruise Distance in NM or Nautical Miles</t>
  </si>
  <si>
    <t>Cruise Distance in km</t>
  </si>
  <si>
    <t>Cruise Distance in m</t>
  </si>
  <si>
    <t>Vertical speed in ft/min</t>
  </si>
  <si>
    <t>Rate of descent at which the aircraft climbs to the cruise altitude</t>
  </si>
  <si>
    <t>Vertical speed in m/s</t>
  </si>
  <si>
    <t>Angle of descent with reference to horizon at which the aircraft climbs to the cruise altitude</t>
  </si>
  <si>
    <t>Runway Altitude in ft</t>
  </si>
  <si>
    <t>Required to determine the air density at the given altitude</t>
  </si>
  <si>
    <t>Runway Altitude in m</t>
  </si>
  <si>
    <t>Aircraft Specific Constants:</t>
  </si>
  <si>
    <t>Zero-lift Drag Coefficient</t>
  </si>
  <si>
    <t>Calculation for Performance metrics</t>
  </si>
  <si>
    <t>Parameters</t>
  </si>
  <si>
    <t>From Input</t>
  </si>
  <si>
    <t>Equation Parameters:</t>
  </si>
  <si>
    <t>kg/kNs</t>
  </si>
  <si>
    <t>Numerator of Induced Drag Correlation factor</t>
  </si>
  <si>
    <t>K</t>
  </si>
  <si>
    <t>Equation (5-6)</t>
  </si>
  <si>
    <t>Denominator of Induced Drag Correlation factor - 1</t>
  </si>
  <si>
    <t>Takeoff Phase Calculations</t>
  </si>
  <si>
    <t>From Input, conversion to m</t>
  </si>
  <si>
    <t>Denominator of Induced Drag Correlation factor - 2</t>
  </si>
  <si>
    <t>Parameter (geopotential altitude) of Density - 1</t>
  </si>
  <si>
    <t>1MW to kW</t>
  </si>
  <si>
    <t>kW</t>
  </si>
  <si>
    <r>
      <rPr>
        <sz val="11"/>
        <color theme="1"/>
        <rFont val="Calibri"/>
        <family val="2"/>
        <scheme val="minor"/>
      </rPr>
      <t xml:space="preserve">or </t>
    </r>
    <r>
      <rPr>
        <b/>
        <i/>
        <sz val="11"/>
        <color theme="1"/>
        <rFont val="Calibri"/>
        <family val="2"/>
        <scheme val="minor"/>
      </rPr>
      <t>Aspect Ratio (AR)</t>
    </r>
  </si>
  <si>
    <t>Density</t>
  </si>
  <si>
    <t>kg/m3</t>
  </si>
  <si>
    <t>Equation (1-3)</t>
  </si>
  <si>
    <t>Denominator of Induced Drag Correlation factor - 3</t>
  </si>
  <si>
    <t>Parameter of Ostwald's efficiency - 1</t>
  </si>
  <si>
    <t>Constants</t>
  </si>
  <si>
    <t>Parameter of Ostwald's efficiency - 2</t>
  </si>
  <si>
    <t>Parameter (CLmax) of Power - 1</t>
  </si>
  <si>
    <t>Pi</t>
  </si>
  <si>
    <t>Parameter of Ostwald's efficiency - 3</t>
  </si>
  <si>
    <t>Parameter (Thrust) of Power - 2</t>
  </si>
  <si>
    <t>N</t>
  </si>
  <si>
    <t>Density of air at sea level</t>
  </si>
  <si>
    <t>Parameter of Ostwald's efficiency - 4</t>
  </si>
  <si>
    <t>Power (in Watts)</t>
  </si>
  <si>
    <t>W</t>
  </si>
  <si>
    <t>Power</t>
  </si>
  <si>
    <t>MW</t>
  </si>
  <si>
    <t>Equation (7-9)</t>
  </si>
  <si>
    <t>Speed of sound at sea level</t>
  </si>
  <si>
    <t>Parameter of Ostwald's efficiency - 5</t>
  </si>
  <si>
    <t>Time</t>
  </si>
  <si>
    <t>Sec</t>
  </si>
  <si>
    <t>Distance by average velocity; V_stall/3 = (V_lift_off/1.1)/3</t>
  </si>
  <si>
    <t>Standard Temperature at sea level</t>
  </si>
  <si>
    <t>Ostwald's efficiency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</si>
  <si>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Fuel</t>
    </r>
  </si>
  <si>
    <t>l</t>
  </si>
  <si>
    <t>Distance times fuel burn rate</t>
  </si>
  <si>
    <t>Temperature lapse rate</t>
  </si>
  <si>
    <t>delC/m</t>
  </si>
  <si>
    <t>Fuel Burn in liters times density</t>
  </si>
  <si>
    <t>Grav. Acceleration at sea level</t>
  </si>
  <si>
    <t>m/s2</t>
  </si>
  <si>
    <t>Parameter of air density - 1</t>
  </si>
  <si>
    <t>Climb Weight</t>
  </si>
  <si>
    <t>Initial-Final weight</t>
  </si>
  <si>
    <t>Universal Gas Constant</t>
  </si>
  <si>
    <t>J/kgK</t>
  </si>
  <si>
    <t>Rate of climb</t>
  </si>
  <si>
    <t>Radius of Earth</t>
  </si>
  <si>
    <t>Vertical Distance</t>
  </si>
  <si>
    <t xml:space="preserve">(Cruise alt-Takeoff alt) </t>
  </si>
  <si>
    <t>Distance</t>
  </si>
  <si>
    <t>Geometry:  b=p/tan(alpha)</t>
  </si>
  <si>
    <t>Parameter () of Power - 1</t>
  </si>
  <si>
    <t>J/s</t>
  </si>
  <si>
    <t>Parameter () of Power - 2</t>
  </si>
  <si>
    <t>Parameter () of Power - 3</t>
  </si>
  <si>
    <t>Power ( in Watts)</t>
  </si>
  <si>
    <t>Climb Speed</t>
  </si>
  <si>
    <t>It could be between 0.72 to 0.82</t>
  </si>
  <si>
    <t xml:space="preserve">Equation (15) </t>
  </si>
  <si>
    <t>Same as in Takeoff</t>
  </si>
  <si>
    <t>Cruise Weight</t>
  </si>
  <si>
    <t>Speed of Sound (a)</t>
  </si>
  <si>
    <t>Equation (4)</t>
  </si>
  <si>
    <t>Cruise speed</t>
  </si>
  <si>
    <t xml:space="preserve">Equation (14) </t>
  </si>
  <si>
    <t xml:space="preserve">Time </t>
  </si>
  <si>
    <t>Descent Weight</t>
  </si>
  <si>
    <t xml:space="preserve">(Cruise alt-Landing alt) </t>
  </si>
  <si>
    <t>As a convention, power is set to idle during descent</t>
  </si>
  <si>
    <t>Landing Weight</t>
  </si>
  <si>
    <t>Set to zero during landing, unless reverse thrust is utilized</t>
  </si>
  <si>
    <t>Same as in Takeoff, (V_landing=1.23 V_stall=1.23*V_takeoff/1.1), V_avg=V_landing/3</t>
  </si>
  <si>
    <t>Same as in Takeoff; Based on fuel burn rate per NM</t>
  </si>
  <si>
    <t>Taxi / Parking</t>
  </si>
  <si>
    <t>secs</t>
  </si>
  <si>
    <t>Taxi/Parling Time</t>
  </si>
  <si>
    <t>mins</t>
  </si>
  <si>
    <t>Standard 15 mins</t>
  </si>
  <si>
    <t>Time(mins)</t>
  </si>
  <si>
    <t>Power(MW)</t>
  </si>
  <si>
    <t>No mass change</t>
  </si>
  <si>
    <t>Time (mins)</t>
  </si>
  <si>
    <t>Time (s)</t>
  </si>
  <si>
    <t>Power (MW)</t>
  </si>
  <si>
    <t>Power (W)</t>
  </si>
  <si>
    <t>Fuel (l)</t>
  </si>
  <si>
    <t>Fuel (Kg)</t>
  </si>
  <si>
    <t>Mass reduction (kg)</t>
  </si>
  <si>
    <t>Without Mass Change</t>
  </si>
  <si>
    <t>Range - 300 NM</t>
  </si>
  <si>
    <t>Range - 600 NM</t>
  </si>
  <si>
    <t>Alt</t>
  </si>
  <si>
    <t>Range - 900 NM</t>
  </si>
  <si>
    <t xml:space="preserve"> Calc_with_delMass Sheet:</t>
  </si>
  <si>
    <t xml:space="preserve"> Calc_without_delMass Sheet:</t>
  </si>
  <si>
    <t>Generic value for PW 6000 engine</t>
  </si>
  <si>
    <t>Equation (1-3), Anderson 353.</t>
  </si>
  <si>
    <t>Equation (5-6), Pandai 68.</t>
  </si>
  <si>
    <t>Equation (7-9), Anderson 353.</t>
  </si>
  <si>
    <t>It could be between 0.72 to 0.82, From POH</t>
  </si>
  <si>
    <t>Equation (15) , Pamadi 94/ Venkat Viswanathans Paper</t>
  </si>
  <si>
    <t>Equation (14) ,  Pamadi 83/ Venkat Viswanathans Paper</t>
  </si>
  <si>
    <t>Equation (4),</t>
  </si>
  <si>
    <t>Link</t>
  </si>
  <si>
    <t>Equation (1-3),</t>
  </si>
  <si>
    <t>Roskon page 68</t>
  </si>
  <si>
    <t>Considering Mass Variation</t>
  </si>
  <si>
    <t>Fuel Consumption</t>
  </si>
  <si>
    <t>Altitude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</si>
</sst>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Segoe UI"/>
    </font>
    <font>
      <sz val="12"/>
      <color rgb="FFA9B7C6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4" borderId="1" xfId="0" applyFill="1" applyBorder="1"/>
    <xf numFmtId="0" fontId="1" fillId="4" borderId="1" xfId="0" applyFont="1" applyFill="1" applyBorder="1"/>
    <xf numFmtId="0" fontId="1" fillId="2" borderId="0" xfId="0" applyFont="1" applyFill="1"/>
    <xf numFmtId="0" fontId="1" fillId="3" borderId="0" xfId="0" applyFont="1" applyFill="1"/>
    <xf numFmtId="0" fontId="3" fillId="0" borderId="0" xfId="1"/>
    <xf numFmtId="0" fontId="0" fillId="5" borderId="0" xfId="0" applyFill="1"/>
    <xf numFmtId="0" fontId="1" fillId="6" borderId="1" xfId="0" applyFont="1" applyFill="1" applyBorder="1"/>
    <xf numFmtId="0" fontId="0" fillId="6" borderId="1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textRotation="255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5" borderId="0" xfId="0" applyFont="1" applyFill="1"/>
    <xf numFmtId="0" fontId="6" fillId="0" borderId="0" xfId="0" applyFont="1"/>
    <xf numFmtId="0" fontId="4" fillId="4" borderId="1" xfId="0" applyFont="1" applyFill="1" applyBorder="1"/>
    <xf numFmtId="0" fontId="4" fillId="6" borderId="1" xfId="0" applyFont="1" applyFill="1" applyBorder="1"/>
    <xf numFmtId="164" fontId="0" fillId="6" borderId="1" xfId="0" applyNumberFormat="1" applyFill="1" applyBorder="1"/>
    <xf numFmtId="0" fontId="7" fillId="6" borderId="1" xfId="0" applyFont="1" applyFill="1" applyBorder="1"/>
    <xf numFmtId="0" fontId="7" fillId="0" borderId="0" xfId="0" applyFont="1"/>
    <xf numFmtId="2" fontId="0" fillId="6" borderId="1" xfId="0" applyNumberFormat="1" applyFill="1" applyBorder="1"/>
    <xf numFmtId="0" fontId="8" fillId="4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9" fillId="0" borderId="0" xfId="0" applyFont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textRotation="90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textRotation="90"/>
    </xf>
    <xf numFmtId="0" fontId="7" fillId="4" borderId="1" xfId="0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0" fillId="8" borderId="0" xfId="0" applyFill="1"/>
    <xf numFmtId="0" fontId="0" fillId="8" borderId="0" xfId="0" applyFill="1" applyAlignment="1">
      <alignment horizontal="center" vertical="center" textRotation="90" wrapText="1"/>
    </xf>
    <xf numFmtId="0" fontId="0" fillId="8" borderId="0" xfId="0" applyFill="1" applyAlignment="1">
      <alignment horizontal="center" textRotation="90"/>
    </xf>
    <xf numFmtId="0" fontId="0" fillId="8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E5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521411032232303E-2"/>
          <c:y val="1.8481171222202733E-2"/>
          <c:w val="0.86214597702361462"/>
          <c:h val="0.72579219591445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Results!$B$1:$C$1</c:f>
              <c:strCache>
                <c:ptCount val="1"/>
                <c:pt idx="0">
                  <c:v>Time(mins) Power(MW)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Results!$B$2:$B$10</c:f>
              <c:numCache>
                <c:formatCode>General</c:formatCode>
                <c:ptCount val="9"/>
                <c:pt idx="0">
                  <c:v>0</c:v>
                </c:pt>
                <c:pt idx="1">
                  <c:v>1.6718348707003552</c:v>
                </c:pt>
                <c:pt idx="2">
                  <c:v>12.782945981811466</c:v>
                </c:pt>
                <c:pt idx="3">
                  <c:v>12.782945981811466</c:v>
                </c:pt>
                <c:pt idx="4">
                  <c:v>44.818412464831638</c:v>
                </c:pt>
                <c:pt idx="5">
                  <c:v>55.929523575942753</c:v>
                </c:pt>
                <c:pt idx="6">
                  <c:v>55.929523575942753</c:v>
                </c:pt>
                <c:pt idx="7">
                  <c:v>57.104438532615184</c:v>
                </c:pt>
                <c:pt idx="8">
                  <c:v>72.104438532615177</c:v>
                </c:pt>
              </c:numCache>
            </c:numRef>
          </c:xVal>
          <c:yVal>
            <c:numRef>
              <c:f>Results!$C$2:$C$10</c:f>
              <c:numCache>
                <c:formatCode>General</c:formatCode>
                <c:ptCount val="9"/>
                <c:pt idx="0">
                  <c:v>0</c:v>
                </c:pt>
                <c:pt idx="1">
                  <c:v>44.693976312418933</c:v>
                </c:pt>
                <c:pt idx="2">
                  <c:v>21.868037123179977</c:v>
                </c:pt>
                <c:pt idx="3">
                  <c:v>13.543579114127047</c:v>
                </c:pt>
                <c:pt idx="4">
                  <c:v>13.543579114127047</c:v>
                </c:pt>
                <c:pt idx="5">
                  <c:v>13.543579114127047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A2-4C9C-952C-C1DC94DD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29151"/>
        <c:axId val="1187629631"/>
      </c:scatterChart>
      <c:valAx>
        <c:axId val="118762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29631"/>
        <c:crosses val="autoZero"/>
        <c:crossBetween val="midCat"/>
      </c:valAx>
      <c:valAx>
        <c:axId val="118762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2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Results!$A$20:$A$25</c:f>
              <c:numCache>
                <c:formatCode>General</c:formatCode>
                <c:ptCount val="6"/>
                <c:pt idx="0">
                  <c:v>0</c:v>
                </c:pt>
                <c:pt idx="1">
                  <c:v>1.6718348707003552</c:v>
                </c:pt>
                <c:pt idx="2">
                  <c:v>12.782945981811466</c:v>
                </c:pt>
                <c:pt idx="3">
                  <c:v>44.818412464831638</c:v>
                </c:pt>
                <c:pt idx="4">
                  <c:v>55.929523575942753</c:v>
                </c:pt>
                <c:pt idx="5">
                  <c:v>57.104438532615184</c:v>
                </c:pt>
              </c:numCache>
            </c:numRef>
          </c:xVal>
          <c:yVal>
            <c:numRef>
              <c:f>Results!$D$20:$D$25</c:f>
              <c:numCache>
                <c:formatCode>General</c:formatCode>
                <c:ptCount val="6"/>
                <c:pt idx="0">
                  <c:v>0</c:v>
                </c:pt>
                <c:pt idx="1">
                  <c:v>888.31560220631582</c:v>
                </c:pt>
                <c:pt idx="2">
                  <c:v>4775.5738230650149</c:v>
                </c:pt>
                <c:pt idx="3">
                  <c:v>5831.2865753337537</c:v>
                </c:pt>
                <c:pt idx="4">
                  <c:v>8238.7906853132754</c:v>
                </c:pt>
                <c:pt idx="5">
                  <c:v>8240.0242175308977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23-46D7-BF9B-10EF807F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19983"/>
        <c:axId val="1719406063"/>
      </c:scatterChart>
      <c:valAx>
        <c:axId val="17194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flight(mins)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6063"/>
        <c:crosses val="autoZero"/>
        <c:crossBetween val="midCat"/>
      </c:valAx>
      <c:valAx>
        <c:axId val="17194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reduction</a:t>
                </a:r>
                <a:r>
                  <a:rPr lang="en-US" baseline="0"/>
                  <a:t> </a:t>
                </a:r>
                <a:r>
                  <a:rPr lang="en-US"/>
                  <a:t>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1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Profile (no mass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Results!$O$1</c:f>
              <c:strCache>
                <c:ptCount val="1"/>
                <c:pt idx="0">
                  <c:v>Power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Results!$M$2:$M$10</c:f>
              <c:numCache>
                <c:formatCode>General</c:formatCode>
                <c:ptCount val="9"/>
                <c:pt idx="0">
                  <c:v>0</c:v>
                </c:pt>
                <c:pt idx="1">
                  <c:v>1.6718348707003552</c:v>
                </c:pt>
                <c:pt idx="2">
                  <c:v>12.782945981811466</c:v>
                </c:pt>
                <c:pt idx="3">
                  <c:v>13</c:v>
                </c:pt>
                <c:pt idx="4">
                  <c:v>44.818412464831638</c:v>
                </c:pt>
                <c:pt idx="5">
                  <c:v>55.929523575942753</c:v>
                </c:pt>
                <c:pt idx="6">
                  <c:v>56</c:v>
                </c:pt>
                <c:pt idx="7">
                  <c:v>57.104438532615184</c:v>
                </c:pt>
                <c:pt idx="8">
                  <c:v>72.104438532615177</c:v>
                </c:pt>
              </c:numCache>
            </c:numRef>
          </c:xVal>
          <c:yVal>
            <c:numRef>
              <c:f>Results!$O$2:$O$10</c:f>
              <c:numCache>
                <c:formatCode>General</c:formatCode>
                <c:ptCount val="9"/>
                <c:pt idx="0">
                  <c:v>0</c:v>
                </c:pt>
                <c:pt idx="1">
                  <c:v>44.693976312418933</c:v>
                </c:pt>
                <c:pt idx="2">
                  <c:v>21.876560943650091</c:v>
                </c:pt>
                <c:pt idx="3">
                  <c:v>13.546016729187951</c:v>
                </c:pt>
                <c:pt idx="4">
                  <c:v>13.546016729187951</c:v>
                </c:pt>
                <c:pt idx="5">
                  <c:v>13.546016729187951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3-4B72-987F-6C28A32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41983"/>
        <c:axId val="337642463"/>
      </c:scatterChart>
      <c:valAx>
        <c:axId val="33764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2463"/>
        <c:crosses val="autoZero"/>
        <c:crossBetween val="midCat"/>
      </c:valAx>
      <c:valAx>
        <c:axId val="3376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Results!$A$19:$B$19</c:f>
              <c:strCache>
                <c:ptCount val="1"/>
                <c:pt idx="0">
                  <c:v>Time Fuel (l)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Results!$A$20:$A$25</c:f>
              <c:numCache>
                <c:formatCode>General</c:formatCode>
                <c:ptCount val="6"/>
                <c:pt idx="0">
                  <c:v>0</c:v>
                </c:pt>
                <c:pt idx="1">
                  <c:v>1.6718348707003552</c:v>
                </c:pt>
                <c:pt idx="2">
                  <c:v>12.782945981811466</c:v>
                </c:pt>
                <c:pt idx="3">
                  <c:v>44.818412464831638</c:v>
                </c:pt>
                <c:pt idx="4">
                  <c:v>55.929523575942753</c:v>
                </c:pt>
                <c:pt idx="5">
                  <c:v>57.104438532615184</c:v>
                </c:pt>
              </c:numCache>
            </c:numRef>
          </c:xVal>
          <c:yVal>
            <c:numRef>
              <c:f>Results!$B$20:$B$25</c:f>
              <c:numCache>
                <c:formatCode>General</c:formatCode>
                <c:ptCount val="6"/>
                <c:pt idx="0">
                  <c:v>23858.598726114647</c:v>
                </c:pt>
                <c:pt idx="1">
                  <c:v>22726.986494004694</c:v>
                </c:pt>
                <c:pt idx="2">
                  <c:v>17775.065193547751</c:v>
                </c:pt>
                <c:pt idx="3">
                  <c:v>16430.208184288211</c:v>
                </c:pt>
                <c:pt idx="4">
                  <c:v>13363.323967753789</c:v>
                </c:pt>
                <c:pt idx="5">
                  <c:v>13361.752589132615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E-4123-A3D7-EA61FC4E4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19983"/>
        <c:axId val="1719406063"/>
      </c:scatterChart>
      <c:valAx>
        <c:axId val="17194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flight(mins)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6063"/>
        <c:crosses val="autoZero"/>
        <c:crossBetween val="midCat"/>
      </c:valAx>
      <c:valAx>
        <c:axId val="17194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Left</a:t>
                </a:r>
                <a:endParaRPr lang="en-US"/>
              </a:p>
              <a:p>
                <a:pPr>
                  <a:defRPr/>
                </a:pPr>
                <a:r>
                  <a:rPr lang="en-US"/>
                  <a:t>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1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300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Results!$AE$24:$AE$32</c:f>
              <c:numCache>
                <c:formatCode>General</c:formatCode>
                <c:ptCount val="9"/>
                <c:pt idx="0">
                  <c:v>0</c:v>
                </c:pt>
                <c:pt idx="1">
                  <c:v>101</c:v>
                </c:pt>
                <c:pt idx="2">
                  <c:v>767</c:v>
                </c:pt>
                <c:pt idx="3">
                  <c:v>780</c:v>
                </c:pt>
                <c:pt idx="4">
                  <c:v>2690</c:v>
                </c:pt>
                <c:pt idx="5">
                  <c:v>3356</c:v>
                </c:pt>
                <c:pt idx="6">
                  <c:v>3360</c:v>
                </c:pt>
                <c:pt idx="7">
                  <c:v>3427</c:v>
                </c:pt>
                <c:pt idx="8">
                  <c:v>4327</c:v>
                </c:pt>
              </c:numCache>
            </c:numRef>
          </c:xVal>
          <c:yVal>
            <c:numRef>
              <c:f>Results!$AF$24:$AF$32</c:f>
              <c:numCache>
                <c:formatCode>0.0</c:formatCode>
                <c:ptCount val="9"/>
                <c:pt idx="0">
                  <c:v>0</c:v>
                </c:pt>
                <c:pt idx="1">
                  <c:v>44693976.31241893</c:v>
                </c:pt>
                <c:pt idx="2">
                  <c:v>21876560.943650089</c:v>
                </c:pt>
                <c:pt idx="3">
                  <c:v>13546016.72918795</c:v>
                </c:pt>
                <c:pt idx="4">
                  <c:v>13546016.72918795</c:v>
                </c:pt>
                <c:pt idx="5">
                  <c:v>13546016.72918795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6-BC47-ADD1-F08363E0932C}"/>
            </c:ext>
          </c:extLst>
        </c:ser>
        <c:ser>
          <c:idx val="2"/>
          <c:order val="1"/>
          <c:tx>
            <c:v>600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Results!$AE$36:$AE$44</c:f>
              <c:numCache>
                <c:formatCode>General</c:formatCode>
                <c:ptCount val="9"/>
              </c:numCache>
            </c:numRef>
          </c:xVal>
          <c:yVal>
            <c:numRef>
              <c:f>Results!$AF$36:$AF$44</c:f>
              <c:numCache>
                <c:formatCode>0.0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C6-BC47-ADD1-F08363E0932C}"/>
            </c:ext>
          </c:extLst>
        </c:ser>
        <c:ser>
          <c:idx val="4"/>
          <c:order val="2"/>
          <c:tx>
            <c:v>900 NM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Results!$AE$49:$AE$57</c:f>
              <c:numCache>
                <c:formatCode>General</c:formatCode>
                <c:ptCount val="9"/>
              </c:numCache>
            </c:numRef>
          </c:xVal>
          <c:yVal>
            <c:numRef>
              <c:f>Results!$AF$49:$AF$57</c:f>
              <c:numCache>
                <c:formatCode>0.0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C6-BC47-ADD1-F08363E09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41983"/>
        <c:axId val="337642463"/>
      </c:scatterChart>
      <c:valAx>
        <c:axId val="33764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2463"/>
        <c:crosses val="autoZero"/>
        <c:crossBetween val="midCat"/>
      </c:valAx>
      <c:valAx>
        <c:axId val="3376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[J/s]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900 NM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Results!$AE$49:$AE$57</c:f>
              <c:numCache>
                <c:formatCode>General</c:formatCode>
                <c:ptCount val="9"/>
              </c:numCache>
            </c:numRef>
          </c:xVal>
          <c:yVal>
            <c:numRef>
              <c:f>Results!$AF$49:$AF$57</c:f>
              <c:numCache>
                <c:formatCode>0.0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2B-2047-9086-76D50E7A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41983"/>
        <c:axId val="337642463"/>
      </c:scatterChart>
      <c:valAx>
        <c:axId val="33764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2463"/>
        <c:crosses val="autoZero"/>
        <c:crossBetween val="midCat"/>
      </c:valAx>
      <c:valAx>
        <c:axId val="3376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[J/s]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  <a:r>
              <a:rPr lang="en-US" baseline="0"/>
              <a:t> variation for the mission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Results!$B$41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Results!$A$42:$A$48</c:f>
              <c:numCache>
                <c:formatCode>General</c:formatCode>
                <c:ptCount val="7"/>
                <c:pt idx="0">
                  <c:v>0</c:v>
                </c:pt>
                <c:pt idx="1">
                  <c:v>1.6718348707003552</c:v>
                </c:pt>
                <c:pt idx="2">
                  <c:v>12.782945981811466</c:v>
                </c:pt>
                <c:pt idx="3">
                  <c:v>44.818412464831638</c:v>
                </c:pt>
                <c:pt idx="4">
                  <c:v>55.929523575942753</c:v>
                </c:pt>
                <c:pt idx="5">
                  <c:v>57.104438532615184</c:v>
                </c:pt>
                <c:pt idx="6">
                  <c:v>72.104438532615177</c:v>
                </c:pt>
              </c:numCache>
            </c:numRef>
          </c:xVal>
          <c:yVal>
            <c:numRef>
              <c:f>Results!$B$42:$B$48</c:f>
              <c:numCache>
                <c:formatCode>General</c:formatCode>
                <c:ptCount val="7"/>
                <c:pt idx="0">
                  <c:v>0</c:v>
                </c:pt>
                <c:pt idx="1">
                  <c:v>15.24</c:v>
                </c:pt>
                <c:pt idx="2">
                  <c:v>6096</c:v>
                </c:pt>
                <c:pt idx="3">
                  <c:v>6096</c:v>
                </c:pt>
                <c:pt idx="4">
                  <c:v>15.24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3-4572-9E70-528159F8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89935"/>
        <c:axId val="935590415"/>
      </c:scatterChart>
      <c:valAx>
        <c:axId val="9355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90415"/>
        <c:crosses val="autoZero"/>
        <c:crossBetween val="midCat"/>
      </c:valAx>
      <c:valAx>
        <c:axId val="9355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8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86578</xdr:colOff>
      <xdr:row>25</xdr:row>
      <xdr:rowOff>5771</xdr:rowOff>
    </xdr:from>
    <xdr:to>
      <xdr:col>3</xdr:col>
      <xdr:colOff>598942</xdr:colOff>
      <xdr:row>50</xdr:row>
      <xdr:rowOff>25760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E6555E-9A64-4088-9803-B104B0DD2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8" y="4319863"/>
          <a:ext cx="5717410" cy="4709219"/>
        </a:xfrm>
        <a:prstGeom prst="rect">
          <a:avLst/>
        </a:prstGeom>
      </xdr:spPr>
    </xdr:pic>
    <xdr:clientData/>
  </xdr:twoCellAnchor>
  <xdr:twoCellAnchor>
    <xdr:from>
      <xdr:col>1</xdr:col>
      <xdr:colOff>1654811</xdr:colOff>
      <xdr:row>35</xdr:row>
      <xdr:rowOff>132157</xdr:rowOff>
    </xdr:from>
    <xdr:to>
      <xdr:col>1</xdr:col>
      <xdr:colOff>1654811</xdr:colOff>
      <xdr:row>47</xdr:row>
      <xdr:rowOff>89970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DFA023F-85B5-C249-B41E-0A5401EE18A2}"/>
            </a:ext>
          </a:extLst>
        </xdr:cNvPr>
        <xdr:cNvCxnSpPr/>
      </xdr:nvCxnSpPr>
      <xdr:spPr>
        <a:xfrm>
          <a:off x="2786207" y="6775482"/>
          <a:ext cx="0" cy="223994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1330669</xdr:colOff>
      <xdr:row>24</xdr:row>
      <xdr:rowOff>162910</xdr:rowOff>
    </xdr:from>
    <xdr:to>
      <xdr:col>4</xdr:col>
      <xdr:colOff>4987636</xdr:colOff>
      <xdr:row>48</xdr:row>
      <xdr:rowOff>132588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55B706-2EB7-479F-88D7-9D5E2558A0DF}"/>
            </a:ext>
            <a:ext uri="{147F2762-F138-4A5C-976F-8EAC2B608ADB}">
              <a16:predDERef xmlns:a16="http://schemas.microsoft.com/office/drawing/2014/main" pred="{E714CFDF-98A3-6B45-BD09-47FD4F12A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9978" y="4125310"/>
          <a:ext cx="5291803" cy="4292297"/>
        </a:xfrm>
        <a:prstGeom prst="rect">
          <a:avLst/>
        </a:prstGeom>
      </xdr:spPr>
    </xdr:pic>
    <xdr:clientData/>
  </xdr:twoCellAnchor>
  <xdr:twoCellAnchor>
    <xdr:from>
      <xdr:col>1</xdr:col>
      <xdr:colOff>1218402</xdr:colOff>
      <xdr:row>37</xdr:row>
      <xdr:rowOff>35681</xdr:rowOff>
    </xdr:from>
    <xdr:to>
      <xdr:col>1</xdr:col>
      <xdr:colOff>1264121</xdr:colOff>
      <xdr:row>37</xdr:row>
      <xdr:rowOff>81400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608741A-133E-80F4-7E83-948494605626}"/>
            </a:ext>
          </a:extLst>
        </xdr:cNvPr>
        <xdr:cNvSpPr/>
      </xdr:nvSpPr>
      <xdr:spPr>
        <a:xfrm>
          <a:off x="2348000" y="7106837"/>
          <a:ext cx="45719" cy="45719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1241262</xdr:colOff>
      <xdr:row>37</xdr:row>
      <xdr:rowOff>81400</xdr:rowOff>
    </xdr:from>
    <xdr:to>
      <xdr:col>1</xdr:col>
      <xdr:colOff>1241281</xdr:colOff>
      <xdr:row>47</xdr:row>
      <xdr:rowOff>98919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D01B9D3-AB19-5688-9DF9-F041CA31F0AC}"/>
            </a:ext>
          </a:extLst>
        </xdr:cNvPr>
        <xdr:cNvCxnSpPr>
          <a:stCxn id="4" idx="4"/>
        </xdr:cNvCxnSpPr>
      </xdr:nvCxnSpPr>
      <xdr:spPr>
        <a:xfrm>
          <a:off x="2370562" y="7057143"/>
          <a:ext cx="19" cy="190585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1628708</xdr:colOff>
      <xdr:row>35</xdr:row>
      <xdr:rowOff>100868</xdr:rowOff>
    </xdr:from>
    <xdr:to>
      <xdr:col>1</xdr:col>
      <xdr:colOff>1674427</xdr:colOff>
      <xdr:row>35</xdr:row>
      <xdr:rowOff>146587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50AD904B-2F33-6E41-AB1F-8B63AA5BF804}"/>
            </a:ext>
          </a:extLst>
        </xdr:cNvPr>
        <xdr:cNvSpPr/>
      </xdr:nvSpPr>
      <xdr:spPr>
        <a:xfrm>
          <a:off x="2760104" y="6744193"/>
          <a:ext cx="45719" cy="45719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4129871</xdr:colOff>
      <xdr:row>34</xdr:row>
      <xdr:rowOff>51601</xdr:rowOff>
    </xdr:from>
    <xdr:to>
      <xdr:col>4</xdr:col>
      <xdr:colOff>4129871</xdr:colOff>
      <xdr:row>46</xdr:row>
      <xdr:rowOff>114781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7833D68-B44B-FD4F-93A5-C46AF6BC5AFD}"/>
            </a:ext>
          </a:extLst>
        </xdr:cNvPr>
        <xdr:cNvCxnSpPr/>
      </xdr:nvCxnSpPr>
      <xdr:spPr>
        <a:xfrm>
          <a:off x="11731358" y="6460843"/>
          <a:ext cx="0" cy="23291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4103768</xdr:colOff>
      <xdr:row>34</xdr:row>
      <xdr:rowOff>19415</xdr:rowOff>
    </xdr:from>
    <xdr:to>
      <xdr:col>4</xdr:col>
      <xdr:colOff>4149487</xdr:colOff>
      <xdr:row>34</xdr:row>
      <xdr:rowOff>66031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7D9555D-F645-2247-9B2C-8B070227F112}"/>
            </a:ext>
          </a:extLst>
        </xdr:cNvPr>
        <xdr:cNvSpPr/>
      </xdr:nvSpPr>
      <xdr:spPr>
        <a:xfrm>
          <a:off x="11705255" y="6428657"/>
          <a:ext cx="45719" cy="46616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3697256</xdr:colOff>
      <xdr:row>36</xdr:row>
      <xdr:rowOff>22215</xdr:rowOff>
    </xdr:from>
    <xdr:to>
      <xdr:col>4</xdr:col>
      <xdr:colOff>3697256</xdr:colOff>
      <xdr:row>46</xdr:row>
      <xdr:rowOff>126481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8E6EEBF-E753-9E4C-9184-E7D72D447D5E}"/>
            </a:ext>
          </a:extLst>
        </xdr:cNvPr>
        <xdr:cNvCxnSpPr/>
      </xdr:nvCxnSpPr>
      <xdr:spPr>
        <a:xfrm>
          <a:off x="11298743" y="6809125"/>
          <a:ext cx="0" cy="19926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3671153</xdr:colOff>
      <xdr:row>35</xdr:row>
      <xdr:rowOff>168112</xdr:rowOff>
    </xdr:from>
    <xdr:to>
      <xdr:col>4</xdr:col>
      <xdr:colOff>3716872</xdr:colOff>
      <xdr:row>36</xdr:row>
      <xdr:rowOff>25894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6DA92CAC-0CBB-5847-9A69-F4AAEFF328C3}"/>
            </a:ext>
          </a:extLst>
        </xdr:cNvPr>
        <xdr:cNvSpPr/>
      </xdr:nvSpPr>
      <xdr:spPr>
        <a:xfrm>
          <a:off x="11272640" y="6766188"/>
          <a:ext cx="45719" cy="46616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396181</xdr:colOff>
      <xdr:row>35</xdr:row>
      <xdr:rowOff>186047</xdr:rowOff>
    </xdr:from>
    <xdr:to>
      <xdr:col>4</xdr:col>
      <xdr:colOff>3670443</xdr:colOff>
      <xdr:row>35</xdr:row>
      <xdr:rowOff>186047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67C5DA5-E9E8-8A4A-AF59-63021190CB02}"/>
            </a:ext>
          </a:extLst>
        </xdr:cNvPr>
        <xdr:cNvCxnSpPr/>
      </xdr:nvCxnSpPr>
      <xdr:spPr>
        <a:xfrm flipH="1">
          <a:off x="7997668" y="6784123"/>
          <a:ext cx="3274262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751633</xdr:colOff>
      <xdr:row>37</xdr:row>
      <xdr:rowOff>58018</xdr:rowOff>
    </xdr:from>
    <xdr:to>
      <xdr:col>1</xdr:col>
      <xdr:colOff>1662478</xdr:colOff>
      <xdr:row>37</xdr:row>
      <xdr:rowOff>58018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86413BE-4EBC-434D-A6AE-1A24795081C4}"/>
            </a:ext>
          </a:extLst>
        </xdr:cNvPr>
        <xdr:cNvCxnSpPr/>
      </xdr:nvCxnSpPr>
      <xdr:spPr>
        <a:xfrm flipH="1">
          <a:off x="751633" y="7037770"/>
          <a:ext cx="2039151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1419696</xdr:colOff>
      <xdr:row>34</xdr:row>
      <xdr:rowOff>111065</xdr:rowOff>
    </xdr:from>
    <xdr:ext cx="592791" cy="264431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B95D519-F381-032B-29E9-1795A701F5D8}"/>
            </a:ext>
          </a:extLst>
        </xdr:cNvPr>
        <xdr:cNvSpPr txBox="1"/>
      </xdr:nvSpPr>
      <xdr:spPr>
        <a:xfrm>
          <a:off x="9025209" y="6504525"/>
          <a:ext cx="59279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FF0000"/>
              </a:solidFill>
            </a:rPr>
            <a:t>5100 ft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485700</xdr:colOff>
      <xdr:row>0</xdr:row>
      <xdr:rowOff>19050</xdr:rowOff>
    </xdr:from>
    <xdr:to>
      <xdr:col>9</xdr:col>
      <xdr:colOff>400659</xdr:colOff>
      <xdr:row>11</xdr:row>
      <xdr:rowOff>115991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3C3580C-2C68-4D25-B4EB-E5113EDA6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404058</xdr:colOff>
      <xdr:row>17</xdr:row>
      <xdr:rowOff>3003</xdr:rowOff>
    </xdr:from>
    <xdr:to>
      <xdr:col>12</xdr:col>
      <xdr:colOff>133684</xdr:colOff>
      <xdr:row>30</xdr:row>
      <xdr:rowOff>66843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DBE75BB3-1229-4848-BEAF-0E512F75FA8F}"/>
            </a:ext>
            <a:ext uri="{147F2762-F138-4A5C-976F-8EAC2B608ADB}">
              <a16:predDERef xmlns:a16="http://schemas.microsoft.com/office/drawing/2014/main" pred="{53C3580C-2C68-4D25-B4EB-E5113EDA6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419951</xdr:colOff>
      <xdr:row>0</xdr:row>
      <xdr:rowOff>0</xdr:rowOff>
    </xdr:from>
    <xdr:to>
      <xdr:col>22</xdr:col>
      <xdr:colOff>65901</xdr:colOff>
      <xdr:row>13</xdr:row>
      <xdr:rowOff>110603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45FD8-F20F-8F5A-4B33-6577D2CAA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32054</xdr:colOff>
      <xdr:row>17</xdr:row>
      <xdr:rowOff>27627</xdr:rowOff>
    </xdr:from>
    <xdr:to>
      <xdr:col>20</xdr:col>
      <xdr:colOff>267368</xdr:colOff>
      <xdr:row>30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263EA-D5FC-4E05-9806-0869731C101D}"/>
            </a:ext>
            <a:ext uri="{147F2762-F138-4A5C-976F-8EAC2B608ADB}">
              <a16:predDERef xmlns:a16="http://schemas.microsoft.com/office/drawing/2014/main" pred="{540E8766-E0B9-C770-6E5E-713060FF8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619760</xdr:colOff>
      <xdr:row>6</xdr:row>
      <xdr:rowOff>152400</xdr:rowOff>
    </xdr:from>
    <xdr:to>
      <xdr:col>46</xdr:col>
      <xdr:colOff>0</xdr:colOff>
      <xdr:row>27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EBA69B-B938-1745-B82C-70F4BD9F5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674914</xdr:colOff>
      <xdr:row>29</xdr:row>
      <xdr:rowOff>0</xdr:rowOff>
    </xdr:from>
    <xdr:to>
      <xdr:col>46</xdr:col>
      <xdr:colOff>55154</xdr:colOff>
      <xdr:row>49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59EB2-AB75-1D43-B89B-888702DE0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1072028</xdr:colOff>
      <xdr:row>34</xdr:row>
      <xdr:rowOff>62753</xdr:rowOff>
    </xdr:from>
    <xdr:to>
      <xdr:col>14</xdr:col>
      <xdr:colOff>549088</xdr:colOff>
      <xdr:row>50</xdr:row>
      <xdr:rowOff>70774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F1929-8FB8-A88F-5BBC-83CA08D24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0.15552</cdr:x>
      <cdr:y>0.04986</cdr:y>
    </cdr:from>
    <cdr:to>
      <cdr:x>0.19604</cdr:x>
      <cdr:y>0.1134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A40B7F-1E57-CEA3-4DCE-3A9A9D12EE61}"/>
            </a:ext>
          </a:extLst>
        </cdr:cNvPr>
        <cdr:cNvSpPr txBox="1"/>
      </cdr:nvSpPr>
      <cdr:spPr>
        <a:xfrm xmlns:a="http://schemas.openxmlformats.org/drawingml/2006/main">
          <a:off x="1058194" y="205144"/>
          <a:ext cx="275744" cy="2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00B050"/>
              </a:solidFill>
            </a:rPr>
            <a:t>A</a:t>
          </a:r>
        </a:p>
      </cdr:txBody>
    </cdr:sp>
  </cdr:relSizeAnchor>
  <cdr:relSizeAnchor xmlns:cdr="http://schemas.openxmlformats.org/drawingml/2006/chartDrawing">
    <cdr:from>
      <cdr:x>0.21278</cdr:x>
      <cdr:y>0.2672</cdr:y>
    </cdr:from>
    <cdr:to>
      <cdr:x>0.2533</cdr:x>
      <cdr:y>0.33074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1FC2F62-A341-5A99-6661-AAA5E4323664}"/>
            </a:ext>
          </a:extLst>
        </cdr:cNvPr>
        <cdr:cNvSpPr txBox="1"/>
      </cdr:nvSpPr>
      <cdr:spPr>
        <a:xfrm xmlns:a="http://schemas.openxmlformats.org/drawingml/2006/main">
          <a:off x="1447800" y="1099457"/>
          <a:ext cx="275744" cy="2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00B050"/>
              </a:solidFill>
            </a:rPr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0.15552</cdr:x>
      <cdr:y>0.04986</cdr:y>
    </cdr:from>
    <cdr:to>
      <cdr:x>0.19604</cdr:x>
      <cdr:y>0.1134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A40B7F-1E57-CEA3-4DCE-3A9A9D12EE61}"/>
            </a:ext>
          </a:extLst>
        </cdr:cNvPr>
        <cdr:cNvSpPr txBox="1"/>
      </cdr:nvSpPr>
      <cdr:spPr>
        <a:xfrm xmlns:a="http://schemas.openxmlformats.org/drawingml/2006/main">
          <a:off x="1058194" y="205144"/>
          <a:ext cx="275744" cy="2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00B050"/>
              </a:solidFill>
            </a:rPr>
            <a:t>A - Take</a:t>
          </a:r>
          <a:r>
            <a:rPr lang="en-GB" sz="1100" baseline="0">
              <a:solidFill>
                <a:srgbClr val="00B050"/>
              </a:solidFill>
            </a:rPr>
            <a:t> Off</a:t>
          </a:r>
          <a:endParaRPr lang="en-GB" sz="1100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0.21278</cdr:x>
      <cdr:y>0.2672</cdr:y>
    </cdr:from>
    <cdr:to>
      <cdr:x>0.2533</cdr:x>
      <cdr:y>0.33074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1FC2F62-A341-5A99-6661-AAA5E4323664}"/>
            </a:ext>
          </a:extLst>
        </cdr:cNvPr>
        <cdr:cNvSpPr txBox="1"/>
      </cdr:nvSpPr>
      <cdr:spPr>
        <a:xfrm xmlns:a="http://schemas.openxmlformats.org/drawingml/2006/main">
          <a:off x="1447800" y="1099457"/>
          <a:ext cx="275744" cy="2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00B0F0"/>
              </a:solidFill>
            </a:rPr>
            <a:t>B - Climb</a:t>
          </a:r>
        </a:p>
      </cdr:txBody>
    </cdr:sp>
  </cdr:relSizeAnchor>
  <cdr:relSizeAnchor xmlns:cdr="http://schemas.openxmlformats.org/drawingml/2006/chartDrawing">
    <cdr:from>
      <cdr:x>0.14505</cdr:x>
      <cdr:y>0.09436</cdr:y>
    </cdr:from>
    <cdr:to>
      <cdr:x>0.15678</cdr:x>
      <cdr:y>0.79101</cdr:y>
    </cdr:to>
    <cdr:sp macro="" textlink="">
      <cdr:nvSpPr>
        <cdr:cNvPr id="4" name="Rounded Rectangle 3">
          <a:extLst xmlns:a="http://schemas.openxmlformats.org/drawingml/2006/main">
            <a:ext uri="{FF2B5EF4-FFF2-40B4-BE49-F238E27FC236}">
              <a16:creationId xmlns:a16="http://schemas.microsoft.com/office/drawing/2014/main" id="{D77BA20E-79E0-EE24-9A3D-AAC02060EC07}"/>
            </a:ext>
          </a:extLst>
        </cdr:cNvPr>
        <cdr:cNvSpPr/>
      </cdr:nvSpPr>
      <cdr:spPr>
        <a:xfrm xmlns:a="http://schemas.openxmlformats.org/drawingml/2006/main">
          <a:off x="986972" y="388257"/>
          <a:ext cx="79828" cy="2866572"/>
        </a:xfrm>
        <a:prstGeom xmlns:a="http://schemas.openxmlformats.org/drawingml/2006/main" prst="roundRect">
          <a:avLst/>
        </a:prstGeom>
        <a:solidFill xmlns:a="http://schemas.openxmlformats.org/drawingml/2006/main">
          <a:srgbClr val="00B050">
            <a:alpha val="24314"/>
          </a:srgbClr>
        </a:solidFill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NL"/>
        </a:p>
      </cdr:txBody>
    </cdr:sp>
  </cdr:relSizeAnchor>
  <cdr:relSizeAnchor xmlns:cdr="http://schemas.openxmlformats.org/drawingml/2006/chartDrawing">
    <cdr:from>
      <cdr:x>0.15838</cdr:x>
      <cdr:y>0.31217</cdr:y>
    </cdr:from>
    <cdr:to>
      <cdr:x>0.21384</cdr:x>
      <cdr:y>0.79277</cdr:y>
    </cdr:to>
    <cdr:sp macro="" textlink="">
      <cdr:nvSpPr>
        <cdr:cNvPr id="5" name="Rounded Rectangle 4">
          <a:extLst xmlns:a="http://schemas.openxmlformats.org/drawingml/2006/main">
            <a:ext uri="{FF2B5EF4-FFF2-40B4-BE49-F238E27FC236}">
              <a16:creationId xmlns:a16="http://schemas.microsoft.com/office/drawing/2014/main" id="{77959313-B75D-0868-0285-94DAAC5BD114}"/>
            </a:ext>
          </a:extLst>
        </cdr:cNvPr>
        <cdr:cNvSpPr/>
      </cdr:nvSpPr>
      <cdr:spPr>
        <a:xfrm xmlns:a="http://schemas.openxmlformats.org/drawingml/2006/main">
          <a:off x="1077686" y="1284514"/>
          <a:ext cx="377372" cy="1977572"/>
        </a:xfrm>
        <a:prstGeom xmlns:a="http://schemas.openxmlformats.org/drawingml/2006/main" prst="roundRect">
          <a:avLst/>
        </a:prstGeom>
        <a:solidFill xmlns:a="http://schemas.openxmlformats.org/drawingml/2006/main">
          <a:srgbClr val="00B0F0">
            <a:alpha val="24314"/>
          </a:srgbClr>
        </a:solidFill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NL"/>
        </a:p>
      </cdr:txBody>
    </cdr:sp>
  </cdr:relSizeAnchor>
  <cdr:relSizeAnchor xmlns:cdr="http://schemas.openxmlformats.org/drawingml/2006/chartDrawing">
    <cdr:from>
      <cdr:x>0.15838</cdr:x>
      <cdr:y>0.10847</cdr:y>
    </cdr:from>
    <cdr:to>
      <cdr:x>0.21331</cdr:x>
      <cdr:y>0.31041</cdr:y>
    </cdr:to>
    <cdr:sp macro="" textlink="">
      <cdr:nvSpPr>
        <cdr:cNvPr id="6" name="Right Triangle 5">
          <a:extLst xmlns:a="http://schemas.openxmlformats.org/drawingml/2006/main">
            <a:ext uri="{FF2B5EF4-FFF2-40B4-BE49-F238E27FC236}">
              <a16:creationId xmlns:a16="http://schemas.microsoft.com/office/drawing/2014/main" id="{B291C492-DEDC-339C-D8DE-D274D1084642}"/>
            </a:ext>
          </a:extLst>
        </cdr:cNvPr>
        <cdr:cNvSpPr/>
      </cdr:nvSpPr>
      <cdr:spPr>
        <a:xfrm xmlns:a="http://schemas.openxmlformats.org/drawingml/2006/main">
          <a:off x="1077686" y="446315"/>
          <a:ext cx="373743" cy="830942"/>
        </a:xfrm>
        <a:prstGeom xmlns:a="http://schemas.openxmlformats.org/drawingml/2006/main" prst="rtTriangle">
          <a:avLst/>
        </a:prstGeom>
        <a:solidFill xmlns:a="http://schemas.openxmlformats.org/drawingml/2006/main">
          <a:srgbClr val="00B0F0">
            <a:alpha val="24314"/>
          </a:srgbClr>
        </a:solidFill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NL"/>
        </a:p>
      </cdr:txBody>
    </cdr:sp>
  </cdr:relSizeAnchor>
  <cdr:relSizeAnchor xmlns:cdr="http://schemas.openxmlformats.org/drawingml/2006/chartDrawing">
    <cdr:from>
      <cdr:x>0.21598</cdr:x>
      <cdr:y>0.50176</cdr:y>
    </cdr:from>
    <cdr:to>
      <cdr:x>0.80098</cdr:x>
      <cdr:y>0.79189</cdr:y>
    </cdr:to>
    <cdr:sp macro="" textlink="">
      <cdr:nvSpPr>
        <cdr:cNvPr id="7" name="Rounded Rectangle 6">
          <a:extLst xmlns:a="http://schemas.openxmlformats.org/drawingml/2006/main">
            <a:ext uri="{FF2B5EF4-FFF2-40B4-BE49-F238E27FC236}">
              <a16:creationId xmlns:a16="http://schemas.microsoft.com/office/drawing/2014/main" id="{91249FF7-E1B9-0DD1-31E1-6A347D8C0B90}"/>
            </a:ext>
          </a:extLst>
        </cdr:cNvPr>
        <cdr:cNvSpPr/>
      </cdr:nvSpPr>
      <cdr:spPr>
        <a:xfrm xmlns:a="http://schemas.openxmlformats.org/drawingml/2006/main">
          <a:off x="1469571" y="2064657"/>
          <a:ext cx="3980543" cy="119380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0000">
            <a:alpha val="24314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NL"/>
        </a:p>
      </cdr:txBody>
    </cdr:sp>
  </cdr:relSizeAnchor>
  <cdr:relSizeAnchor xmlns:cdr="http://schemas.openxmlformats.org/drawingml/2006/chartDrawing">
    <cdr:from>
      <cdr:x>0.77058</cdr:x>
      <cdr:y>0.4321</cdr:y>
    </cdr:from>
    <cdr:to>
      <cdr:x>0.91806</cdr:x>
      <cdr:y>0.49564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9B8351D8-D193-4A50-949F-351EE2189B82}"/>
            </a:ext>
          </a:extLst>
        </cdr:cNvPr>
        <cdr:cNvSpPr txBox="1"/>
      </cdr:nvSpPr>
      <cdr:spPr>
        <a:xfrm xmlns:a="http://schemas.openxmlformats.org/drawingml/2006/main">
          <a:off x="5206780" y="1765691"/>
          <a:ext cx="996484" cy="259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C2 - Cruise</a:t>
          </a:r>
          <a:r>
            <a:rPr lang="en-GB" sz="1100" baseline="0">
              <a:solidFill>
                <a:srgbClr val="FF0000"/>
              </a:solidFill>
            </a:rPr>
            <a:t> End</a:t>
          </a:r>
          <a:endParaRPr lang="en-GB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0.21392</cdr:x>
      <cdr:y>0.44231</cdr:y>
    </cdr:from>
    <cdr:to>
      <cdr:x>0.36298</cdr:x>
      <cdr:y>0.50585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3F9FFA7-453E-225C-1874-3AFBCD52756B}"/>
            </a:ext>
          </a:extLst>
        </cdr:cNvPr>
        <cdr:cNvSpPr txBox="1"/>
      </cdr:nvSpPr>
      <cdr:spPr>
        <a:xfrm xmlns:a="http://schemas.openxmlformats.org/drawingml/2006/main">
          <a:off x="1445427" y="1807436"/>
          <a:ext cx="1007182" cy="259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C1 -Cruise</a:t>
          </a:r>
          <a:r>
            <a:rPr lang="en-GB" sz="1100" baseline="0">
              <a:solidFill>
                <a:srgbClr val="FF0000"/>
              </a:solidFill>
            </a:rPr>
            <a:t> Start</a:t>
          </a:r>
          <a:endParaRPr lang="en-GB" sz="1100">
            <a:solidFill>
              <a:srgbClr val="FF0000"/>
            </a:solidFill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Dipesh Kunwar" id="{5B0F1EB4-23B0-3F49-A72B-D7985BC3F8D7}" userId="diku@nernst.co" providerId="PeoplePicker"/>
  <person displayName="Yashwanth Kutti Pochareddy" id="{51F13285-C202-1D4A-8D99-1AADB1E89CBF}" userId="S::yapo@nernst.co::dbdb04b5-ef29-4aff-9416-f59ccae4a01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fisicaatmo.at.fcen.uba.ar/practicas/ISAweb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99DB-1A0D-4DFC-A319-478E8756884A}">
  <dimension ref="A1:A34"/>
  <sheetViews>
    <sheetView topLeftCell="A4" zoomScale="108" workbookViewId="0">
      <selection activeCell="A13" sqref="A13"/>
    </sheetView>
  </sheetViews>
  <sheetFormatPr defaultColWidth="8.77734375" defaultRowHeight="14.4"/>
  <cols>
    <col min="1" max="1" width="133.77734375" style="14" customWidth="1"/>
  </cols>
  <sheetData>
    <row r="1" spans="1:1">
      <c r="A1" s="51" t="s">
        <v>0</v>
      </c>
    </row>
    <row r="2" spans="1:1" ht="28.8">
      <c r="A2" s="14" t="s">
        <v>1</v>
      </c>
    </row>
    <row r="4" spans="1:1">
      <c r="A4" s="15" t="s">
        <v>2</v>
      </c>
    </row>
    <row r="5" spans="1:1">
      <c r="A5" s="14" t="s">
        <v>3</v>
      </c>
    </row>
    <row r="6" spans="1:1" ht="28.8">
      <c r="A6" s="14" t="s">
        <v>4</v>
      </c>
    </row>
    <row r="8" spans="1:1">
      <c r="A8" s="15" t="s">
        <v>213</v>
      </c>
    </row>
    <row r="9" spans="1:1">
      <c r="A9" s="14" t="s">
        <v>5</v>
      </c>
    </row>
    <row r="10" spans="1:1">
      <c r="A10" s="14" t="s">
        <v>6</v>
      </c>
    </row>
    <row r="12" spans="1:1">
      <c r="A12" s="15" t="s">
        <v>214</v>
      </c>
    </row>
    <row r="13" spans="1:1" ht="28.8">
      <c r="A13" s="14" t="s">
        <v>7</v>
      </c>
    </row>
    <row r="15" spans="1:1">
      <c r="A15" s="15" t="s">
        <v>8</v>
      </c>
    </row>
    <row r="16" spans="1:1">
      <c r="A16" s="14" t="s">
        <v>9</v>
      </c>
    </row>
    <row r="17" spans="1:1">
      <c r="A17" s="14" t="s">
        <v>10</v>
      </c>
    </row>
    <row r="20" spans="1:1">
      <c r="A20" s="15" t="s">
        <v>11</v>
      </c>
    </row>
    <row r="21" spans="1:1">
      <c r="A21" s="14" t="s">
        <v>12</v>
      </c>
    </row>
    <row r="22" spans="1:1">
      <c r="A22" s="14" t="s">
        <v>13</v>
      </c>
    </row>
    <row r="23" spans="1:1">
      <c r="A23" s="14" t="s">
        <v>14</v>
      </c>
    </row>
    <row r="24" spans="1:1">
      <c r="A24" s="14" t="s">
        <v>15</v>
      </c>
    </row>
    <row r="25" spans="1:1">
      <c r="A25" s="14" t="s">
        <v>16</v>
      </c>
    </row>
    <row r="27" spans="1:1">
      <c r="A27" s="15" t="s">
        <v>17</v>
      </c>
    </row>
    <row r="28" spans="1:1">
      <c r="A28" s="14" t="s">
        <v>18</v>
      </c>
    </row>
    <row r="29" spans="1:1">
      <c r="A29" s="14" t="s">
        <v>19</v>
      </c>
    </row>
    <row r="30" spans="1:1">
      <c r="A30" s="14" t="s">
        <v>20</v>
      </c>
    </row>
    <row r="32" spans="1:1">
      <c r="A32" s="15" t="s">
        <v>21</v>
      </c>
    </row>
    <row r="33" spans="1:1" ht="28.8">
      <c r="A33" s="14" t="s">
        <v>22</v>
      </c>
    </row>
    <row r="34" spans="1:1">
      <c r="A34" s="1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77D6-3AC9-4305-9131-A2E5CC05EF63}">
  <dimension ref="A1:E21"/>
  <sheetViews>
    <sheetView topLeftCell="A4" zoomScale="58" workbookViewId="0">
      <selection activeCell="E6" sqref="E6"/>
    </sheetView>
  </sheetViews>
  <sheetFormatPr defaultColWidth="8.77734375" defaultRowHeight="14.4"/>
  <cols>
    <col min="1" max="1" width="14.77734375" style="11" customWidth="1"/>
    <col min="2" max="2" width="37.33203125" style="1" customWidth="1"/>
    <col min="3" max="3" width="23.77734375" customWidth="1"/>
    <col min="4" max="4" width="23.77734375" style="1" customWidth="1"/>
    <col min="5" max="5" width="78.44140625" customWidth="1"/>
  </cols>
  <sheetData>
    <row r="1" spans="1:5">
      <c r="A1" s="37" t="s">
        <v>24</v>
      </c>
      <c r="B1" s="37"/>
      <c r="C1" s="37"/>
      <c r="D1" s="37"/>
      <c r="E1" s="37"/>
    </row>
    <row r="2" spans="1:5">
      <c r="B2" s="12" t="s">
        <v>25</v>
      </c>
      <c r="C2" s="12" t="s">
        <v>26</v>
      </c>
      <c r="D2" s="12" t="s">
        <v>27</v>
      </c>
      <c r="E2" s="10" t="s">
        <v>28</v>
      </c>
    </row>
    <row r="3" spans="1:5" ht="14.55" customHeight="1">
      <c r="A3" s="39" t="s">
        <v>29</v>
      </c>
      <c r="B3" s="8" t="s">
        <v>30</v>
      </c>
      <c r="C3" s="9">
        <v>0.78500000000000003</v>
      </c>
      <c r="D3" s="8" t="s">
        <v>31</v>
      </c>
      <c r="E3" t="s">
        <v>32</v>
      </c>
    </row>
    <row r="4" spans="1:5">
      <c r="A4" s="39"/>
      <c r="B4" s="8" t="s">
        <v>33</v>
      </c>
      <c r="C4" s="9">
        <v>1.8721329360400001</v>
      </c>
      <c r="D4" s="8" t="s">
        <v>34</v>
      </c>
      <c r="E4" t="s">
        <v>35</v>
      </c>
    </row>
    <row r="5" spans="1:5">
      <c r="A5" s="39"/>
      <c r="B5" s="8" t="s">
        <v>36</v>
      </c>
      <c r="C5" s="9">
        <v>42.2</v>
      </c>
      <c r="D5" s="8" t="s">
        <v>37</v>
      </c>
      <c r="E5" t="s">
        <v>215</v>
      </c>
    </row>
    <row r="6" spans="1:5">
      <c r="A6" s="39"/>
      <c r="B6" s="8" t="s">
        <v>38</v>
      </c>
      <c r="C6" s="9">
        <v>10.3</v>
      </c>
      <c r="D6" s="8"/>
      <c r="E6" t="s">
        <v>39</v>
      </c>
    </row>
    <row r="7" spans="1:5">
      <c r="A7" s="39"/>
      <c r="B7" s="8" t="s">
        <v>40</v>
      </c>
      <c r="C7" s="9">
        <v>122.6</v>
      </c>
      <c r="D7" s="8" t="s">
        <v>41</v>
      </c>
      <c r="E7" t="s">
        <v>39</v>
      </c>
    </row>
    <row r="8" spans="1:5">
      <c r="A8" s="40" t="s">
        <v>42</v>
      </c>
      <c r="B8" s="3" t="s">
        <v>43</v>
      </c>
      <c r="C8" s="2">
        <v>0</v>
      </c>
      <c r="D8" s="3" t="s">
        <v>44</v>
      </c>
      <c r="E8" t="s">
        <v>45</v>
      </c>
    </row>
    <row r="9" spans="1:5">
      <c r="A9" s="40"/>
      <c r="B9" s="3" t="s">
        <v>46</v>
      </c>
      <c r="C9" s="2">
        <v>73900</v>
      </c>
      <c r="D9" s="3" t="s">
        <v>47</v>
      </c>
      <c r="E9" t="s">
        <v>48</v>
      </c>
    </row>
    <row r="10" spans="1:5">
      <c r="A10" s="40"/>
      <c r="B10" s="3" t="s">
        <v>49</v>
      </c>
      <c r="C10" s="2">
        <v>115</v>
      </c>
      <c r="D10" s="3" t="s">
        <v>50</v>
      </c>
      <c r="E10" t="s">
        <v>51</v>
      </c>
    </row>
    <row r="11" spans="1:5">
      <c r="A11" s="40"/>
      <c r="B11" s="3" t="s">
        <v>52</v>
      </c>
      <c r="C11" s="2">
        <v>5900</v>
      </c>
      <c r="D11" s="3" t="s">
        <v>44</v>
      </c>
      <c r="E11" t="s">
        <v>53</v>
      </c>
    </row>
    <row r="12" spans="1:5">
      <c r="A12" s="38" t="s">
        <v>54</v>
      </c>
      <c r="B12" s="8" t="s">
        <v>55</v>
      </c>
      <c r="C12" s="9">
        <v>1800</v>
      </c>
      <c r="D12" s="8" t="s">
        <v>56</v>
      </c>
      <c r="E12" t="s">
        <v>57</v>
      </c>
    </row>
    <row r="13" spans="1:5">
      <c r="A13" s="38"/>
      <c r="B13" s="8" t="s">
        <v>58</v>
      </c>
      <c r="C13" s="9">
        <v>0.72</v>
      </c>
      <c r="D13" s="8" t="s">
        <v>59</v>
      </c>
      <c r="E13" t="s">
        <v>60</v>
      </c>
    </row>
    <row r="14" spans="1:5">
      <c r="A14" s="38"/>
      <c r="B14" s="8" t="s">
        <v>61</v>
      </c>
      <c r="C14" s="9">
        <v>12</v>
      </c>
      <c r="D14" s="8" t="s">
        <v>62</v>
      </c>
      <c r="E14" t="s">
        <v>63</v>
      </c>
    </row>
    <row r="15" spans="1:5">
      <c r="A15" s="41" t="s">
        <v>64</v>
      </c>
      <c r="B15" s="3" t="s">
        <v>65</v>
      </c>
      <c r="C15" s="2">
        <v>20000</v>
      </c>
      <c r="D15" s="3" t="s">
        <v>44</v>
      </c>
      <c r="E15" t="s">
        <v>66</v>
      </c>
    </row>
    <row r="16" spans="1:5">
      <c r="A16" s="41"/>
      <c r="B16" s="3" t="s">
        <v>67</v>
      </c>
      <c r="C16" s="2">
        <v>300</v>
      </c>
      <c r="D16" s="3" t="s">
        <v>68</v>
      </c>
      <c r="E16" t="s">
        <v>63</v>
      </c>
    </row>
    <row r="17" spans="1:5">
      <c r="A17" s="41"/>
      <c r="B17" s="3" t="s">
        <v>69</v>
      </c>
      <c r="C17" s="2">
        <v>0.62</v>
      </c>
      <c r="D17" s="3" t="s">
        <v>70</v>
      </c>
      <c r="E17" t="s">
        <v>71</v>
      </c>
    </row>
    <row r="18" spans="1:5">
      <c r="A18" s="38" t="s">
        <v>72</v>
      </c>
      <c r="B18" s="8" t="s">
        <v>55</v>
      </c>
      <c r="C18" s="9">
        <v>1800</v>
      </c>
      <c r="D18" s="8" t="s">
        <v>56</v>
      </c>
      <c r="E18" t="s">
        <v>57</v>
      </c>
    </row>
    <row r="19" spans="1:5">
      <c r="A19" s="38"/>
      <c r="B19" s="8" t="s">
        <v>61</v>
      </c>
      <c r="C19" s="9">
        <v>12</v>
      </c>
      <c r="D19" s="8" t="s">
        <v>62</v>
      </c>
      <c r="E19" t="s">
        <v>63</v>
      </c>
    </row>
    <row r="20" spans="1:5">
      <c r="A20" s="35" t="s">
        <v>73</v>
      </c>
      <c r="B20" s="3" t="s">
        <v>74</v>
      </c>
      <c r="C20" s="2">
        <v>0</v>
      </c>
      <c r="D20" s="3" t="s">
        <v>44</v>
      </c>
      <c r="E20" t="s">
        <v>63</v>
      </c>
    </row>
    <row r="21" spans="1:5">
      <c r="A21" s="36"/>
      <c r="B21" s="3" t="s">
        <v>75</v>
      </c>
      <c r="C21" s="2">
        <v>5100</v>
      </c>
      <c r="D21" s="3" t="s">
        <v>44</v>
      </c>
      <c r="E21" t="s">
        <v>53</v>
      </c>
    </row>
  </sheetData>
  <mergeCells count="7">
    <mergeCell ref="A20:A21"/>
    <mergeCell ref="A1:E1"/>
    <mergeCell ref="A18:A19"/>
    <mergeCell ref="A3:A7"/>
    <mergeCell ref="A8:A11"/>
    <mergeCell ref="A12:A14"/>
    <mergeCell ref="A15:A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D33FA-F6C0-4D01-B8F4-AD7016A57612}">
  <dimension ref="A1:M40"/>
  <sheetViews>
    <sheetView zoomScale="64" workbookViewId="0">
      <selection activeCell="E34" sqref="E34"/>
    </sheetView>
  </sheetViews>
  <sheetFormatPr defaultColWidth="8.77734375" defaultRowHeight="14.4"/>
  <cols>
    <col min="1" max="1" width="14.77734375" style="11" customWidth="1"/>
    <col min="2" max="2" width="37.33203125" style="1" customWidth="1"/>
    <col min="3" max="3" width="23.77734375" customWidth="1"/>
    <col min="4" max="4" width="23.77734375" style="1" customWidth="1"/>
    <col min="5" max="5" width="58.109375" customWidth="1"/>
  </cols>
  <sheetData>
    <row r="1" spans="1:13">
      <c r="A1" s="37" t="s">
        <v>24</v>
      </c>
      <c r="B1" s="37"/>
      <c r="C1" s="37"/>
      <c r="D1" s="37"/>
      <c r="E1" s="37"/>
    </row>
    <row r="2" spans="1:13">
      <c r="B2" s="12" t="s">
        <v>25</v>
      </c>
      <c r="C2" s="12" t="s">
        <v>26</v>
      </c>
      <c r="D2" s="12" t="s">
        <v>27</v>
      </c>
      <c r="E2" s="10" t="s">
        <v>28</v>
      </c>
    </row>
    <row r="3" spans="1:13">
      <c r="A3" s="39" t="s">
        <v>29</v>
      </c>
      <c r="B3" s="8" t="s">
        <v>30</v>
      </c>
      <c r="C3" s="9">
        <f>'A320 Basic Inputs'!C3</f>
        <v>0.78500000000000003</v>
      </c>
      <c r="D3" s="8" t="s">
        <v>31</v>
      </c>
      <c r="E3" t="s">
        <v>76</v>
      </c>
    </row>
    <row r="4" spans="1:13">
      <c r="A4" s="39"/>
      <c r="B4" s="8" t="s">
        <v>33</v>
      </c>
      <c r="C4" s="9">
        <f>'A320 Basic Inputs'!C4</f>
        <v>1.8721329360400001</v>
      </c>
      <c r="D4" s="8" t="s">
        <v>34</v>
      </c>
      <c r="E4" t="s">
        <v>77</v>
      </c>
      <c r="H4" s="19" t="s">
        <v>78</v>
      </c>
      <c r="I4" s="7"/>
    </row>
    <row r="5" spans="1:13">
      <c r="A5" s="39"/>
      <c r="B5" s="8" t="s">
        <v>36</v>
      </c>
      <c r="C5" s="9">
        <f>'A320 Basic Inputs'!C5</f>
        <v>42.2</v>
      </c>
      <c r="D5" s="8" t="s">
        <v>37</v>
      </c>
    </row>
    <row r="6" spans="1:13">
      <c r="A6" s="39"/>
      <c r="B6" s="8" t="s">
        <v>38</v>
      </c>
      <c r="C6" s="9">
        <f>'A320 Basic Inputs'!C6</f>
        <v>10.3</v>
      </c>
      <c r="D6" s="8"/>
      <c r="I6" t="s">
        <v>79</v>
      </c>
      <c r="L6">
        <f>1*60*60</f>
        <v>3600</v>
      </c>
      <c r="M6" t="s">
        <v>80</v>
      </c>
    </row>
    <row r="7" spans="1:13">
      <c r="A7" s="39"/>
      <c r="B7" s="8" t="s">
        <v>40</v>
      </c>
      <c r="C7" s="9">
        <f>'A320 Basic Inputs'!C7</f>
        <v>122.6</v>
      </c>
      <c r="D7" s="8" t="s">
        <v>41</v>
      </c>
      <c r="I7" t="s">
        <v>81</v>
      </c>
      <c r="L7">
        <v>60</v>
      </c>
      <c r="M7" t="s">
        <v>80</v>
      </c>
    </row>
    <row r="8" spans="1:13">
      <c r="A8" s="40" t="s">
        <v>42</v>
      </c>
      <c r="B8" s="3" t="s">
        <v>82</v>
      </c>
      <c r="C8" s="9">
        <f>'A320 Basic Inputs'!C8</f>
        <v>0</v>
      </c>
      <c r="D8" s="3" t="s">
        <v>44</v>
      </c>
      <c r="I8" t="s">
        <v>83</v>
      </c>
      <c r="L8">
        <v>0.30480000000000002</v>
      </c>
      <c r="M8" t="s">
        <v>84</v>
      </c>
    </row>
    <row r="9" spans="1:13">
      <c r="A9" s="40"/>
      <c r="B9" s="3" t="s">
        <v>85</v>
      </c>
      <c r="C9" s="9">
        <f>C8*L8</f>
        <v>0</v>
      </c>
      <c r="D9" s="3" t="s">
        <v>84</v>
      </c>
      <c r="I9" t="s">
        <v>86</v>
      </c>
      <c r="L9">
        <v>1.8520000000000001</v>
      </c>
      <c r="M9" t="s">
        <v>87</v>
      </c>
    </row>
    <row r="10" spans="1:13">
      <c r="A10" s="40"/>
      <c r="B10" s="3" t="s">
        <v>46</v>
      </c>
      <c r="C10" s="9">
        <f>'A320 Basic Inputs'!C9</f>
        <v>73900</v>
      </c>
      <c r="D10" s="3" t="s">
        <v>47</v>
      </c>
      <c r="E10" t="s">
        <v>88</v>
      </c>
      <c r="I10" t="s">
        <v>89</v>
      </c>
      <c r="L10">
        <v>1000</v>
      </c>
      <c r="M10" t="s">
        <v>84</v>
      </c>
    </row>
    <row r="11" spans="1:13">
      <c r="A11" s="40"/>
      <c r="B11" s="3" t="s">
        <v>49</v>
      </c>
      <c r="C11" s="9">
        <f>'A320 Basic Inputs'!C10</f>
        <v>115</v>
      </c>
      <c r="D11" s="3" t="s">
        <v>50</v>
      </c>
      <c r="I11" t="s">
        <v>90</v>
      </c>
      <c r="L11">
        <f>0.5144444</f>
        <v>0.51444440000000002</v>
      </c>
      <c r="M11" t="s">
        <v>91</v>
      </c>
    </row>
    <row r="12" spans="1:13">
      <c r="A12" s="40"/>
      <c r="B12" s="3" t="s">
        <v>49</v>
      </c>
      <c r="C12" s="9">
        <f>C11*L11</f>
        <v>59.161106000000004</v>
      </c>
      <c r="D12" s="3" t="s">
        <v>91</v>
      </c>
    </row>
    <row r="13" spans="1:13">
      <c r="A13" s="40"/>
      <c r="B13" s="3" t="s">
        <v>52</v>
      </c>
      <c r="C13" s="9">
        <f>'A320 Basic Inputs'!C11</f>
        <v>5900</v>
      </c>
      <c r="D13" s="3" t="s">
        <v>44</v>
      </c>
    </row>
    <row r="14" spans="1:13">
      <c r="A14" s="40"/>
      <c r="B14" s="3" t="s">
        <v>52</v>
      </c>
      <c r="C14" s="9">
        <f>C13*L8</f>
        <v>1798.3200000000002</v>
      </c>
      <c r="D14" s="3" t="s">
        <v>84</v>
      </c>
      <c r="E14" t="s">
        <v>92</v>
      </c>
    </row>
    <row r="15" spans="1:13">
      <c r="A15" s="38" t="s">
        <v>54</v>
      </c>
      <c r="B15" s="8" t="s">
        <v>55</v>
      </c>
      <c r="C15" s="9">
        <f>'A320 Basic Inputs'!C12</f>
        <v>1800</v>
      </c>
      <c r="D15" s="8" t="s">
        <v>56</v>
      </c>
      <c r="E15" t="s">
        <v>93</v>
      </c>
    </row>
    <row r="16" spans="1:13">
      <c r="A16" s="38"/>
      <c r="B16" s="8" t="s">
        <v>58</v>
      </c>
      <c r="C16" s="9">
        <f>'A320 Basic Inputs'!C13</f>
        <v>0.72</v>
      </c>
      <c r="D16" s="8" t="s">
        <v>59</v>
      </c>
      <c r="E16" t="s">
        <v>94</v>
      </c>
    </row>
    <row r="17" spans="1:5">
      <c r="A17" s="38"/>
      <c r="B17" s="8" t="s">
        <v>61</v>
      </c>
      <c r="C17" s="9">
        <f>'A320 Basic Inputs'!C14</f>
        <v>12</v>
      </c>
      <c r="D17" s="8" t="s">
        <v>62</v>
      </c>
      <c r="E17" t="s">
        <v>95</v>
      </c>
    </row>
    <row r="18" spans="1:5">
      <c r="A18" s="41" t="s">
        <v>64</v>
      </c>
      <c r="B18" s="3" t="s">
        <v>96</v>
      </c>
      <c r="C18" s="9">
        <f>'A320 Basic Inputs'!C15</f>
        <v>20000</v>
      </c>
      <c r="D18" s="3" t="s">
        <v>44</v>
      </c>
    </row>
    <row r="19" spans="1:5">
      <c r="A19" s="41"/>
      <c r="B19" s="3" t="s">
        <v>97</v>
      </c>
      <c r="C19" s="23">
        <f>C18*L8</f>
        <v>6096</v>
      </c>
      <c r="D19" s="3" t="s">
        <v>84</v>
      </c>
    </row>
    <row r="20" spans="1:5">
      <c r="A20" s="41"/>
      <c r="B20" s="3" t="s">
        <v>98</v>
      </c>
      <c r="C20" s="9">
        <f>'A320 Basic Inputs'!C16</f>
        <v>300</v>
      </c>
      <c r="D20" s="3" t="s">
        <v>68</v>
      </c>
    </row>
    <row r="21" spans="1:5">
      <c r="A21" s="41"/>
      <c r="B21" s="3" t="s">
        <v>99</v>
      </c>
      <c r="C21" s="9">
        <f>C20*L9</f>
        <v>555.6</v>
      </c>
      <c r="D21" s="3" t="s">
        <v>87</v>
      </c>
    </row>
    <row r="22" spans="1:5">
      <c r="A22" s="41"/>
      <c r="B22" s="3" t="s">
        <v>100</v>
      </c>
      <c r="C22" s="9">
        <f>C21*L10</f>
        <v>555600</v>
      </c>
      <c r="D22" s="3" t="s">
        <v>84</v>
      </c>
    </row>
    <row r="23" spans="1:5">
      <c r="A23" s="41"/>
      <c r="B23" s="3" t="s">
        <v>69</v>
      </c>
      <c r="C23" s="9">
        <f>'A320 Basic Inputs'!C17</f>
        <v>0.62</v>
      </c>
      <c r="D23" s="3" t="s">
        <v>59</v>
      </c>
    </row>
    <row r="24" spans="1:5">
      <c r="A24" s="38" t="s">
        <v>72</v>
      </c>
      <c r="B24" s="8" t="s">
        <v>101</v>
      </c>
      <c r="C24" s="9">
        <f>'A320 Basic Inputs'!C18</f>
        <v>1800</v>
      </c>
      <c r="D24" s="8" t="s">
        <v>56</v>
      </c>
      <c r="E24" t="s">
        <v>102</v>
      </c>
    </row>
    <row r="25" spans="1:5">
      <c r="A25" s="38"/>
      <c r="B25" s="8" t="s">
        <v>103</v>
      </c>
      <c r="C25" s="9">
        <f>C24*L8/L7</f>
        <v>9.1440000000000001</v>
      </c>
      <c r="D25" s="8" t="s">
        <v>91</v>
      </c>
    </row>
    <row r="26" spans="1:5">
      <c r="A26" s="38"/>
      <c r="B26" s="8" t="s">
        <v>61</v>
      </c>
      <c r="C26" s="9">
        <f>'A320 Basic Inputs'!C19</f>
        <v>12</v>
      </c>
      <c r="D26" s="8" t="s">
        <v>62</v>
      </c>
      <c r="E26" t="s">
        <v>104</v>
      </c>
    </row>
    <row r="27" spans="1:5">
      <c r="A27" s="35" t="s">
        <v>73</v>
      </c>
      <c r="B27" s="3" t="s">
        <v>105</v>
      </c>
      <c r="C27" s="9">
        <f>'A320 Basic Inputs'!C20</f>
        <v>0</v>
      </c>
      <c r="D27" s="3" t="s">
        <v>44</v>
      </c>
      <c r="E27" t="s">
        <v>106</v>
      </c>
    </row>
    <row r="28" spans="1:5">
      <c r="A28" s="43"/>
      <c r="B28" s="3" t="s">
        <v>107</v>
      </c>
      <c r="C28" s="9">
        <f>C27*L8</f>
        <v>0</v>
      </c>
      <c r="D28" s="3" t="s">
        <v>84</v>
      </c>
    </row>
    <row r="29" spans="1:5">
      <c r="A29" s="43"/>
      <c r="B29" s="3" t="s">
        <v>75</v>
      </c>
      <c r="C29" s="9">
        <f>'A320 Basic Inputs'!C21</f>
        <v>5100</v>
      </c>
      <c r="D29" s="3" t="s">
        <v>44</v>
      </c>
    </row>
    <row r="30" spans="1:5">
      <c r="A30" s="36"/>
      <c r="B30" s="3" t="s">
        <v>75</v>
      </c>
      <c r="C30" s="9">
        <f>C29*L8</f>
        <v>1554.48</v>
      </c>
      <c r="D30" s="3" t="s">
        <v>84</v>
      </c>
      <c r="E30" t="s">
        <v>92</v>
      </c>
    </row>
    <row r="32" spans="1:5">
      <c r="A32" s="42" t="s">
        <v>108</v>
      </c>
      <c r="B32" s="42"/>
    </row>
    <row r="33" spans="1:5">
      <c r="B33" s="1" t="s">
        <v>109</v>
      </c>
      <c r="C33">
        <v>1.4E-2</v>
      </c>
      <c r="E33" t="s">
        <v>225</v>
      </c>
    </row>
    <row r="34" spans="1:5">
      <c r="A34" s="1"/>
      <c r="B34" s="25"/>
    </row>
    <row r="35" spans="1:5">
      <c r="A35" s="1"/>
    </row>
    <row r="36" spans="1:5">
      <c r="A36" s="1"/>
      <c r="C36" s="1"/>
      <c r="D36"/>
    </row>
    <row r="37" spans="1:5">
      <c r="A37" s="1"/>
      <c r="C37" s="1"/>
      <c r="D37"/>
    </row>
    <row r="38" spans="1:5">
      <c r="A38" s="1"/>
      <c r="C38" s="1"/>
      <c r="D38"/>
    </row>
    <row r="39" spans="1:5">
      <c r="D39"/>
    </row>
    <row r="40" spans="1:5">
      <c r="D40"/>
    </row>
  </sheetData>
  <mergeCells count="8">
    <mergeCell ref="A32:B32"/>
    <mergeCell ref="A24:A26"/>
    <mergeCell ref="A27:A30"/>
    <mergeCell ref="A1:E1"/>
    <mergeCell ref="A3:A7"/>
    <mergeCell ref="A8:A14"/>
    <mergeCell ref="A15:A17"/>
    <mergeCell ref="A18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0F3D5-7FDA-485E-A8B6-DE79360C44DD}">
  <dimension ref="A1:V67"/>
  <sheetViews>
    <sheetView tabSelected="1" topLeftCell="B42" zoomScale="83" workbookViewId="0">
      <selection activeCell="E38" sqref="E38"/>
    </sheetView>
  </sheetViews>
  <sheetFormatPr defaultColWidth="8.77734375" defaultRowHeight="14.4"/>
  <cols>
    <col min="1" max="1" width="14.77734375" customWidth="1"/>
    <col min="2" max="2" width="38.44140625" bestFit="1" customWidth="1"/>
    <col min="3" max="4" width="23.77734375" customWidth="1"/>
    <col min="5" max="5" width="58.109375" customWidth="1"/>
  </cols>
  <sheetData>
    <row r="1" spans="1:21">
      <c r="A1" s="37" t="s">
        <v>110</v>
      </c>
      <c r="B1" s="37"/>
      <c r="C1" s="37"/>
      <c r="D1" s="37"/>
      <c r="E1" s="37"/>
    </row>
    <row r="2" spans="1:21">
      <c r="A2" s="11"/>
      <c r="B2" s="12" t="s">
        <v>111</v>
      </c>
      <c r="C2" s="12" t="s">
        <v>26</v>
      </c>
      <c r="D2" s="12" t="s">
        <v>27</v>
      </c>
      <c r="E2" s="10" t="s">
        <v>28</v>
      </c>
    </row>
    <row r="3" spans="1:21">
      <c r="A3" s="39" t="s">
        <v>29</v>
      </c>
      <c r="B3" s="8" t="s">
        <v>30</v>
      </c>
      <c r="C3" s="9">
        <f>Inputs!C3</f>
        <v>0.78500000000000003</v>
      </c>
      <c r="D3" s="8" t="s">
        <v>31</v>
      </c>
      <c r="E3" t="s">
        <v>112</v>
      </c>
      <c r="H3" s="19" t="s">
        <v>78</v>
      </c>
      <c r="I3" s="7"/>
      <c r="P3" s="19" t="s">
        <v>113</v>
      </c>
      <c r="Q3" s="7"/>
    </row>
    <row r="4" spans="1:21">
      <c r="A4" s="39"/>
      <c r="B4" s="8" t="s">
        <v>33</v>
      </c>
      <c r="C4" s="9">
        <f>Inputs!C4</f>
        <v>1.8721329360400001</v>
      </c>
      <c r="D4" s="8" t="s">
        <v>34</v>
      </c>
      <c r="E4" t="s">
        <v>112</v>
      </c>
    </row>
    <row r="5" spans="1:21">
      <c r="A5" s="39"/>
      <c r="B5" s="8" t="s">
        <v>36</v>
      </c>
      <c r="C5" s="9">
        <f>Inputs!C5/L5</f>
        <v>1.1722222222222222E-2</v>
      </c>
      <c r="D5" s="8" t="s">
        <v>114</v>
      </c>
      <c r="I5" t="s">
        <v>79</v>
      </c>
      <c r="L5">
        <f>1*60*60</f>
        <v>3600</v>
      </c>
      <c r="M5" t="s">
        <v>80</v>
      </c>
      <c r="P5" t="s">
        <v>115</v>
      </c>
      <c r="U5">
        <v>1</v>
      </c>
    </row>
    <row r="6" spans="1:21">
      <c r="A6" s="39"/>
      <c r="B6" s="8" t="s">
        <v>116</v>
      </c>
      <c r="C6" s="9">
        <f>U5/(U6*U9*U7)</f>
        <v>4.1269359529499013E-2</v>
      </c>
      <c r="D6" s="9"/>
      <c r="E6" t="s">
        <v>217</v>
      </c>
      <c r="I6" t="s">
        <v>81</v>
      </c>
      <c r="L6">
        <v>60</v>
      </c>
      <c r="M6" t="s">
        <v>80</v>
      </c>
      <c r="P6" t="s">
        <v>118</v>
      </c>
      <c r="U6">
        <f>PI()</f>
        <v>3.1415926535897931</v>
      </c>
    </row>
    <row r="7" spans="1:21">
      <c r="A7" s="44" t="s">
        <v>119</v>
      </c>
      <c r="B7" s="3" t="s">
        <v>43</v>
      </c>
      <c r="C7" s="2">
        <f>Inputs!C9</f>
        <v>0</v>
      </c>
      <c r="D7" s="3" t="s">
        <v>84</v>
      </c>
      <c r="E7" t="s">
        <v>120</v>
      </c>
      <c r="I7" t="s">
        <v>83</v>
      </c>
      <c r="L7">
        <v>0.30480000000000002</v>
      </c>
      <c r="M7" t="s">
        <v>84</v>
      </c>
      <c r="P7" t="s">
        <v>121</v>
      </c>
      <c r="U7">
        <f>Inputs!C6</f>
        <v>10.3</v>
      </c>
    </row>
    <row r="8" spans="1:21">
      <c r="A8" s="44"/>
      <c r="B8" s="3" t="s">
        <v>122</v>
      </c>
      <c r="C8" s="2">
        <f>C7*($L$21/($L$21+C7))</f>
        <v>0</v>
      </c>
      <c r="D8" s="3" t="s">
        <v>84</v>
      </c>
      <c r="I8" t="s">
        <v>123</v>
      </c>
      <c r="L8">
        <v>1000</v>
      </c>
      <c r="M8" t="s">
        <v>124</v>
      </c>
      <c r="P8" s="20" t="s">
        <v>125</v>
      </c>
    </row>
    <row r="9" spans="1:21">
      <c r="A9" s="44"/>
      <c r="B9" s="3" t="s">
        <v>126</v>
      </c>
      <c r="C9" s="2">
        <f>L14*((L17+(C8*L18))/L17)^(U19)</f>
        <v>1.2250000000000001</v>
      </c>
      <c r="D9" s="3" t="s">
        <v>127</v>
      </c>
      <c r="E9" t="s">
        <v>216</v>
      </c>
      <c r="P9" t="s">
        <v>129</v>
      </c>
      <c r="U9">
        <f>U17</f>
        <v>0.74883334263858348</v>
      </c>
    </row>
    <row r="10" spans="1:21">
      <c r="A10" s="44"/>
      <c r="B10" s="3" t="s">
        <v>46</v>
      </c>
      <c r="C10" s="2">
        <f>Inputs!C10</f>
        <v>73900</v>
      </c>
      <c r="D10" s="3" t="s">
        <v>47</v>
      </c>
      <c r="E10" t="s">
        <v>112</v>
      </c>
    </row>
    <row r="11" spans="1:21">
      <c r="A11" s="44"/>
      <c r="B11" s="3" t="s">
        <v>49</v>
      </c>
      <c r="C11" s="2">
        <f>Inputs!C12</f>
        <v>59.161106000000004</v>
      </c>
      <c r="D11" s="3" t="s">
        <v>91</v>
      </c>
      <c r="E11" t="s">
        <v>112</v>
      </c>
      <c r="P11" t="s">
        <v>130</v>
      </c>
      <c r="U11">
        <f>1.78</f>
        <v>1.78</v>
      </c>
    </row>
    <row r="12" spans="1:21">
      <c r="A12" s="44"/>
      <c r="B12" s="3" t="s">
        <v>52</v>
      </c>
      <c r="C12" s="2">
        <f>Inputs!C14</f>
        <v>1798.3200000000002</v>
      </c>
      <c r="D12" s="3" t="s">
        <v>84</v>
      </c>
      <c r="E12" t="s">
        <v>112</v>
      </c>
      <c r="H12" s="19" t="s">
        <v>131</v>
      </c>
      <c r="I12" s="7"/>
      <c r="P12" t="s">
        <v>132</v>
      </c>
      <c r="U12">
        <f>1</f>
        <v>1</v>
      </c>
    </row>
    <row r="13" spans="1:21">
      <c r="A13" s="44"/>
      <c r="B13" s="3" t="s">
        <v>133</v>
      </c>
      <c r="C13" s="2">
        <f>((1.2/C11)^2)*((2*(C10/Inputs!C7^2))/C9)</f>
        <v>3.3025342345095673E-3</v>
      </c>
      <c r="D13" s="3"/>
      <c r="I13" t="s">
        <v>134</v>
      </c>
      <c r="L13">
        <f>PI()</f>
        <v>3.1415926535897931</v>
      </c>
      <c r="P13" t="s">
        <v>135</v>
      </c>
      <c r="U13">
        <f>0.045</f>
        <v>4.4999999999999998E-2</v>
      </c>
    </row>
    <row r="14" spans="1:21">
      <c r="A14" s="44"/>
      <c r="B14" s="3" t="s">
        <v>136</v>
      </c>
      <c r="C14" s="2">
        <f>(1.21/C12)*((C10/Inputs!C7)/(C9*L19*C13*(1/C10)))</f>
        <v>755462.14961598127</v>
      </c>
      <c r="D14" s="3" t="s">
        <v>137</v>
      </c>
      <c r="I14" t="s">
        <v>138</v>
      </c>
      <c r="L14">
        <v>1.2250000000000001</v>
      </c>
      <c r="M14" t="s">
        <v>127</v>
      </c>
      <c r="P14" t="s">
        <v>139</v>
      </c>
      <c r="U14">
        <f>0.68</f>
        <v>0.68</v>
      </c>
    </row>
    <row r="15" spans="1:21">
      <c r="A15" s="44"/>
      <c r="B15" s="3" t="s">
        <v>140</v>
      </c>
      <c r="C15" s="2">
        <f>C14*C11</f>
        <v>44693976.31241893</v>
      </c>
      <c r="D15" s="3" t="s">
        <v>141</v>
      </c>
      <c r="E15" s="18"/>
    </row>
    <row r="16" spans="1:21">
      <c r="A16" s="44"/>
      <c r="B16" s="3" t="s">
        <v>142</v>
      </c>
      <c r="C16" s="2">
        <f>C15/(1000*1000)</f>
        <v>44.693976312418933</v>
      </c>
      <c r="D16" s="3" t="s">
        <v>143</v>
      </c>
      <c r="E16" t="s">
        <v>218</v>
      </c>
      <c r="I16" t="s">
        <v>145</v>
      </c>
      <c r="L16">
        <v>340.29</v>
      </c>
      <c r="M16" t="s">
        <v>91</v>
      </c>
      <c r="P16" t="s">
        <v>146</v>
      </c>
      <c r="U16">
        <f>0.64</f>
        <v>0.64</v>
      </c>
    </row>
    <row r="17" spans="1:22">
      <c r="A17" s="44"/>
      <c r="B17" s="3" t="s">
        <v>147</v>
      </c>
      <c r="C17" s="2">
        <f>C12/(C11/(1.1*3))</f>
        <v>100.31009224202131</v>
      </c>
      <c r="D17" s="3" t="s">
        <v>148</v>
      </c>
      <c r="E17" t="s">
        <v>149</v>
      </c>
      <c r="I17" t="s">
        <v>150</v>
      </c>
      <c r="L17">
        <v>288</v>
      </c>
      <c r="M17" t="s">
        <v>116</v>
      </c>
      <c r="P17" t="s">
        <v>151</v>
      </c>
      <c r="U17">
        <f>U11*(U12-(U13*(U7^U14)))-U16</f>
        <v>0.74883334263858348</v>
      </c>
    </row>
    <row r="18" spans="1:22">
      <c r="A18" s="44"/>
      <c r="B18" s="3" t="s">
        <v>152</v>
      </c>
      <c r="C18" s="2">
        <f>C19/C3</f>
        <v>1131.6122321099533</v>
      </c>
      <c r="D18" s="3" t="s">
        <v>153</v>
      </c>
      <c r="E18" t="s">
        <v>154</v>
      </c>
      <c r="I18" t="s">
        <v>155</v>
      </c>
      <c r="L18">
        <v>-6.4999999999999997E-3</v>
      </c>
      <c r="M18" t="s">
        <v>156</v>
      </c>
    </row>
    <row r="19" spans="1:22">
      <c r="A19" s="44"/>
      <c r="B19" s="3" t="s">
        <v>152</v>
      </c>
      <c r="C19" s="2">
        <f>C5*C16*L8*C17/C11</f>
        <v>888.31560220631332</v>
      </c>
      <c r="D19" s="3" t="s">
        <v>47</v>
      </c>
      <c r="E19" t="s">
        <v>157</v>
      </c>
      <c r="I19" t="s">
        <v>158</v>
      </c>
      <c r="L19">
        <v>9.8066499999999994</v>
      </c>
      <c r="M19" t="s">
        <v>159</v>
      </c>
      <c r="P19" t="s">
        <v>160</v>
      </c>
      <c r="U19">
        <f>-((L19/(L18*L20))+1)</f>
        <v>4.2586803228141683</v>
      </c>
    </row>
    <row r="20" spans="1:22">
      <c r="A20" s="47" t="s">
        <v>54</v>
      </c>
      <c r="B20" s="8" t="s">
        <v>161</v>
      </c>
      <c r="C20" s="9">
        <f>C10-C19</f>
        <v>73011.684397793681</v>
      </c>
      <c r="D20" s="8" t="s">
        <v>47</v>
      </c>
      <c r="E20" t="s">
        <v>162</v>
      </c>
      <c r="I20" t="s">
        <v>163</v>
      </c>
      <c r="L20">
        <v>286.89999999999998</v>
      </c>
      <c r="M20" t="s">
        <v>164</v>
      </c>
    </row>
    <row r="21" spans="1:22" ht="14.55" customHeight="1">
      <c r="A21" s="47"/>
      <c r="B21" s="8" t="s">
        <v>165</v>
      </c>
      <c r="C21" s="9">
        <f>Inputs!C25</f>
        <v>9.1440000000000001</v>
      </c>
      <c r="D21" s="8" t="s">
        <v>91</v>
      </c>
      <c r="I21" t="s">
        <v>166</v>
      </c>
      <c r="L21">
        <v>6371000</v>
      </c>
      <c r="M21" t="s">
        <v>84</v>
      </c>
    </row>
    <row r="22" spans="1:22">
      <c r="A22" s="47"/>
      <c r="B22" s="8" t="s">
        <v>61</v>
      </c>
      <c r="C22" s="22">
        <f>Inputs!C17</f>
        <v>12</v>
      </c>
      <c r="D22" s="8" t="s">
        <v>62</v>
      </c>
      <c r="E22" t="s">
        <v>112</v>
      </c>
    </row>
    <row r="23" spans="1:22">
      <c r="A23" s="47"/>
      <c r="B23" s="8" t="s">
        <v>167</v>
      </c>
      <c r="C23" s="9">
        <f>C35-C7</f>
        <v>6096</v>
      </c>
      <c r="D23" s="8" t="s">
        <v>84</v>
      </c>
      <c r="E23" t="s">
        <v>168</v>
      </c>
    </row>
    <row r="24" spans="1:22">
      <c r="A24" s="47"/>
      <c r="B24" s="8" t="s">
        <v>169</v>
      </c>
      <c r="C24" s="22">
        <f>C23/TAN(C22*0.01745329)</f>
        <v>28679.429411793219</v>
      </c>
      <c r="D24" s="8" t="s">
        <v>84</v>
      </c>
      <c r="E24" t="s">
        <v>170</v>
      </c>
    </row>
    <row r="25" spans="1:22">
      <c r="A25" s="47"/>
      <c r="B25" s="8" t="s">
        <v>171</v>
      </c>
      <c r="C25" s="9">
        <f>0.5*C37*((C29)^3)*Inputs!C7*Inputs!C33</f>
        <v>21184036.041340575</v>
      </c>
      <c r="D25" s="8" t="s">
        <v>172</v>
      </c>
    </row>
    <row r="26" spans="1:22">
      <c r="A26" s="47"/>
      <c r="B26" s="8" t="s">
        <v>173</v>
      </c>
      <c r="C26" s="26">
        <f>(2*C6*(C20^2))/(C37*C29*Inputs!C7)</f>
        <v>16382.239705977921</v>
      </c>
      <c r="D26" s="8" t="s">
        <v>172</v>
      </c>
    </row>
    <row r="27" spans="1:22">
      <c r="A27" s="47"/>
      <c r="B27" s="8" t="s">
        <v>174</v>
      </c>
      <c r="C27" s="26">
        <f>C20*C21</f>
        <v>667618.84213342541</v>
      </c>
      <c r="D27" s="8" t="s">
        <v>172</v>
      </c>
    </row>
    <row r="28" spans="1:22">
      <c r="A28" s="47"/>
      <c r="B28" s="8" t="s">
        <v>175</v>
      </c>
      <c r="C28" s="26">
        <f>C25+C26+C27</f>
        <v>21868037.123179976</v>
      </c>
      <c r="D28" s="8" t="s">
        <v>141</v>
      </c>
    </row>
    <row r="29" spans="1:22">
      <c r="A29" s="47"/>
      <c r="B29" s="8" t="s">
        <v>176</v>
      </c>
      <c r="C29" s="9">
        <f>Inputs!C16*C38</f>
        <v>335.67634773779554</v>
      </c>
      <c r="D29" s="8" t="s">
        <v>91</v>
      </c>
      <c r="E29" s="18" t="s">
        <v>219</v>
      </c>
    </row>
    <row r="30" spans="1:22">
      <c r="A30" s="47"/>
      <c r="B30" s="8" t="s">
        <v>142</v>
      </c>
      <c r="C30" s="9">
        <f>(C28)/(1000*1000)</f>
        <v>21.868037123179977</v>
      </c>
      <c r="D30" s="8" t="s">
        <v>143</v>
      </c>
      <c r="E30" t="s">
        <v>220</v>
      </c>
    </row>
    <row r="31" spans="1:22">
      <c r="A31" s="47"/>
      <c r="B31" s="8" t="s">
        <v>147</v>
      </c>
      <c r="C31" s="9">
        <f>C23/C21</f>
        <v>666.66666666666663</v>
      </c>
      <c r="D31" s="8" t="s">
        <v>80</v>
      </c>
      <c r="E31" t="s">
        <v>179</v>
      </c>
      <c r="V31" s="25"/>
    </row>
    <row r="32" spans="1:22">
      <c r="A32" s="47"/>
      <c r="B32" s="8" t="s">
        <v>152</v>
      </c>
      <c r="C32" s="9">
        <f>C33/C3</f>
        <v>4951.921300456941</v>
      </c>
      <c r="D32" s="8" t="s">
        <v>153</v>
      </c>
      <c r="E32" t="s">
        <v>179</v>
      </c>
    </row>
    <row r="33" spans="1:7">
      <c r="A33" s="47"/>
      <c r="B33" s="8" t="s">
        <v>152</v>
      </c>
      <c r="C33" s="22">
        <f>C5*C30*L8*C31/(C21/SIN(C22*22/(7*180)))</f>
        <v>3887.2582208586987</v>
      </c>
      <c r="D33" s="8" t="s">
        <v>47</v>
      </c>
      <c r="E33" t="s">
        <v>179</v>
      </c>
    </row>
    <row r="34" spans="1:7">
      <c r="A34" s="48" t="s">
        <v>64</v>
      </c>
      <c r="B34" s="3" t="s">
        <v>180</v>
      </c>
      <c r="C34" s="2">
        <f>C20-C33</f>
        <v>69124.426176934983</v>
      </c>
      <c r="D34" s="3" t="s">
        <v>47</v>
      </c>
      <c r="E34" t="s">
        <v>162</v>
      </c>
    </row>
    <row r="35" spans="1:7">
      <c r="A35" s="48"/>
      <c r="B35" s="3" t="s">
        <v>65</v>
      </c>
      <c r="C35" s="2">
        <f>Inputs!C19</f>
        <v>6096</v>
      </c>
      <c r="D35" s="3" t="s">
        <v>84</v>
      </c>
      <c r="E35" t="s">
        <v>120</v>
      </c>
    </row>
    <row r="36" spans="1:7">
      <c r="A36" s="48"/>
      <c r="B36" s="3" t="s">
        <v>122</v>
      </c>
      <c r="C36" s="2">
        <f>C35*($L$21/($L$21+C35))</f>
        <v>6090.1727055700585</v>
      </c>
      <c r="D36" s="3" t="s">
        <v>84</v>
      </c>
    </row>
    <row r="37" spans="1:7">
      <c r="A37" s="48"/>
      <c r="B37" s="3" t="s">
        <v>126</v>
      </c>
      <c r="C37" s="2">
        <f>L14*((L17+(L18*C36))/L17)^(U19)</f>
        <v>0.65261638401340683</v>
      </c>
      <c r="D37" s="3" t="s">
        <v>127</v>
      </c>
      <c r="E37" t="s">
        <v>224</v>
      </c>
      <c r="F37" s="6" t="s">
        <v>223</v>
      </c>
    </row>
    <row r="38" spans="1:7" ht="15">
      <c r="A38" s="48"/>
      <c r="B38" s="3" t="s">
        <v>181</v>
      </c>
      <c r="C38" s="27">
        <f>L16*SQRT(L14/C37)</f>
        <v>466.21714963582718</v>
      </c>
      <c r="D38" s="3" t="s">
        <v>91</v>
      </c>
      <c r="E38" t="s">
        <v>222</v>
      </c>
      <c r="G38" s="18"/>
    </row>
    <row r="39" spans="1:7">
      <c r="A39" s="48"/>
      <c r="B39" s="3" t="s">
        <v>67</v>
      </c>
      <c r="C39" s="2">
        <f>Inputs!C22</f>
        <v>555600</v>
      </c>
      <c r="D39" s="3" t="s">
        <v>84</v>
      </c>
    </row>
    <row r="40" spans="1:7">
      <c r="A40" s="48"/>
      <c r="B40" s="3" t="s">
        <v>183</v>
      </c>
      <c r="C40" s="2">
        <f>Inputs!C23*C38</f>
        <v>289.05463277421285</v>
      </c>
      <c r="D40" s="3" t="s">
        <v>91</v>
      </c>
    </row>
    <row r="41" spans="1:7">
      <c r="A41" s="48"/>
      <c r="B41" s="3" t="s">
        <v>171</v>
      </c>
      <c r="C41" s="2">
        <f>0.5*C37*(C40^3)*Inputs!C7*Inputs!C33</f>
        <v>13526526.442634968</v>
      </c>
      <c r="D41" s="3" t="s">
        <v>172</v>
      </c>
    </row>
    <row r="42" spans="1:7">
      <c r="A42" s="48"/>
      <c r="B42" s="3" t="s">
        <v>173</v>
      </c>
      <c r="C42" s="2">
        <f>(2*C6*(C34^2))/(C37*C40*Inputs!C7)</f>
        <v>17052.671492078513</v>
      </c>
      <c r="D42" s="3" t="s">
        <v>172</v>
      </c>
      <c r="E42" s="25"/>
    </row>
    <row r="43" spans="1:7">
      <c r="A43" s="48"/>
      <c r="B43" s="3" t="s">
        <v>140</v>
      </c>
      <c r="C43" s="2">
        <f>C42+C41</f>
        <v>13543579.114127047</v>
      </c>
      <c r="D43" s="3" t="s">
        <v>141</v>
      </c>
      <c r="E43" s="25"/>
    </row>
    <row r="44" spans="1:7">
      <c r="A44" s="48"/>
      <c r="B44" s="3" t="s">
        <v>142</v>
      </c>
      <c r="C44" s="2">
        <f>(C42+C41)/(1000000)</f>
        <v>13.543579114127047</v>
      </c>
      <c r="D44" s="3" t="s">
        <v>143</v>
      </c>
      <c r="E44" t="s">
        <v>221</v>
      </c>
    </row>
    <row r="45" spans="1:7">
      <c r="A45" s="48"/>
      <c r="B45" s="3" t="s">
        <v>185</v>
      </c>
      <c r="C45" s="2">
        <f>C39/C40</f>
        <v>1922.1279889812104</v>
      </c>
      <c r="D45" s="3" t="s">
        <v>80</v>
      </c>
      <c r="E45" t="s">
        <v>179</v>
      </c>
    </row>
    <row r="46" spans="1:7">
      <c r="A46" s="48"/>
      <c r="B46" s="3" t="s">
        <v>152</v>
      </c>
      <c r="C46" s="2">
        <f>C47/C3</f>
        <v>1344.8570092595382</v>
      </c>
      <c r="D46" s="3" t="s">
        <v>153</v>
      </c>
      <c r="E46" t="s">
        <v>179</v>
      </c>
    </row>
    <row r="47" spans="1:7">
      <c r="A47" s="48"/>
      <c r="B47" s="3" t="s">
        <v>152</v>
      </c>
      <c r="C47" s="21">
        <f>C45*C44*L8*C5/C40</f>
        <v>1055.7127522687376</v>
      </c>
      <c r="D47" s="3" t="s">
        <v>47</v>
      </c>
      <c r="E47" t="s">
        <v>179</v>
      </c>
    </row>
    <row r="48" spans="1:7">
      <c r="A48" s="47" t="s">
        <v>72</v>
      </c>
      <c r="B48" s="8" t="s">
        <v>186</v>
      </c>
      <c r="C48" s="9">
        <f>C34-C47</f>
        <v>68068.713424666246</v>
      </c>
      <c r="D48" s="8" t="s">
        <v>47</v>
      </c>
      <c r="E48" t="s">
        <v>162</v>
      </c>
    </row>
    <row r="49" spans="1:5">
      <c r="A49" s="47"/>
      <c r="B49" s="8" t="s">
        <v>55</v>
      </c>
      <c r="C49" s="9">
        <f>Inputs!C25</f>
        <v>9.1440000000000001</v>
      </c>
      <c r="D49" s="8" t="s">
        <v>91</v>
      </c>
    </row>
    <row r="50" spans="1:5">
      <c r="A50" s="47"/>
      <c r="B50" s="8" t="s">
        <v>61</v>
      </c>
      <c r="C50" s="9">
        <f>Inputs!C26</f>
        <v>12</v>
      </c>
      <c r="D50" s="8" t="s">
        <v>62</v>
      </c>
      <c r="E50" t="s">
        <v>112</v>
      </c>
    </row>
    <row r="51" spans="1:5">
      <c r="A51" s="47"/>
      <c r="B51" s="8" t="s">
        <v>167</v>
      </c>
      <c r="C51" s="9">
        <f>C35-C59</f>
        <v>6096</v>
      </c>
      <c r="D51" s="8" t="s">
        <v>84</v>
      </c>
      <c r="E51" t="s">
        <v>187</v>
      </c>
    </row>
    <row r="52" spans="1:5">
      <c r="A52" s="47"/>
      <c r="B52" s="8" t="s">
        <v>169</v>
      </c>
      <c r="C52" s="22">
        <f>C51/TAN(C50*0.01746)</f>
        <v>28668.078609962133</v>
      </c>
      <c r="D52" s="24" t="s">
        <v>84</v>
      </c>
      <c r="E52" t="s">
        <v>170</v>
      </c>
    </row>
    <row r="53" spans="1:5">
      <c r="A53" s="47"/>
      <c r="B53" s="8" t="s">
        <v>140</v>
      </c>
      <c r="C53" s="22">
        <f>C43</f>
        <v>13543579.114127047</v>
      </c>
      <c r="D53" s="24" t="s">
        <v>172</v>
      </c>
    </row>
    <row r="54" spans="1:5">
      <c r="A54" s="47"/>
      <c r="B54" s="8" t="s">
        <v>142</v>
      </c>
      <c r="C54" s="9">
        <f>C44</f>
        <v>13.543579114127047</v>
      </c>
      <c r="D54" s="8" t="s">
        <v>143</v>
      </c>
      <c r="E54" t="s">
        <v>188</v>
      </c>
    </row>
    <row r="55" spans="1:5">
      <c r="A55" s="47"/>
      <c r="B55" s="8" t="s">
        <v>147</v>
      </c>
      <c r="C55" s="9">
        <f>C51/C49</f>
        <v>666.66666666666663</v>
      </c>
      <c r="D55" s="8" t="s">
        <v>80</v>
      </c>
      <c r="E55" t="s">
        <v>179</v>
      </c>
    </row>
    <row r="56" spans="1:5">
      <c r="A56" s="47"/>
      <c r="B56" s="8" t="s">
        <v>152</v>
      </c>
      <c r="C56" s="9">
        <f>C57/C3</f>
        <v>3066.8842165344208</v>
      </c>
      <c r="D56" s="8" t="s">
        <v>153</v>
      </c>
      <c r="E56" t="s">
        <v>179</v>
      </c>
    </row>
    <row r="57" spans="1:5">
      <c r="A57" s="47"/>
      <c r="B57" s="8" t="s">
        <v>152</v>
      </c>
      <c r="C57" s="22">
        <f>C54*C55*L8*C5/(C49/SIN(C50*22/(180*7)))</f>
        <v>2407.5041099795203</v>
      </c>
      <c r="D57" s="8" t="s">
        <v>47</v>
      </c>
      <c r="E57" t="s">
        <v>179</v>
      </c>
    </row>
    <row r="58" spans="1:5">
      <c r="A58" s="44" t="s">
        <v>73</v>
      </c>
      <c r="B58" s="3" t="s">
        <v>189</v>
      </c>
      <c r="C58" s="2">
        <f>C48-C57</f>
        <v>65661.209314686726</v>
      </c>
      <c r="D58" s="3" t="s">
        <v>47</v>
      </c>
      <c r="E58" t="s">
        <v>162</v>
      </c>
    </row>
    <row r="59" spans="1:5">
      <c r="A59" s="44"/>
      <c r="B59" s="3" t="s">
        <v>74</v>
      </c>
      <c r="C59" s="2">
        <f>Inputs!C28</f>
        <v>0</v>
      </c>
      <c r="D59" s="3" t="s">
        <v>84</v>
      </c>
      <c r="E59" t="s">
        <v>120</v>
      </c>
    </row>
    <row r="60" spans="1:5">
      <c r="A60" s="44"/>
      <c r="B60" s="3" t="s">
        <v>75</v>
      </c>
      <c r="C60" s="2">
        <f>Inputs!C30</f>
        <v>1554.48</v>
      </c>
      <c r="D60" s="3" t="s">
        <v>84</v>
      </c>
      <c r="E60" t="s">
        <v>112</v>
      </c>
    </row>
    <row r="61" spans="1:5">
      <c r="A61" s="44"/>
      <c r="B61" s="3" t="s">
        <v>142</v>
      </c>
      <c r="C61" s="2">
        <v>0</v>
      </c>
      <c r="D61" s="3" t="s">
        <v>141</v>
      </c>
      <c r="E61" t="s">
        <v>190</v>
      </c>
    </row>
    <row r="62" spans="1:5">
      <c r="A62" s="44"/>
      <c r="B62" s="3" t="s">
        <v>147</v>
      </c>
      <c r="C62" s="2">
        <f>C60/(C11*1.23/(1.1*3))</f>
        <v>70.494897400345707</v>
      </c>
      <c r="D62" s="3" t="s">
        <v>148</v>
      </c>
      <c r="E62" t="s">
        <v>191</v>
      </c>
    </row>
    <row r="63" spans="1:5">
      <c r="A63" s="44"/>
      <c r="B63" s="3" t="s">
        <v>152</v>
      </c>
      <c r="C63" s="2">
        <f>C60*C4/1852</f>
        <v>1.5713786211746541</v>
      </c>
      <c r="D63" s="3" t="s">
        <v>153</v>
      </c>
      <c r="E63" t="s">
        <v>192</v>
      </c>
    </row>
    <row r="64" spans="1:5">
      <c r="A64" s="44"/>
      <c r="B64" s="3" t="s">
        <v>152</v>
      </c>
      <c r="C64" s="2">
        <f>C63*C3</f>
        <v>1.2335322176221035</v>
      </c>
      <c r="D64" s="3" t="s">
        <v>47</v>
      </c>
      <c r="E64" t="s">
        <v>179</v>
      </c>
    </row>
    <row r="65" spans="1:5" ht="14.55" customHeight="1">
      <c r="A65" s="45" t="s">
        <v>193</v>
      </c>
      <c r="B65" s="8" t="s">
        <v>147</v>
      </c>
      <c r="C65" s="9">
        <f>C66*L6</f>
        <v>900</v>
      </c>
      <c r="D65" s="8" t="s">
        <v>194</v>
      </c>
    </row>
    <row r="66" spans="1:5">
      <c r="A66" s="46"/>
      <c r="B66" s="8" t="s">
        <v>195</v>
      </c>
      <c r="C66" s="8">
        <v>15</v>
      </c>
      <c r="D66" s="8" t="s">
        <v>196</v>
      </c>
      <c r="E66" t="s">
        <v>197</v>
      </c>
    </row>
    <row r="67" spans="1:5">
      <c r="A67" s="13"/>
      <c r="D67" s="1"/>
    </row>
  </sheetData>
  <mergeCells count="8">
    <mergeCell ref="A1:E1"/>
    <mergeCell ref="A7:A19"/>
    <mergeCell ref="A3:A6"/>
    <mergeCell ref="A65:A66"/>
    <mergeCell ref="A20:A33"/>
    <mergeCell ref="A34:A47"/>
    <mergeCell ref="A48:A57"/>
    <mergeCell ref="A58:A64"/>
  </mergeCells>
  <hyperlinks>
    <hyperlink ref="F37" r:id="rId1" xr:uid="{A8FB64C2-E90E-448A-AF10-EEE643DA3F8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241E-23EE-0445-AC57-8BB13DDD2537}">
  <dimension ref="A1:V67"/>
  <sheetViews>
    <sheetView topLeftCell="A8" zoomScale="68" workbookViewId="0">
      <selection activeCell="C11" sqref="C11"/>
    </sheetView>
  </sheetViews>
  <sheetFormatPr defaultColWidth="8.77734375" defaultRowHeight="14.4"/>
  <cols>
    <col min="1" max="1" width="14.77734375" customWidth="1"/>
    <col min="2" max="2" width="38.44140625" bestFit="1" customWidth="1"/>
    <col min="3" max="4" width="23.77734375" customWidth="1"/>
    <col min="5" max="5" width="58.109375" customWidth="1"/>
  </cols>
  <sheetData>
    <row r="1" spans="1:21">
      <c r="A1" s="37" t="s">
        <v>110</v>
      </c>
      <c r="B1" s="37"/>
      <c r="C1" s="37"/>
      <c r="D1" s="37"/>
      <c r="E1" s="37"/>
    </row>
    <row r="2" spans="1:21">
      <c r="A2" s="11"/>
      <c r="B2" s="12" t="s">
        <v>111</v>
      </c>
      <c r="C2" s="12" t="s">
        <v>26</v>
      </c>
      <c r="D2" s="12" t="s">
        <v>27</v>
      </c>
      <c r="E2" s="10" t="s">
        <v>28</v>
      </c>
    </row>
    <row r="3" spans="1:21">
      <c r="A3" s="39" t="s">
        <v>29</v>
      </c>
      <c r="B3" s="8" t="s">
        <v>30</v>
      </c>
      <c r="C3" s="9">
        <f>Inputs!C3</f>
        <v>0.78500000000000003</v>
      </c>
      <c r="D3" s="8" t="s">
        <v>31</v>
      </c>
      <c r="E3" t="s">
        <v>112</v>
      </c>
      <c r="H3" s="19" t="s">
        <v>78</v>
      </c>
      <c r="I3" s="7"/>
      <c r="P3" s="19" t="s">
        <v>113</v>
      </c>
      <c r="Q3" s="7"/>
    </row>
    <row r="4" spans="1:21">
      <c r="A4" s="39"/>
      <c r="B4" s="8" t="s">
        <v>33</v>
      </c>
      <c r="C4" s="9">
        <f>Inputs!C4</f>
        <v>1.8721329360400001</v>
      </c>
      <c r="D4" s="8" t="s">
        <v>34</v>
      </c>
      <c r="E4" t="s">
        <v>112</v>
      </c>
    </row>
    <row r="5" spans="1:21">
      <c r="A5" s="39"/>
      <c r="B5" s="8" t="s">
        <v>36</v>
      </c>
      <c r="C5" s="9">
        <f>Inputs!C5/L5</f>
        <v>1.1722222222222222E-2</v>
      </c>
      <c r="D5" s="8" t="s">
        <v>114</v>
      </c>
      <c r="I5" t="s">
        <v>79</v>
      </c>
      <c r="L5">
        <f>1*60*60</f>
        <v>3600</v>
      </c>
      <c r="M5" t="s">
        <v>80</v>
      </c>
      <c r="P5" t="s">
        <v>115</v>
      </c>
      <c r="U5">
        <v>1</v>
      </c>
    </row>
    <row r="6" spans="1:21">
      <c r="A6" s="39"/>
      <c r="B6" s="8" t="s">
        <v>116</v>
      </c>
      <c r="C6" s="9">
        <f>U5/(U6*U9*U7)</f>
        <v>4.1269359529499013E-2</v>
      </c>
      <c r="D6" s="9"/>
      <c r="E6" t="s">
        <v>117</v>
      </c>
      <c r="I6" t="s">
        <v>81</v>
      </c>
      <c r="L6">
        <v>60</v>
      </c>
      <c r="M6" t="s">
        <v>80</v>
      </c>
      <c r="P6" t="s">
        <v>118</v>
      </c>
      <c r="U6">
        <f>PI()</f>
        <v>3.1415926535897931</v>
      </c>
    </row>
    <row r="7" spans="1:21">
      <c r="A7" s="44" t="s">
        <v>119</v>
      </c>
      <c r="B7" s="3" t="s">
        <v>43</v>
      </c>
      <c r="C7" s="2">
        <f>Inputs!C9</f>
        <v>0</v>
      </c>
      <c r="D7" s="3" t="s">
        <v>84</v>
      </c>
      <c r="E7" t="s">
        <v>120</v>
      </c>
      <c r="I7" t="s">
        <v>83</v>
      </c>
      <c r="L7">
        <v>0.30480000000000002</v>
      </c>
      <c r="M7" t="s">
        <v>84</v>
      </c>
      <c r="P7" t="s">
        <v>121</v>
      </c>
      <c r="U7">
        <f>Inputs!C6</f>
        <v>10.3</v>
      </c>
    </row>
    <row r="8" spans="1:21">
      <c r="A8" s="44"/>
      <c r="B8" s="3" t="s">
        <v>122</v>
      </c>
      <c r="C8" s="2">
        <f>C7*($L$21/($L$21+C7))</f>
        <v>0</v>
      </c>
      <c r="D8" s="3" t="s">
        <v>84</v>
      </c>
      <c r="I8" t="s">
        <v>123</v>
      </c>
      <c r="L8">
        <v>1000</v>
      </c>
      <c r="M8" t="s">
        <v>124</v>
      </c>
      <c r="P8" s="20" t="s">
        <v>125</v>
      </c>
    </row>
    <row r="9" spans="1:21">
      <c r="A9" s="44"/>
      <c r="B9" s="3" t="s">
        <v>126</v>
      </c>
      <c r="C9" s="2">
        <f>L14*((L17+(C8*L18))/L17)^(U19)</f>
        <v>1.2250000000000001</v>
      </c>
      <c r="D9" s="3" t="s">
        <v>127</v>
      </c>
      <c r="E9" t="s">
        <v>128</v>
      </c>
      <c r="P9" t="s">
        <v>129</v>
      </c>
      <c r="U9">
        <f>U17</f>
        <v>0.74883334263858348</v>
      </c>
    </row>
    <row r="10" spans="1:21">
      <c r="A10" s="44"/>
      <c r="B10" s="3" t="s">
        <v>46</v>
      </c>
      <c r="C10" s="2">
        <f>Inputs!C10</f>
        <v>73900</v>
      </c>
      <c r="D10" s="3" t="s">
        <v>47</v>
      </c>
      <c r="E10" t="s">
        <v>112</v>
      </c>
    </row>
    <row r="11" spans="1:21">
      <c r="A11" s="44"/>
      <c r="B11" s="3" t="s">
        <v>49</v>
      </c>
      <c r="C11" s="2">
        <f>Inputs!C12</f>
        <v>59.161106000000004</v>
      </c>
      <c r="D11" s="3" t="s">
        <v>91</v>
      </c>
      <c r="E11" t="s">
        <v>112</v>
      </c>
      <c r="P11" t="s">
        <v>130</v>
      </c>
      <c r="U11">
        <f>1.78</f>
        <v>1.78</v>
      </c>
    </row>
    <row r="12" spans="1:21">
      <c r="A12" s="44"/>
      <c r="B12" s="3" t="s">
        <v>52</v>
      </c>
      <c r="C12" s="2">
        <f>Inputs!C14</f>
        <v>1798.3200000000002</v>
      </c>
      <c r="D12" s="3" t="s">
        <v>84</v>
      </c>
      <c r="E12" t="s">
        <v>112</v>
      </c>
      <c r="H12" s="19" t="s">
        <v>131</v>
      </c>
      <c r="I12" s="7"/>
      <c r="P12" t="s">
        <v>132</v>
      </c>
      <c r="U12">
        <f>1</f>
        <v>1</v>
      </c>
    </row>
    <row r="13" spans="1:21">
      <c r="A13" s="44"/>
      <c r="B13" s="3" t="s">
        <v>133</v>
      </c>
      <c r="C13" s="2">
        <f>((1.2/C11)^2)*((2*(C10/Inputs!C7^2))/C9)</f>
        <v>3.3025342345095673E-3</v>
      </c>
      <c r="D13" s="3"/>
      <c r="I13" t="s">
        <v>134</v>
      </c>
      <c r="L13">
        <f>PI()</f>
        <v>3.1415926535897931</v>
      </c>
      <c r="P13" t="s">
        <v>135</v>
      </c>
      <c r="U13">
        <f>0.045</f>
        <v>4.4999999999999998E-2</v>
      </c>
    </row>
    <row r="14" spans="1:21">
      <c r="A14" s="44"/>
      <c r="B14" s="3" t="s">
        <v>136</v>
      </c>
      <c r="C14" s="2">
        <f>(1.21/C12)*((C10/Inputs!C7)/(C9*L19*C13*(1/C10)))</f>
        <v>755462.14961598127</v>
      </c>
      <c r="D14" s="3" t="s">
        <v>137</v>
      </c>
      <c r="I14" t="s">
        <v>138</v>
      </c>
      <c r="L14">
        <v>1.2250000000000001</v>
      </c>
      <c r="M14" t="s">
        <v>127</v>
      </c>
      <c r="P14" t="s">
        <v>139</v>
      </c>
      <c r="U14">
        <f>0.68</f>
        <v>0.68</v>
      </c>
    </row>
    <row r="15" spans="1:21">
      <c r="A15" s="44"/>
      <c r="B15" s="3" t="s">
        <v>140</v>
      </c>
      <c r="C15" s="2">
        <f>C14*C11</f>
        <v>44693976.31241893</v>
      </c>
      <c r="D15" s="3" t="s">
        <v>141</v>
      </c>
      <c r="E15" s="18"/>
    </row>
    <row r="16" spans="1:21">
      <c r="A16" s="44"/>
      <c r="B16" s="3" t="s">
        <v>142</v>
      </c>
      <c r="C16" s="2">
        <f>C15/(1000*1000)</f>
        <v>44.693976312418933</v>
      </c>
      <c r="D16" s="3" t="s">
        <v>143</v>
      </c>
      <c r="E16" t="s">
        <v>144</v>
      </c>
      <c r="I16" t="s">
        <v>145</v>
      </c>
      <c r="L16">
        <v>340.29</v>
      </c>
      <c r="M16" t="s">
        <v>91</v>
      </c>
      <c r="P16" t="s">
        <v>146</v>
      </c>
      <c r="U16">
        <f>0.64</f>
        <v>0.64</v>
      </c>
    </row>
    <row r="17" spans="1:22">
      <c r="A17" s="44"/>
      <c r="B17" s="3" t="s">
        <v>147</v>
      </c>
      <c r="C17" s="2">
        <f>C12/(C11/(1.1*3))</f>
        <v>100.31009224202131</v>
      </c>
      <c r="D17" s="3" t="s">
        <v>148</v>
      </c>
      <c r="E17" t="s">
        <v>149</v>
      </c>
      <c r="I17" t="s">
        <v>150</v>
      </c>
      <c r="L17">
        <v>288</v>
      </c>
      <c r="M17" t="s">
        <v>116</v>
      </c>
      <c r="P17" t="s">
        <v>151</v>
      </c>
      <c r="U17">
        <f>U11*(U12-(U13*(U7^U14)))-U16</f>
        <v>0.74883334263858348</v>
      </c>
    </row>
    <row r="18" spans="1:22">
      <c r="A18" s="44"/>
      <c r="B18" s="3" t="s">
        <v>152</v>
      </c>
      <c r="C18" s="2">
        <f>C19/C3</f>
        <v>1131.6122321099533</v>
      </c>
      <c r="D18" s="3" t="s">
        <v>153</v>
      </c>
      <c r="E18" t="s">
        <v>154</v>
      </c>
      <c r="I18" t="s">
        <v>155</v>
      </c>
      <c r="L18">
        <v>-6.4999999999999997E-3</v>
      </c>
      <c r="M18" t="s">
        <v>156</v>
      </c>
    </row>
    <row r="19" spans="1:22">
      <c r="A19" s="44"/>
      <c r="B19" s="3" t="s">
        <v>152</v>
      </c>
      <c r="C19" s="2">
        <f>C5*C16*L8*C17/C11</f>
        <v>888.31560220631332</v>
      </c>
      <c r="D19" s="3" t="s">
        <v>47</v>
      </c>
      <c r="E19" t="s">
        <v>157</v>
      </c>
      <c r="I19" t="s">
        <v>158</v>
      </c>
      <c r="L19">
        <v>9.8066499999999994</v>
      </c>
      <c r="M19" t="s">
        <v>159</v>
      </c>
      <c r="P19" t="s">
        <v>160</v>
      </c>
      <c r="U19">
        <f>-((L19/(L18*L20))+1)</f>
        <v>4.2586803228141683</v>
      </c>
    </row>
    <row r="20" spans="1:22">
      <c r="A20" s="47" t="s">
        <v>54</v>
      </c>
      <c r="B20" s="8" t="s">
        <v>161</v>
      </c>
      <c r="C20" s="9">
        <v>73900</v>
      </c>
      <c r="D20" s="8" t="s">
        <v>47</v>
      </c>
      <c r="E20" t="s">
        <v>162</v>
      </c>
      <c r="I20" t="s">
        <v>163</v>
      </c>
      <c r="L20">
        <v>286.89999999999998</v>
      </c>
      <c r="M20" t="s">
        <v>164</v>
      </c>
    </row>
    <row r="21" spans="1:22" ht="14.55" customHeight="1">
      <c r="A21" s="47"/>
      <c r="B21" s="8" t="s">
        <v>165</v>
      </c>
      <c r="C21" s="9">
        <f>Inputs!C25</f>
        <v>9.1440000000000001</v>
      </c>
      <c r="D21" s="8" t="s">
        <v>91</v>
      </c>
      <c r="I21" t="s">
        <v>166</v>
      </c>
      <c r="L21">
        <v>6371000</v>
      </c>
      <c r="M21" t="s">
        <v>84</v>
      </c>
    </row>
    <row r="22" spans="1:22">
      <c r="A22" s="47"/>
      <c r="B22" s="8" t="s">
        <v>61</v>
      </c>
      <c r="C22" s="22">
        <f>Inputs!C17</f>
        <v>12</v>
      </c>
      <c r="D22" s="8" t="s">
        <v>62</v>
      </c>
      <c r="E22" t="s">
        <v>112</v>
      </c>
    </row>
    <row r="23" spans="1:22">
      <c r="A23" s="47"/>
      <c r="B23" s="8" t="s">
        <v>167</v>
      </c>
      <c r="C23" s="9">
        <f>C35-C7</f>
        <v>6096</v>
      </c>
      <c r="D23" s="8" t="s">
        <v>84</v>
      </c>
      <c r="E23" t="s">
        <v>168</v>
      </c>
    </row>
    <row r="24" spans="1:22">
      <c r="A24" s="47"/>
      <c r="B24" s="8" t="s">
        <v>169</v>
      </c>
      <c r="C24" s="22">
        <f>C23/TAN(C22*0.01745329)</f>
        <v>28679.429411793219</v>
      </c>
      <c r="D24" s="8" t="s">
        <v>84</v>
      </c>
      <c r="E24" t="s">
        <v>170</v>
      </c>
    </row>
    <row r="25" spans="1:22">
      <c r="A25" s="47"/>
      <c r="B25" s="8" t="s">
        <v>171</v>
      </c>
      <c r="C25" s="9">
        <f>0.5*C37*((C29)^3)*Inputs!C7*Inputs!C33</f>
        <v>21184036.041340575</v>
      </c>
      <c r="D25" s="8" t="s">
        <v>172</v>
      </c>
    </row>
    <row r="26" spans="1:22">
      <c r="A26" s="47"/>
      <c r="B26" s="8" t="s">
        <v>173</v>
      </c>
      <c r="C26" s="26">
        <f>(2*C6*(C20^2))/(C37*C29*Inputs!C7)</f>
        <v>16783.30230951235</v>
      </c>
      <c r="D26" s="8" t="s">
        <v>172</v>
      </c>
    </row>
    <row r="27" spans="1:22">
      <c r="A27" s="47"/>
      <c r="B27" s="8" t="s">
        <v>174</v>
      </c>
      <c r="C27" s="26">
        <f>C20*C21</f>
        <v>675741.6</v>
      </c>
      <c r="D27" s="8" t="s">
        <v>172</v>
      </c>
    </row>
    <row r="28" spans="1:22">
      <c r="A28" s="47"/>
      <c r="B28" s="8" t="s">
        <v>175</v>
      </c>
      <c r="C28" s="26">
        <f>C25+C26+C27</f>
        <v>21876560.943650089</v>
      </c>
      <c r="D28" s="8" t="s">
        <v>141</v>
      </c>
    </row>
    <row r="29" spans="1:22">
      <c r="A29" s="47"/>
      <c r="B29" s="8" t="s">
        <v>176</v>
      </c>
      <c r="C29" s="9">
        <f>Inputs!C16*C38</f>
        <v>335.67634773779554</v>
      </c>
      <c r="D29" s="8" t="s">
        <v>91</v>
      </c>
      <c r="E29" s="18" t="s">
        <v>177</v>
      </c>
    </row>
    <row r="30" spans="1:22">
      <c r="A30" s="47"/>
      <c r="B30" s="8" t="s">
        <v>142</v>
      </c>
      <c r="C30" s="9">
        <f>(C28)/(1000*1000)</f>
        <v>21.876560943650091</v>
      </c>
      <c r="D30" s="8" t="s">
        <v>143</v>
      </c>
      <c r="E30" t="s">
        <v>178</v>
      </c>
    </row>
    <row r="31" spans="1:22">
      <c r="A31" s="47"/>
      <c r="B31" s="8" t="s">
        <v>147</v>
      </c>
      <c r="C31" s="9">
        <f>C23/C21</f>
        <v>666.66666666666663</v>
      </c>
      <c r="D31" s="8" t="s">
        <v>80</v>
      </c>
      <c r="E31" t="s">
        <v>179</v>
      </c>
      <c r="V31" s="25"/>
    </row>
    <row r="32" spans="1:22">
      <c r="A32" s="47"/>
      <c r="B32" s="8" t="s">
        <v>152</v>
      </c>
      <c r="C32" s="9">
        <f>C33/C3</f>
        <v>4953.851482297654</v>
      </c>
      <c r="D32" s="8" t="s">
        <v>153</v>
      </c>
      <c r="E32" t="s">
        <v>179</v>
      </c>
    </row>
    <row r="33" spans="1:7">
      <c r="A33" s="47"/>
      <c r="B33" s="8" t="s">
        <v>152</v>
      </c>
      <c r="C33" s="22">
        <f>C5*C30*L8*C31/(C21/SIN(C22*22/(7*180)))</f>
        <v>3888.7734136036584</v>
      </c>
      <c r="D33" s="8" t="s">
        <v>47</v>
      </c>
      <c r="E33" t="s">
        <v>179</v>
      </c>
    </row>
    <row r="34" spans="1:7">
      <c r="A34" s="48" t="s">
        <v>64</v>
      </c>
      <c r="B34" s="3" t="s">
        <v>180</v>
      </c>
      <c r="C34" s="2">
        <v>73900</v>
      </c>
      <c r="D34" s="3" t="s">
        <v>47</v>
      </c>
      <c r="E34" t="s">
        <v>162</v>
      </c>
    </row>
    <row r="35" spans="1:7">
      <c r="A35" s="48"/>
      <c r="B35" s="3" t="s">
        <v>65</v>
      </c>
      <c r="C35" s="2">
        <f>Inputs!C19</f>
        <v>6096</v>
      </c>
      <c r="D35" s="3" t="s">
        <v>84</v>
      </c>
      <c r="E35" t="s">
        <v>120</v>
      </c>
    </row>
    <row r="36" spans="1:7">
      <c r="A36" s="48"/>
      <c r="B36" s="3" t="s">
        <v>122</v>
      </c>
      <c r="C36" s="2">
        <f>C35*($L$21/($L$21+C35))</f>
        <v>6090.1727055700585</v>
      </c>
      <c r="D36" s="3" t="s">
        <v>84</v>
      </c>
    </row>
    <row r="37" spans="1:7">
      <c r="A37" s="48"/>
      <c r="B37" s="3" t="s">
        <v>126</v>
      </c>
      <c r="C37" s="2">
        <f>L14*((L17+(L18*C36))/L17)^(U19)</f>
        <v>0.65261638401340683</v>
      </c>
      <c r="D37" s="3" t="s">
        <v>127</v>
      </c>
      <c r="E37" t="s">
        <v>128</v>
      </c>
    </row>
    <row r="38" spans="1:7" ht="15">
      <c r="A38" s="48"/>
      <c r="B38" s="3" t="s">
        <v>181</v>
      </c>
      <c r="C38" s="27">
        <f>L16*SQRT(L14/C37)</f>
        <v>466.21714963582718</v>
      </c>
      <c r="D38" s="3" t="s">
        <v>91</v>
      </c>
      <c r="E38" t="s">
        <v>182</v>
      </c>
      <c r="G38" s="18"/>
    </row>
    <row r="39" spans="1:7">
      <c r="A39" s="48"/>
      <c r="B39" s="3" t="s">
        <v>67</v>
      </c>
      <c r="C39" s="2">
        <f>Inputs!C22</f>
        <v>555600</v>
      </c>
      <c r="D39" s="3" t="s">
        <v>84</v>
      </c>
    </row>
    <row r="40" spans="1:7">
      <c r="A40" s="48"/>
      <c r="B40" s="3" t="s">
        <v>183</v>
      </c>
      <c r="C40" s="2">
        <f>Inputs!C23*C38</f>
        <v>289.05463277421285</v>
      </c>
      <c r="D40" s="3" t="s">
        <v>91</v>
      </c>
    </row>
    <row r="41" spans="1:7">
      <c r="A41" s="48"/>
      <c r="B41" s="3" t="s">
        <v>171</v>
      </c>
      <c r="C41" s="2">
        <f>0.5*C37*(C40^3)*Inputs!C7*Inputs!C33</f>
        <v>13526526.442634968</v>
      </c>
      <c r="D41" s="3" t="s">
        <v>172</v>
      </c>
    </row>
    <row r="42" spans="1:7">
      <c r="A42" s="48"/>
      <c r="B42" s="3" t="s">
        <v>173</v>
      </c>
      <c r="C42" s="2">
        <f>(2*C6*(C34^2))/(C37*C40*Inputs!C7)</f>
        <v>19490.286552982085</v>
      </c>
      <c r="D42" s="3" t="s">
        <v>172</v>
      </c>
      <c r="E42" s="25"/>
    </row>
    <row r="43" spans="1:7">
      <c r="A43" s="48"/>
      <c r="B43" s="3" t="s">
        <v>140</v>
      </c>
      <c r="C43" s="2">
        <f>C42+C41</f>
        <v>13546016.72918795</v>
      </c>
      <c r="D43" s="3" t="s">
        <v>141</v>
      </c>
      <c r="E43" s="25"/>
    </row>
    <row r="44" spans="1:7">
      <c r="A44" s="48"/>
      <c r="B44" s="3" t="s">
        <v>142</v>
      </c>
      <c r="C44" s="2">
        <f>(C42+C41)/(1000000)</f>
        <v>13.546016729187951</v>
      </c>
      <c r="D44" s="3" t="s">
        <v>143</v>
      </c>
      <c r="E44" t="s">
        <v>184</v>
      </c>
    </row>
    <row r="45" spans="1:7">
      <c r="A45" s="48"/>
      <c r="B45" s="3" t="s">
        <v>185</v>
      </c>
      <c r="C45" s="2">
        <f>C39/C40</f>
        <v>1922.1279889812104</v>
      </c>
      <c r="D45" s="3" t="s">
        <v>80</v>
      </c>
      <c r="E45" t="s">
        <v>179</v>
      </c>
    </row>
    <row r="46" spans="1:7">
      <c r="A46" s="48"/>
      <c r="B46" s="3" t="s">
        <v>152</v>
      </c>
      <c r="C46" s="2">
        <f>C47/C3</f>
        <v>1345.0990607640117</v>
      </c>
      <c r="D46" s="3" t="s">
        <v>153</v>
      </c>
      <c r="E46" t="s">
        <v>179</v>
      </c>
    </row>
    <row r="47" spans="1:7">
      <c r="A47" s="48"/>
      <c r="B47" s="3" t="s">
        <v>152</v>
      </c>
      <c r="C47" s="21">
        <f>C45*C44*L8*C5/C40</f>
        <v>1055.9027626997492</v>
      </c>
      <c r="D47" s="3" t="s">
        <v>47</v>
      </c>
      <c r="E47" t="s">
        <v>179</v>
      </c>
    </row>
    <row r="48" spans="1:7">
      <c r="A48" s="47" t="s">
        <v>72</v>
      </c>
      <c r="B48" s="8" t="s">
        <v>186</v>
      </c>
      <c r="C48" s="9">
        <v>73900</v>
      </c>
      <c r="D48" s="8" t="s">
        <v>47</v>
      </c>
      <c r="E48" t="s">
        <v>162</v>
      </c>
    </row>
    <row r="49" spans="1:5">
      <c r="A49" s="47"/>
      <c r="B49" s="8" t="s">
        <v>55</v>
      </c>
      <c r="C49" s="9">
        <f>Inputs!C25</f>
        <v>9.1440000000000001</v>
      </c>
      <c r="D49" s="8" t="s">
        <v>91</v>
      </c>
    </row>
    <row r="50" spans="1:5">
      <c r="A50" s="47"/>
      <c r="B50" s="8" t="s">
        <v>61</v>
      </c>
      <c r="C50" s="9">
        <f>Inputs!C26</f>
        <v>12</v>
      </c>
      <c r="D50" s="8" t="s">
        <v>62</v>
      </c>
      <c r="E50" t="s">
        <v>112</v>
      </c>
    </row>
    <row r="51" spans="1:5">
      <c r="A51" s="47"/>
      <c r="B51" s="8" t="s">
        <v>167</v>
      </c>
      <c r="C51" s="9">
        <f>C35-C59</f>
        <v>6096</v>
      </c>
      <c r="D51" s="8" t="s">
        <v>84</v>
      </c>
      <c r="E51" t="s">
        <v>187</v>
      </c>
    </row>
    <row r="52" spans="1:5">
      <c r="A52" s="47"/>
      <c r="B52" s="8" t="s">
        <v>169</v>
      </c>
      <c r="C52" s="22">
        <f>C51/TAN(C50*0.01746)</f>
        <v>28668.078609962133</v>
      </c>
      <c r="D52" s="24" t="s">
        <v>84</v>
      </c>
      <c r="E52" t="s">
        <v>170</v>
      </c>
    </row>
    <row r="53" spans="1:5">
      <c r="A53" s="47"/>
      <c r="B53" s="8" t="s">
        <v>140</v>
      </c>
      <c r="C53" s="22">
        <f>C43</f>
        <v>13546016.72918795</v>
      </c>
      <c r="D53" s="24" t="s">
        <v>172</v>
      </c>
    </row>
    <row r="54" spans="1:5">
      <c r="A54" s="47"/>
      <c r="B54" s="8" t="s">
        <v>142</v>
      </c>
      <c r="C54" s="9">
        <f>C44</f>
        <v>13.546016729187951</v>
      </c>
      <c r="D54" s="8" t="s">
        <v>143</v>
      </c>
      <c r="E54" t="s">
        <v>188</v>
      </c>
    </row>
    <row r="55" spans="1:5">
      <c r="A55" s="47"/>
      <c r="B55" s="8" t="s">
        <v>147</v>
      </c>
      <c r="C55" s="9">
        <f>C51/C49</f>
        <v>666.66666666666663</v>
      </c>
      <c r="D55" s="8" t="s">
        <v>80</v>
      </c>
      <c r="E55" t="s">
        <v>179</v>
      </c>
    </row>
    <row r="56" spans="1:5">
      <c r="A56" s="47"/>
      <c r="B56" s="8" t="s">
        <v>152</v>
      </c>
      <c r="C56" s="9">
        <f>C57/C3</f>
        <v>3067.4362037966707</v>
      </c>
      <c r="D56" s="8" t="s">
        <v>153</v>
      </c>
      <c r="E56" t="s">
        <v>179</v>
      </c>
    </row>
    <row r="57" spans="1:5">
      <c r="A57" s="47"/>
      <c r="B57" s="8" t="s">
        <v>152</v>
      </c>
      <c r="C57" s="22">
        <f>C54*C55*L8*C5/(C49/SIN(C50*22/(180*7)))</f>
        <v>2407.9374199803865</v>
      </c>
      <c r="D57" s="8" t="s">
        <v>47</v>
      </c>
      <c r="E57" t="s">
        <v>179</v>
      </c>
    </row>
    <row r="58" spans="1:5">
      <c r="A58" s="44" t="s">
        <v>73</v>
      </c>
      <c r="B58" s="3" t="s">
        <v>189</v>
      </c>
      <c r="C58" s="2">
        <v>73900</v>
      </c>
      <c r="D58" s="3" t="s">
        <v>47</v>
      </c>
      <c r="E58" t="s">
        <v>162</v>
      </c>
    </row>
    <row r="59" spans="1:5">
      <c r="A59" s="44"/>
      <c r="B59" s="3" t="s">
        <v>74</v>
      </c>
      <c r="C59" s="2">
        <f>Inputs!C28</f>
        <v>0</v>
      </c>
      <c r="D59" s="3" t="s">
        <v>84</v>
      </c>
      <c r="E59" t="s">
        <v>120</v>
      </c>
    </row>
    <row r="60" spans="1:5">
      <c r="A60" s="44"/>
      <c r="B60" s="3" t="s">
        <v>75</v>
      </c>
      <c r="C60" s="2">
        <f>Inputs!C30</f>
        <v>1554.48</v>
      </c>
      <c r="D60" s="3" t="s">
        <v>84</v>
      </c>
      <c r="E60" t="s">
        <v>112</v>
      </c>
    </row>
    <row r="61" spans="1:5">
      <c r="A61" s="44"/>
      <c r="B61" s="3" t="s">
        <v>142</v>
      </c>
      <c r="C61" s="2">
        <v>0</v>
      </c>
      <c r="D61" s="3" t="s">
        <v>141</v>
      </c>
      <c r="E61" t="s">
        <v>190</v>
      </c>
    </row>
    <row r="62" spans="1:5">
      <c r="A62" s="44"/>
      <c r="B62" s="3" t="s">
        <v>147</v>
      </c>
      <c r="C62" s="2">
        <f>C60/(C11*1.23/(1.1*3))</f>
        <v>70.494897400345707</v>
      </c>
      <c r="D62" s="3" t="s">
        <v>148</v>
      </c>
      <c r="E62" t="s">
        <v>191</v>
      </c>
    </row>
    <row r="63" spans="1:5">
      <c r="A63" s="44"/>
      <c r="B63" s="3" t="s">
        <v>152</v>
      </c>
      <c r="C63" s="2">
        <f>C60*C4/1852</f>
        <v>1.5713786211746541</v>
      </c>
      <c r="D63" s="3" t="s">
        <v>153</v>
      </c>
      <c r="E63" t="s">
        <v>192</v>
      </c>
    </row>
    <row r="64" spans="1:5">
      <c r="A64" s="44"/>
      <c r="B64" s="3" t="s">
        <v>152</v>
      </c>
      <c r="C64" s="2">
        <f>C63*C3</f>
        <v>1.2335322176221035</v>
      </c>
      <c r="D64" s="3" t="s">
        <v>47</v>
      </c>
      <c r="E64" t="s">
        <v>179</v>
      </c>
    </row>
    <row r="65" spans="1:5" ht="14.55" customHeight="1">
      <c r="A65" s="45" t="s">
        <v>193</v>
      </c>
      <c r="B65" s="8" t="s">
        <v>147</v>
      </c>
      <c r="C65" s="9">
        <f>C66*L6</f>
        <v>900</v>
      </c>
      <c r="D65" s="8" t="s">
        <v>194</v>
      </c>
    </row>
    <row r="66" spans="1:5">
      <c r="A66" s="46"/>
      <c r="B66" s="8" t="s">
        <v>195</v>
      </c>
      <c r="C66" s="8">
        <v>15</v>
      </c>
      <c r="D66" s="8" t="s">
        <v>196</v>
      </c>
      <c r="E66" t="s">
        <v>197</v>
      </c>
    </row>
    <row r="67" spans="1:5">
      <c r="A67" s="13"/>
      <c r="D67" s="1"/>
    </row>
  </sheetData>
  <mergeCells count="8">
    <mergeCell ref="A58:A64"/>
    <mergeCell ref="A65:A66"/>
    <mergeCell ref="A1:E1"/>
    <mergeCell ref="A3:A6"/>
    <mergeCell ref="A7:A19"/>
    <mergeCell ref="A20:A33"/>
    <mergeCell ref="A34:A47"/>
    <mergeCell ref="A48:A5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1F4E-16D7-426B-95FE-8FE6962A16AF}">
  <dimension ref="A1:AI58"/>
  <sheetViews>
    <sheetView zoomScale="10" zoomScaleNormal="87" workbookViewId="0">
      <selection activeCell="A39" sqref="A39:B40"/>
    </sheetView>
  </sheetViews>
  <sheetFormatPr defaultColWidth="8.77734375" defaultRowHeight="16.2" customHeight="1"/>
  <cols>
    <col min="1" max="3" width="13.109375" customWidth="1"/>
    <col min="4" max="4" width="18.109375" customWidth="1"/>
    <col min="5" max="5" width="10.44140625" bestFit="1" customWidth="1"/>
    <col min="13" max="13" width="8.88671875" bestFit="1" customWidth="1"/>
    <col min="14" max="14" width="9" bestFit="1" customWidth="1"/>
    <col min="15" max="15" width="8.88671875" bestFit="1" customWidth="1"/>
    <col min="16" max="16" width="15.6640625" bestFit="1" customWidth="1"/>
    <col min="18" max="19" width="14.109375" customWidth="1"/>
    <col min="20" max="20" width="13.109375" customWidth="1"/>
    <col min="21" max="21" width="12.6640625" bestFit="1" customWidth="1"/>
    <col min="31" max="31" width="9" bestFit="1" customWidth="1"/>
    <col min="32" max="32" width="15.6640625" style="30" bestFit="1" customWidth="1"/>
    <col min="35" max="35" width="12.6640625" style="30" bestFit="1" customWidth="1"/>
  </cols>
  <sheetData>
    <row r="1" spans="1:20" ht="14.4">
      <c r="A1" s="54" t="s">
        <v>226</v>
      </c>
      <c r="B1" s="4" t="s">
        <v>198</v>
      </c>
      <c r="C1" s="4" t="s">
        <v>199</v>
      </c>
      <c r="D1" s="16"/>
      <c r="E1" s="16"/>
      <c r="L1" s="53" t="s">
        <v>200</v>
      </c>
      <c r="M1" s="31" t="s">
        <v>201</v>
      </c>
      <c r="N1" s="31" t="s">
        <v>202</v>
      </c>
      <c r="O1" s="31" t="s">
        <v>203</v>
      </c>
      <c r="P1" s="31" t="s">
        <v>204</v>
      </c>
    </row>
    <row r="2" spans="1:20" ht="16.2" customHeight="1">
      <c r="A2" s="54"/>
      <c r="B2">
        <v>0</v>
      </c>
      <c r="C2">
        <v>0</v>
      </c>
      <c r="D2" s="17"/>
      <c r="E2" s="18"/>
      <c r="L2" s="53"/>
      <c r="M2">
        <v>0</v>
      </c>
      <c r="N2">
        <v>0</v>
      </c>
      <c r="O2">
        <v>0</v>
      </c>
      <c r="P2">
        <f>O2*1000000</f>
        <v>0</v>
      </c>
    </row>
    <row r="3" spans="1:20" ht="16.2" customHeight="1">
      <c r="A3" s="54"/>
      <c r="B3">
        <f>Calc_with_delMass!C17/60</f>
        <v>1.6718348707003552</v>
      </c>
      <c r="C3">
        <f>Calc_with_delMass!C16</f>
        <v>44.693976312418933</v>
      </c>
      <c r="D3" s="17"/>
      <c r="E3" s="18"/>
      <c r="L3" s="53"/>
      <c r="M3">
        <f>Calc_without_delMass!C17/60</f>
        <v>1.6718348707003552</v>
      </c>
      <c r="N3">
        <f>ROUNDUP(M3*60,0)</f>
        <v>101</v>
      </c>
      <c r="O3">
        <f>Calc_without_delMass!C16</f>
        <v>44.693976312418933</v>
      </c>
      <c r="P3" s="30">
        <f t="shared" ref="P3:P10" si="0">O3*1000000</f>
        <v>44693976.31241893</v>
      </c>
    </row>
    <row r="4" spans="1:20" ht="16.2" customHeight="1">
      <c r="A4" s="54"/>
      <c r="B4">
        <f>B3+Calc_with_delMass!C31/60</f>
        <v>12.782945981811466</v>
      </c>
      <c r="C4">
        <f>Calc_with_delMass!C30</f>
        <v>21.868037123179977</v>
      </c>
      <c r="D4" s="17"/>
      <c r="E4" s="18"/>
      <c r="L4" s="53"/>
      <c r="M4">
        <f>M3+Calc_without_delMass!C31/60</f>
        <v>12.782945981811466</v>
      </c>
      <c r="N4">
        <f t="shared" ref="N4:N10" si="1">ROUNDUP(M4*60,0)</f>
        <v>767</v>
      </c>
      <c r="O4">
        <f>Calc_without_delMass!C30</f>
        <v>21.876560943650091</v>
      </c>
      <c r="P4" s="30">
        <f t="shared" si="0"/>
        <v>21876560.943650089</v>
      </c>
    </row>
    <row r="5" spans="1:20" ht="16.2" customHeight="1">
      <c r="A5" s="54"/>
      <c r="B5">
        <f>B4</f>
        <v>12.782945981811466</v>
      </c>
      <c r="C5">
        <f>Calc_with_delMass!C44</f>
        <v>13.543579114127047</v>
      </c>
      <c r="D5" s="17"/>
      <c r="E5" s="18"/>
      <c r="L5" s="53"/>
      <c r="M5">
        <f>ROUNDUP(M4,0)</f>
        <v>13</v>
      </c>
      <c r="N5">
        <f t="shared" si="1"/>
        <v>780</v>
      </c>
      <c r="O5">
        <f>Calc_without_delMass!C44</f>
        <v>13.546016729187951</v>
      </c>
      <c r="P5" s="30">
        <f t="shared" si="0"/>
        <v>13546016.72918795</v>
      </c>
    </row>
    <row r="6" spans="1:20" ht="16.2" customHeight="1">
      <c r="A6" s="54"/>
      <c r="B6">
        <f>B4+Calc_with_delMass!C45/60</f>
        <v>44.818412464831638</v>
      </c>
      <c r="C6">
        <f>C5</f>
        <v>13.543579114127047</v>
      </c>
      <c r="D6" s="17"/>
      <c r="E6" s="18"/>
      <c r="L6" s="53"/>
      <c r="M6">
        <f>M4+Calc_without_delMass!C45/60</f>
        <v>44.818412464831638</v>
      </c>
      <c r="N6">
        <f t="shared" si="1"/>
        <v>2690</v>
      </c>
      <c r="O6">
        <f>O5</f>
        <v>13.546016729187951</v>
      </c>
      <c r="P6" s="30">
        <f t="shared" si="0"/>
        <v>13546016.72918795</v>
      </c>
    </row>
    <row r="7" spans="1:20" ht="16.2" customHeight="1">
      <c r="A7" s="54"/>
      <c r="B7">
        <f>B6+Calc_with_delMass!C55/60</f>
        <v>55.929523575942753</v>
      </c>
      <c r="C7">
        <f>C6</f>
        <v>13.543579114127047</v>
      </c>
      <c r="D7" s="17"/>
      <c r="E7" s="18"/>
      <c r="L7" s="53"/>
      <c r="M7">
        <f>M6+Calc_without_delMass!C55/60</f>
        <v>55.929523575942753</v>
      </c>
      <c r="N7">
        <f t="shared" si="1"/>
        <v>3356</v>
      </c>
      <c r="O7">
        <f>O6</f>
        <v>13.546016729187951</v>
      </c>
      <c r="P7" s="30">
        <f t="shared" si="0"/>
        <v>13546016.72918795</v>
      </c>
    </row>
    <row r="8" spans="1:20" ht="16.2" customHeight="1">
      <c r="A8" s="54"/>
      <c r="B8">
        <f>B7</f>
        <v>55.929523575942753</v>
      </c>
      <c r="C8">
        <v>0</v>
      </c>
      <c r="D8" s="17"/>
      <c r="E8" s="18"/>
      <c r="L8" s="53"/>
      <c r="M8">
        <f>ROUNDUP(M7,0)</f>
        <v>56</v>
      </c>
      <c r="N8">
        <f t="shared" si="1"/>
        <v>3360</v>
      </c>
      <c r="O8">
        <v>0</v>
      </c>
      <c r="P8">
        <f t="shared" si="0"/>
        <v>0</v>
      </c>
    </row>
    <row r="9" spans="1:20" ht="16.2" customHeight="1">
      <c r="A9" s="54"/>
      <c r="B9">
        <f>B7+Calc_with_delMass!C62/60</f>
        <v>57.104438532615184</v>
      </c>
      <c r="C9">
        <v>0</v>
      </c>
      <c r="D9" s="17"/>
      <c r="E9" s="18"/>
      <c r="L9" s="53"/>
      <c r="M9">
        <f>M7+Calc_without_delMass!C62/60</f>
        <v>57.104438532615184</v>
      </c>
      <c r="N9">
        <f t="shared" si="1"/>
        <v>3427</v>
      </c>
      <c r="O9">
        <v>0</v>
      </c>
      <c r="P9">
        <f t="shared" si="0"/>
        <v>0</v>
      </c>
    </row>
    <row r="10" spans="1:20" ht="16.2" customHeight="1">
      <c r="A10" s="54"/>
      <c r="B10">
        <f>B9+Calc_with_delMass!C65/60</f>
        <v>72.104438532615177</v>
      </c>
      <c r="C10">
        <v>0</v>
      </c>
      <c r="D10" s="17"/>
      <c r="E10" s="18"/>
      <c r="L10" s="53"/>
      <c r="M10">
        <f>M9+Calc_without_delMass!C65/60</f>
        <v>72.104438532615177</v>
      </c>
      <c r="N10">
        <f t="shared" si="1"/>
        <v>4327</v>
      </c>
      <c r="O10">
        <v>0</v>
      </c>
      <c r="P10">
        <f t="shared" si="0"/>
        <v>0</v>
      </c>
    </row>
    <row r="16" spans="1:20" ht="16.2" customHeight="1">
      <c r="T16" s="34"/>
    </row>
    <row r="17" spans="1:35" ht="16.2" customHeight="1">
      <c r="A17" s="55" t="s">
        <v>227</v>
      </c>
      <c r="B17" s="55"/>
      <c r="C17" s="55"/>
      <c r="D17" s="55"/>
    </row>
    <row r="18" spans="1:35" ht="16.2" customHeight="1">
      <c r="A18" s="55"/>
      <c r="B18" s="55"/>
      <c r="C18" s="55"/>
      <c r="D18" s="55"/>
    </row>
    <row r="19" spans="1:35" ht="16.2" customHeight="1">
      <c r="A19" s="5" t="s">
        <v>147</v>
      </c>
      <c r="B19" s="5" t="s">
        <v>205</v>
      </c>
      <c r="C19" s="5" t="s">
        <v>206</v>
      </c>
      <c r="D19" s="5" t="s">
        <v>207</v>
      </c>
      <c r="AE19" s="50" t="s">
        <v>208</v>
      </c>
      <c r="AF19" s="50"/>
      <c r="AG19" s="50"/>
      <c r="AH19" s="50"/>
      <c r="AI19" s="50"/>
    </row>
    <row r="20" spans="1:35" ht="16.2" customHeight="1">
      <c r="A20">
        <v>0</v>
      </c>
      <c r="B20">
        <f>C20/Calc_with_delMass!C3</f>
        <v>23858.598726114647</v>
      </c>
      <c r="C20">
        <v>18729</v>
      </c>
      <c r="D20">
        <f>0</f>
        <v>0</v>
      </c>
      <c r="AE20" s="50"/>
      <c r="AF20" s="50"/>
      <c r="AG20" s="50"/>
      <c r="AH20" s="50"/>
      <c r="AI20" s="50"/>
    </row>
    <row r="21" spans="1:35" ht="16.2" customHeight="1">
      <c r="A21">
        <f>B3</f>
        <v>1.6718348707003552</v>
      </c>
      <c r="B21">
        <f>B20-Calc_with_delMass!C18</f>
        <v>22726.986494004694</v>
      </c>
      <c r="C21">
        <f>Results!B21*0.785</f>
        <v>17840.684397793684</v>
      </c>
      <c r="D21">
        <f>D20+(C20-C21)</f>
        <v>888.31560220631582</v>
      </c>
      <c r="AI21"/>
    </row>
    <row r="22" spans="1:35" ht="16.2" customHeight="1">
      <c r="A22">
        <f>B4</f>
        <v>12.782945981811466</v>
      </c>
      <c r="B22">
        <f>B21-Calc_with_delMass!C32</f>
        <v>17775.065193547751</v>
      </c>
      <c r="C22">
        <f>Results!B22*0.785</f>
        <v>13953.426176934985</v>
      </c>
      <c r="D22">
        <f t="shared" ref="D22:D25" si="2">D21+(C21-C22)</f>
        <v>4775.5738230650149</v>
      </c>
      <c r="AE22" s="49" t="s">
        <v>209</v>
      </c>
      <c r="AF22" s="49"/>
      <c r="AI22"/>
    </row>
    <row r="23" spans="1:35" ht="16.2" customHeight="1">
      <c r="A23">
        <f>B6</f>
        <v>44.818412464831638</v>
      </c>
      <c r="B23">
        <f>B22-Calc_with_delMass!C46</f>
        <v>16430.208184288211</v>
      </c>
      <c r="C23">
        <f>Results!B23*0.785</f>
        <v>12897.713424666246</v>
      </c>
      <c r="D23">
        <f t="shared" si="2"/>
        <v>5831.2865753337537</v>
      </c>
      <c r="AE23" s="28" t="s">
        <v>202</v>
      </c>
      <c r="AF23" s="32" t="s">
        <v>204</v>
      </c>
      <c r="AI23"/>
    </row>
    <row r="24" spans="1:35" ht="16.2" customHeight="1">
      <c r="A24">
        <f>B7</f>
        <v>55.929523575942753</v>
      </c>
      <c r="B24">
        <f>B23-Calc_with_delMass!C56</f>
        <v>13363.323967753789</v>
      </c>
      <c r="C24">
        <f>Results!B24*0.785</f>
        <v>10490.209314686725</v>
      </c>
      <c r="D24">
        <f t="shared" si="2"/>
        <v>8238.7906853132754</v>
      </c>
      <c r="AE24" s="29">
        <v>0</v>
      </c>
      <c r="AF24" s="33">
        <v>0</v>
      </c>
      <c r="AI24"/>
    </row>
    <row r="25" spans="1:35" ht="16.2" customHeight="1">
      <c r="A25">
        <f>B9</f>
        <v>57.104438532615184</v>
      </c>
      <c r="B25">
        <f>B24-Calc_with_delMass!C63</f>
        <v>13361.752589132615</v>
      </c>
      <c r="C25">
        <f>Results!B25*0.785</f>
        <v>10488.975782469102</v>
      </c>
      <c r="D25">
        <f t="shared" si="2"/>
        <v>8240.0242175308977</v>
      </c>
      <c r="AE25" s="29">
        <v>101</v>
      </c>
      <c r="AF25" s="33">
        <v>44693976.31241893</v>
      </c>
      <c r="AI25"/>
    </row>
    <row r="26" spans="1:35" ht="16.2" customHeight="1">
      <c r="AE26" s="29">
        <v>767</v>
      </c>
      <c r="AF26" s="33">
        <v>21876560.943650089</v>
      </c>
      <c r="AI26"/>
    </row>
    <row r="27" spans="1:35" ht="16.2" customHeight="1">
      <c r="AE27" s="29">
        <v>780</v>
      </c>
      <c r="AF27" s="33">
        <v>13546016.72918795</v>
      </c>
      <c r="AI27"/>
    </row>
    <row r="28" spans="1:35" ht="16.2" customHeight="1">
      <c r="AE28" s="29">
        <v>2690</v>
      </c>
      <c r="AF28" s="33">
        <v>13546016.72918795</v>
      </c>
      <c r="AI28"/>
    </row>
    <row r="29" spans="1:35" ht="16.2" customHeight="1">
      <c r="AE29" s="29">
        <v>3356</v>
      </c>
      <c r="AF29" s="33">
        <v>13546016.72918795</v>
      </c>
      <c r="AI29"/>
    </row>
    <row r="30" spans="1:35" ht="16.2" customHeight="1">
      <c r="AE30" s="29">
        <v>3360</v>
      </c>
      <c r="AF30" s="33">
        <v>0</v>
      </c>
      <c r="AI30"/>
    </row>
    <row r="31" spans="1:35" ht="16.2" customHeight="1">
      <c r="AE31" s="29">
        <v>3427</v>
      </c>
      <c r="AF31" s="33">
        <v>0</v>
      </c>
      <c r="AI31"/>
    </row>
    <row r="32" spans="1:35" ht="16.2" customHeight="1">
      <c r="AE32" s="29">
        <v>4327</v>
      </c>
      <c r="AF32" s="33">
        <v>0</v>
      </c>
      <c r="AI32"/>
    </row>
    <row r="33" spans="1:35" ht="16.2" customHeight="1">
      <c r="AI33"/>
    </row>
    <row r="34" spans="1:35" ht="16.2" customHeight="1">
      <c r="AE34" s="49" t="s">
        <v>210</v>
      </c>
      <c r="AF34" s="49"/>
      <c r="AI34"/>
    </row>
    <row r="35" spans="1:35" ht="16.2" customHeight="1">
      <c r="AE35" s="28" t="s">
        <v>202</v>
      </c>
      <c r="AF35" s="32" t="s">
        <v>204</v>
      </c>
      <c r="AI35"/>
    </row>
    <row r="36" spans="1:35" ht="16.2" customHeight="1">
      <c r="AE36" s="29"/>
      <c r="AF36" s="33"/>
      <c r="AI36"/>
    </row>
    <row r="37" spans="1:35" ht="16.2" customHeight="1">
      <c r="AE37" s="29"/>
      <c r="AF37" s="33"/>
      <c r="AI37"/>
    </row>
    <row r="38" spans="1:35" ht="16.2" customHeight="1">
      <c r="AE38" s="29"/>
      <c r="AF38" s="33"/>
      <c r="AI38"/>
    </row>
    <row r="39" spans="1:35" ht="16.2" customHeight="1">
      <c r="A39" s="55" t="s">
        <v>228</v>
      </c>
      <c r="B39" s="55"/>
      <c r="AE39" s="29"/>
      <c r="AF39" s="33"/>
      <c r="AI39"/>
    </row>
    <row r="40" spans="1:35" ht="16.2" customHeight="1">
      <c r="A40" s="55"/>
      <c r="B40" s="55"/>
      <c r="AE40" s="29"/>
      <c r="AF40" s="33"/>
      <c r="AI40"/>
    </row>
    <row r="41" spans="1:35" ht="16.2" customHeight="1">
      <c r="A41" s="52" t="s">
        <v>198</v>
      </c>
      <c r="B41" s="52" t="s">
        <v>211</v>
      </c>
      <c r="AE41" s="29"/>
      <c r="AF41" s="33"/>
      <c r="AI41"/>
    </row>
    <row r="42" spans="1:35" ht="16.2" customHeight="1">
      <c r="A42">
        <v>0</v>
      </c>
      <c r="B42">
        <f>Calc_with_delMass!C7</f>
        <v>0</v>
      </c>
      <c r="AE42" s="29"/>
      <c r="AF42" s="33"/>
      <c r="AI42"/>
    </row>
    <row r="43" spans="1:35" ht="16.2" customHeight="1">
      <c r="A43">
        <f>B3</f>
        <v>1.6718348707003552</v>
      </c>
      <c r="B43">
        <f>50*Calc_with_delMass!L7+B42</f>
        <v>15.24</v>
      </c>
      <c r="AE43" s="29"/>
      <c r="AF43" s="33"/>
      <c r="AI43"/>
    </row>
    <row r="44" spans="1:35" ht="16.2" customHeight="1">
      <c r="A44">
        <f>B4</f>
        <v>12.782945981811466</v>
      </c>
      <c r="B44">
        <f>Calc_with_delMass!C35</f>
        <v>6096</v>
      </c>
      <c r="AE44" s="29"/>
      <c r="AF44" s="33"/>
      <c r="AI44"/>
    </row>
    <row r="45" spans="1:35" ht="16.2" customHeight="1">
      <c r="A45">
        <f>B6</f>
        <v>44.818412464831638</v>
      </c>
      <c r="B45">
        <f>B44</f>
        <v>6096</v>
      </c>
      <c r="AI45"/>
    </row>
    <row r="46" spans="1:35" ht="16.2" customHeight="1">
      <c r="A46">
        <f>B8</f>
        <v>55.929523575942753</v>
      </c>
      <c r="B46">
        <f>50*Calc_with_delMass!L7+B47</f>
        <v>15.24</v>
      </c>
      <c r="AI46"/>
    </row>
    <row r="47" spans="1:35" ht="16.2" customHeight="1">
      <c r="A47">
        <f>B9</f>
        <v>57.104438532615184</v>
      </c>
      <c r="B47">
        <f>Inputs!C28</f>
        <v>0</v>
      </c>
      <c r="AE47" s="49" t="s">
        <v>212</v>
      </c>
      <c r="AF47" s="49"/>
      <c r="AI47"/>
    </row>
    <row r="48" spans="1:35" ht="16.2" customHeight="1">
      <c r="A48">
        <f>B10</f>
        <v>72.104438532615177</v>
      </c>
      <c r="B48">
        <f>Inputs!C28</f>
        <v>0</v>
      </c>
      <c r="AE48" s="28" t="s">
        <v>202</v>
      </c>
      <c r="AF48" s="32" t="s">
        <v>204</v>
      </c>
      <c r="AI48"/>
    </row>
    <row r="49" spans="31:35" ht="16.2" customHeight="1">
      <c r="AE49" s="29"/>
      <c r="AF49" s="33"/>
      <c r="AI49"/>
    </row>
    <row r="50" spans="31:35" ht="16.2" customHeight="1">
      <c r="AE50" s="29"/>
      <c r="AF50" s="33"/>
      <c r="AI50"/>
    </row>
    <row r="51" spans="31:35" ht="16.2" customHeight="1">
      <c r="AE51" s="29"/>
      <c r="AF51" s="33"/>
      <c r="AI51"/>
    </row>
    <row r="52" spans="31:35" ht="16.2" customHeight="1">
      <c r="AE52" s="29"/>
      <c r="AF52" s="33"/>
      <c r="AI52"/>
    </row>
    <row r="53" spans="31:35" ht="16.2" customHeight="1">
      <c r="AE53" s="29"/>
      <c r="AF53" s="33"/>
      <c r="AI53"/>
    </row>
    <row r="54" spans="31:35" ht="16.2" customHeight="1">
      <c r="AE54" s="29"/>
      <c r="AF54" s="33"/>
      <c r="AI54"/>
    </row>
    <row r="55" spans="31:35" ht="16.2" customHeight="1">
      <c r="AE55" s="29"/>
      <c r="AF55" s="33"/>
      <c r="AI55"/>
    </row>
    <row r="56" spans="31:35" ht="16.2" customHeight="1">
      <c r="AE56" s="29"/>
      <c r="AF56" s="33"/>
      <c r="AI56"/>
    </row>
    <row r="57" spans="31:35" ht="16.2" customHeight="1">
      <c r="AE57" s="29"/>
      <c r="AF57" s="33"/>
      <c r="AI57"/>
    </row>
    <row r="58" spans="31:35" ht="16.2" customHeight="1">
      <c r="AI58"/>
    </row>
  </sheetData>
  <mergeCells count="8">
    <mergeCell ref="A1:A10"/>
    <mergeCell ref="A17:D18"/>
    <mergeCell ref="A39:B40"/>
    <mergeCell ref="AE34:AF34"/>
    <mergeCell ref="AE47:AF47"/>
    <mergeCell ref="L1:L10"/>
    <mergeCell ref="AE22:AF22"/>
    <mergeCell ref="AE19:AI20"/>
  </mergeCells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A42B6E16FDC44BD6DD6E88411F9D8" ma:contentTypeVersion="4" ma:contentTypeDescription="Create a new document." ma:contentTypeScope="" ma:versionID="9e66874aa63fd26463bbe9d9f7cc32a3">
  <xsd:schema xmlns:xsd="http://www.w3.org/2001/XMLSchema" xmlns:xs="http://www.w3.org/2001/XMLSchema" xmlns:p="http://schemas.microsoft.com/office/2006/metadata/properties" xmlns:ns2="5a8b70e8-86e9-4b68-a753-0f4cad9c4d5e" targetNamespace="http://schemas.microsoft.com/office/2006/metadata/properties" ma:root="true" ma:fieldsID="909e2b212b214816e6e5a314dafbc049" ns2:_="">
    <xsd:import namespace="5a8b70e8-86e9-4b68-a753-0f4cad9c4d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b70e8-86e9-4b68-a753-0f4cad9c4d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A2EE67-45D5-484D-B316-A6DD6B7D673E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5a8b70e8-86e9-4b68-a753-0f4cad9c4d5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0DA68E-3BFB-4856-B84C-D4D0169D5D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1FE6E0-0D8C-4A80-96E3-BDB37E3CD2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b70e8-86e9-4b68-a753-0f4cad9c4d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A320 Basic Inputs</vt:lpstr>
      <vt:lpstr>Inputs</vt:lpstr>
      <vt:lpstr>Calc_with_delMass</vt:lpstr>
      <vt:lpstr>Calc_without_delMass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Dipesh Kunwar</dc:creator>
  <cp:keywords/>
  <dc:description/>
  <cp:lastModifiedBy>Dipesh Kunwar</cp:lastModifiedBy>
  <cp:revision/>
  <dcterms:created xsi:type="dcterms:W3CDTF">2024-04-24T07:12:02Z</dcterms:created>
  <dcterms:modified xsi:type="dcterms:W3CDTF">2024-05-16T22:44:32Z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0x01010037BA42B6E16FDC44BD6DD6E88411F9D8</vt:lpwstr>
  </property>
</Properties>
</file>