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1B8EA5A-9247-4CF8-9494-7B9E5E1D095E}" xr6:coauthVersionLast="47" xr6:coauthVersionMax="47" xr10:uidLastSave="{00000000-0000-0000-0000-000000000000}"/>
  <bookViews>
    <workbookView xWindow="-108" yWindow="-108" windowWidth="23256" windowHeight="12456" firstSheet="5" xr2:uid="{91DB87D4-D5C7-45E1-BB99-D79C14884DB4}"/>
  </bookViews>
  <sheets>
    <sheet name="Read Me" sheetId="6" r:id="rId1"/>
    <sheet name="A380 Basic Inputs" sheetId="5" r:id="rId2"/>
    <sheet name="Inputs" sheetId="4" r:id="rId3"/>
    <sheet name="Calc_with_delMass" sheetId="7" r:id="rId4"/>
    <sheet name="Calc_no_delMass" sheetId="9" r:id="rId5"/>
    <sheet name="Resul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8" l="1"/>
  <c r="C79" i="9"/>
  <c r="C69" i="9"/>
  <c r="C55" i="9"/>
  <c r="C41" i="9"/>
  <c r="C23" i="9"/>
  <c r="C86" i="9"/>
  <c r="C81" i="9"/>
  <c r="C80" i="9"/>
  <c r="C71" i="9"/>
  <c r="C70" i="9"/>
  <c r="C56" i="9"/>
  <c r="C50" i="9"/>
  <c r="C43" i="9"/>
  <c r="C42" i="9"/>
  <c r="C37" i="9"/>
  <c r="C32" i="9"/>
  <c r="C25" i="9"/>
  <c r="C20" i="9"/>
  <c r="C12" i="9"/>
  <c r="C11" i="9"/>
  <c r="C10" i="9"/>
  <c r="C7" i="9"/>
  <c r="C8" i="9" s="1"/>
  <c r="C9" i="9" s="1"/>
  <c r="C6" i="9"/>
  <c r="C5" i="9"/>
  <c r="C4" i="9"/>
  <c r="C3" i="9"/>
  <c r="C13" i="4"/>
  <c r="C16" i="4"/>
  <c r="C24" i="9" s="1"/>
  <c r="C18" i="4"/>
  <c r="C20" i="4"/>
  <c r="C21" i="4"/>
  <c r="C22" i="4"/>
  <c r="C23" i="4"/>
  <c r="C25" i="4"/>
  <c r="C50" i="7"/>
  <c r="C32" i="7"/>
  <c r="C22" i="7"/>
  <c r="C26" i="7"/>
  <c r="C15" i="4"/>
  <c r="C42" i="7"/>
  <c r="C19" i="4"/>
  <c r="C24" i="7"/>
  <c r="C34" i="7" s="1"/>
  <c r="B25" i="8"/>
  <c r="B24" i="8"/>
  <c r="U19" i="9"/>
  <c r="U16" i="9"/>
  <c r="U14" i="9"/>
  <c r="U13" i="9"/>
  <c r="L13" i="9"/>
  <c r="U12" i="9"/>
  <c r="U11" i="9"/>
  <c r="U7" i="9"/>
  <c r="U6" i="9"/>
  <c r="L5" i="9"/>
  <c r="C17" i="4"/>
  <c r="C5" i="4"/>
  <c r="C4" i="4"/>
  <c r="C4" i="7"/>
  <c r="C13" i="9" l="1"/>
  <c r="C17" i="9"/>
  <c r="C14" i="9"/>
  <c r="C15" i="9" s="1"/>
  <c r="C16" i="9" s="1"/>
  <c r="C19" i="9" s="1"/>
  <c r="C26" i="9"/>
  <c r="C21" i="9"/>
  <c r="C22" i="9" s="1"/>
  <c r="C28" i="9" s="1"/>
  <c r="C44" i="9"/>
  <c r="C38" i="9"/>
  <c r="C39" i="9" s="1"/>
  <c r="C72" i="9"/>
  <c r="C57" i="9"/>
  <c r="C58" i="9" s="1"/>
  <c r="C84" i="9"/>
  <c r="C85" i="9" s="1"/>
  <c r="C83" i="9"/>
  <c r="C20" i="7"/>
  <c r="C21" i="7" s="1"/>
  <c r="U17" i="9"/>
  <c r="U9" i="9" s="1"/>
  <c r="C43" i="7"/>
  <c r="C37" i="7"/>
  <c r="C25" i="7"/>
  <c r="C10" i="4"/>
  <c r="C34" i="4"/>
  <c r="C35" i="4" s="1"/>
  <c r="C14" i="4"/>
  <c r="L11" i="4"/>
  <c r="P9" i="8"/>
  <c r="P10" i="8"/>
  <c r="P2" i="8"/>
  <c r="U16" i="7"/>
  <c r="C59" i="9" l="1"/>
  <c r="C61" i="9" s="1"/>
  <c r="C76" i="9"/>
  <c r="C73" i="9"/>
  <c r="C46" i="9"/>
  <c r="C40" i="9"/>
  <c r="C52" i="9"/>
  <c r="C45" i="9"/>
  <c r="C34" i="9"/>
  <c r="C27" i="9"/>
  <c r="C18" i="9"/>
  <c r="C38" i="7"/>
  <c r="C27" i="7"/>
  <c r="C12" i="4"/>
  <c r="L13" i="7"/>
  <c r="U19" i="7"/>
  <c r="L6" i="4"/>
  <c r="C86" i="7"/>
  <c r="U14" i="7"/>
  <c r="U13" i="7"/>
  <c r="U12" i="7"/>
  <c r="U11" i="7"/>
  <c r="U6" i="7"/>
  <c r="L5" i="7"/>
  <c r="C6" i="4"/>
  <c r="C7" i="4"/>
  <c r="C8" i="4"/>
  <c r="C28" i="4"/>
  <c r="C29" i="4"/>
  <c r="C31" i="4"/>
  <c r="C32" i="4"/>
  <c r="C3" i="4"/>
  <c r="C30" i="9" l="1"/>
  <c r="C29" i="9"/>
  <c r="C31" i="9" s="1"/>
  <c r="C33" i="9" s="1"/>
  <c r="C36" i="9" s="1"/>
  <c r="C62" i="9"/>
  <c r="O3" i="8"/>
  <c r="M3" i="8"/>
  <c r="N3" i="8" s="1"/>
  <c r="C28" i="7"/>
  <c r="C5" i="7"/>
  <c r="C81" i="7"/>
  <c r="C24" i="4"/>
  <c r="C26" i="4"/>
  <c r="C27" i="4" s="1"/>
  <c r="C60" i="9" s="1"/>
  <c r="C66" i="9" s="1"/>
  <c r="C9" i="4"/>
  <c r="C30" i="4"/>
  <c r="C33" i="4"/>
  <c r="U7" i="7"/>
  <c r="C71" i="7"/>
  <c r="C12" i="7"/>
  <c r="C11" i="7"/>
  <c r="C13" i="7" s="1"/>
  <c r="C14" i="7" s="1"/>
  <c r="C10" i="7"/>
  <c r="C3" i="7"/>
  <c r="C35" i="9" l="1"/>
  <c r="M4" i="8"/>
  <c r="N4" i="8" s="1"/>
  <c r="C83" i="7"/>
  <c r="C56" i="7"/>
  <c r="C17" i="7"/>
  <c r="B3" i="8" s="1"/>
  <c r="B4" i="8" s="1"/>
  <c r="C80" i="7"/>
  <c r="B26" i="8"/>
  <c r="C84" i="7"/>
  <c r="C85" i="7" s="1"/>
  <c r="C7" i="7"/>
  <c r="C60" i="7"/>
  <c r="U17" i="7"/>
  <c r="U9" i="7" s="1"/>
  <c r="C6" i="7" s="1"/>
  <c r="C70" i="7"/>
  <c r="C48" i="9" l="1"/>
  <c r="C47" i="9"/>
  <c r="C49" i="9" s="1"/>
  <c r="C51" i="9" s="1"/>
  <c r="C54" i="9" s="1"/>
  <c r="C44" i="7"/>
  <c r="C52" i="7" s="1"/>
  <c r="C39" i="7"/>
  <c r="M5" i="8"/>
  <c r="C72" i="7"/>
  <c r="C57" i="7"/>
  <c r="C58" i="7" s="1"/>
  <c r="C59" i="7" s="1"/>
  <c r="B5" i="8"/>
  <c r="B6" i="8" s="1"/>
  <c r="C45" i="7"/>
  <c r="C8" i="7"/>
  <c r="C9" i="7" s="1"/>
  <c r="B20" i="8"/>
  <c r="B21" i="8" s="1"/>
  <c r="B22" i="8"/>
  <c r="B23" i="8" s="1"/>
  <c r="C53" i="9" l="1"/>
  <c r="C40" i="7"/>
  <c r="C46" i="7"/>
  <c r="M6" i="8"/>
  <c r="M7" i="8" s="1"/>
  <c r="M8" i="8" s="1"/>
  <c r="M9" i="8" s="1"/>
  <c r="M10" i="8" s="1"/>
  <c r="N5" i="8"/>
  <c r="C15" i="7"/>
  <c r="C16" i="7" s="1"/>
  <c r="C73" i="7"/>
  <c r="P3" i="8"/>
  <c r="M11" i="8" l="1"/>
  <c r="N11" i="8" s="1"/>
  <c r="C63" i="9"/>
  <c r="O4" i="8"/>
  <c r="C61" i="7"/>
  <c r="C62" i="7" s="1"/>
  <c r="N6" i="8"/>
  <c r="C19" i="7"/>
  <c r="C23" i="7" s="1"/>
  <c r="C3" i="8"/>
  <c r="C65" i="9" l="1"/>
  <c r="C64" i="9"/>
  <c r="C74" i="9" s="1"/>
  <c r="C29" i="7"/>
  <c r="C30" i="7"/>
  <c r="C66" i="7"/>
  <c r="B7" i="8" s="1"/>
  <c r="N8" i="8"/>
  <c r="P4" i="8"/>
  <c r="C18" i="7"/>
  <c r="C75" i="9" l="1"/>
  <c r="C78" i="9" s="1"/>
  <c r="C77" i="9" s="1"/>
  <c r="C68" i="9"/>
  <c r="N9" i="8"/>
  <c r="N7" i="8"/>
  <c r="C76" i="7"/>
  <c r="B8" i="8" s="1"/>
  <c r="B9" i="8" s="1"/>
  <c r="B10" i="8" s="1"/>
  <c r="B11" i="8" s="1"/>
  <c r="C67" i="9" l="1"/>
  <c r="N10" i="8"/>
  <c r="O5" i="8" l="1"/>
  <c r="P5" i="8" s="1"/>
  <c r="C31" i="7" l="1"/>
  <c r="C33" i="7" s="1"/>
  <c r="C4" i="8" s="1"/>
  <c r="C36" i="7" l="1"/>
  <c r="C41" i="7" s="1"/>
  <c r="C47" i="7" s="1"/>
  <c r="C48" i="7" l="1"/>
  <c r="C49" i="7" s="1"/>
  <c r="C51" i="7" s="1"/>
  <c r="C35" i="7"/>
  <c r="O7" i="8"/>
  <c r="O6" i="8"/>
  <c r="P6" i="8" s="1"/>
  <c r="O8" i="8" l="1"/>
  <c r="P8" i="8" s="1"/>
  <c r="C54" i="7"/>
  <c r="C55" i="7" s="1"/>
  <c r="C5" i="8"/>
  <c r="C53" i="7" l="1"/>
  <c r="C63" i="7"/>
  <c r="C65" i="7" l="1"/>
  <c r="C64" i="7"/>
  <c r="C74" i="7" s="1"/>
  <c r="C7" i="8" l="1"/>
  <c r="C8" i="8" s="1"/>
  <c r="C68" i="7"/>
  <c r="C75" i="7"/>
  <c r="C78" i="7" s="1"/>
  <c r="C77" i="7" s="1"/>
  <c r="C6" i="8"/>
  <c r="C69" i="7" l="1"/>
  <c r="C79" i="7" s="1"/>
  <c r="C67" i="7"/>
</calcChain>
</file>

<file path=xl/sharedStrings.xml><?xml version="1.0" encoding="utf-8"?>
<sst xmlns="http://schemas.openxmlformats.org/spreadsheetml/2006/main" count="821" uniqueCount="225">
  <si>
    <t>Read Me - Performance Mectrics Calculator Excel Sheet</t>
  </si>
  <si>
    <t>This Excel sheet is designed to calculate power profiles and fuel consumption plots based on user inputs for different phases of flight, considering aircraft specifications. Here's how it works:</t>
  </si>
  <si>
    <t xml:space="preserve"> Inputs Sheets:</t>
  </si>
  <si>
    <t>Users can input data for various phases of flight and aircraft specifications in the respective input sheets. These inputs are crucial for accurate calculations.</t>
  </si>
  <si>
    <t xml:space="preserve"> Calc_with_delMass Sheet:</t>
  </si>
  <si>
    <t>This sheet performs the necessary calculations based on the inputs provided. Each calculation is appropriately referenced, following the equations documented.</t>
  </si>
  <si>
    <t>Ensure that inputs are correctly entered to obtain accurate results. Refer to the documentation for equations and references used in the calculations.</t>
  </si>
  <si>
    <t xml:space="preserve"> Calc_without_delMass Sheet:</t>
  </si>
  <si>
    <t>This sheet performs the necessary calculations based on the inputs provided similar to the calculations sheet, but considers no reduction in mass with fuel consumption</t>
  </si>
  <si>
    <t xml:space="preserve"> Results:</t>
  </si>
  <si>
    <t>The calculated data required to generate power profiles and fuel consumption plots is displayed in this sheet.</t>
  </si>
  <si>
    <t>Users can utilize this data to analyze power profiles and fuel consumption trends for different flight scenarios.</t>
  </si>
  <si>
    <t>Usage Instructions:</t>
  </si>
  <si>
    <t>1. Input the required data for each phase of flight and aircraft specifications in the respective input sheets.</t>
  </si>
  <si>
    <t>2. Optionally, use the provided standard inputs for the A320 aircraft by copying them to the input charts.</t>
  </si>
  <si>
    <t>3. Ensure all inputs are accurate and complete.</t>
  </si>
  <si>
    <t>4. Navigate to the "Calculations" sheet to initiate the calculation process.</t>
  </si>
  <si>
    <t>5. Review the calculated results in the "Results" sheet to obtain power profiles and fuel consumption plots.</t>
  </si>
  <si>
    <t>Note:</t>
  </si>
  <si>
    <t>It's recommended to review the documentation for detailed equations and references used in the calculations.</t>
  </si>
  <si>
    <t>Double-check inputs and calculations to ensure accuracy in results.</t>
  </si>
  <si>
    <t>For any assistance or inquiries, refer to the documentation or contact the creator of this Excel sheet.</t>
  </si>
  <si>
    <t>Documentation:</t>
  </si>
  <si>
    <t>Detailed documentation explaining the equations, references, and usage of this Excel sheet is available. Please refer to the documentation for comprehensive guidance.</t>
  </si>
  <si>
    <t>You can find the corresponding documentation in the link below:</t>
  </si>
  <si>
    <t>Input Parameters for Performance Calculations</t>
  </si>
  <si>
    <t>Input parameters</t>
  </si>
  <si>
    <t>Values</t>
  </si>
  <si>
    <t>Unit</t>
  </si>
  <si>
    <t>Remarks</t>
  </si>
  <si>
    <t>Aircraft Specific Parameters</t>
  </si>
  <si>
    <t>Fuel Density</t>
  </si>
  <si>
    <t>kg/l</t>
  </si>
  <si>
    <t>Density of Jet-A fuel, taken from maintenance book for A380</t>
  </si>
  <si>
    <t>Fuel Burn Rate</t>
  </si>
  <si>
    <t>L/NM</t>
  </si>
  <si>
    <t>Amount of fuel burn per NM travelled</t>
  </si>
  <si>
    <t xml:space="preserve">2 different engines GP7200 and Trent900. GP has better range at the same payload </t>
  </si>
  <si>
    <t>Specific Fuel Consumption</t>
  </si>
  <si>
    <t>Kg/KNhr</t>
  </si>
  <si>
    <t>trent database</t>
  </si>
  <si>
    <t>Aspect Ratio (AR)</t>
  </si>
  <si>
    <t>Based on aircraft's structural geometry</t>
  </si>
  <si>
    <t xml:space="preserve">Wing Planform Area (S) </t>
  </si>
  <si>
    <t>m^2</t>
  </si>
  <si>
    <t>wing length 26.3m</t>
  </si>
  <si>
    <t>Take-off Phase</t>
  </si>
  <si>
    <t>Take-off Runway Altitude</t>
  </si>
  <si>
    <t>ft</t>
  </si>
  <si>
    <t>Can be Changed Arbitarily</t>
  </si>
  <si>
    <t>Take off Weight</t>
  </si>
  <si>
    <t>kg</t>
  </si>
  <si>
    <t>Maximum Takeoff Weight, Set Arbitarily</t>
  </si>
  <si>
    <t>Take-off Decision Speed</t>
  </si>
  <si>
    <t>Knots</t>
  </si>
  <si>
    <t>V2=150 , Vstall = V2/1.2, Vr = 1.1 *Vstall</t>
  </si>
  <si>
    <t>Take-off Distance at the altitude and weight</t>
  </si>
  <si>
    <t>Taken from the takeoff chart based on the take off weight included below</t>
  </si>
  <si>
    <t>Climb Phase1</t>
  </si>
  <si>
    <t>Climb Start Altitude</t>
  </si>
  <si>
    <t>https://contentzone.eurocontrol.int/aircraftperformance/details.aspx?ICAO=A388&amp;NameFilter=airbus</t>
  </si>
  <si>
    <t>Vertical speed</t>
  </si>
  <si>
    <t>ft/min</t>
  </si>
  <si>
    <t>Taken as the weighted average of the multiple phases which gives a relative measure with a close approximation</t>
  </si>
  <si>
    <t>Climb speed</t>
  </si>
  <si>
    <t>Kts</t>
  </si>
  <si>
    <t>(convert with altitude density reference)</t>
  </si>
  <si>
    <t>Climb Angle</t>
  </si>
  <si>
    <t>degrees</t>
  </si>
  <si>
    <t>Set Arbitrarily</t>
  </si>
  <si>
    <t>Climb Phase2</t>
  </si>
  <si>
    <t>Cruise Phase</t>
  </si>
  <si>
    <t>Cruise Altitude</t>
  </si>
  <si>
    <t>obtained from the websit</t>
  </si>
  <si>
    <t>Cruise Distance</t>
  </si>
  <si>
    <t>NM</t>
  </si>
  <si>
    <t>From graph/ 8000 NM Is the max range</t>
  </si>
  <si>
    <t>Cruise Mach Number</t>
  </si>
  <si>
    <t>M</t>
  </si>
  <si>
    <t>taken from the emirates website</t>
  </si>
  <si>
    <t>Descent Phase</t>
  </si>
  <si>
    <t>Landing Phase</t>
  </si>
  <si>
    <t>Runway Altitude</t>
  </si>
  <si>
    <t>Landing Distance at the altitude and weight</t>
  </si>
  <si>
    <t xml:space="preserve">Generallly based on the type of fuel used (Same for most Jet aircrafts) </t>
  </si>
  <si>
    <t>Conversions:</t>
  </si>
  <si>
    <t>1 Hour to Seconds</t>
  </si>
  <si>
    <t>s</t>
  </si>
  <si>
    <t>1 Minute to Seconds</t>
  </si>
  <si>
    <t>Take-off Runway Altitude in ft</t>
  </si>
  <si>
    <t>1 feet to metre</t>
  </si>
  <si>
    <t>m</t>
  </si>
  <si>
    <t>Take-off Runway Altitude in m</t>
  </si>
  <si>
    <t>1 Nautical Mile to kilometres</t>
  </si>
  <si>
    <t>km</t>
  </si>
  <si>
    <t>Maximum Takeoff weight/ Can be changed</t>
  </si>
  <si>
    <t>1 kilometre to metres</t>
  </si>
  <si>
    <t>1 Knot to metre per s</t>
  </si>
  <si>
    <t>m/s</t>
  </si>
  <si>
    <t>Obtained from the takeoff performance chart for the aircraft</t>
  </si>
  <si>
    <t>Rate of climb at which the aircraft climbs to the cruise altitude</t>
  </si>
  <si>
    <t>Angle of Climb with reference to horizon at which the aircraft climbs to the cruise altitude</t>
  </si>
  <si>
    <t>Climb Phase3</t>
  </si>
  <si>
    <t>Cruise Altitude in ft</t>
  </si>
  <si>
    <t>Cruise Altitude in m</t>
  </si>
  <si>
    <t>Cruise Distance in NM or Nautical Miles</t>
  </si>
  <si>
    <t>Cruise Distance in km</t>
  </si>
  <si>
    <t>Cruise Distance in m</t>
  </si>
  <si>
    <t>M or Mach Number</t>
  </si>
  <si>
    <t>Vertical speed in ft/min</t>
  </si>
  <si>
    <t>Rate of descent at which the aircraft climbs to the cruise altitude</t>
  </si>
  <si>
    <t>Vertical speed in m/s</t>
  </si>
  <si>
    <t>Angle of descent with reference to horizon at which the aircraft climbs to the cruise altitude</t>
  </si>
  <si>
    <t>Runway Altitude in ft</t>
  </si>
  <si>
    <t>Required to determine the air density at the given altitude</t>
  </si>
  <si>
    <t>Runway Altitude in m</t>
  </si>
  <si>
    <t>Aircraft Specific Constants:</t>
  </si>
  <si>
    <t>Zero-lift Drag Coefficient</t>
  </si>
  <si>
    <t>Roskom page 68</t>
  </si>
  <si>
    <t>Calculation for Performance metrics</t>
  </si>
  <si>
    <t>Parameters</t>
  </si>
  <si>
    <t>From Input</t>
  </si>
  <si>
    <t>Equation Parameters:</t>
  </si>
  <si>
    <t>kg/kNs</t>
  </si>
  <si>
    <t>Numerator of Induced Drag Correlation factor</t>
  </si>
  <si>
    <t>K</t>
  </si>
  <si>
    <t>Equation (5-6), Pamadi 68.</t>
  </si>
  <si>
    <t>Denominator of Induced Drag Correlation factor - 1</t>
  </si>
  <si>
    <t>Takeoff Phase Calculations</t>
  </si>
  <si>
    <t>From Input, conversion to m</t>
  </si>
  <si>
    <t>Denominator of Induced Drag Correlation factor - 2</t>
  </si>
  <si>
    <t>Parameter (geopotential altitude) of Density - 1</t>
  </si>
  <si>
    <t>1MW to kW</t>
  </si>
  <si>
    <t>kW</t>
  </si>
  <si>
    <r>
      <rPr>
        <sz val="11"/>
        <color theme="1"/>
        <rFont val="Calibri"/>
        <family val="2"/>
        <scheme val="minor"/>
      </rPr>
      <t xml:space="preserve">or </t>
    </r>
    <r>
      <rPr>
        <b/>
        <i/>
        <sz val="11"/>
        <color theme="1"/>
        <rFont val="Calibri"/>
        <family val="2"/>
        <scheme val="minor"/>
      </rPr>
      <t>Aspect Ratio (AR)</t>
    </r>
  </si>
  <si>
    <t>Density</t>
  </si>
  <si>
    <t>kg/m3</t>
  </si>
  <si>
    <t>Equation (1-3), Anderson 353.</t>
  </si>
  <si>
    <t>1Kts to m/s</t>
  </si>
  <si>
    <t>Denominator of Induced Drag Correlation factor - 3</t>
  </si>
  <si>
    <t>Parameter of Ostwald's efficiency - 1</t>
  </si>
  <si>
    <t>Constants</t>
  </si>
  <si>
    <t>Parameter of Ostwald's efficiency - 2</t>
  </si>
  <si>
    <t>Parameter (CLmax) of Power - 1</t>
  </si>
  <si>
    <t>Pi</t>
  </si>
  <si>
    <t>Parameter of Ostwald's efficiency - 3</t>
  </si>
  <si>
    <t>Parameter (Thrust) of Power - 2</t>
  </si>
  <si>
    <t>N</t>
  </si>
  <si>
    <t>Density of air at sea level</t>
  </si>
  <si>
    <t>Parameter of Ostwald's efficiency - 4</t>
  </si>
  <si>
    <t>Power (in Watts)</t>
  </si>
  <si>
    <t>W</t>
  </si>
  <si>
    <t>Power</t>
  </si>
  <si>
    <t>MW</t>
  </si>
  <si>
    <t>Equation (7-9), Anderson 353.</t>
  </si>
  <si>
    <t>Speed of sound at sea level</t>
  </si>
  <si>
    <t>Parameter of Ostwald's efficiency - 5</t>
  </si>
  <si>
    <t>Time</t>
  </si>
  <si>
    <t>Sec</t>
  </si>
  <si>
    <t>Distance by average velocity; V_stall/3 = (V_lift_off/1.1)/3</t>
  </si>
  <si>
    <t>Standard Temperature at sea level</t>
  </si>
  <si>
    <t>Ostwald's efficiency</t>
  </si>
  <si>
    <r>
      <rPr>
        <b/>
        <sz val="11"/>
        <color rgb="FF000000"/>
        <rFont val="Calibri"/>
        <family val="2"/>
      </rPr>
      <t>Δ</t>
    </r>
    <r>
      <rPr>
        <b/>
        <sz val="11"/>
        <color rgb="FF000000"/>
        <rFont val="Calibri"/>
        <family val="2"/>
        <scheme val="minor"/>
      </rPr>
      <t>Fuel</t>
    </r>
  </si>
  <si>
    <t>l</t>
  </si>
  <si>
    <t>Distance times fuel burn rate</t>
  </si>
  <si>
    <t>Temperature lapse rate</t>
  </si>
  <si>
    <t>delC/m</t>
  </si>
  <si>
    <t>Fuel Burn in liters times density</t>
  </si>
  <si>
    <t>Grav. Acceleration at sea level</t>
  </si>
  <si>
    <t>m/s2</t>
  </si>
  <si>
    <t>Parameter of air density - 1</t>
  </si>
  <si>
    <t>Climb Phase 1 2 3</t>
  </si>
  <si>
    <t>Universal Gas Constant</t>
  </si>
  <si>
    <t>J/kgK</t>
  </si>
  <si>
    <t>Radius of Earth</t>
  </si>
  <si>
    <t>Equation (1-3),</t>
  </si>
  <si>
    <t>Climb Weight</t>
  </si>
  <si>
    <t>Initial-Final weight</t>
  </si>
  <si>
    <t>Rate of climb</t>
  </si>
  <si>
    <t>Vertical Distance</t>
  </si>
  <si>
    <t xml:space="preserve">(Cruise alt-Takeoff alt) </t>
  </si>
  <si>
    <t>Distance</t>
  </si>
  <si>
    <t>Geometry:  b=p/tan(alpha)</t>
  </si>
  <si>
    <t>Parameter () of Power - 1</t>
  </si>
  <si>
    <t>J/s</t>
  </si>
  <si>
    <t>Parameter () of Power - 2</t>
  </si>
  <si>
    <t>Parameter () of Power - 3</t>
  </si>
  <si>
    <t>Power ( in Watts)</t>
  </si>
  <si>
    <t>Climb Speed</t>
  </si>
  <si>
    <t>Equation (15) , Pamadi 94/ Venkat Viswanathans Paper</t>
  </si>
  <si>
    <t>Same as in Takeoff</t>
  </si>
  <si>
    <t>Link</t>
  </si>
  <si>
    <t>Climb Phase 4</t>
  </si>
  <si>
    <t>Speed of Sound (a)</t>
  </si>
  <si>
    <t>Cruise Weight</t>
  </si>
  <si>
    <t>Equation (4),</t>
  </si>
  <si>
    <t>Cruise speed</t>
  </si>
  <si>
    <t>Equation (14) ,  Pamadi 83/ Venkat Viswanathans Paper</t>
  </si>
  <si>
    <t xml:space="preserve">Time </t>
  </si>
  <si>
    <t>Descent Weight</t>
  </si>
  <si>
    <t xml:space="preserve">(Cruise alt-Landing alt) </t>
  </si>
  <si>
    <t>As a convention, power is set to idle during descent</t>
  </si>
  <si>
    <t>Landing Weight</t>
  </si>
  <si>
    <t>Set to zero during landing, unless reverse thrust is utilized</t>
  </si>
  <si>
    <t>Same as in Takeoff, (V_landing=1.23 V_stall=1.23*V_takeoff/1.1), V_avg=V_landing/3</t>
  </si>
  <si>
    <t>Same as in Takeoff; Based on fuel burn rate per NM</t>
  </si>
  <si>
    <t>Taxi / Parking</t>
  </si>
  <si>
    <t>secs</t>
  </si>
  <si>
    <t>Taxi/Parling Time</t>
  </si>
  <si>
    <t>mins</t>
  </si>
  <si>
    <t>Standard 15 mins</t>
  </si>
  <si>
    <t>Considering Mass Variation</t>
  </si>
  <si>
    <t>Time(mins)</t>
  </si>
  <si>
    <t>Power(MW)</t>
  </si>
  <si>
    <t>No mass change</t>
  </si>
  <si>
    <t>Time (s)</t>
  </si>
  <si>
    <t>Power (MW)</t>
  </si>
  <si>
    <t>Power (W)</t>
  </si>
  <si>
    <t>Altitude Variation</t>
  </si>
  <si>
    <t>Alt</t>
  </si>
  <si>
    <t>Without Mass Change</t>
  </si>
  <si>
    <t>Range - 300 NM</t>
  </si>
  <si>
    <t>Range - 600 NM</t>
  </si>
  <si>
    <t>Range - 900 NM</t>
  </si>
  <si>
    <t>For the A320 aircraft, standard inputs are provided in the "A380 Basic Inputs" chart. Users can copy these inputs to the respective input charts to run calculations for the default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</si>
</sst>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u/>
      <sz val="11"/>
      <color theme="1"/>
      <name val="Calibri"/>
      <family val="2"/>
      <scheme val="minor"/>
    </font>
    <font>
      <b/>
      <i/>
      <sz val="11"/>
      <color theme="1"/>
      <name val="Calibri"/>
      <family val="2"/>
      <scheme val="minor"/>
    </font>
    <font>
      <b/>
      <sz val="11"/>
      <color rgb="FFFF0000"/>
      <name val="Calibri"/>
      <family val="2"/>
      <scheme val="minor"/>
    </font>
    <font>
      <sz val="12"/>
      <color rgb="FFA9B7C6"/>
      <name val="Menlo"/>
      <family val="2"/>
    </font>
    <font>
      <sz val="11"/>
      <color rgb="FF202122"/>
      <name val="Calibri"/>
      <family val="2"/>
      <scheme val="minor"/>
    </font>
    <font>
      <sz val="11"/>
      <color rgb="FF333333"/>
      <name val="Calibri"/>
      <family val="2"/>
      <scheme val="minor"/>
    </font>
    <font>
      <sz val="11"/>
      <name val="Calibri"/>
      <family val="2"/>
      <scheme val="minor"/>
    </font>
    <font>
      <u/>
      <sz val="11"/>
      <color rgb="FF000000"/>
      <name val="Calibri"/>
      <family val="2"/>
      <scheme val="minor"/>
    </font>
    <font>
      <sz val="11"/>
      <color rgb="FF000000"/>
      <name val="Calibri"/>
      <family val="2"/>
      <scheme val="minor"/>
    </font>
    <font>
      <b/>
      <sz val="11"/>
      <color rgb="FF000000"/>
      <name val="Calibri"/>
      <family val="2"/>
      <scheme val="minor"/>
    </font>
    <font>
      <b/>
      <sz val="11"/>
      <color rgb="FF000000"/>
      <name val="Calibri"/>
      <family val="2"/>
    </font>
    <font>
      <sz val="10"/>
      <color rgb="FF000000"/>
      <name val="Segoe UI"/>
      <family val="2"/>
    </font>
  </fonts>
  <fills count="9">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xf numFmtId="0" fontId="1" fillId="0" borderId="0" xfId="0" applyFont="1"/>
    <xf numFmtId="0" fontId="1" fillId="3" borderId="1" xfId="0" applyFont="1" applyFill="1" applyBorder="1"/>
    <xf numFmtId="0" fontId="1" fillId="2" borderId="0" xfId="0" applyFont="1" applyFill="1"/>
    <xf numFmtId="0" fontId="2" fillId="0" borderId="0" xfId="1"/>
    <xf numFmtId="0" fontId="0" fillId="4" borderId="0" xfId="0" applyFill="1"/>
    <xf numFmtId="0" fontId="1" fillId="5" borderId="1" xfId="0" applyFont="1" applyFill="1" applyBorder="1"/>
    <xf numFmtId="0" fontId="0" fillId="5" borderId="1" xfId="0" applyFill="1" applyBorder="1"/>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textRotation="255"/>
    </xf>
    <xf numFmtId="0" fontId="0" fillId="0" borderId="0" xfId="0" applyAlignment="1">
      <alignment wrapText="1"/>
    </xf>
    <xf numFmtId="0" fontId="1"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3" fillId="0" borderId="0" xfId="0" applyFont="1"/>
    <xf numFmtId="0" fontId="4" fillId="4" borderId="0" xfId="0" applyFont="1" applyFill="1"/>
    <xf numFmtId="0" fontId="5" fillId="0" borderId="0" xfId="0" applyFont="1"/>
    <xf numFmtId="0" fontId="6" fillId="0" borderId="0" xfId="0" applyFont="1"/>
    <xf numFmtId="0" fontId="1" fillId="0" borderId="1" xfId="0" applyFont="1" applyBorder="1" applyAlignment="1">
      <alignment horizontal="center"/>
    </xf>
    <xf numFmtId="0" fontId="0" fillId="0" borderId="1" xfId="0" applyBorder="1" applyAlignment="1">
      <alignment horizontal="center"/>
    </xf>
    <xf numFmtId="164" fontId="0" fillId="0" borderId="0" xfId="0" applyNumberFormat="1"/>
    <xf numFmtId="0" fontId="1" fillId="2" borderId="0" xfId="0" applyFont="1" applyFill="1" applyAlignment="1">
      <alignment horizontal="center"/>
    </xf>
    <xf numFmtId="164" fontId="1" fillId="0" borderId="1" xfId="0" applyNumberFormat="1" applyFont="1" applyBorder="1" applyAlignment="1">
      <alignment horizontal="center"/>
    </xf>
    <xf numFmtId="164" fontId="0" fillId="0" borderId="1" xfId="0" applyNumberFormat="1" applyBorder="1" applyAlignment="1">
      <alignment horizontal="center"/>
    </xf>
    <xf numFmtId="0" fontId="7" fillId="0" borderId="0" xfId="0" applyFont="1"/>
    <xf numFmtId="0" fontId="1" fillId="3" borderId="0" xfId="0" applyFont="1" applyFill="1" applyAlignment="1">
      <alignment horizontal="center" wrapText="1"/>
    </xf>
    <xf numFmtId="0" fontId="0" fillId="7" borderId="0" xfId="0" applyFill="1"/>
    <xf numFmtId="0" fontId="2" fillId="0" borderId="0" xfId="1" applyAlignment="1">
      <alignment wrapText="1"/>
    </xf>
    <xf numFmtId="0" fontId="0" fillId="5" borderId="1" xfId="0" applyFill="1" applyBorder="1" applyAlignment="1">
      <alignment wrapText="1"/>
    </xf>
    <xf numFmtId="0" fontId="0" fillId="3" borderId="1" xfId="0" applyFill="1" applyBorder="1" applyAlignment="1">
      <alignment wrapText="1"/>
    </xf>
    <xf numFmtId="0" fontId="0" fillId="5" borderId="0" xfId="0" applyFill="1"/>
    <xf numFmtId="0" fontId="8" fillId="5" borderId="0" xfId="0" applyFont="1" applyFill="1"/>
    <xf numFmtId="0" fontId="10" fillId="0" borderId="0" xfId="0" applyFont="1"/>
    <xf numFmtId="0" fontId="9" fillId="8" borderId="16" xfId="0" applyFont="1" applyFill="1" applyBorder="1"/>
    <xf numFmtId="0" fontId="0" fillId="8" borderId="1" xfId="0" applyFill="1" applyBorder="1"/>
    <xf numFmtId="164" fontId="0" fillId="8" borderId="1" xfId="0" applyNumberFormat="1" applyFill="1" applyBorder="1"/>
    <xf numFmtId="0" fontId="0" fillId="0" borderId="17" xfId="0" applyBorder="1" applyAlignment="1">
      <alignment horizontal="center"/>
    </xf>
    <xf numFmtId="164" fontId="0" fillId="0" borderId="17" xfId="0" applyNumberFormat="1" applyBorder="1" applyAlignment="1">
      <alignment horizontal="center"/>
    </xf>
    <xf numFmtId="0" fontId="0" fillId="0" borderId="17" xfId="0" applyBorder="1"/>
    <xf numFmtId="0" fontId="0" fillId="0" borderId="2" xfId="0" applyBorder="1" applyAlignment="1">
      <alignment horizontal="center"/>
    </xf>
    <xf numFmtId="164" fontId="0" fillId="0" borderId="2" xfId="0" applyNumberFormat="1" applyBorder="1" applyAlignment="1">
      <alignment horizontal="center"/>
    </xf>
    <xf numFmtId="0" fontId="12" fillId="0" borderId="0" xfId="1" applyFont="1" applyAlignment="1"/>
    <xf numFmtId="0" fontId="13" fillId="5" borderId="1" xfId="0" applyFont="1" applyFill="1" applyBorder="1"/>
    <xf numFmtId="0" fontId="12" fillId="0" borderId="0" xfId="0" applyFont="1"/>
    <xf numFmtId="0" fontId="12"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center" vertical="center"/>
    </xf>
    <xf numFmtId="0" fontId="13" fillId="5" borderId="6" xfId="0" applyFont="1" applyFill="1" applyBorder="1"/>
    <xf numFmtId="0" fontId="12" fillId="5" borderId="6" xfId="0" applyFont="1" applyFill="1" applyBorder="1"/>
    <xf numFmtId="0" fontId="12" fillId="0" borderId="7" xfId="0" applyFont="1" applyBorder="1"/>
    <xf numFmtId="0" fontId="12" fillId="5" borderId="1" xfId="0" applyFont="1" applyFill="1" applyBorder="1"/>
    <xf numFmtId="0" fontId="12" fillId="0" borderId="9" xfId="0" applyFont="1" applyBorder="1"/>
    <xf numFmtId="0" fontId="13" fillId="5" borderId="11" xfId="0" applyFont="1" applyFill="1" applyBorder="1"/>
    <xf numFmtId="0" fontId="12" fillId="5" borderId="11" xfId="0" applyFont="1" applyFill="1" applyBorder="1"/>
    <xf numFmtId="0" fontId="12" fillId="0" borderId="12" xfId="0" applyFont="1" applyBorder="1"/>
    <xf numFmtId="0" fontId="13" fillId="3" borderId="6" xfId="0" applyFont="1" applyFill="1" applyBorder="1"/>
    <xf numFmtId="0" fontId="12" fillId="3" borderId="6" xfId="0" applyFont="1" applyFill="1" applyBorder="1"/>
    <xf numFmtId="0" fontId="13" fillId="3" borderId="1" xfId="0" applyFont="1" applyFill="1" applyBorder="1"/>
    <xf numFmtId="0" fontId="12" fillId="3" borderId="1" xfId="0" applyFont="1" applyFill="1" applyBorder="1"/>
    <xf numFmtId="0" fontId="13" fillId="3" borderId="11" xfId="0" applyFont="1" applyFill="1" applyBorder="1"/>
    <xf numFmtId="0" fontId="12" fillId="3" borderId="11" xfId="0" applyFont="1" applyFill="1" applyBorder="1"/>
    <xf numFmtId="2" fontId="12" fillId="5" borderId="1" xfId="0" applyNumberFormat="1" applyFont="1" applyFill="1" applyBorder="1"/>
    <xf numFmtId="0" fontId="11" fillId="0" borderId="0" xfId="1" applyFont="1"/>
    <xf numFmtId="0" fontId="15" fillId="3" borderId="1" xfId="0" applyFont="1" applyFill="1" applyBorder="1"/>
    <xf numFmtId="0" fontId="13" fillId="0" borderId="9" xfId="0" applyFon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0" xfId="0" applyFont="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4" xfId="0" applyFont="1" applyFill="1" applyBorder="1" applyAlignment="1">
      <alignment horizontal="center" vertical="center"/>
    </xf>
    <xf numFmtId="0" fontId="4" fillId="4" borderId="0" xfId="0" applyFont="1" applyFill="1" applyAlignment="1">
      <alignment horizontal="left"/>
    </xf>
    <xf numFmtId="0" fontId="1" fillId="3"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13" fillId="0" borderId="0" xfId="0" applyFont="1" applyAlignment="1">
      <alignment horizontal="center"/>
    </xf>
    <xf numFmtId="0" fontId="13" fillId="3" borderId="13" xfId="0" applyFont="1" applyFill="1" applyBorder="1" applyAlignment="1">
      <alignment horizontal="center" vertical="center" textRotation="90"/>
    </xf>
    <xf numFmtId="0" fontId="13" fillId="3" borderId="14" xfId="0" applyFont="1" applyFill="1" applyBorder="1" applyAlignment="1">
      <alignment horizontal="center" vertical="center" textRotation="90"/>
    </xf>
    <xf numFmtId="0" fontId="13" fillId="3" borderId="15" xfId="0" applyFont="1" applyFill="1" applyBorder="1" applyAlignment="1">
      <alignment horizontal="center" vertical="center" textRotation="90"/>
    </xf>
    <xf numFmtId="0" fontId="13" fillId="5" borderId="13"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13" fillId="5" borderId="5" xfId="0" applyFont="1" applyFill="1" applyBorder="1" applyAlignment="1">
      <alignment horizontal="center" vertical="center"/>
    </xf>
    <xf numFmtId="0" fontId="13" fillId="5" borderId="10" xfId="0" applyFont="1" applyFill="1" applyBorder="1" applyAlignment="1">
      <alignment horizontal="center" vertical="center"/>
    </xf>
    <xf numFmtId="0" fontId="13" fillId="5" borderId="13" xfId="0" applyFont="1" applyFill="1" applyBorder="1" applyAlignment="1">
      <alignment horizontal="center" vertical="center" textRotation="90"/>
    </xf>
    <xf numFmtId="0" fontId="13" fillId="5" borderId="14" xfId="0" applyFont="1" applyFill="1" applyBorder="1" applyAlignment="1">
      <alignment horizontal="center" vertical="center" textRotation="90"/>
    </xf>
    <xf numFmtId="0" fontId="13" fillId="5" borderId="15" xfId="0" applyFont="1" applyFill="1" applyBorder="1" applyAlignment="1">
      <alignment horizontal="center" vertical="center" textRotation="90"/>
    </xf>
    <xf numFmtId="0" fontId="13" fillId="5" borderId="5" xfId="0" applyFont="1" applyFill="1" applyBorder="1" applyAlignment="1">
      <alignment horizontal="center" vertical="center" textRotation="90"/>
    </xf>
    <xf numFmtId="0" fontId="13" fillId="5" borderId="8" xfId="0" applyFont="1" applyFill="1" applyBorder="1" applyAlignment="1">
      <alignment horizontal="center" vertical="center" textRotation="90"/>
    </xf>
    <xf numFmtId="0" fontId="13" fillId="5" borderId="10" xfId="0" applyFont="1" applyFill="1" applyBorder="1" applyAlignment="1">
      <alignment horizontal="center" vertical="center" textRotation="90"/>
    </xf>
    <xf numFmtId="0" fontId="0" fillId="7" borderId="0" xfId="0" applyFill="1" applyAlignment="1">
      <alignment horizontal="center" textRotation="90"/>
    </xf>
    <xf numFmtId="0" fontId="0" fillId="7" borderId="0" xfId="0" applyFill="1" applyAlignment="1">
      <alignment horizontal="center" vertical="center"/>
    </xf>
    <xf numFmtId="0" fontId="0" fillId="4" borderId="3" xfId="0" applyFill="1" applyBorder="1" applyAlignment="1">
      <alignment horizontal="center"/>
    </xf>
    <xf numFmtId="0" fontId="0" fillId="4" borderId="1" xfId="0" applyFill="1" applyBorder="1" applyAlignment="1">
      <alignment horizontal="center"/>
    </xf>
    <xf numFmtId="0" fontId="0" fillId="7" borderId="0" xfId="0" applyFill="1" applyAlignment="1">
      <alignment horizontal="center" vertical="center" textRotation="90" wrapText="1"/>
    </xf>
    <xf numFmtId="0" fontId="1" fillId="6"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BE5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038083513564724E-2"/>
          <c:y val="9.446012248287404E-2"/>
          <c:w val="0.86214597702361462"/>
          <c:h val="0.72579219591445698"/>
        </c:manualLayout>
      </c:layout>
      <c:scatterChart>
        <c:scatterStyle val="lineMarker"/>
        <c:varyColors val="0"/>
        <c:ser>
          <c:idx val="0"/>
          <c:order val="0"/>
          <c:tx>
            <c:strRef>
              <c:f>Results!$B$1:$C$1</c:f>
              <c:strCache>
                <c:ptCount val="1"/>
                <c:pt idx="0">
                  <c:v>Time(mins) Power(MW)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Results!$B$2:$B$13</c:f>
              <c:numCache>
                <c:formatCode>General</c:formatCode>
                <c:ptCount val="12"/>
                <c:pt idx="0">
                  <c:v>0</c:v>
                </c:pt>
                <c:pt idx="1">
                  <c:v>2.3061294565853663</c:v>
                </c:pt>
                <c:pt idx="2">
                  <c:v>11.649879456585367</c:v>
                </c:pt>
                <c:pt idx="3">
                  <c:v>39.649879456585367</c:v>
                </c:pt>
                <c:pt idx="4">
                  <c:v>39.649879456585367</c:v>
                </c:pt>
                <c:pt idx="5">
                  <c:v>343.63866437146714</c:v>
                </c:pt>
                <c:pt idx="6">
                  <c:v>372.30533103813383</c:v>
                </c:pt>
                <c:pt idx="7">
                  <c:v>372.30533103813383</c:v>
                </c:pt>
                <c:pt idx="8">
                  <c:v>373.7318869055868</c:v>
                </c:pt>
                <c:pt idx="9">
                  <c:v>388.7318869055868</c:v>
                </c:pt>
              </c:numCache>
            </c:numRef>
          </c:xVal>
          <c:yVal>
            <c:numRef>
              <c:f>Results!$C$2:$C$13</c:f>
              <c:numCache>
                <c:formatCode>General</c:formatCode>
                <c:ptCount val="12"/>
                <c:pt idx="0">
                  <c:v>0</c:v>
                </c:pt>
                <c:pt idx="1">
                  <c:v>108.40574301274876</c:v>
                </c:pt>
                <c:pt idx="2">
                  <c:v>103.1162722342816</c:v>
                </c:pt>
                <c:pt idx="3">
                  <c:v>86.593179025976241</c:v>
                </c:pt>
                <c:pt idx="4">
                  <c:v>66.298251370128824</c:v>
                </c:pt>
                <c:pt idx="5">
                  <c:v>66.298251370128824</c:v>
                </c:pt>
                <c:pt idx="6">
                  <c:v>66.298251370128824</c:v>
                </c:pt>
                <c:pt idx="7">
                  <c:v>0</c:v>
                </c:pt>
                <c:pt idx="8">
                  <c:v>0</c:v>
                </c:pt>
                <c:pt idx="9">
                  <c:v>0</c:v>
                </c:pt>
              </c:numCache>
            </c:numRef>
          </c:yVal>
          <c:smooth val="0"/>
          <c:extLst>
            <c:ext xmlns:c16="http://schemas.microsoft.com/office/drawing/2014/chart" uri="{C3380CC4-5D6E-409C-BE32-E72D297353CC}">
              <c16:uniqueId val="{00000001-88A2-4C9C-952C-C1DC94DD131E}"/>
            </c:ext>
          </c:extLst>
        </c:ser>
        <c:dLbls>
          <c:showLegendKey val="0"/>
          <c:showVal val="0"/>
          <c:showCatName val="0"/>
          <c:showSerName val="0"/>
          <c:showPercent val="0"/>
          <c:showBubbleSize val="0"/>
        </c:dLbls>
        <c:axId val="1187629151"/>
        <c:axId val="1187629631"/>
      </c:scatterChart>
      <c:valAx>
        <c:axId val="1187629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Time(mins)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29631"/>
        <c:crosses val="autoZero"/>
        <c:crossBetween val="midCat"/>
      </c:valAx>
      <c:valAx>
        <c:axId val="118762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291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a:t>
            </a:r>
            <a:r>
              <a:rPr lang="en-US" baseline="0"/>
              <a:t> Profile (no mass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Results!$O$1</c:f>
              <c:strCache>
                <c:ptCount val="1"/>
                <c:pt idx="0">
                  <c:v>Power (MW)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Results!$M$2:$M$10</c:f>
              <c:numCache>
                <c:formatCode>General</c:formatCode>
                <c:ptCount val="9"/>
                <c:pt idx="0">
                  <c:v>0</c:v>
                </c:pt>
                <c:pt idx="1">
                  <c:v>2.3061294565853663</c:v>
                </c:pt>
                <c:pt idx="2">
                  <c:v>11.649879456585367</c:v>
                </c:pt>
                <c:pt idx="3">
                  <c:v>39.649879456585367</c:v>
                </c:pt>
                <c:pt idx="4">
                  <c:v>39.649879456585367</c:v>
                </c:pt>
                <c:pt idx="5">
                  <c:v>343.63866437146714</c:v>
                </c:pt>
                <c:pt idx="6">
                  <c:v>372.30533103813383</c:v>
                </c:pt>
                <c:pt idx="7">
                  <c:v>372.30533103813383</c:v>
                </c:pt>
                <c:pt idx="8">
                  <c:v>373.7318869055868</c:v>
                </c:pt>
              </c:numCache>
            </c:numRef>
          </c:xVal>
          <c:yVal>
            <c:numRef>
              <c:f>Results!$O$2:$O$10</c:f>
              <c:numCache>
                <c:formatCode>General</c:formatCode>
                <c:ptCount val="9"/>
                <c:pt idx="0">
                  <c:v>0</c:v>
                </c:pt>
                <c:pt idx="1">
                  <c:v>108.40574301274876</c:v>
                </c:pt>
                <c:pt idx="2">
                  <c:v>103.68613632544768</c:v>
                </c:pt>
                <c:pt idx="3">
                  <c:v>91.487841504664544</c:v>
                </c:pt>
                <c:pt idx="4">
                  <c:v>66.392368759356899</c:v>
                </c:pt>
                <c:pt idx="5">
                  <c:v>66.392368759356899</c:v>
                </c:pt>
                <c:pt idx="6">
                  <c:v>66.392368759356899</c:v>
                </c:pt>
                <c:pt idx="7">
                  <c:v>0</c:v>
                </c:pt>
                <c:pt idx="8">
                  <c:v>0</c:v>
                </c:pt>
              </c:numCache>
            </c:numRef>
          </c:yVal>
          <c:smooth val="0"/>
          <c:extLst>
            <c:ext xmlns:c16="http://schemas.microsoft.com/office/drawing/2014/chart" uri="{C3380CC4-5D6E-409C-BE32-E72D297353CC}">
              <c16:uniqueId val="{00000000-E773-4B72-987F-6C28A3246A72}"/>
            </c:ext>
          </c:extLst>
        </c:ser>
        <c:dLbls>
          <c:showLegendKey val="0"/>
          <c:showVal val="0"/>
          <c:showCatName val="0"/>
          <c:showSerName val="0"/>
          <c:showPercent val="0"/>
          <c:showBubbleSize val="0"/>
        </c:dLbls>
        <c:axId val="337641983"/>
        <c:axId val="337642463"/>
      </c:scatterChart>
      <c:valAx>
        <c:axId val="33764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42463"/>
        <c:crosses val="autoZero"/>
        <c:crossBetween val="midCat"/>
      </c:valAx>
      <c:valAx>
        <c:axId val="3376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419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300 NM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Results!$AE$24:$AE$32</c:f>
              <c:numCache>
                <c:formatCode>General</c:formatCode>
                <c:ptCount val="9"/>
                <c:pt idx="0">
                  <c:v>0</c:v>
                </c:pt>
                <c:pt idx="1">
                  <c:v>139</c:v>
                </c:pt>
                <c:pt idx="2">
                  <c:v>699</c:v>
                </c:pt>
                <c:pt idx="3">
                  <c:v>2379</c:v>
                </c:pt>
                <c:pt idx="4">
                  <c:v>2379</c:v>
                </c:pt>
                <c:pt idx="5">
                  <c:v>4203</c:v>
                </c:pt>
                <c:pt idx="6">
                  <c:v>5923</c:v>
                </c:pt>
                <c:pt idx="7">
                  <c:v>5923</c:v>
                </c:pt>
                <c:pt idx="8">
                  <c:v>6009</c:v>
                </c:pt>
              </c:numCache>
            </c:numRef>
          </c:xVal>
          <c:yVal>
            <c:numRef>
              <c:f>Results!$AF$24:$AF$32</c:f>
              <c:numCache>
                <c:formatCode>0.0</c:formatCode>
                <c:ptCount val="9"/>
                <c:pt idx="0">
                  <c:v>0</c:v>
                </c:pt>
                <c:pt idx="1">
                  <c:v>108405743.01274876</c:v>
                </c:pt>
                <c:pt idx="2">
                  <c:v>103686136.32544768</c:v>
                </c:pt>
                <c:pt idx="3">
                  <c:v>91487841.50466454</c:v>
                </c:pt>
                <c:pt idx="4">
                  <c:v>66392368.759356901</c:v>
                </c:pt>
                <c:pt idx="5">
                  <c:v>66392368.759356901</c:v>
                </c:pt>
                <c:pt idx="6">
                  <c:v>66392368.759356901</c:v>
                </c:pt>
                <c:pt idx="7">
                  <c:v>0</c:v>
                </c:pt>
                <c:pt idx="8">
                  <c:v>0</c:v>
                </c:pt>
              </c:numCache>
            </c:numRef>
          </c:yVal>
          <c:smooth val="0"/>
          <c:extLst>
            <c:ext xmlns:c16="http://schemas.microsoft.com/office/drawing/2014/chart" uri="{C3380CC4-5D6E-409C-BE32-E72D297353CC}">
              <c16:uniqueId val="{00000000-22C6-BC47-ADD1-F08363E0932C}"/>
            </c:ext>
          </c:extLst>
        </c:ser>
        <c:ser>
          <c:idx val="2"/>
          <c:order val="1"/>
          <c:tx>
            <c:v>600 NM</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Results!$AE$36:$AE$44</c:f>
              <c:numCache>
                <c:formatCode>General</c:formatCode>
                <c:ptCount val="9"/>
                <c:pt idx="0">
                  <c:v>0</c:v>
                </c:pt>
                <c:pt idx="1">
                  <c:v>139</c:v>
                </c:pt>
                <c:pt idx="2">
                  <c:v>699</c:v>
                </c:pt>
                <c:pt idx="3">
                  <c:v>2379</c:v>
                </c:pt>
                <c:pt idx="4">
                  <c:v>2379</c:v>
                </c:pt>
                <c:pt idx="5">
                  <c:v>6027</c:v>
                </c:pt>
                <c:pt idx="6">
                  <c:v>7747</c:v>
                </c:pt>
                <c:pt idx="7">
                  <c:v>7747</c:v>
                </c:pt>
                <c:pt idx="8">
                  <c:v>7833</c:v>
                </c:pt>
              </c:numCache>
            </c:numRef>
          </c:xVal>
          <c:yVal>
            <c:numRef>
              <c:f>Results!$AF$36:$AF$44</c:f>
              <c:numCache>
                <c:formatCode>0.0</c:formatCode>
                <c:ptCount val="9"/>
                <c:pt idx="0">
                  <c:v>0</c:v>
                </c:pt>
                <c:pt idx="1">
                  <c:v>108405743.01274876</c:v>
                </c:pt>
                <c:pt idx="2">
                  <c:v>103686136.32544768</c:v>
                </c:pt>
                <c:pt idx="3">
                  <c:v>91487841.50466454</c:v>
                </c:pt>
                <c:pt idx="4">
                  <c:v>66392368.759356901</c:v>
                </c:pt>
                <c:pt idx="5">
                  <c:v>66392368.759356901</c:v>
                </c:pt>
                <c:pt idx="6">
                  <c:v>66392368.759356901</c:v>
                </c:pt>
                <c:pt idx="7">
                  <c:v>0</c:v>
                </c:pt>
                <c:pt idx="8">
                  <c:v>0</c:v>
                </c:pt>
              </c:numCache>
            </c:numRef>
          </c:yVal>
          <c:smooth val="0"/>
          <c:extLst>
            <c:ext xmlns:c16="http://schemas.microsoft.com/office/drawing/2014/chart" uri="{C3380CC4-5D6E-409C-BE32-E72D297353CC}">
              <c16:uniqueId val="{00000002-22C6-BC47-ADD1-F08363E0932C}"/>
            </c:ext>
          </c:extLst>
        </c:ser>
        <c:ser>
          <c:idx val="4"/>
          <c:order val="2"/>
          <c:tx>
            <c:v>900 NM</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Results!$AE$49:$AE$57</c:f>
              <c:numCache>
                <c:formatCode>General</c:formatCode>
                <c:ptCount val="9"/>
                <c:pt idx="0">
                  <c:v>0</c:v>
                </c:pt>
                <c:pt idx="1">
                  <c:v>139</c:v>
                </c:pt>
                <c:pt idx="2">
                  <c:v>699</c:v>
                </c:pt>
                <c:pt idx="3">
                  <c:v>2379</c:v>
                </c:pt>
                <c:pt idx="4">
                  <c:v>2379</c:v>
                </c:pt>
                <c:pt idx="5">
                  <c:v>7851</c:v>
                </c:pt>
                <c:pt idx="6">
                  <c:v>9571</c:v>
                </c:pt>
                <c:pt idx="7">
                  <c:v>9571</c:v>
                </c:pt>
                <c:pt idx="8">
                  <c:v>9657</c:v>
                </c:pt>
              </c:numCache>
            </c:numRef>
          </c:xVal>
          <c:yVal>
            <c:numRef>
              <c:f>Results!$AF$49:$AF$57</c:f>
              <c:numCache>
                <c:formatCode>0.0</c:formatCode>
                <c:ptCount val="9"/>
                <c:pt idx="0">
                  <c:v>0</c:v>
                </c:pt>
                <c:pt idx="1">
                  <c:v>108405743.01274876</c:v>
                </c:pt>
                <c:pt idx="2">
                  <c:v>103686136.32544768</c:v>
                </c:pt>
                <c:pt idx="3">
                  <c:v>91487841.50466454</c:v>
                </c:pt>
                <c:pt idx="4">
                  <c:v>66392368.759356901</c:v>
                </c:pt>
                <c:pt idx="5">
                  <c:v>66392368.759356901</c:v>
                </c:pt>
                <c:pt idx="6">
                  <c:v>66392368.759356901</c:v>
                </c:pt>
                <c:pt idx="7">
                  <c:v>0</c:v>
                </c:pt>
                <c:pt idx="8">
                  <c:v>0</c:v>
                </c:pt>
              </c:numCache>
            </c:numRef>
          </c:yVal>
          <c:smooth val="0"/>
          <c:extLst>
            <c:ext xmlns:c16="http://schemas.microsoft.com/office/drawing/2014/chart" uri="{C3380CC4-5D6E-409C-BE32-E72D297353CC}">
              <c16:uniqueId val="{00000004-22C6-BC47-ADD1-F08363E0932C}"/>
            </c:ext>
          </c:extLst>
        </c:ser>
        <c:dLbls>
          <c:showLegendKey val="0"/>
          <c:showVal val="0"/>
          <c:showCatName val="0"/>
          <c:showSerName val="0"/>
          <c:showPercent val="0"/>
          <c:showBubbleSize val="0"/>
        </c:dLbls>
        <c:axId val="337641983"/>
        <c:axId val="337642463"/>
      </c:scatterChart>
      <c:valAx>
        <c:axId val="33764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642463"/>
        <c:crosses val="autoZero"/>
        <c:crossBetween val="midCat"/>
      </c:valAx>
      <c:valAx>
        <c:axId val="33764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Power [J/s]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641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v>900 NM</c:v>
          </c:tx>
          <c:spPr>
            <a:ln w="19050" cap="rnd">
              <a:solidFill>
                <a:schemeClr val="tx1"/>
              </a:solidFill>
              <a:round/>
            </a:ln>
            <a:effectLst/>
          </c:spPr>
          <c:marker>
            <c:symbol val="circle"/>
            <c:size val="5"/>
            <c:spPr>
              <a:solidFill>
                <a:schemeClr val="tx1"/>
              </a:solidFill>
              <a:ln w="9525">
                <a:solidFill>
                  <a:schemeClr val="tx1"/>
                </a:solidFill>
              </a:ln>
              <a:effectLst/>
            </c:spPr>
          </c:marker>
          <c:xVal>
            <c:numRef>
              <c:f>Results!$AE$49:$AE$57</c:f>
              <c:numCache>
                <c:formatCode>General</c:formatCode>
                <c:ptCount val="9"/>
                <c:pt idx="0">
                  <c:v>0</c:v>
                </c:pt>
                <c:pt idx="1">
                  <c:v>139</c:v>
                </c:pt>
                <c:pt idx="2">
                  <c:v>699</c:v>
                </c:pt>
                <c:pt idx="3">
                  <c:v>2379</c:v>
                </c:pt>
                <c:pt idx="4">
                  <c:v>2379</c:v>
                </c:pt>
                <c:pt idx="5">
                  <c:v>7851</c:v>
                </c:pt>
                <c:pt idx="6">
                  <c:v>9571</c:v>
                </c:pt>
                <c:pt idx="7">
                  <c:v>9571</c:v>
                </c:pt>
                <c:pt idx="8">
                  <c:v>9657</c:v>
                </c:pt>
              </c:numCache>
            </c:numRef>
          </c:xVal>
          <c:yVal>
            <c:numRef>
              <c:f>Results!$AF$49:$AF$57</c:f>
              <c:numCache>
                <c:formatCode>0.0</c:formatCode>
                <c:ptCount val="9"/>
                <c:pt idx="0">
                  <c:v>0</c:v>
                </c:pt>
                <c:pt idx="1">
                  <c:v>108405743.01274876</c:v>
                </c:pt>
                <c:pt idx="2">
                  <c:v>103686136.32544768</c:v>
                </c:pt>
                <c:pt idx="3">
                  <c:v>91487841.50466454</c:v>
                </c:pt>
                <c:pt idx="4">
                  <c:v>66392368.759356901</c:v>
                </c:pt>
                <c:pt idx="5">
                  <c:v>66392368.759356901</c:v>
                </c:pt>
                <c:pt idx="6">
                  <c:v>66392368.759356901</c:v>
                </c:pt>
                <c:pt idx="7">
                  <c:v>0</c:v>
                </c:pt>
                <c:pt idx="8">
                  <c:v>0</c:v>
                </c:pt>
              </c:numCache>
            </c:numRef>
          </c:yVal>
          <c:smooth val="0"/>
          <c:extLst>
            <c:ext xmlns:c16="http://schemas.microsoft.com/office/drawing/2014/chart" uri="{C3380CC4-5D6E-409C-BE32-E72D297353CC}">
              <c16:uniqueId val="{00000002-F52B-2047-9086-76D50E7AB6E4}"/>
            </c:ext>
          </c:extLst>
        </c:ser>
        <c:dLbls>
          <c:showLegendKey val="0"/>
          <c:showVal val="0"/>
          <c:showCatName val="0"/>
          <c:showSerName val="0"/>
          <c:showPercent val="0"/>
          <c:showBubbleSize val="0"/>
        </c:dLbls>
        <c:axId val="337641983"/>
        <c:axId val="337642463"/>
      </c:scatterChart>
      <c:valAx>
        <c:axId val="33764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642463"/>
        <c:crosses val="autoZero"/>
        <c:crossBetween val="midCat"/>
      </c:valAx>
      <c:valAx>
        <c:axId val="33764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Power [J/s]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641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Altitude</a:t>
            </a:r>
            <a:r>
              <a:rPr lang="en-US" baseline="0"/>
              <a:t> variation for the mission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Results!$B$19</c:f>
              <c:strCache>
                <c:ptCount val="1"/>
                <c:pt idx="0">
                  <c:v>Alt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Results!$A$20:$A$26</c:f>
              <c:numCache>
                <c:formatCode>General</c:formatCode>
                <c:ptCount val="7"/>
                <c:pt idx="0">
                  <c:v>0</c:v>
                </c:pt>
                <c:pt idx="1">
                  <c:v>2.1803405771352553</c:v>
                </c:pt>
                <c:pt idx="2">
                  <c:v>113.25040427140276</c:v>
                </c:pt>
                <c:pt idx="3">
                  <c:v>619.89837912953897</c:v>
                </c:pt>
                <c:pt idx="4">
                  <c:v>648.5650457962056</c:v>
                </c:pt>
                <c:pt idx="5">
                  <c:v>649.9137895254338</c:v>
                </c:pt>
                <c:pt idx="6">
                  <c:v>664.9137895254338</c:v>
                </c:pt>
              </c:numCache>
            </c:numRef>
          </c:xVal>
          <c:yVal>
            <c:numRef>
              <c:f>Results!$B$20:$B$26</c:f>
              <c:numCache>
                <c:formatCode>General</c:formatCode>
                <c:ptCount val="7"/>
                <c:pt idx="0">
                  <c:v>0</c:v>
                </c:pt>
                <c:pt idx="1">
                  <c:v>15.24</c:v>
                </c:pt>
                <c:pt idx="2">
                  <c:v>13106.400000000001</c:v>
                </c:pt>
                <c:pt idx="3">
                  <c:v>13106.400000000001</c:v>
                </c:pt>
                <c:pt idx="4">
                  <c:v>15.24</c:v>
                </c:pt>
                <c:pt idx="5">
                  <c:v>0</c:v>
                </c:pt>
                <c:pt idx="6">
                  <c:v>0</c:v>
                </c:pt>
              </c:numCache>
            </c:numRef>
          </c:yVal>
          <c:smooth val="0"/>
          <c:extLst>
            <c:ext xmlns:c16="http://schemas.microsoft.com/office/drawing/2014/chart" uri="{C3380CC4-5D6E-409C-BE32-E72D297353CC}">
              <c16:uniqueId val="{00000002-59AB-447A-8330-7A17DCE466F6}"/>
            </c:ext>
          </c:extLst>
        </c:ser>
        <c:dLbls>
          <c:showLegendKey val="0"/>
          <c:showVal val="0"/>
          <c:showCatName val="0"/>
          <c:showSerName val="0"/>
          <c:showPercent val="0"/>
          <c:showBubbleSize val="0"/>
        </c:dLbls>
        <c:axId val="935589935"/>
        <c:axId val="935590415"/>
      </c:scatterChart>
      <c:valAx>
        <c:axId val="9355899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590415"/>
        <c:crosses val="autoZero"/>
        <c:crossBetween val="midCat"/>
      </c:valAx>
      <c:valAx>
        <c:axId val="9355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Altitude</a:t>
                </a:r>
                <a:r>
                  <a:rPr lang="en-US" baseline="0"/>
                  <a:t> (m)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5899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818028</xdr:colOff>
      <xdr:row>27</xdr:row>
      <xdr:rowOff>161365</xdr:rowOff>
    </xdr:from>
    <xdr:to>
      <xdr:col>4</xdr:col>
      <xdr:colOff>4873109</xdr:colOff>
      <xdr:row>45</xdr:row>
      <xdr:rowOff>77790</xdr:rowOff>
    </xdr:to>
    <xdr:pic>
      <xdr:nvPicPr>
        <xdr:cNvPr id="5" name="Picture 4">
          <a:extLst>
            <a:ext uri="{FF2B5EF4-FFF2-40B4-BE49-F238E27FC236}">
              <a16:creationId xmlns:a16="http://schemas.microsoft.com/office/drawing/2014/main" id="{37349D25-BD7D-4028-A2F1-D7E706C548EF}"/>
            </a:ext>
          </a:extLst>
        </xdr:cNvPr>
        <xdr:cNvPicPr>
          <a:picLocks noChangeAspect="1"/>
        </xdr:cNvPicPr>
      </xdr:nvPicPr>
      <xdr:blipFill>
        <a:blip xmlns:r="http://schemas.openxmlformats.org/officeDocument/2006/relationships" r:embed="rId1"/>
        <a:stretch>
          <a:fillRect/>
        </a:stretch>
      </xdr:blipFill>
      <xdr:spPr>
        <a:xfrm>
          <a:off x="6008593" y="4688541"/>
          <a:ext cx="5677692" cy="3172294"/>
        </a:xfrm>
        <a:prstGeom prst="rect">
          <a:avLst/>
        </a:prstGeom>
      </xdr:spPr>
    </xdr:pic>
    <xdr:clientData/>
  </xdr:twoCellAnchor>
  <xdr:twoCellAnchor editAs="oneCell">
    <xdr:from>
      <xdr:col>0</xdr:col>
      <xdr:colOff>47625</xdr:colOff>
      <xdr:row>26</xdr:row>
      <xdr:rowOff>140635</xdr:rowOff>
    </xdr:from>
    <xdr:to>
      <xdr:col>3</xdr:col>
      <xdr:colOff>562054</xdr:colOff>
      <xdr:row>45</xdr:row>
      <xdr:rowOff>178016</xdr:rowOff>
    </xdr:to>
    <xdr:pic>
      <xdr:nvPicPr>
        <xdr:cNvPr id="9" name="Picture 8">
          <a:extLst>
            <a:ext uri="{FF2B5EF4-FFF2-40B4-BE49-F238E27FC236}">
              <a16:creationId xmlns:a16="http://schemas.microsoft.com/office/drawing/2014/main" id="{BD08D42C-6B09-4CEB-997D-0017289EB647}"/>
            </a:ext>
            <a:ext uri="{147F2762-F138-4A5C-976F-8EAC2B608ADB}">
              <a16:predDERef xmlns:a16="http://schemas.microsoft.com/office/drawing/2014/main" pred="{37349D25-BD7D-4028-A2F1-D7E706C548EF}"/>
            </a:ext>
          </a:extLst>
        </xdr:cNvPr>
        <xdr:cNvPicPr>
          <a:picLocks noChangeAspect="1"/>
        </xdr:cNvPicPr>
      </xdr:nvPicPr>
      <xdr:blipFill>
        <a:blip xmlns:r="http://schemas.openxmlformats.org/officeDocument/2006/relationships" r:embed="rId2"/>
        <a:stretch>
          <a:fillRect/>
        </a:stretch>
      </xdr:blipFill>
      <xdr:spPr>
        <a:xfrm>
          <a:off x="47625" y="4026835"/>
          <a:ext cx="5562679" cy="35140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436066</xdr:colOff>
      <xdr:row>0</xdr:row>
      <xdr:rowOff>44838</xdr:rowOff>
    </xdr:from>
    <xdr:to>
      <xdr:col>9</xdr:col>
      <xdr:colOff>351025</xdr:colOff>
      <xdr:row>11</xdr:row>
      <xdr:rowOff>125386</xdr:rowOff>
    </xdr:to>
    <xdr:graphicFrame macro="">
      <xdr:nvGraphicFramePr>
        <xdr:cNvPr id="6" name="Chart 1">
          <a:extLst>
            <a:ext uri="{FF2B5EF4-FFF2-40B4-BE49-F238E27FC236}">
              <a16:creationId xmlns:a16="http://schemas.microsoft.com/office/drawing/2014/main" id="{53C3580C-2C68-4D25-B4EB-E5113EDA6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419951</xdr:colOff>
      <xdr:row>0</xdr:row>
      <xdr:rowOff>0</xdr:rowOff>
    </xdr:from>
    <xdr:to>
      <xdr:col>22</xdr:col>
      <xdr:colOff>65901</xdr:colOff>
      <xdr:row>13</xdr:row>
      <xdr:rowOff>110603</xdr:rowOff>
    </xdr:to>
    <xdr:graphicFrame macro="">
      <xdr:nvGraphicFramePr>
        <xdr:cNvPr id="4" name="Chart 3">
          <a:extLst>
            <a:ext uri="{FF2B5EF4-FFF2-40B4-BE49-F238E27FC236}">
              <a16:creationId xmlns:a16="http://schemas.microsoft.com/office/drawing/2014/main" id="{A4945FD8-F20F-8F5A-4B33-6577D2CAAEF5}"/>
            </a:ext>
            <a:ext uri="{147F2762-F138-4A5C-976F-8EAC2B608ADB}">
              <a16:predDERef xmlns:a16="http://schemas.microsoft.com/office/drawing/2014/main" pred="{53C3580C-2C68-4D25-B4EB-E5113EDA6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619760</xdr:colOff>
      <xdr:row>6</xdr:row>
      <xdr:rowOff>152400</xdr:rowOff>
    </xdr:from>
    <xdr:to>
      <xdr:col>46</xdr:col>
      <xdr:colOff>0</xdr:colOff>
      <xdr:row>27</xdr:row>
      <xdr:rowOff>0</xdr:rowOff>
    </xdr:to>
    <xdr:graphicFrame macro="">
      <xdr:nvGraphicFramePr>
        <xdr:cNvPr id="12" name="Chart 11">
          <a:extLst>
            <a:ext uri="{FF2B5EF4-FFF2-40B4-BE49-F238E27FC236}">
              <a16:creationId xmlns:a16="http://schemas.microsoft.com/office/drawing/2014/main" id="{81EBA69B-B938-1745-B82C-70F4BD9F5039}"/>
            </a:ext>
            <a:ext uri="{147F2762-F138-4A5C-976F-8EAC2B608ADB}">
              <a16:predDERef xmlns:a16="http://schemas.microsoft.com/office/drawing/2014/main" pred="{A4945FD8-F20F-8F5A-4B33-6577D2CAA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674914</xdr:colOff>
      <xdr:row>29</xdr:row>
      <xdr:rowOff>0</xdr:rowOff>
    </xdr:from>
    <xdr:to>
      <xdr:col>46</xdr:col>
      <xdr:colOff>55154</xdr:colOff>
      <xdr:row>49</xdr:row>
      <xdr:rowOff>50800</xdr:rowOff>
    </xdr:to>
    <xdr:graphicFrame macro="">
      <xdr:nvGraphicFramePr>
        <xdr:cNvPr id="2" name="Chart 1">
          <a:extLst>
            <a:ext uri="{FF2B5EF4-FFF2-40B4-BE49-F238E27FC236}">
              <a16:creationId xmlns:a16="http://schemas.microsoft.com/office/drawing/2014/main" id="{57059EB2-AB75-1D43-B89B-888702DE0629}"/>
            </a:ext>
            <a:ext uri="{147F2762-F138-4A5C-976F-8EAC2B608ADB}">
              <a16:predDERef xmlns:a16="http://schemas.microsoft.com/office/drawing/2014/main" pred="{81EBA69B-B938-1745-B82C-70F4BD9F5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1072028</xdr:colOff>
      <xdr:row>15</xdr:row>
      <xdr:rowOff>0</xdr:rowOff>
    </xdr:from>
    <xdr:to>
      <xdr:col>14</xdr:col>
      <xdr:colOff>549088</xdr:colOff>
      <xdr:row>28</xdr:row>
      <xdr:rowOff>70774</xdr:rowOff>
    </xdr:to>
    <xdr:graphicFrame macro="">
      <xdr:nvGraphicFramePr>
        <xdr:cNvPr id="3" name="Chart 2">
          <a:extLst>
            <a:ext uri="{FF2B5EF4-FFF2-40B4-BE49-F238E27FC236}">
              <a16:creationId xmlns:a16="http://schemas.microsoft.com/office/drawing/2014/main" id="{EBEF1929-8FB8-A88F-5BBC-83CA08D24FFE}"/>
            </a:ext>
            <a:ext uri="{147F2762-F138-4A5C-976F-8EAC2B608ADB}">
              <a16:predDERef xmlns:a16="http://schemas.microsoft.com/office/drawing/2014/main" pred="{57059EB2-AB75-1D43-B89B-888702DE0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0.15552</cdr:x>
      <cdr:y>0.04986</cdr:y>
    </cdr:from>
    <cdr:to>
      <cdr:x>0.19604</cdr:x>
      <cdr:y>0.1134</cdr:y>
    </cdr:to>
    <cdr:sp macro="" textlink="">
      <cdr:nvSpPr>
        <cdr:cNvPr id="2" name="TextBox 1">
          <a:extLst xmlns:a="http://schemas.openxmlformats.org/drawingml/2006/main">
            <a:ext uri="{FF2B5EF4-FFF2-40B4-BE49-F238E27FC236}">
              <a16:creationId xmlns:a16="http://schemas.microsoft.com/office/drawing/2014/main" id="{85A40B7F-1E57-CEA3-4DCE-3A9A9D12EE61}"/>
            </a:ext>
          </a:extLst>
        </cdr:cNvPr>
        <cdr:cNvSpPr txBox="1"/>
      </cdr:nvSpPr>
      <cdr:spPr>
        <a:xfrm xmlns:a="http://schemas.openxmlformats.org/drawingml/2006/main">
          <a:off x="1058194" y="205144"/>
          <a:ext cx="275744" cy="2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solidFill>
                <a:srgbClr val="00B050"/>
              </a:solidFill>
            </a:rPr>
            <a:t>A</a:t>
          </a:r>
        </a:p>
      </cdr:txBody>
    </cdr:sp>
  </cdr:relSizeAnchor>
  <cdr:relSizeAnchor xmlns:cdr="http://schemas.openxmlformats.org/drawingml/2006/chartDrawing">
    <cdr:from>
      <cdr:x>0.21278</cdr:x>
      <cdr:y>0.2672</cdr:y>
    </cdr:from>
    <cdr:to>
      <cdr:x>0.2533</cdr:x>
      <cdr:y>0.33074</cdr:y>
    </cdr:to>
    <cdr:sp macro="" textlink="">
      <cdr:nvSpPr>
        <cdr:cNvPr id="3" name="TextBox 1">
          <a:extLst xmlns:a="http://schemas.openxmlformats.org/drawingml/2006/main">
            <a:ext uri="{FF2B5EF4-FFF2-40B4-BE49-F238E27FC236}">
              <a16:creationId xmlns:a16="http://schemas.microsoft.com/office/drawing/2014/main" id="{D1FC2F62-A341-5A99-6661-AAA5E4323664}"/>
            </a:ext>
          </a:extLst>
        </cdr:cNvPr>
        <cdr:cNvSpPr txBox="1"/>
      </cdr:nvSpPr>
      <cdr:spPr>
        <a:xfrm xmlns:a="http://schemas.openxmlformats.org/drawingml/2006/main">
          <a:off x="1447800" y="1099457"/>
          <a:ext cx="275744" cy="2614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B050"/>
              </a:solidFill>
            </a:rPr>
            <a:t>B</a:t>
          </a:r>
        </a:p>
      </cdr:txBody>
    </cdr:sp>
  </cdr:relSizeAnchor>
</c:userShapes>
</file>

<file path=xl/drawings/drawing4.xml><?xml version="1.0" encoding="utf-8"?>
<c:userShapes xmlns:c="http://schemas.openxmlformats.org/drawingml/2006/chart">
  <cdr:relSizeAnchor xmlns:cdr="http://schemas.openxmlformats.org/drawingml/2006/chartDrawing">
    <cdr:from>
      <cdr:x>0.15552</cdr:x>
      <cdr:y>0.04986</cdr:y>
    </cdr:from>
    <cdr:to>
      <cdr:x>0.19604</cdr:x>
      <cdr:y>0.1134</cdr:y>
    </cdr:to>
    <cdr:sp macro="" textlink="">
      <cdr:nvSpPr>
        <cdr:cNvPr id="2" name="TextBox 1">
          <a:extLst xmlns:a="http://schemas.openxmlformats.org/drawingml/2006/main">
            <a:ext uri="{FF2B5EF4-FFF2-40B4-BE49-F238E27FC236}">
              <a16:creationId xmlns:a16="http://schemas.microsoft.com/office/drawing/2014/main" id="{85A40B7F-1E57-CEA3-4DCE-3A9A9D12EE61}"/>
            </a:ext>
          </a:extLst>
        </cdr:cNvPr>
        <cdr:cNvSpPr txBox="1"/>
      </cdr:nvSpPr>
      <cdr:spPr>
        <a:xfrm xmlns:a="http://schemas.openxmlformats.org/drawingml/2006/main">
          <a:off x="1058194" y="205144"/>
          <a:ext cx="275744" cy="2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solidFill>
                <a:srgbClr val="00B050"/>
              </a:solidFill>
            </a:rPr>
            <a:t>A - Take</a:t>
          </a:r>
          <a:r>
            <a:rPr lang="en-GB" sz="1100" baseline="0">
              <a:solidFill>
                <a:srgbClr val="00B050"/>
              </a:solidFill>
            </a:rPr>
            <a:t> Off</a:t>
          </a:r>
          <a:endParaRPr lang="en-GB" sz="1100">
            <a:solidFill>
              <a:srgbClr val="00B050"/>
            </a:solidFill>
          </a:endParaRPr>
        </a:p>
      </cdr:txBody>
    </cdr:sp>
  </cdr:relSizeAnchor>
  <cdr:relSizeAnchor xmlns:cdr="http://schemas.openxmlformats.org/drawingml/2006/chartDrawing">
    <cdr:from>
      <cdr:x>0.21278</cdr:x>
      <cdr:y>0.2672</cdr:y>
    </cdr:from>
    <cdr:to>
      <cdr:x>0.2533</cdr:x>
      <cdr:y>0.33074</cdr:y>
    </cdr:to>
    <cdr:sp macro="" textlink="">
      <cdr:nvSpPr>
        <cdr:cNvPr id="3" name="TextBox 1">
          <a:extLst xmlns:a="http://schemas.openxmlformats.org/drawingml/2006/main">
            <a:ext uri="{FF2B5EF4-FFF2-40B4-BE49-F238E27FC236}">
              <a16:creationId xmlns:a16="http://schemas.microsoft.com/office/drawing/2014/main" id="{D1FC2F62-A341-5A99-6661-AAA5E4323664}"/>
            </a:ext>
          </a:extLst>
        </cdr:cNvPr>
        <cdr:cNvSpPr txBox="1"/>
      </cdr:nvSpPr>
      <cdr:spPr>
        <a:xfrm xmlns:a="http://schemas.openxmlformats.org/drawingml/2006/main">
          <a:off x="1447800" y="1099457"/>
          <a:ext cx="275744" cy="2614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00B0F0"/>
              </a:solidFill>
            </a:rPr>
            <a:t>B - Climb</a:t>
          </a:r>
        </a:p>
      </cdr:txBody>
    </cdr:sp>
  </cdr:relSizeAnchor>
  <cdr:relSizeAnchor xmlns:cdr="http://schemas.openxmlformats.org/drawingml/2006/chartDrawing">
    <cdr:from>
      <cdr:x>0.14505</cdr:x>
      <cdr:y>0.09436</cdr:y>
    </cdr:from>
    <cdr:to>
      <cdr:x>0.15678</cdr:x>
      <cdr:y>0.79101</cdr:y>
    </cdr:to>
    <cdr:sp macro="" textlink="">
      <cdr:nvSpPr>
        <cdr:cNvPr id="4" name="Rounded Rectangle 3">
          <a:extLst xmlns:a="http://schemas.openxmlformats.org/drawingml/2006/main">
            <a:ext uri="{FF2B5EF4-FFF2-40B4-BE49-F238E27FC236}">
              <a16:creationId xmlns:a16="http://schemas.microsoft.com/office/drawing/2014/main" id="{D77BA20E-79E0-EE24-9A3D-AAC02060EC07}"/>
            </a:ext>
          </a:extLst>
        </cdr:cNvPr>
        <cdr:cNvSpPr/>
      </cdr:nvSpPr>
      <cdr:spPr>
        <a:xfrm xmlns:a="http://schemas.openxmlformats.org/drawingml/2006/main">
          <a:off x="986972" y="388257"/>
          <a:ext cx="79828" cy="2866572"/>
        </a:xfrm>
        <a:prstGeom xmlns:a="http://schemas.openxmlformats.org/drawingml/2006/main" prst="roundRect">
          <a:avLst/>
        </a:prstGeom>
        <a:solidFill xmlns:a="http://schemas.openxmlformats.org/drawingml/2006/main">
          <a:srgbClr val="00B050">
            <a:alpha val="24314"/>
          </a:srgbClr>
        </a:solidFill>
        <a:ln xmlns:a="http://schemas.openxmlformats.org/drawingml/2006/main">
          <a:solidFill>
            <a:srgbClr val="00B05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NL"/>
        </a:p>
      </cdr:txBody>
    </cdr:sp>
  </cdr:relSizeAnchor>
  <cdr:relSizeAnchor xmlns:cdr="http://schemas.openxmlformats.org/drawingml/2006/chartDrawing">
    <cdr:from>
      <cdr:x>0.15838</cdr:x>
      <cdr:y>0.31217</cdr:y>
    </cdr:from>
    <cdr:to>
      <cdr:x>0.21384</cdr:x>
      <cdr:y>0.79277</cdr:y>
    </cdr:to>
    <cdr:sp macro="" textlink="">
      <cdr:nvSpPr>
        <cdr:cNvPr id="5" name="Rounded Rectangle 4">
          <a:extLst xmlns:a="http://schemas.openxmlformats.org/drawingml/2006/main">
            <a:ext uri="{FF2B5EF4-FFF2-40B4-BE49-F238E27FC236}">
              <a16:creationId xmlns:a16="http://schemas.microsoft.com/office/drawing/2014/main" id="{77959313-B75D-0868-0285-94DAAC5BD114}"/>
            </a:ext>
          </a:extLst>
        </cdr:cNvPr>
        <cdr:cNvSpPr/>
      </cdr:nvSpPr>
      <cdr:spPr>
        <a:xfrm xmlns:a="http://schemas.openxmlformats.org/drawingml/2006/main">
          <a:off x="1077686" y="1284514"/>
          <a:ext cx="377372" cy="1977572"/>
        </a:xfrm>
        <a:prstGeom xmlns:a="http://schemas.openxmlformats.org/drawingml/2006/main" prst="roundRect">
          <a:avLst/>
        </a:prstGeom>
        <a:solidFill xmlns:a="http://schemas.openxmlformats.org/drawingml/2006/main">
          <a:srgbClr val="00B0F0">
            <a:alpha val="24314"/>
          </a:srgbClr>
        </a:solidFill>
        <a:ln xmlns:a="http://schemas.openxmlformats.org/drawingml/2006/main">
          <a:solidFill>
            <a:srgbClr val="00B0F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NL"/>
        </a:p>
      </cdr:txBody>
    </cdr:sp>
  </cdr:relSizeAnchor>
  <cdr:relSizeAnchor xmlns:cdr="http://schemas.openxmlformats.org/drawingml/2006/chartDrawing">
    <cdr:from>
      <cdr:x>0.15838</cdr:x>
      <cdr:y>0.10847</cdr:y>
    </cdr:from>
    <cdr:to>
      <cdr:x>0.21331</cdr:x>
      <cdr:y>0.31041</cdr:y>
    </cdr:to>
    <cdr:sp macro="" textlink="">
      <cdr:nvSpPr>
        <cdr:cNvPr id="6" name="Right Triangle 5">
          <a:extLst xmlns:a="http://schemas.openxmlformats.org/drawingml/2006/main">
            <a:ext uri="{FF2B5EF4-FFF2-40B4-BE49-F238E27FC236}">
              <a16:creationId xmlns:a16="http://schemas.microsoft.com/office/drawing/2014/main" id="{B291C492-DEDC-339C-D8DE-D274D1084642}"/>
            </a:ext>
          </a:extLst>
        </cdr:cNvPr>
        <cdr:cNvSpPr/>
      </cdr:nvSpPr>
      <cdr:spPr>
        <a:xfrm xmlns:a="http://schemas.openxmlformats.org/drawingml/2006/main">
          <a:off x="1077686" y="446315"/>
          <a:ext cx="373743" cy="830942"/>
        </a:xfrm>
        <a:prstGeom xmlns:a="http://schemas.openxmlformats.org/drawingml/2006/main" prst="rtTriangle">
          <a:avLst/>
        </a:prstGeom>
        <a:solidFill xmlns:a="http://schemas.openxmlformats.org/drawingml/2006/main">
          <a:srgbClr val="00B0F0">
            <a:alpha val="24314"/>
          </a:srgbClr>
        </a:solidFill>
        <a:ln xmlns:a="http://schemas.openxmlformats.org/drawingml/2006/main">
          <a:solidFill>
            <a:srgbClr val="00B0F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NL"/>
        </a:p>
      </cdr:txBody>
    </cdr:sp>
  </cdr:relSizeAnchor>
  <cdr:relSizeAnchor xmlns:cdr="http://schemas.openxmlformats.org/drawingml/2006/chartDrawing">
    <cdr:from>
      <cdr:x>0.21598</cdr:x>
      <cdr:y>0.50176</cdr:y>
    </cdr:from>
    <cdr:to>
      <cdr:x>0.80098</cdr:x>
      <cdr:y>0.79189</cdr:y>
    </cdr:to>
    <cdr:sp macro="" textlink="">
      <cdr:nvSpPr>
        <cdr:cNvPr id="7" name="Rounded Rectangle 6">
          <a:extLst xmlns:a="http://schemas.openxmlformats.org/drawingml/2006/main">
            <a:ext uri="{FF2B5EF4-FFF2-40B4-BE49-F238E27FC236}">
              <a16:creationId xmlns:a16="http://schemas.microsoft.com/office/drawing/2014/main" id="{91249FF7-E1B9-0DD1-31E1-6A347D8C0B90}"/>
            </a:ext>
          </a:extLst>
        </cdr:cNvPr>
        <cdr:cNvSpPr/>
      </cdr:nvSpPr>
      <cdr:spPr>
        <a:xfrm xmlns:a="http://schemas.openxmlformats.org/drawingml/2006/main">
          <a:off x="1469571" y="2064657"/>
          <a:ext cx="3980543" cy="1193800"/>
        </a:xfrm>
        <a:prstGeom xmlns:a="http://schemas.openxmlformats.org/drawingml/2006/main" prst="roundRect">
          <a:avLst/>
        </a:prstGeom>
        <a:solidFill xmlns:a="http://schemas.openxmlformats.org/drawingml/2006/main">
          <a:srgbClr val="FF0000">
            <a:alpha val="24314"/>
          </a:srgbClr>
        </a:solidFill>
        <a:ln xmlns:a="http://schemas.openxmlformats.org/drawingml/2006/main">
          <a:solidFill>
            <a:srgbClr val="FF00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NL"/>
        </a:p>
      </cdr:txBody>
    </cdr:sp>
  </cdr:relSizeAnchor>
  <cdr:relSizeAnchor xmlns:cdr="http://schemas.openxmlformats.org/drawingml/2006/chartDrawing">
    <cdr:from>
      <cdr:x>0.77058</cdr:x>
      <cdr:y>0.4321</cdr:y>
    </cdr:from>
    <cdr:to>
      <cdr:x>0.91806</cdr:x>
      <cdr:y>0.49564</cdr:y>
    </cdr:to>
    <cdr:sp macro="" textlink="">
      <cdr:nvSpPr>
        <cdr:cNvPr id="8" name="TextBox 1">
          <a:extLst xmlns:a="http://schemas.openxmlformats.org/drawingml/2006/main">
            <a:ext uri="{FF2B5EF4-FFF2-40B4-BE49-F238E27FC236}">
              <a16:creationId xmlns:a16="http://schemas.microsoft.com/office/drawing/2014/main" id="{9B8351D8-D193-4A50-949F-351EE2189B82}"/>
            </a:ext>
          </a:extLst>
        </cdr:cNvPr>
        <cdr:cNvSpPr txBox="1"/>
      </cdr:nvSpPr>
      <cdr:spPr>
        <a:xfrm xmlns:a="http://schemas.openxmlformats.org/drawingml/2006/main">
          <a:off x="5206780" y="1765691"/>
          <a:ext cx="996484" cy="259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FF0000"/>
              </a:solidFill>
            </a:rPr>
            <a:t>C2 - Cruise</a:t>
          </a:r>
          <a:r>
            <a:rPr lang="en-GB" sz="1100" baseline="0">
              <a:solidFill>
                <a:srgbClr val="FF0000"/>
              </a:solidFill>
            </a:rPr>
            <a:t> End</a:t>
          </a:r>
          <a:endParaRPr lang="en-GB" sz="1100">
            <a:solidFill>
              <a:srgbClr val="FF0000"/>
            </a:solidFill>
          </a:endParaRPr>
        </a:p>
      </cdr:txBody>
    </cdr:sp>
  </cdr:relSizeAnchor>
  <cdr:relSizeAnchor xmlns:cdr="http://schemas.openxmlformats.org/drawingml/2006/chartDrawing">
    <cdr:from>
      <cdr:x>0.21392</cdr:x>
      <cdr:y>0.44231</cdr:y>
    </cdr:from>
    <cdr:to>
      <cdr:x>0.36298</cdr:x>
      <cdr:y>0.50585</cdr:y>
    </cdr:to>
    <cdr:sp macro="" textlink="">
      <cdr:nvSpPr>
        <cdr:cNvPr id="9" name="TextBox 1">
          <a:extLst xmlns:a="http://schemas.openxmlformats.org/drawingml/2006/main">
            <a:ext uri="{FF2B5EF4-FFF2-40B4-BE49-F238E27FC236}">
              <a16:creationId xmlns:a16="http://schemas.microsoft.com/office/drawing/2014/main" id="{93F9FFA7-453E-225C-1874-3AFBCD52756B}"/>
            </a:ext>
          </a:extLst>
        </cdr:cNvPr>
        <cdr:cNvSpPr txBox="1"/>
      </cdr:nvSpPr>
      <cdr:spPr>
        <a:xfrm xmlns:a="http://schemas.openxmlformats.org/drawingml/2006/main">
          <a:off x="1445427" y="1807436"/>
          <a:ext cx="1007182" cy="259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rgbClr val="FF0000"/>
              </a:solidFill>
            </a:rPr>
            <a:t>C1 -Cruise</a:t>
          </a:r>
          <a:r>
            <a:rPr lang="en-GB" sz="1100" baseline="0">
              <a:solidFill>
                <a:srgbClr val="FF0000"/>
              </a:solidFill>
            </a:rPr>
            <a:t> Start</a:t>
          </a:r>
          <a:endParaRPr lang="en-GB" sz="1100">
            <a:solidFill>
              <a:srgbClr val="FF000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contentzone.eurocontrol.int/aircraftperformance/details.aspx?ICAO=A388&amp;NameFilter=airbus" TargetMode="External"/><Relationship Id="rId2" Type="http://schemas.openxmlformats.org/officeDocument/2006/relationships/hyperlink" Target="https://contentzone.eurocontrol.int/aircraftperformance/details.aspx?ICAO=A388&amp;NameFilter=airbus" TargetMode="External"/><Relationship Id="rId1" Type="http://schemas.openxmlformats.org/officeDocument/2006/relationships/hyperlink" Target="https://contentzone.eurocontrol.int/aircraftperformance/details.aspx?ICAO=A388&amp;NameFilter=airbu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isicaatmo.at.fcen.uba.ar/practicas/ISAweb.pdf" TargetMode="External"/><Relationship Id="rId1" Type="http://schemas.openxmlformats.org/officeDocument/2006/relationships/hyperlink" Target="http://fisicaatmo.at.fcen.uba.ar/practicas/ISAweb.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fisicaatmo.at.fcen.uba.ar/practicas/ISAweb.pdf" TargetMode="External"/><Relationship Id="rId1" Type="http://schemas.openxmlformats.org/officeDocument/2006/relationships/hyperlink" Target="http://fisicaatmo.at.fcen.uba.ar/practicas/ISAweb.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99DB-1A0D-4DFC-A319-478E8756884A}">
  <dimension ref="A1:A34"/>
  <sheetViews>
    <sheetView tabSelected="1" zoomScale="108" workbookViewId="0">
      <selection activeCell="A7" sqref="A7"/>
    </sheetView>
  </sheetViews>
  <sheetFormatPr defaultColWidth="8.6640625" defaultRowHeight="14.4"/>
  <cols>
    <col min="1" max="1" width="133.6640625" style="12" customWidth="1"/>
  </cols>
  <sheetData>
    <row r="1" spans="1:1">
      <c r="A1" s="27" t="s">
        <v>0</v>
      </c>
    </row>
    <row r="2" spans="1:1" ht="28.8">
      <c r="A2" s="12" t="s">
        <v>1</v>
      </c>
    </row>
    <row r="4" spans="1:1">
      <c r="A4" s="13" t="s">
        <v>2</v>
      </c>
    </row>
    <row r="5" spans="1:1">
      <c r="A5" s="12" t="s">
        <v>3</v>
      </c>
    </row>
    <row r="6" spans="1:1" ht="28.8">
      <c r="A6" s="12" t="s">
        <v>224</v>
      </c>
    </row>
    <row r="8" spans="1:1">
      <c r="A8" s="13" t="s">
        <v>4</v>
      </c>
    </row>
    <row r="9" spans="1:1">
      <c r="A9" s="12" t="s">
        <v>5</v>
      </c>
    </row>
    <row r="10" spans="1:1">
      <c r="A10" s="12" t="s">
        <v>6</v>
      </c>
    </row>
    <row r="12" spans="1:1">
      <c r="A12" s="13" t="s">
        <v>7</v>
      </c>
    </row>
    <row r="13" spans="1:1" ht="28.8">
      <c r="A13" s="12" t="s">
        <v>8</v>
      </c>
    </row>
    <row r="15" spans="1:1">
      <c r="A15" s="13" t="s">
        <v>9</v>
      </c>
    </row>
    <row r="16" spans="1:1">
      <c r="A16" s="12" t="s">
        <v>10</v>
      </c>
    </row>
    <row r="17" spans="1:1">
      <c r="A17" s="12" t="s">
        <v>11</v>
      </c>
    </row>
    <row r="20" spans="1:1">
      <c r="A20" s="13" t="s">
        <v>12</v>
      </c>
    </row>
    <row r="21" spans="1:1">
      <c r="A21" s="12" t="s">
        <v>13</v>
      </c>
    </row>
    <row r="22" spans="1:1">
      <c r="A22" s="12" t="s">
        <v>14</v>
      </c>
    </row>
    <row r="23" spans="1:1">
      <c r="A23" s="12" t="s">
        <v>15</v>
      </c>
    </row>
    <row r="24" spans="1:1">
      <c r="A24" s="12" t="s">
        <v>16</v>
      </c>
    </row>
    <row r="25" spans="1:1">
      <c r="A25" s="12" t="s">
        <v>17</v>
      </c>
    </row>
    <row r="27" spans="1:1">
      <c r="A27" s="13" t="s">
        <v>18</v>
      </c>
    </row>
    <row r="28" spans="1:1">
      <c r="A28" s="12" t="s">
        <v>19</v>
      </c>
    </row>
    <row r="29" spans="1:1">
      <c r="A29" s="12" t="s">
        <v>20</v>
      </c>
    </row>
    <row r="30" spans="1:1">
      <c r="A30" s="12" t="s">
        <v>21</v>
      </c>
    </row>
    <row r="32" spans="1:1">
      <c r="A32" s="13" t="s">
        <v>22</v>
      </c>
    </row>
    <row r="33" spans="1:1" ht="28.8">
      <c r="A33" s="12" t="s">
        <v>23</v>
      </c>
    </row>
    <row r="34" spans="1:1">
      <c r="A34" s="1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77D6-3AC9-4305-9131-A2E5CC05EF63}">
  <dimension ref="A1:F26"/>
  <sheetViews>
    <sheetView topLeftCell="A11" zoomScale="115" zoomScaleNormal="115" workbookViewId="0">
      <selection activeCell="C22" sqref="C22"/>
    </sheetView>
  </sheetViews>
  <sheetFormatPr defaultColWidth="8.6640625" defaultRowHeight="14.4"/>
  <cols>
    <col min="1" max="1" width="14.6640625" style="9" customWidth="1"/>
    <col min="2" max="2" width="37.33203125" style="1" customWidth="1"/>
    <col min="3" max="3" width="23.6640625" customWidth="1"/>
    <col min="4" max="4" width="23.6640625" style="1" customWidth="1"/>
    <col min="5" max="5" width="93.109375" customWidth="1"/>
    <col min="6" max="6" width="54.6640625" customWidth="1"/>
  </cols>
  <sheetData>
    <row r="1" spans="1:6">
      <c r="A1" s="69" t="s">
        <v>25</v>
      </c>
      <c r="B1" s="69"/>
      <c r="C1" s="69"/>
      <c r="D1" s="69"/>
      <c r="E1" s="69"/>
    </row>
    <row r="2" spans="1:6">
      <c r="B2" s="10" t="s">
        <v>26</v>
      </c>
      <c r="C2" s="10" t="s">
        <v>27</v>
      </c>
      <c r="D2" s="10" t="s">
        <v>28</v>
      </c>
      <c r="E2" s="8" t="s">
        <v>29</v>
      </c>
    </row>
    <row r="3" spans="1:6" ht="14.7" customHeight="1">
      <c r="A3" s="71" t="s">
        <v>30</v>
      </c>
      <c r="B3" s="6" t="s">
        <v>31</v>
      </c>
      <c r="C3" s="30">
        <v>0.78500000000000003</v>
      </c>
      <c r="D3" s="6" t="s">
        <v>32</v>
      </c>
      <c r="E3" s="12" t="s">
        <v>33</v>
      </c>
      <c r="F3" s="12"/>
    </row>
    <row r="4" spans="1:6">
      <c r="A4" s="71"/>
      <c r="B4" s="6" t="s">
        <v>34</v>
      </c>
      <c r="C4" s="30">
        <v>1.8720000000000001</v>
      </c>
      <c r="D4" s="6" t="s">
        <v>35</v>
      </c>
      <c r="E4" s="12" t="s">
        <v>36</v>
      </c>
      <c r="F4" t="s">
        <v>37</v>
      </c>
    </row>
    <row r="5" spans="1:6">
      <c r="A5" s="71"/>
      <c r="B5" s="6" t="s">
        <v>38</v>
      </c>
      <c r="C5" s="30">
        <v>57.6</v>
      </c>
      <c r="D5" s="6" t="s">
        <v>39</v>
      </c>
      <c r="E5" s="12" t="s">
        <v>40</v>
      </c>
      <c r="F5" s="12"/>
    </row>
    <row r="6" spans="1:6">
      <c r="A6" s="71"/>
      <c r="B6" s="6" t="s">
        <v>41</v>
      </c>
      <c r="C6" s="30">
        <v>7.8</v>
      </c>
      <c r="D6" s="6"/>
      <c r="E6" s="12" t="s">
        <v>42</v>
      </c>
      <c r="F6" s="12"/>
    </row>
    <row r="7" spans="1:6">
      <c r="A7" s="71"/>
      <c r="B7" s="6" t="s">
        <v>43</v>
      </c>
      <c r="C7" s="33">
        <v>845</v>
      </c>
      <c r="D7" s="6" t="s">
        <v>44</v>
      </c>
      <c r="E7" s="12" t="s">
        <v>42</v>
      </c>
      <c r="F7" s="12" t="s">
        <v>45</v>
      </c>
    </row>
    <row r="8" spans="1:6" ht="15" customHeight="1">
      <c r="A8" s="72" t="s">
        <v>46</v>
      </c>
      <c r="B8" s="2" t="s">
        <v>47</v>
      </c>
      <c r="C8" s="31">
        <v>0</v>
      </c>
      <c r="D8" s="2" t="s">
        <v>48</v>
      </c>
      <c r="E8" s="12" t="s">
        <v>49</v>
      </c>
      <c r="F8" s="12"/>
    </row>
    <row r="9" spans="1:6" ht="15" customHeight="1">
      <c r="A9" s="72"/>
      <c r="B9" s="2" t="s">
        <v>50</v>
      </c>
      <c r="C9" s="31">
        <v>560000</v>
      </c>
      <c r="D9" s="2" t="s">
        <v>51</v>
      </c>
      <c r="E9" s="12" t="s">
        <v>52</v>
      </c>
      <c r="F9" s="12"/>
    </row>
    <row r="10" spans="1:6" ht="15" customHeight="1">
      <c r="A10" s="72"/>
      <c r="B10" s="2" t="s">
        <v>53</v>
      </c>
      <c r="C10" s="31">
        <v>137.5</v>
      </c>
      <c r="D10" s="2" t="s">
        <v>54</v>
      </c>
      <c r="E10" s="12" t="s">
        <v>55</v>
      </c>
      <c r="F10" s="12"/>
    </row>
    <row r="11" spans="1:6" ht="15" customHeight="1">
      <c r="A11" s="72"/>
      <c r="B11" s="2" t="s">
        <v>56</v>
      </c>
      <c r="C11" s="31">
        <v>9200</v>
      </c>
      <c r="D11" s="2" t="s">
        <v>48</v>
      </c>
      <c r="E11" s="12" t="s">
        <v>57</v>
      </c>
      <c r="F11" s="12"/>
    </row>
    <row r="12" spans="1:6" ht="15" customHeight="1">
      <c r="A12" s="70" t="s">
        <v>58</v>
      </c>
      <c r="B12" s="6" t="s">
        <v>59</v>
      </c>
      <c r="C12" s="7">
        <v>50</v>
      </c>
      <c r="D12" s="6" t="s">
        <v>48</v>
      </c>
      <c r="E12" s="29" t="s">
        <v>60</v>
      </c>
      <c r="F12" s="12"/>
    </row>
    <row r="13" spans="1:6" ht="15" customHeight="1">
      <c r="A13" s="70"/>
      <c r="B13" s="6" t="s">
        <v>61</v>
      </c>
      <c r="C13" s="7">
        <v>1600</v>
      </c>
      <c r="D13" s="6" t="s">
        <v>62</v>
      </c>
      <c r="E13" s="43" t="s">
        <v>63</v>
      </c>
      <c r="F13" s="12"/>
    </row>
    <row r="14" spans="1:6" ht="15" customHeight="1">
      <c r="A14" s="70"/>
      <c r="B14" s="6" t="s">
        <v>64</v>
      </c>
      <c r="C14" s="7">
        <v>320</v>
      </c>
      <c r="D14" s="6" t="s">
        <v>65</v>
      </c>
      <c r="E14" s="12" t="s">
        <v>66</v>
      </c>
      <c r="F14" s="12"/>
    </row>
    <row r="15" spans="1:6" ht="15" customHeight="1">
      <c r="A15" s="70"/>
      <c r="B15" s="6" t="s">
        <v>67</v>
      </c>
      <c r="C15" s="7">
        <v>10</v>
      </c>
      <c r="D15" s="6" t="s">
        <v>68</v>
      </c>
      <c r="E15" s="12" t="s">
        <v>69</v>
      </c>
      <c r="F15" s="12"/>
    </row>
    <row r="16" spans="1:6" ht="15" customHeight="1">
      <c r="A16" s="70" t="s">
        <v>70</v>
      </c>
      <c r="B16" s="6" t="s">
        <v>59</v>
      </c>
      <c r="C16" s="7">
        <v>15000</v>
      </c>
      <c r="D16" s="6" t="s">
        <v>48</v>
      </c>
      <c r="E16" s="29" t="s">
        <v>60</v>
      </c>
      <c r="F16" s="12"/>
    </row>
    <row r="17" spans="1:6" ht="15" customHeight="1">
      <c r="A17" s="70"/>
      <c r="B17" s="6" t="s">
        <v>61</v>
      </c>
      <c r="C17" s="7">
        <v>1000</v>
      </c>
      <c r="D17" s="6" t="s">
        <v>62</v>
      </c>
      <c r="E17" s="29"/>
      <c r="F17" s="12"/>
    </row>
    <row r="18" spans="1:6" ht="15" customHeight="1">
      <c r="A18" s="70"/>
      <c r="B18" s="6" t="s">
        <v>64</v>
      </c>
      <c r="C18" s="7">
        <v>320</v>
      </c>
      <c r="D18" s="6" t="s">
        <v>65</v>
      </c>
      <c r="E18" s="12" t="s">
        <v>66</v>
      </c>
      <c r="F18" s="12"/>
    </row>
    <row r="19" spans="1:6" ht="15" customHeight="1">
      <c r="A19" s="70"/>
      <c r="B19" s="6" t="s">
        <v>67</v>
      </c>
      <c r="C19" s="7">
        <v>5</v>
      </c>
      <c r="D19" s="6" t="s">
        <v>68</v>
      </c>
      <c r="E19" s="12" t="s">
        <v>69</v>
      </c>
      <c r="F19" s="12"/>
    </row>
    <row r="20" spans="1:6" ht="14.4" customHeight="1">
      <c r="A20" s="67" t="s">
        <v>71</v>
      </c>
      <c r="B20" s="2" t="s">
        <v>72</v>
      </c>
      <c r="C20" s="31">
        <v>43000</v>
      </c>
      <c r="D20" s="2" t="s">
        <v>48</v>
      </c>
      <c r="E20" s="12" t="s">
        <v>73</v>
      </c>
      <c r="F20" s="12"/>
    </row>
    <row r="21" spans="1:6" ht="14.4" customHeight="1">
      <c r="A21" s="73"/>
      <c r="B21" s="2" t="s">
        <v>74</v>
      </c>
      <c r="C21" s="31">
        <v>3000</v>
      </c>
      <c r="D21" s="2" t="s">
        <v>75</v>
      </c>
      <c r="E21" s="12" t="s">
        <v>76</v>
      </c>
      <c r="F21" s="12"/>
    </row>
    <row r="22" spans="1:6" ht="14.4" customHeight="1">
      <c r="A22" s="68"/>
      <c r="B22" s="2" t="s">
        <v>77</v>
      </c>
      <c r="C22" s="35">
        <v>0.85</v>
      </c>
      <c r="D22" s="2" t="s">
        <v>78</v>
      </c>
      <c r="E22" s="12" t="s">
        <v>79</v>
      </c>
      <c r="F22" s="12"/>
    </row>
    <row r="23" spans="1:6">
      <c r="A23" s="70" t="s">
        <v>80</v>
      </c>
      <c r="B23" s="6" t="s">
        <v>61</v>
      </c>
      <c r="C23" s="32">
        <v>1500</v>
      </c>
      <c r="D23" s="6" t="s">
        <v>62</v>
      </c>
      <c r="E23" s="29" t="s">
        <v>60</v>
      </c>
      <c r="F23" s="12"/>
    </row>
    <row r="24" spans="1:6">
      <c r="A24" s="70"/>
      <c r="B24" s="6" t="s">
        <v>67</v>
      </c>
      <c r="C24" s="30">
        <v>10</v>
      </c>
      <c r="D24" s="6" t="s">
        <v>68</v>
      </c>
      <c r="E24" s="12" t="s">
        <v>69</v>
      </c>
      <c r="F24" s="12"/>
    </row>
    <row r="25" spans="1:6">
      <c r="A25" s="67" t="s">
        <v>81</v>
      </c>
      <c r="B25" s="2" t="s">
        <v>82</v>
      </c>
      <c r="C25" s="31">
        <v>0</v>
      </c>
      <c r="D25" s="2" t="s">
        <v>48</v>
      </c>
      <c r="E25" s="12" t="s">
        <v>69</v>
      </c>
      <c r="F25" s="12"/>
    </row>
    <row r="26" spans="1:6">
      <c r="A26" s="68"/>
      <c r="B26" s="2" t="s">
        <v>83</v>
      </c>
      <c r="C26" s="31">
        <v>7000</v>
      </c>
      <c r="D26" s="2" t="s">
        <v>48</v>
      </c>
      <c r="E26" s="12" t="s">
        <v>57</v>
      </c>
      <c r="F26" s="12"/>
    </row>
  </sheetData>
  <mergeCells count="8">
    <mergeCell ref="A25:A26"/>
    <mergeCell ref="A1:E1"/>
    <mergeCell ref="A23:A24"/>
    <mergeCell ref="A3:A7"/>
    <mergeCell ref="A8:A11"/>
    <mergeCell ref="A12:A15"/>
    <mergeCell ref="A20:A22"/>
    <mergeCell ref="A16:A19"/>
  </mergeCells>
  <hyperlinks>
    <hyperlink ref="E23" r:id="rId1" xr:uid="{62A2C605-E368-4DA4-89AA-3EC218B290B6}"/>
    <hyperlink ref="E12" r:id="rId2" xr:uid="{04E2BBF3-1B9F-43C6-A34D-970590812196}"/>
    <hyperlink ref="E16" r:id="rId3" xr:uid="{3F2390FE-9D08-43F8-86A5-7AE69B258DCB}"/>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33FA-F6C0-4D01-B8F4-AD7016A57612}">
  <dimension ref="A1:M45"/>
  <sheetViews>
    <sheetView topLeftCell="A4" zoomScale="120" zoomScaleNormal="85" workbookViewId="0">
      <selection activeCell="D22" sqref="D22"/>
    </sheetView>
  </sheetViews>
  <sheetFormatPr defaultColWidth="8.6640625" defaultRowHeight="14.4"/>
  <cols>
    <col min="1" max="1" width="14.6640625" style="9" customWidth="1"/>
    <col min="2" max="2" width="41.5546875" style="1" customWidth="1"/>
    <col min="3" max="3" width="23.6640625" customWidth="1"/>
    <col min="4" max="4" width="23.6640625" style="1" customWidth="1"/>
    <col min="5" max="5" width="58.109375" customWidth="1"/>
  </cols>
  <sheetData>
    <row r="1" spans="1:13">
      <c r="A1" s="69" t="s">
        <v>25</v>
      </c>
      <c r="B1" s="69"/>
      <c r="C1" s="69"/>
      <c r="D1" s="69"/>
      <c r="E1" s="69"/>
    </row>
    <row r="2" spans="1:13">
      <c r="B2" s="10" t="s">
        <v>26</v>
      </c>
      <c r="C2" s="10" t="s">
        <v>27</v>
      </c>
      <c r="D2" s="10" t="s">
        <v>28</v>
      </c>
      <c r="E2" s="8" t="s">
        <v>29</v>
      </c>
    </row>
    <row r="3" spans="1:13">
      <c r="A3" s="71" t="s">
        <v>30</v>
      </c>
      <c r="B3" s="6" t="s">
        <v>31</v>
      </c>
      <c r="C3" s="7">
        <f>'A380 Basic Inputs'!C3</f>
        <v>0.78500000000000003</v>
      </c>
      <c r="D3" s="6" t="s">
        <v>32</v>
      </c>
      <c r="E3" t="s">
        <v>84</v>
      </c>
    </row>
    <row r="4" spans="1:13">
      <c r="A4" s="71"/>
      <c r="B4" s="6" t="s">
        <v>34</v>
      </c>
      <c r="C4" s="7">
        <f>'A380 Basic Inputs'!C4</f>
        <v>1.8720000000000001</v>
      </c>
      <c r="D4" s="6" t="s">
        <v>35</v>
      </c>
      <c r="E4" t="s">
        <v>36</v>
      </c>
      <c r="H4" s="17" t="s">
        <v>85</v>
      </c>
      <c r="I4" s="5"/>
    </row>
    <row r="5" spans="1:13">
      <c r="A5" s="71"/>
      <c r="B5" s="6" t="s">
        <v>38</v>
      </c>
      <c r="C5" s="7">
        <f>'A380 Basic Inputs'!C5</f>
        <v>57.6</v>
      </c>
      <c r="D5" s="6" t="s">
        <v>39</v>
      </c>
    </row>
    <row r="6" spans="1:13">
      <c r="A6" s="71"/>
      <c r="B6" s="6" t="s">
        <v>41</v>
      </c>
      <c r="C6" s="7">
        <f>'A380 Basic Inputs'!C6</f>
        <v>7.8</v>
      </c>
      <c r="D6" s="6"/>
      <c r="I6" t="s">
        <v>86</v>
      </c>
      <c r="L6">
        <f>1*60*60</f>
        <v>3600</v>
      </c>
      <c r="M6" t="s">
        <v>87</v>
      </c>
    </row>
    <row r="7" spans="1:13">
      <c r="A7" s="71"/>
      <c r="B7" s="6" t="s">
        <v>43</v>
      </c>
      <c r="C7" s="7">
        <f>'A380 Basic Inputs'!C7</f>
        <v>845</v>
      </c>
      <c r="D7" s="6" t="s">
        <v>44</v>
      </c>
      <c r="I7" t="s">
        <v>88</v>
      </c>
      <c r="L7">
        <v>60</v>
      </c>
      <c r="M7" t="s">
        <v>87</v>
      </c>
    </row>
    <row r="8" spans="1:13">
      <c r="A8" s="72" t="s">
        <v>46</v>
      </c>
      <c r="B8" s="2" t="s">
        <v>89</v>
      </c>
      <c r="C8" s="36">
        <f>'A380 Basic Inputs'!C8</f>
        <v>0</v>
      </c>
      <c r="D8" s="2" t="s">
        <v>48</v>
      </c>
      <c r="I8" t="s">
        <v>90</v>
      </c>
      <c r="L8">
        <v>0.30480000000000002</v>
      </c>
      <c r="M8" t="s">
        <v>91</v>
      </c>
    </row>
    <row r="9" spans="1:13">
      <c r="A9" s="72"/>
      <c r="B9" s="2" t="s">
        <v>92</v>
      </c>
      <c r="C9" s="36">
        <f>C8*L8</f>
        <v>0</v>
      </c>
      <c r="D9" s="2" t="s">
        <v>91</v>
      </c>
      <c r="I9" t="s">
        <v>93</v>
      </c>
      <c r="L9">
        <v>1.8520000000000001</v>
      </c>
      <c r="M9" t="s">
        <v>94</v>
      </c>
    </row>
    <row r="10" spans="1:13">
      <c r="A10" s="72"/>
      <c r="B10" s="2" t="s">
        <v>50</v>
      </c>
      <c r="C10" s="36">
        <f>'A380 Basic Inputs'!C9</f>
        <v>560000</v>
      </c>
      <c r="D10" s="2" t="s">
        <v>51</v>
      </c>
      <c r="E10" t="s">
        <v>95</v>
      </c>
      <c r="I10" t="s">
        <v>96</v>
      </c>
      <c r="L10">
        <v>1000</v>
      </c>
      <c r="M10" t="s">
        <v>91</v>
      </c>
    </row>
    <row r="11" spans="1:13">
      <c r="A11" s="72"/>
      <c r="B11" s="2" t="s">
        <v>53</v>
      </c>
      <c r="C11" s="36">
        <v>130</v>
      </c>
      <c r="D11" s="2" t="s">
        <v>54</v>
      </c>
      <c r="I11" t="s">
        <v>97</v>
      </c>
      <c r="L11">
        <f>0.5144444</f>
        <v>0.51444440000000002</v>
      </c>
      <c r="M11" t="s">
        <v>98</v>
      </c>
    </row>
    <row r="12" spans="1:13">
      <c r="A12" s="72"/>
      <c r="B12" s="2" t="s">
        <v>53</v>
      </c>
      <c r="C12" s="36">
        <f>C11*L11</f>
        <v>66.877772000000007</v>
      </c>
      <c r="D12" s="2" t="s">
        <v>98</v>
      </c>
    </row>
    <row r="13" spans="1:13">
      <c r="A13" s="72"/>
      <c r="B13" s="2" t="s">
        <v>56</v>
      </c>
      <c r="C13" s="36">
        <f>'A380 Basic Inputs'!C11</f>
        <v>9200</v>
      </c>
      <c r="D13" s="2" t="s">
        <v>48</v>
      </c>
    </row>
    <row r="14" spans="1:13">
      <c r="A14" s="72"/>
      <c r="B14" s="2" t="s">
        <v>56</v>
      </c>
      <c r="C14" s="36">
        <f>C13*L8</f>
        <v>2804.1600000000003</v>
      </c>
      <c r="D14" s="2" t="s">
        <v>91</v>
      </c>
      <c r="E14" t="s">
        <v>99</v>
      </c>
    </row>
    <row r="15" spans="1:13">
      <c r="A15" s="76" t="s">
        <v>70</v>
      </c>
      <c r="B15" s="6" t="s">
        <v>59</v>
      </c>
      <c r="C15" s="7">
        <f>'A380 Basic Inputs'!C12</f>
        <v>50</v>
      </c>
      <c r="D15" s="6" t="s">
        <v>48</v>
      </c>
    </row>
    <row r="16" spans="1:13">
      <c r="A16" s="77"/>
      <c r="B16" s="6" t="s">
        <v>61</v>
      </c>
      <c r="C16" s="7">
        <f>'A380 Basic Inputs'!C13</f>
        <v>1600</v>
      </c>
      <c r="D16" s="6" t="s">
        <v>62</v>
      </c>
      <c r="E16" t="s">
        <v>100</v>
      </c>
      <c r="F16" t="s">
        <v>63</v>
      </c>
    </row>
    <row r="17" spans="1:5">
      <c r="A17" s="77"/>
      <c r="B17" s="6" t="s">
        <v>64</v>
      </c>
      <c r="C17" s="7">
        <f>'A380 Basic Inputs'!C14</f>
        <v>320</v>
      </c>
      <c r="D17" s="6" t="s">
        <v>65</v>
      </c>
      <c r="E17" t="s">
        <v>65</v>
      </c>
    </row>
    <row r="18" spans="1:5">
      <c r="A18" s="78"/>
      <c r="B18" s="6" t="s">
        <v>67</v>
      </c>
      <c r="C18" s="7">
        <f>'A380 Basic Inputs'!C15</f>
        <v>10</v>
      </c>
      <c r="D18" s="6" t="s">
        <v>68</v>
      </c>
      <c r="E18" t="s">
        <v>101</v>
      </c>
    </row>
    <row r="19" spans="1:5">
      <c r="A19" s="70" t="s">
        <v>102</v>
      </c>
      <c r="B19" s="6" t="s">
        <v>59</v>
      </c>
      <c r="C19" s="7">
        <f>'A380 Basic Inputs'!C16</f>
        <v>15000</v>
      </c>
      <c r="D19" s="6" t="s">
        <v>48</v>
      </c>
    </row>
    <row r="20" spans="1:5">
      <c r="A20" s="70"/>
      <c r="B20" s="6" t="s">
        <v>61</v>
      </c>
      <c r="C20" s="7">
        <f>'A380 Basic Inputs'!C17</f>
        <v>1000</v>
      </c>
      <c r="D20" s="6" t="s">
        <v>62</v>
      </c>
      <c r="E20" t="s">
        <v>100</v>
      </c>
    </row>
    <row r="21" spans="1:5">
      <c r="A21" s="70"/>
      <c r="B21" s="6" t="s">
        <v>64</v>
      </c>
      <c r="C21" s="7">
        <f>'A380 Basic Inputs'!C18</f>
        <v>320</v>
      </c>
      <c r="D21" s="6" t="s">
        <v>65</v>
      </c>
      <c r="E21" t="s">
        <v>65</v>
      </c>
    </row>
    <row r="22" spans="1:5">
      <c r="A22" s="70"/>
      <c r="B22" s="6" t="s">
        <v>67</v>
      </c>
      <c r="C22" s="7">
        <f>'A380 Basic Inputs'!C19</f>
        <v>5</v>
      </c>
      <c r="D22" s="6" t="s">
        <v>68</v>
      </c>
      <c r="E22" t="s">
        <v>101</v>
      </c>
    </row>
    <row r="23" spans="1:5">
      <c r="A23" s="75" t="s">
        <v>71</v>
      </c>
      <c r="B23" s="2" t="s">
        <v>103</v>
      </c>
      <c r="C23" s="36">
        <f>'A380 Basic Inputs'!C20</f>
        <v>43000</v>
      </c>
      <c r="D23" s="2" t="s">
        <v>48</v>
      </c>
    </row>
    <row r="24" spans="1:5">
      <c r="A24" s="75"/>
      <c r="B24" s="2" t="s">
        <v>104</v>
      </c>
      <c r="C24" s="37">
        <f>C23*L8</f>
        <v>13106.400000000001</v>
      </c>
      <c r="D24" s="2" t="s">
        <v>91</v>
      </c>
    </row>
    <row r="25" spans="1:5">
      <c r="A25" s="75"/>
      <c r="B25" s="2" t="s">
        <v>105</v>
      </c>
      <c r="C25" s="36">
        <f>'A380 Basic Inputs'!C21</f>
        <v>3000</v>
      </c>
      <c r="D25" s="2" t="s">
        <v>75</v>
      </c>
    </row>
    <row r="26" spans="1:5">
      <c r="A26" s="75"/>
      <c r="B26" s="2" t="s">
        <v>106</v>
      </c>
      <c r="C26" s="36">
        <f>C25*L9</f>
        <v>5556</v>
      </c>
      <c r="D26" s="2" t="s">
        <v>94</v>
      </c>
    </row>
    <row r="27" spans="1:5">
      <c r="A27" s="75"/>
      <c r="B27" s="2" t="s">
        <v>107</v>
      </c>
      <c r="C27" s="36">
        <f>C26*L10</f>
        <v>5556000</v>
      </c>
      <c r="D27" s="2" t="s">
        <v>91</v>
      </c>
    </row>
    <row r="28" spans="1:5">
      <c r="A28" s="75"/>
      <c r="B28" s="2" t="s">
        <v>77</v>
      </c>
      <c r="C28" s="36">
        <f>'A380 Basic Inputs'!C22</f>
        <v>0.85</v>
      </c>
      <c r="D28" s="2" t="s">
        <v>108</v>
      </c>
    </row>
    <row r="29" spans="1:5">
      <c r="A29" s="70" t="s">
        <v>80</v>
      </c>
      <c r="B29" s="6" t="s">
        <v>109</v>
      </c>
      <c r="C29" s="7">
        <f>'A380 Basic Inputs'!C23</f>
        <v>1500</v>
      </c>
      <c r="D29" s="6" t="s">
        <v>62</v>
      </c>
      <c r="E29" t="s">
        <v>110</v>
      </c>
    </row>
    <row r="30" spans="1:5">
      <c r="A30" s="70"/>
      <c r="B30" s="6" t="s">
        <v>111</v>
      </c>
      <c r="C30" s="7">
        <f>C29*L8/L7</f>
        <v>7.620000000000001</v>
      </c>
      <c r="D30" s="6" t="s">
        <v>98</v>
      </c>
    </row>
    <row r="31" spans="1:5">
      <c r="A31" s="70"/>
      <c r="B31" s="6" t="s">
        <v>67</v>
      </c>
      <c r="C31" s="7">
        <f>'A380 Basic Inputs'!C24</f>
        <v>10</v>
      </c>
      <c r="D31" s="6" t="s">
        <v>68</v>
      </c>
      <c r="E31" t="s">
        <v>112</v>
      </c>
    </row>
    <row r="32" spans="1:5">
      <c r="A32" s="67" t="s">
        <v>81</v>
      </c>
      <c r="B32" s="2" t="s">
        <v>113</v>
      </c>
      <c r="C32" s="36">
        <f>'A380 Basic Inputs'!C25</f>
        <v>0</v>
      </c>
      <c r="D32" s="2" t="s">
        <v>48</v>
      </c>
      <c r="E32" t="s">
        <v>114</v>
      </c>
    </row>
    <row r="33" spans="1:5">
      <c r="A33" s="73"/>
      <c r="B33" s="2" t="s">
        <v>115</v>
      </c>
      <c r="C33" s="36">
        <f>C32*L8</f>
        <v>0</v>
      </c>
      <c r="D33" s="2" t="s">
        <v>91</v>
      </c>
    </row>
    <row r="34" spans="1:5">
      <c r="A34" s="73"/>
      <c r="B34" s="2" t="s">
        <v>83</v>
      </c>
      <c r="C34" s="36">
        <f>'A380 Basic Inputs'!C26</f>
        <v>7000</v>
      </c>
      <c r="D34" s="2" t="s">
        <v>48</v>
      </c>
    </row>
    <row r="35" spans="1:5">
      <c r="A35" s="68"/>
      <c r="B35" s="2" t="s">
        <v>83</v>
      </c>
      <c r="C35" s="36">
        <f>C34*L8</f>
        <v>2133.6</v>
      </c>
      <c r="D35" s="2" t="s">
        <v>91</v>
      </c>
      <c r="E35" t="s">
        <v>99</v>
      </c>
    </row>
    <row r="37" spans="1:5">
      <c r="A37" s="74" t="s">
        <v>116</v>
      </c>
      <c r="B37" s="74"/>
    </row>
    <row r="38" spans="1:5">
      <c r="B38" s="1" t="s">
        <v>117</v>
      </c>
      <c r="C38">
        <v>0.02</v>
      </c>
      <c r="E38" t="s">
        <v>118</v>
      </c>
    </row>
    <row r="39" spans="1:5">
      <c r="A39" s="1"/>
      <c r="B39" s="19"/>
    </row>
    <row r="40" spans="1:5">
      <c r="A40" s="1"/>
    </row>
    <row r="41" spans="1:5">
      <c r="A41" s="1"/>
      <c r="C41" s="1"/>
      <c r="D41"/>
    </row>
    <row r="42" spans="1:5">
      <c r="A42" s="1"/>
      <c r="C42" s="1"/>
      <c r="D42"/>
    </row>
    <row r="43" spans="1:5">
      <c r="A43" s="1"/>
      <c r="C43" s="1"/>
      <c r="D43"/>
    </row>
    <row r="44" spans="1:5">
      <c r="D44"/>
    </row>
    <row r="45" spans="1:5">
      <c r="D45"/>
    </row>
  </sheetData>
  <mergeCells count="9">
    <mergeCell ref="A37:B37"/>
    <mergeCell ref="A29:A31"/>
    <mergeCell ref="A32:A35"/>
    <mergeCell ref="A1:E1"/>
    <mergeCell ref="A3:A7"/>
    <mergeCell ref="A8:A14"/>
    <mergeCell ref="A23:A28"/>
    <mergeCell ref="A19:A22"/>
    <mergeCell ref="A15: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3D5-7FDA-485E-A8B6-DE79360C44DD}">
  <dimension ref="A1:V117"/>
  <sheetViews>
    <sheetView zoomScale="106" workbookViewId="0">
      <selection activeCell="A55" sqref="A55"/>
    </sheetView>
  </sheetViews>
  <sheetFormatPr defaultColWidth="8.6640625" defaultRowHeight="14.4"/>
  <cols>
    <col min="1" max="1" width="14.6640625" customWidth="1"/>
    <col min="2" max="2" width="38.44140625" bestFit="1" customWidth="1"/>
    <col min="3" max="3" width="23.6640625" style="34" customWidth="1"/>
    <col min="4" max="4" width="23.6640625" customWidth="1"/>
    <col min="5" max="5" width="58.109375" customWidth="1"/>
  </cols>
  <sheetData>
    <row r="1" spans="1:21">
      <c r="A1" s="79" t="s">
        <v>119</v>
      </c>
      <c r="B1" s="79"/>
      <c r="C1" s="79"/>
      <c r="D1" s="79"/>
      <c r="E1" s="79"/>
      <c r="F1" s="45"/>
    </row>
    <row r="2" spans="1:21" ht="15" thickBot="1">
      <c r="A2" s="46"/>
      <c r="B2" s="47" t="s">
        <v>120</v>
      </c>
      <c r="C2" s="47" t="s">
        <v>27</v>
      </c>
      <c r="D2" s="47" t="s">
        <v>28</v>
      </c>
      <c r="E2" s="48" t="s">
        <v>29</v>
      </c>
      <c r="F2" s="45"/>
    </row>
    <row r="3" spans="1:21">
      <c r="A3" s="83" t="s">
        <v>30</v>
      </c>
      <c r="B3" s="49" t="s">
        <v>31</v>
      </c>
      <c r="C3" s="50">
        <f>Inputs!C3</f>
        <v>0.78500000000000003</v>
      </c>
      <c r="D3" s="49" t="s">
        <v>32</v>
      </c>
      <c r="E3" s="51" t="s">
        <v>121</v>
      </c>
      <c r="F3" s="45"/>
      <c r="H3" s="17" t="s">
        <v>85</v>
      </c>
      <c r="I3" s="5"/>
      <c r="P3" s="17" t="s">
        <v>122</v>
      </c>
      <c r="Q3" s="5"/>
    </row>
    <row r="4" spans="1:21">
      <c r="A4" s="84"/>
      <c r="B4" s="44" t="s">
        <v>34</v>
      </c>
      <c r="C4" s="52">
        <f>Inputs!C4</f>
        <v>1.8720000000000001</v>
      </c>
      <c r="D4" s="44" t="s">
        <v>35</v>
      </c>
      <c r="E4" s="53" t="s">
        <v>121</v>
      </c>
      <c r="F4" s="45"/>
    </row>
    <row r="5" spans="1:21">
      <c r="A5" s="84"/>
      <c r="B5" s="44" t="s">
        <v>38</v>
      </c>
      <c r="C5" s="52">
        <f>Inputs!C5/L5</f>
        <v>1.6E-2</v>
      </c>
      <c r="D5" s="44" t="s">
        <v>123</v>
      </c>
      <c r="E5" s="53"/>
      <c r="F5" s="45"/>
      <c r="I5" t="s">
        <v>86</v>
      </c>
      <c r="L5">
        <f>1*60*60</f>
        <v>3600</v>
      </c>
      <c r="M5" t="s">
        <v>87</v>
      </c>
      <c r="P5" t="s">
        <v>124</v>
      </c>
      <c r="U5">
        <v>1</v>
      </c>
    </row>
    <row r="6" spans="1:21" ht="15" thickBot="1">
      <c r="A6" s="85"/>
      <c r="B6" s="54" t="s">
        <v>125</v>
      </c>
      <c r="C6" s="55">
        <f>U5/(U6*U9*U7)</f>
        <v>4.9997812173081788E-2</v>
      </c>
      <c r="D6" s="55"/>
      <c r="E6" s="56" t="s">
        <v>126</v>
      </c>
      <c r="F6" s="45"/>
      <c r="I6" t="s">
        <v>88</v>
      </c>
      <c r="L6">
        <v>60</v>
      </c>
      <c r="M6" t="s">
        <v>87</v>
      </c>
      <c r="P6" t="s">
        <v>127</v>
      </c>
      <c r="U6">
        <f>PI()</f>
        <v>3.1415926535897931</v>
      </c>
    </row>
    <row r="7" spans="1:21">
      <c r="A7" s="80" t="s">
        <v>128</v>
      </c>
      <c r="B7" s="57" t="s">
        <v>47</v>
      </c>
      <c r="C7" s="58">
        <f>Inputs!C9</f>
        <v>0</v>
      </c>
      <c r="D7" s="57" t="s">
        <v>91</v>
      </c>
      <c r="E7" s="51" t="s">
        <v>129</v>
      </c>
      <c r="F7" s="45"/>
      <c r="I7" t="s">
        <v>90</v>
      </c>
      <c r="L7">
        <v>0.30480000000000002</v>
      </c>
      <c r="M7" t="s">
        <v>91</v>
      </c>
      <c r="P7" t="s">
        <v>130</v>
      </c>
      <c r="U7">
        <f>Inputs!C6</f>
        <v>7.8</v>
      </c>
    </row>
    <row r="8" spans="1:21">
      <c r="A8" s="81"/>
      <c r="B8" s="59" t="s">
        <v>131</v>
      </c>
      <c r="C8" s="60">
        <f>C7*($L$21/($L$21+C7))</f>
        <v>0</v>
      </c>
      <c r="D8" s="59" t="s">
        <v>91</v>
      </c>
      <c r="E8" s="53"/>
      <c r="F8" s="45"/>
      <c r="I8" t="s">
        <v>132</v>
      </c>
      <c r="L8">
        <v>1000</v>
      </c>
      <c r="M8" t="s">
        <v>133</v>
      </c>
      <c r="P8" s="18" t="s">
        <v>134</v>
      </c>
    </row>
    <row r="9" spans="1:21">
      <c r="A9" s="81"/>
      <c r="B9" s="59" t="s">
        <v>135</v>
      </c>
      <c r="C9" s="60">
        <f>L14*((L17+(C8*L18))/L17)^(U19)</f>
        <v>1.2250000000000001</v>
      </c>
      <c r="D9" s="59" t="s">
        <v>136</v>
      </c>
      <c r="E9" s="53" t="s">
        <v>137</v>
      </c>
      <c r="F9" s="45"/>
      <c r="I9" t="s">
        <v>138</v>
      </c>
      <c r="L9">
        <v>0.51444400000000001</v>
      </c>
      <c r="M9" t="s">
        <v>98</v>
      </c>
      <c r="P9" t="s">
        <v>139</v>
      </c>
      <c r="U9">
        <f>U17</f>
        <v>0.81621491008207958</v>
      </c>
    </row>
    <row r="10" spans="1:21">
      <c r="A10" s="81"/>
      <c r="B10" s="59" t="s">
        <v>50</v>
      </c>
      <c r="C10" s="60">
        <f>Inputs!C10</f>
        <v>560000</v>
      </c>
      <c r="D10" s="59" t="s">
        <v>51</v>
      </c>
      <c r="E10" s="53" t="s">
        <v>121</v>
      </c>
      <c r="F10" s="45"/>
    </row>
    <row r="11" spans="1:21">
      <c r="A11" s="81"/>
      <c r="B11" s="59" t="s">
        <v>53</v>
      </c>
      <c r="C11" s="60">
        <f>Inputs!C12</f>
        <v>66.877772000000007</v>
      </c>
      <c r="D11" s="59" t="s">
        <v>98</v>
      </c>
      <c r="E11" s="53" t="s">
        <v>121</v>
      </c>
      <c r="F11" s="45"/>
      <c r="P11" t="s">
        <v>140</v>
      </c>
      <c r="U11">
        <f>1.78</f>
        <v>1.78</v>
      </c>
    </row>
    <row r="12" spans="1:21">
      <c r="A12" s="81"/>
      <c r="B12" s="59" t="s">
        <v>56</v>
      </c>
      <c r="C12" s="60">
        <f>Inputs!C14</f>
        <v>2804.1600000000003</v>
      </c>
      <c r="D12" s="59" t="s">
        <v>91</v>
      </c>
      <c r="E12" s="53" t="s">
        <v>121</v>
      </c>
      <c r="F12" s="45"/>
      <c r="H12" s="17" t="s">
        <v>141</v>
      </c>
      <c r="I12" s="5"/>
      <c r="P12" t="s">
        <v>142</v>
      </c>
      <c r="U12">
        <f>1</f>
        <v>1</v>
      </c>
    </row>
    <row r="13" spans="1:21">
      <c r="A13" s="81"/>
      <c r="B13" s="59" t="s">
        <v>143</v>
      </c>
      <c r="C13" s="60">
        <f>((1.21/C11)^2)*((2*(C10*9.81/Inputs!C7^2))/C9)</f>
        <v>4.1119201397124775E-3</v>
      </c>
      <c r="D13" s="59"/>
      <c r="E13" s="53"/>
      <c r="F13" s="45"/>
      <c r="I13" t="s">
        <v>144</v>
      </c>
      <c r="L13">
        <f>PI()</f>
        <v>3.1415926535897931</v>
      </c>
      <c r="P13" t="s">
        <v>145</v>
      </c>
      <c r="U13">
        <f>0.045</f>
        <v>4.4999999999999998E-2</v>
      </c>
    </row>
    <row r="14" spans="1:21">
      <c r="A14" s="81"/>
      <c r="B14" s="59" t="s">
        <v>146</v>
      </c>
      <c r="C14" s="60">
        <f>0.5*(1.21/C12)*((C10*9.81/Inputs!C7)/(C9*L19*C13*(1/C10*9.81)))</f>
        <v>1620953.2669950302</v>
      </c>
      <c r="D14" s="59" t="s">
        <v>147</v>
      </c>
      <c r="E14" s="53"/>
      <c r="F14" s="45"/>
      <c r="I14" t="s">
        <v>148</v>
      </c>
      <c r="L14">
        <v>1.2250000000000001</v>
      </c>
      <c r="M14" t="s">
        <v>136</v>
      </c>
      <c r="P14" t="s">
        <v>149</v>
      </c>
      <c r="U14">
        <f>0.68</f>
        <v>0.68</v>
      </c>
    </row>
    <row r="15" spans="1:21">
      <c r="A15" s="81"/>
      <c r="B15" s="59" t="s">
        <v>150</v>
      </c>
      <c r="C15" s="60">
        <f>C14*C11</f>
        <v>108405743.01274876</v>
      </c>
      <c r="D15" s="59" t="s">
        <v>151</v>
      </c>
      <c r="E15" s="53"/>
      <c r="F15" s="45"/>
    </row>
    <row r="16" spans="1:21">
      <c r="A16" s="81"/>
      <c r="B16" s="59" t="s">
        <v>152</v>
      </c>
      <c r="C16" s="60">
        <f>C15/(1000*1000)</f>
        <v>108.40574301274876</v>
      </c>
      <c r="D16" s="59" t="s">
        <v>153</v>
      </c>
      <c r="E16" s="53" t="s">
        <v>154</v>
      </c>
      <c r="F16" s="45"/>
      <c r="I16" t="s">
        <v>155</v>
      </c>
      <c r="L16">
        <v>340.29</v>
      </c>
      <c r="M16" t="s">
        <v>98</v>
      </c>
      <c r="P16" t="s">
        <v>156</v>
      </c>
      <c r="U16">
        <f>0.64</f>
        <v>0.64</v>
      </c>
    </row>
    <row r="17" spans="1:22">
      <c r="A17" s="81"/>
      <c r="B17" s="59" t="s">
        <v>157</v>
      </c>
      <c r="C17" s="60">
        <f>C12/(C11/(1.1*3))</f>
        <v>138.36776739512197</v>
      </c>
      <c r="D17" s="59" t="s">
        <v>158</v>
      </c>
      <c r="E17" s="53" t="s">
        <v>159</v>
      </c>
      <c r="F17" s="45"/>
      <c r="I17" t="s">
        <v>160</v>
      </c>
      <c r="L17">
        <v>288</v>
      </c>
      <c r="M17" t="s">
        <v>125</v>
      </c>
      <c r="P17" t="s">
        <v>161</v>
      </c>
      <c r="U17">
        <f>U11*(U12-(U13*(U7^U14)))-U16</f>
        <v>0.81621491008207958</v>
      </c>
    </row>
    <row r="18" spans="1:22">
      <c r="A18" s="81"/>
      <c r="B18" s="59" t="s">
        <v>162</v>
      </c>
      <c r="C18" s="60">
        <f>C19/C3</f>
        <v>4571.4687308215307</v>
      </c>
      <c r="D18" s="59" t="s">
        <v>163</v>
      </c>
      <c r="E18" s="53" t="s">
        <v>164</v>
      </c>
      <c r="F18" s="45"/>
      <c r="I18" t="s">
        <v>165</v>
      </c>
      <c r="L18">
        <v>-6.4999999999999997E-3</v>
      </c>
      <c r="M18" t="s">
        <v>166</v>
      </c>
    </row>
    <row r="19" spans="1:22" ht="15" thickBot="1">
      <c r="A19" s="82"/>
      <c r="B19" s="61" t="s">
        <v>162</v>
      </c>
      <c r="C19" s="62">
        <f>C5*C16*L8*C17/C11</f>
        <v>3588.6029536949018</v>
      </c>
      <c r="D19" s="61" t="s">
        <v>51</v>
      </c>
      <c r="E19" s="56" t="s">
        <v>167</v>
      </c>
      <c r="F19" s="45"/>
      <c r="I19" t="s">
        <v>168</v>
      </c>
      <c r="L19">
        <v>9.8066499999999994</v>
      </c>
      <c r="M19" t="s">
        <v>169</v>
      </c>
      <c r="P19" t="s">
        <v>170</v>
      </c>
      <c r="U19">
        <f>-((L19/(L18*L20))+1)</f>
        <v>4.2586803228141683</v>
      </c>
    </row>
    <row r="20" spans="1:22" ht="14.4" customHeight="1">
      <c r="A20" s="91" t="s">
        <v>171</v>
      </c>
      <c r="B20" s="49" t="s">
        <v>59</v>
      </c>
      <c r="C20" s="50">
        <f>Inputs!C15*$L$7</f>
        <v>15.24</v>
      </c>
      <c r="D20" s="49" t="s">
        <v>91</v>
      </c>
      <c r="E20" s="51"/>
      <c r="F20" s="45"/>
      <c r="I20" t="s">
        <v>172</v>
      </c>
      <c r="L20">
        <v>286.89999999999998</v>
      </c>
      <c r="M20" t="s">
        <v>173</v>
      </c>
    </row>
    <row r="21" spans="1:22" ht="14.7" customHeight="1">
      <c r="A21" s="92"/>
      <c r="B21" s="44" t="s">
        <v>131</v>
      </c>
      <c r="C21" s="52">
        <f>C20*($L$21/($L$21+C20))</f>
        <v>15.239963544648498</v>
      </c>
      <c r="D21" s="44" t="s">
        <v>91</v>
      </c>
      <c r="E21" s="53"/>
      <c r="F21" s="45"/>
      <c r="I21" t="s">
        <v>174</v>
      </c>
      <c r="L21">
        <v>6371000</v>
      </c>
      <c r="M21" t="s">
        <v>91</v>
      </c>
    </row>
    <row r="22" spans="1:22" ht="14.4" customHeight="1">
      <c r="A22" s="92"/>
      <c r="B22" s="44" t="s">
        <v>135</v>
      </c>
      <c r="C22" s="52">
        <f>$L$14*(($L$17+($L$18*(C21+C37)/2))/$L$17)^($U$19)</f>
        <v>0.97684849429060916</v>
      </c>
      <c r="D22" s="44" t="s">
        <v>136</v>
      </c>
      <c r="E22" s="53" t="s">
        <v>175</v>
      </c>
      <c r="F22" s="45"/>
    </row>
    <row r="23" spans="1:22" ht="14.4" customHeight="1">
      <c r="A23" s="92"/>
      <c r="B23" s="44" t="s">
        <v>176</v>
      </c>
      <c r="C23" s="52">
        <f>C10-C19</f>
        <v>556411.39704630512</v>
      </c>
      <c r="D23" s="44" t="s">
        <v>51</v>
      </c>
      <c r="E23" s="53" t="s">
        <v>177</v>
      </c>
      <c r="F23" s="45"/>
    </row>
    <row r="24" spans="1:22" ht="14.4" customHeight="1">
      <c r="A24" s="92"/>
      <c r="B24" s="44" t="s">
        <v>178</v>
      </c>
      <c r="C24" s="52">
        <f>Inputs!C16*L7/L6</f>
        <v>8.1280000000000001</v>
      </c>
      <c r="D24" s="44" t="s">
        <v>98</v>
      </c>
      <c r="E24" s="53" t="s">
        <v>177</v>
      </c>
      <c r="F24" s="45"/>
    </row>
    <row r="25" spans="1:22" ht="14.4" customHeight="1">
      <c r="A25" s="92"/>
      <c r="B25" s="44" t="s">
        <v>67</v>
      </c>
      <c r="C25" s="52">
        <f>Inputs!C18</f>
        <v>10</v>
      </c>
      <c r="D25" s="44" t="s">
        <v>68</v>
      </c>
      <c r="E25" s="53" t="s">
        <v>121</v>
      </c>
      <c r="F25" s="45"/>
    </row>
    <row r="26" spans="1:22" ht="14.4" customHeight="1">
      <c r="A26" s="92"/>
      <c r="B26" s="44" t="s">
        <v>179</v>
      </c>
      <c r="C26" s="52">
        <f>C37-C20</f>
        <v>4556.76</v>
      </c>
      <c r="D26" s="44" t="s">
        <v>91</v>
      </c>
      <c r="E26" s="53" t="s">
        <v>180</v>
      </c>
      <c r="F26" s="45"/>
    </row>
    <row r="27" spans="1:22" ht="14.4" customHeight="1">
      <c r="A27" s="92"/>
      <c r="B27" s="44" t="s">
        <v>181</v>
      </c>
      <c r="C27" s="52">
        <f>C26/TAN(C25*0.01745329)</f>
        <v>25842.67395244525</v>
      </c>
      <c r="D27" s="44" t="s">
        <v>91</v>
      </c>
      <c r="E27" s="53" t="s">
        <v>182</v>
      </c>
      <c r="F27" s="45"/>
    </row>
    <row r="28" spans="1:22" ht="14.4" customHeight="1">
      <c r="A28" s="92"/>
      <c r="B28" s="44" t="s">
        <v>183</v>
      </c>
      <c r="C28" s="52">
        <f>0.5*C22*((C32)^3)*Inputs!C7*Inputs!C38</f>
        <v>36825459.490159452</v>
      </c>
      <c r="D28" s="44" t="s">
        <v>184</v>
      </c>
      <c r="E28" s="53"/>
      <c r="F28" s="45"/>
    </row>
    <row r="29" spans="1:22" ht="14.4" customHeight="1">
      <c r="A29" s="92"/>
      <c r="B29" s="44" t="s">
        <v>185</v>
      </c>
      <c r="C29" s="63">
        <f>(2*C6*((C23*9.81)^2))/(C22*C32*Inputs!C7)</f>
        <v>21924971.640885007</v>
      </c>
      <c r="D29" s="44" t="s">
        <v>184</v>
      </c>
      <c r="E29" s="53"/>
      <c r="F29" s="45"/>
    </row>
    <row r="30" spans="1:22" ht="14.4" customHeight="1">
      <c r="A30" s="92"/>
      <c r="B30" s="44" t="s">
        <v>186</v>
      </c>
      <c r="C30" s="63">
        <f>C23*C24*9.81</f>
        <v>44365841.103237137</v>
      </c>
      <c r="D30" s="44" t="s">
        <v>184</v>
      </c>
      <c r="E30" s="53"/>
      <c r="F30" s="45"/>
    </row>
    <row r="31" spans="1:22" ht="14.4" customHeight="1">
      <c r="A31" s="92"/>
      <c r="B31" s="44" t="s">
        <v>187</v>
      </c>
      <c r="C31" s="63">
        <f>C28+C29+C30</f>
        <v>103116272.2342816</v>
      </c>
      <c r="D31" s="44" t="s">
        <v>151</v>
      </c>
      <c r="E31" s="53"/>
      <c r="F31" s="45"/>
      <c r="V31" s="19"/>
    </row>
    <row r="32" spans="1:22" ht="14.4" customHeight="1">
      <c r="A32" s="92"/>
      <c r="B32" s="44" t="s">
        <v>188</v>
      </c>
      <c r="C32" s="52">
        <f>Inputs!C17*L9</f>
        <v>164.62208000000001</v>
      </c>
      <c r="D32" s="44" t="s">
        <v>98</v>
      </c>
      <c r="E32" s="53"/>
      <c r="F32" s="45"/>
    </row>
    <row r="33" spans="1:13">
      <c r="A33" s="92"/>
      <c r="B33" s="44" t="s">
        <v>152</v>
      </c>
      <c r="C33" s="52">
        <f>(C31)/(1000*1000)</f>
        <v>103.1162722342816</v>
      </c>
      <c r="D33" s="44" t="s">
        <v>153</v>
      </c>
      <c r="E33" s="53" t="s">
        <v>189</v>
      </c>
      <c r="F33" s="45"/>
    </row>
    <row r="34" spans="1:13">
      <c r="A34" s="92"/>
      <c r="B34" s="44" t="s">
        <v>157</v>
      </c>
      <c r="C34" s="52">
        <f>C26/C24</f>
        <v>560.625</v>
      </c>
      <c r="D34" s="44" t="s">
        <v>87</v>
      </c>
      <c r="E34" s="53" t="s">
        <v>190</v>
      </c>
      <c r="F34" s="45"/>
    </row>
    <row r="35" spans="1:13">
      <c r="A35" s="92"/>
      <c r="B35" s="44" t="s">
        <v>162</v>
      </c>
      <c r="C35" s="52">
        <f>C36/C3</f>
        <v>25183.118842758915</v>
      </c>
      <c r="D35" s="44" t="s">
        <v>163</v>
      </c>
      <c r="E35" s="53" t="s">
        <v>190</v>
      </c>
      <c r="F35" s="45"/>
    </row>
    <row r="36" spans="1:13" ht="15" thickBot="1">
      <c r="A36" s="93"/>
      <c r="B36" s="54" t="s">
        <v>162</v>
      </c>
      <c r="C36" s="55">
        <f>$C$5*C33*$L$8*C34/(C24/SIN(C25*22/(7*180)))</f>
        <v>19768.748291565749</v>
      </c>
      <c r="D36" s="54" t="s">
        <v>51</v>
      </c>
      <c r="E36" s="56" t="s">
        <v>190</v>
      </c>
      <c r="F36" s="64" t="s">
        <v>191</v>
      </c>
    </row>
    <row r="37" spans="1:13" ht="14.4" customHeight="1">
      <c r="A37" s="91" t="s">
        <v>192</v>
      </c>
      <c r="B37" s="49" t="s">
        <v>59</v>
      </c>
      <c r="C37" s="50">
        <f>Inputs!C19*$L$7</f>
        <v>4572</v>
      </c>
      <c r="D37" s="49" t="s">
        <v>91</v>
      </c>
      <c r="E37" s="51"/>
      <c r="F37" s="45"/>
      <c r="I37" t="s">
        <v>172</v>
      </c>
      <c r="L37">
        <v>286.89999999999998</v>
      </c>
      <c r="M37" t="s">
        <v>173</v>
      </c>
    </row>
    <row r="38" spans="1:13" ht="14.7" customHeight="1">
      <c r="A38" s="92"/>
      <c r="B38" s="44" t="s">
        <v>131</v>
      </c>
      <c r="C38" s="52">
        <f>C37*($L$21/($L$21+C37))</f>
        <v>4568.7213633537513</v>
      </c>
      <c r="D38" s="44" t="s">
        <v>91</v>
      </c>
      <c r="E38" s="53"/>
      <c r="F38" s="45"/>
      <c r="I38" t="s">
        <v>174</v>
      </c>
      <c r="L38">
        <v>6371000</v>
      </c>
      <c r="M38" t="s">
        <v>91</v>
      </c>
    </row>
    <row r="39" spans="1:13">
      <c r="A39" s="92"/>
      <c r="B39" s="44" t="s">
        <v>135</v>
      </c>
      <c r="C39" s="52">
        <f>$L$14*(($L$17+($L$18*(C38+C56)/2))/$L$17)^($U$19)</f>
        <v>0.47498295051134026</v>
      </c>
      <c r="D39" s="44" t="s">
        <v>136</v>
      </c>
      <c r="E39" s="53" t="s">
        <v>175</v>
      </c>
      <c r="F39" s="45"/>
    </row>
    <row r="40" spans="1:13">
      <c r="A40" s="92"/>
      <c r="B40" s="44" t="s">
        <v>193</v>
      </c>
      <c r="C40" s="52">
        <f>L16*SQRT(L14/C39)</f>
        <v>546.48496831262003</v>
      </c>
      <c r="D40" s="44" t="s">
        <v>98</v>
      </c>
      <c r="E40" s="53"/>
      <c r="F40" s="45"/>
    </row>
    <row r="41" spans="1:13">
      <c r="A41" s="92"/>
      <c r="B41" s="44" t="s">
        <v>176</v>
      </c>
      <c r="C41" s="52">
        <f>C23-C36</f>
        <v>536642.64875473932</v>
      </c>
      <c r="D41" s="44" t="s">
        <v>51</v>
      </c>
      <c r="E41" s="53" t="s">
        <v>177</v>
      </c>
      <c r="F41" s="45"/>
    </row>
    <row r="42" spans="1:13">
      <c r="A42" s="92"/>
      <c r="B42" s="44" t="s">
        <v>178</v>
      </c>
      <c r="C42" s="52">
        <f>Inputs!C20*$L$7/$L$6</f>
        <v>5.08</v>
      </c>
      <c r="D42" s="44" t="s">
        <v>98</v>
      </c>
      <c r="E42" s="53" t="s">
        <v>177</v>
      </c>
      <c r="F42" s="45"/>
    </row>
    <row r="43" spans="1:13">
      <c r="A43" s="92"/>
      <c r="B43" s="44" t="s">
        <v>67</v>
      </c>
      <c r="C43" s="52">
        <f>Inputs!C22</f>
        <v>5</v>
      </c>
      <c r="D43" s="44" t="s">
        <v>68</v>
      </c>
      <c r="E43" s="53" t="s">
        <v>121</v>
      </c>
      <c r="F43" s="45"/>
    </row>
    <row r="44" spans="1:13">
      <c r="A44" s="92"/>
      <c r="B44" s="44" t="s">
        <v>179</v>
      </c>
      <c r="C44" s="52">
        <f>C56-C37</f>
        <v>8534.4000000000015</v>
      </c>
      <c r="D44" s="44" t="s">
        <v>91</v>
      </c>
      <c r="E44" s="53" t="s">
        <v>180</v>
      </c>
      <c r="F44" s="45"/>
    </row>
    <row r="45" spans="1:13">
      <c r="A45" s="92"/>
      <c r="B45" s="44" t="s">
        <v>181</v>
      </c>
      <c r="C45" s="52">
        <f>C44/TAN(C43*0.01745329)</f>
        <v>97548.652528727456</v>
      </c>
      <c r="D45" s="44" t="s">
        <v>91</v>
      </c>
      <c r="E45" s="53" t="s">
        <v>182</v>
      </c>
      <c r="F45" s="45"/>
    </row>
    <row r="46" spans="1:13">
      <c r="A46" s="92"/>
      <c r="B46" s="44" t="s">
        <v>183</v>
      </c>
      <c r="C46" s="52">
        <f>0.5*C39*((C50)^3)*Inputs!C7*Inputs!C38</f>
        <v>17906016.649259552</v>
      </c>
      <c r="D46" s="44" t="s">
        <v>184</v>
      </c>
      <c r="E46" s="53"/>
      <c r="F46" s="45"/>
    </row>
    <row r="47" spans="1:13">
      <c r="A47" s="92"/>
      <c r="B47" s="44" t="s">
        <v>185</v>
      </c>
      <c r="C47" s="63">
        <f>(2*$C$6*((C41*9.81)^2))/(C39*C50*Inputs!C7)</f>
        <v>41943683.304554008</v>
      </c>
      <c r="D47" s="44" t="s">
        <v>184</v>
      </c>
      <c r="E47" s="53"/>
      <c r="F47" s="45"/>
    </row>
    <row r="48" spans="1:13">
      <c r="A48" s="92"/>
      <c r="B48" s="44" t="s">
        <v>186</v>
      </c>
      <c r="C48" s="63">
        <f>C41*C42*9.81</f>
        <v>26743479.072162684</v>
      </c>
      <c r="D48" s="44" t="s">
        <v>184</v>
      </c>
      <c r="E48" s="53"/>
      <c r="F48" s="45"/>
    </row>
    <row r="49" spans="1:22">
      <c r="A49" s="92"/>
      <c r="B49" s="44" t="s">
        <v>187</v>
      </c>
      <c r="C49" s="63">
        <f>C46+C47+C48</f>
        <v>86593179.025976241</v>
      </c>
      <c r="D49" s="44" t="s">
        <v>151</v>
      </c>
      <c r="E49" s="53"/>
      <c r="F49" s="45"/>
      <c r="V49" s="19"/>
    </row>
    <row r="50" spans="1:22">
      <c r="A50" s="92"/>
      <c r="B50" s="44" t="s">
        <v>188</v>
      </c>
      <c r="C50" s="52">
        <f>Inputs!C21*L9</f>
        <v>164.62208000000001</v>
      </c>
      <c r="D50" s="44" t="s">
        <v>98</v>
      </c>
      <c r="E50" s="53"/>
      <c r="F50" s="45"/>
    </row>
    <row r="51" spans="1:22">
      <c r="A51" s="92"/>
      <c r="B51" s="44" t="s">
        <v>152</v>
      </c>
      <c r="C51" s="52">
        <f>(C49)/(1000*1000)</f>
        <v>86.593179025976241</v>
      </c>
      <c r="D51" s="44" t="s">
        <v>153</v>
      </c>
      <c r="E51" s="53" t="s">
        <v>189</v>
      </c>
      <c r="F51" s="45"/>
    </row>
    <row r="52" spans="1:22">
      <c r="A52" s="92"/>
      <c r="B52" s="44" t="s">
        <v>157</v>
      </c>
      <c r="C52" s="52">
        <f>C44/C42</f>
        <v>1680.0000000000002</v>
      </c>
      <c r="D52" s="44" t="s">
        <v>87</v>
      </c>
      <c r="E52" s="53" t="s">
        <v>190</v>
      </c>
      <c r="F52" s="45"/>
    </row>
    <row r="53" spans="1:22">
      <c r="A53" s="92"/>
      <c r="B53" s="44" t="s">
        <v>162</v>
      </c>
      <c r="C53" s="52">
        <f>C54/$C$3</f>
        <v>50892.046062522037</v>
      </c>
      <c r="D53" s="44" t="s">
        <v>163</v>
      </c>
      <c r="E53" s="53" t="s">
        <v>190</v>
      </c>
      <c r="F53" s="45"/>
    </row>
    <row r="54" spans="1:22">
      <c r="A54" s="93"/>
      <c r="B54" s="54" t="s">
        <v>162</v>
      </c>
      <c r="C54" s="55">
        <f>$C$5*C51*$L$8*C52/(C42/SIN(C43*22/(7*180)))</f>
        <v>39950.2561590798</v>
      </c>
      <c r="D54" s="54" t="s">
        <v>51</v>
      </c>
      <c r="E54" s="56" t="s">
        <v>190</v>
      </c>
      <c r="F54" s="45"/>
    </row>
    <row r="55" spans="1:22" ht="14.4" customHeight="1">
      <c r="A55" s="80" t="s">
        <v>71</v>
      </c>
      <c r="B55" s="57" t="s">
        <v>194</v>
      </c>
      <c r="C55" s="58">
        <f>C41-C54</f>
        <v>496692.39259565953</v>
      </c>
      <c r="D55" s="57" t="s">
        <v>51</v>
      </c>
      <c r="E55" s="51" t="s">
        <v>177</v>
      </c>
      <c r="F55" s="45"/>
      <c r="I55" t="s">
        <v>172</v>
      </c>
      <c r="L55">
        <v>286.89999999999998</v>
      </c>
      <c r="M55" t="s">
        <v>173</v>
      </c>
    </row>
    <row r="56" spans="1:22" ht="14.7" customHeight="1">
      <c r="A56" s="81"/>
      <c r="B56" s="59" t="s">
        <v>72</v>
      </c>
      <c r="C56" s="60">
        <f>Inputs!C24</f>
        <v>13106.400000000001</v>
      </c>
      <c r="D56" s="59" t="s">
        <v>91</v>
      </c>
      <c r="E56" s="53" t="s">
        <v>129</v>
      </c>
      <c r="F56" s="45"/>
      <c r="I56" t="s">
        <v>174</v>
      </c>
      <c r="L56">
        <v>6371000</v>
      </c>
      <c r="M56" t="s">
        <v>91</v>
      </c>
    </row>
    <row r="57" spans="1:22">
      <c r="A57" s="81"/>
      <c r="B57" s="59" t="s">
        <v>131</v>
      </c>
      <c r="C57" s="60">
        <f>C56*($L$21/($L$21+C56))</f>
        <v>13079.492910707128</v>
      </c>
      <c r="D57" s="59" t="s">
        <v>91</v>
      </c>
      <c r="E57" s="53"/>
      <c r="F57" s="45"/>
    </row>
    <row r="58" spans="1:22">
      <c r="A58" s="81"/>
      <c r="B58" s="59" t="s">
        <v>135</v>
      </c>
      <c r="C58" s="60">
        <f>L14*((L17+(L18*C57))/L17)^(U19)</f>
        <v>0.27612483662499598</v>
      </c>
      <c r="D58" s="59" t="s">
        <v>136</v>
      </c>
      <c r="E58" s="53" t="s">
        <v>175</v>
      </c>
      <c r="F58" s="45"/>
    </row>
    <row r="59" spans="1:22" ht="15">
      <c r="A59" s="81"/>
      <c r="B59" s="59" t="s">
        <v>193</v>
      </c>
      <c r="C59" s="65">
        <f>L16*SQRT(L14/C58)</f>
        <v>716.74470820423358</v>
      </c>
      <c r="D59" s="59" t="s">
        <v>98</v>
      </c>
      <c r="E59" s="53" t="s">
        <v>195</v>
      </c>
      <c r="F59" s="45"/>
    </row>
    <row r="60" spans="1:22">
      <c r="A60" s="81"/>
      <c r="B60" s="59" t="s">
        <v>74</v>
      </c>
      <c r="C60" s="60">
        <f>Inputs!C27</f>
        <v>5556000</v>
      </c>
      <c r="D60" s="59" t="s">
        <v>91</v>
      </c>
      <c r="E60" s="53"/>
      <c r="F60" s="45"/>
    </row>
    <row r="61" spans="1:22">
      <c r="A61" s="81"/>
      <c r="B61" s="59" t="s">
        <v>196</v>
      </c>
      <c r="C61" s="60">
        <f>0.5*Inputs!C28*C59</f>
        <v>304.61650098679928</v>
      </c>
      <c r="D61" s="59" t="s">
        <v>98</v>
      </c>
      <c r="E61" s="53"/>
      <c r="F61" s="45"/>
    </row>
    <row r="62" spans="1:22">
      <c r="A62" s="81"/>
      <c r="B62" s="59" t="s">
        <v>183</v>
      </c>
      <c r="C62" s="60">
        <f>0.5*C58*(C61^3)*Inputs!C7*Inputs!C38</f>
        <v>65951162.724365473</v>
      </c>
      <c r="D62" s="59" t="s">
        <v>184</v>
      </c>
      <c r="E62" s="53"/>
      <c r="F62" s="45"/>
    </row>
    <row r="63" spans="1:22">
      <c r="A63" s="81"/>
      <c r="B63" s="59" t="s">
        <v>185</v>
      </c>
      <c r="C63" s="60">
        <f>(2*C6*(C55^2))/(C58*C61*Inputs!C7)</f>
        <v>347088.64576335461</v>
      </c>
      <c r="D63" s="59" t="s">
        <v>184</v>
      </c>
      <c r="E63" s="66"/>
      <c r="F63" s="45"/>
    </row>
    <row r="64" spans="1:22">
      <c r="A64" s="81"/>
      <c r="B64" s="59" t="s">
        <v>150</v>
      </c>
      <c r="C64" s="60">
        <f>C63+C62</f>
        <v>66298251.370128825</v>
      </c>
      <c r="D64" s="59" t="s">
        <v>151</v>
      </c>
      <c r="E64" s="66"/>
      <c r="F64" s="45"/>
    </row>
    <row r="65" spans="1:22">
      <c r="A65" s="81"/>
      <c r="B65" s="59" t="s">
        <v>152</v>
      </c>
      <c r="C65" s="60">
        <f>(C63+C62)/(1000000)</f>
        <v>66.298251370128824</v>
      </c>
      <c r="D65" s="59" t="s">
        <v>153</v>
      </c>
      <c r="E65" s="53" t="s">
        <v>197</v>
      </c>
      <c r="F65" s="45"/>
    </row>
    <row r="66" spans="1:22">
      <c r="A66" s="81"/>
      <c r="B66" s="59" t="s">
        <v>198</v>
      </c>
      <c r="C66" s="60">
        <f>C60/C61</f>
        <v>18239.327094892906</v>
      </c>
      <c r="D66" s="59" t="s">
        <v>87</v>
      </c>
      <c r="E66" s="53" t="s">
        <v>190</v>
      </c>
      <c r="F66" s="45"/>
      <c r="V66" s="19"/>
    </row>
    <row r="67" spans="1:22">
      <c r="A67" s="81"/>
      <c r="B67" s="59" t="s">
        <v>162</v>
      </c>
      <c r="C67" s="60">
        <f>C68/C3</f>
        <v>80911.040554461637</v>
      </c>
      <c r="D67" s="59" t="s">
        <v>163</v>
      </c>
      <c r="E67" s="53" t="s">
        <v>190</v>
      </c>
      <c r="F67" s="45"/>
    </row>
    <row r="68" spans="1:22">
      <c r="A68" s="82"/>
      <c r="B68" s="61" t="s">
        <v>162</v>
      </c>
      <c r="C68" s="62">
        <f>C66*C65*L8*C5/C61</f>
        <v>63515.166835252392</v>
      </c>
      <c r="D68" s="61" t="s">
        <v>51</v>
      </c>
      <c r="E68" s="56" t="s">
        <v>190</v>
      </c>
      <c r="F68" s="45"/>
    </row>
    <row r="69" spans="1:22">
      <c r="A69" s="88" t="s">
        <v>80</v>
      </c>
      <c r="B69" s="49" t="s">
        <v>199</v>
      </c>
      <c r="C69" s="50">
        <f>C55-C68</f>
        <v>433177.22576040716</v>
      </c>
      <c r="D69" s="49" t="s">
        <v>51</v>
      </c>
      <c r="E69" s="51" t="s">
        <v>177</v>
      </c>
      <c r="F69" s="45"/>
    </row>
    <row r="70" spans="1:22">
      <c r="A70" s="89"/>
      <c r="B70" s="44" t="s">
        <v>61</v>
      </c>
      <c r="C70" s="52">
        <f>Inputs!C30</f>
        <v>7.620000000000001</v>
      </c>
      <c r="D70" s="44" t="s">
        <v>98</v>
      </c>
      <c r="E70" s="53"/>
      <c r="F70" s="45"/>
    </row>
    <row r="71" spans="1:22">
      <c r="A71" s="89"/>
      <c r="B71" s="44" t="s">
        <v>67</v>
      </c>
      <c r="C71" s="52">
        <f>Inputs!C31</f>
        <v>10</v>
      </c>
      <c r="D71" s="44" t="s">
        <v>68</v>
      </c>
      <c r="E71" s="53" t="s">
        <v>121</v>
      </c>
      <c r="F71" s="45"/>
    </row>
    <row r="72" spans="1:22" ht="14.4" customHeight="1">
      <c r="A72" s="89"/>
      <c r="B72" s="44" t="s">
        <v>179</v>
      </c>
      <c r="C72" s="52">
        <f>C56-C80</f>
        <v>13106.400000000001</v>
      </c>
      <c r="D72" s="44" t="s">
        <v>91</v>
      </c>
      <c r="E72" s="53" t="s">
        <v>200</v>
      </c>
      <c r="F72" s="45"/>
      <c r="I72" t="s">
        <v>172</v>
      </c>
      <c r="L72">
        <v>286.89999999999998</v>
      </c>
      <c r="M72" t="s">
        <v>173</v>
      </c>
    </row>
    <row r="73" spans="1:22" ht="14.7" customHeight="1">
      <c r="A73" s="89"/>
      <c r="B73" s="44" t="s">
        <v>181</v>
      </c>
      <c r="C73" s="52">
        <f>C72/TAN(C71*0.01746)</f>
        <v>74300.944844800775</v>
      </c>
      <c r="D73" s="44" t="s">
        <v>91</v>
      </c>
      <c r="E73" s="53" t="s">
        <v>182</v>
      </c>
      <c r="F73" s="45"/>
      <c r="I73" t="s">
        <v>174</v>
      </c>
      <c r="L73">
        <v>6371000</v>
      </c>
      <c r="M73" t="s">
        <v>91</v>
      </c>
    </row>
    <row r="74" spans="1:22">
      <c r="A74" s="89"/>
      <c r="B74" s="44" t="s">
        <v>150</v>
      </c>
      <c r="C74" s="52">
        <f>C64</f>
        <v>66298251.370128825</v>
      </c>
      <c r="D74" s="44" t="s">
        <v>184</v>
      </c>
      <c r="E74" s="53"/>
      <c r="F74" s="45"/>
    </row>
    <row r="75" spans="1:22">
      <c r="A75" s="89"/>
      <c r="B75" s="44" t="s">
        <v>152</v>
      </c>
      <c r="C75" s="52">
        <f>C65</f>
        <v>66.298251370128824</v>
      </c>
      <c r="D75" s="44" t="s">
        <v>153</v>
      </c>
      <c r="E75" s="53" t="s">
        <v>201</v>
      </c>
      <c r="F75" s="45"/>
    </row>
    <row r="76" spans="1:22">
      <c r="A76" s="89"/>
      <c r="B76" s="44" t="s">
        <v>157</v>
      </c>
      <c r="C76" s="52">
        <f>C72/C70</f>
        <v>1720</v>
      </c>
      <c r="D76" s="44" t="s">
        <v>87</v>
      </c>
      <c r="E76" s="53" t="s">
        <v>190</v>
      </c>
      <c r="F76" s="45"/>
    </row>
    <row r="77" spans="1:22">
      <c r="A77" s="89"/>
      <c r="B77" s="44" t="s">
        <v>162</v>
      </c>
      <c r="C77" s="52">
        <f>C78/C3</f>
        <v>52986.971105068267</v>
      </c>
      <c r="D77" s="44" t="s">
        <v>163</v>
      </c>
      <c r="E77" s="53" t="s">
        <v>190</v>
      </c>
      <c r="F77" s="45"/>
    </row>
    <row r="78" spans="1:22">
      <c r="A78" s="90"/>
      <c r="B78" s="54" t="s">
        <v>162</v>
      </c>
      <c r="C78" s="55">
        <f>C75*C76*L8*C5/(C70/SIN(C71*22/(180*7)))</f>
        <v>41594.772317478593</v>
      </c>
      <c r="D78" s="54" t="s">
        <v>51</v>
      </c>
      <c r="E78" s="56" t="s">
        <v>190</v>
      </c>
      <c r="F78" s="45"/>
    </row>
    <row r="79" spans="1:22">
      <c r="A79" s="80" t="s">
        <v>81</v>
      </c>
      <c r="B79" s="57" t="s">
        <v>202</v>
      </c>
      <c r="C79" s="58">
        <f>C69-C78</f>
        <v>391582.45344292856</v>
      </c>
      <c r="D79" s="57" t="s">
        <v>51</v>
      </c>
      <c r="E79" s="51" t="s">
        <v>177</v>
      </c>
      <c r="F79" s="45"/>
    </row>
    <row r="80" spans="1:22">
      <c r="A80" s="81"/>
      <c r="B80" s="59" t="s">
        <v>82</v>
      </c>
      <c r="C80" s="60">
        <f>Inputs!C33</f>
        <v>0</v>
      </c>
      <c r="D80" s="59" t="s">
        <v>91</v>
      </c>
      <c r="E80" s="53" t="s">
        <v>129</v>
      </c>
      <c r="F80" s="45"/>
    </row>
    <row r="81" spans="1:22">
      <c r="A81" s="81"/>
      <c r="B81" s="59" t="s">
        <v>83</v>
      </c>
      <c r="C81" s="60">
        <f>Inputs!C35</f>
        <v>2133.6</v>
      </c>
      <c r="D81" s="59" t="s">
        <v>91</v>
      </c>
      <c r="E81" s="53" t="s">
        <v>121</v>
      </c>
      <c r="F81" s="45"/>
    </row>
    <row r="82" spans="1:22">
      <c r="A82" s="81"/>
      <c r="B82" s="59" t="s">
        <v>152</v>
      </c>
      <c r="C82" s="60">
        <v>0</v>
      </c>
      <c r="D82" s="59" t="s">
        <v>151</v>
      </c>
      <c r="E82" s="53" t="s">
        <v>203</v>
      </c>
      <c r="F82" s="45"/>
    </row>
    <row r="83" spans="1:22">
      <c r="A83" s="81"/>
      <c r="B83" s="59" t="s">
        <v>157</v>
      </c>
      <c r="C83" s="60">
        <f>C81/(C11*1.23/(1.1*3))</f>
        <v>85.593352047176893</v>
      </c>
      <c r="D83" s="59" t="s">
        <v>158</v>
      </c>
      <c r="E83" s="53" t="s">
        <v>204</v>
      </c>
      <c r="F83" s="45"/>
      <c r="V83" s="19"/>
    </row>
    <row r="84" spans="1:22">
      <c r="A84" s="81"/>
      <c r="B84" s="59" t="s">
        <v>162</v>
      </c>
      <c r="C84" s="60">
        <f>C81*C4/1852</f>
        <v>2.1566410367170628</v>
      </c>
      <c r="D84" s="59" t="s">
        <v>163</v>
      </c>
      <c r="E84" s="53" t="s">
        <v>205</v>
      </c>
      <c r="F84" s="45"/>
    </row>
    <row r="85" spans="1:22">
      <c r="A85" s="82"/>
      <c r="B85" s="61" t="s">
        <v>162</v>
      </c>
      <c r="C85" s="62">
        <f>C84*C3</f>
        <v>1.6929632138228943</v>
      </c>
      <c r="D85" s="61" t="s">
        <v>51</v>
      </c>
      <c r="E85" s="56" t="s">
        <v>190</v>
      </c>
      <c r="F85" s="45"/>
    </row>
    <row r="86" spans="1:22">
      <c r="A86" s="86" t="s">
        <v>206</v>
      </c>
      <c r="B86" s="49" t="s">
        <v>157</v>
      </c>
      <c r="C86" s="50">
        <f>C87*L6</f>
        <v>900</v>
      </c>
      <c r="D86" s="49" t="s">
        <v>207</v>
      </c>
      <c r="E86" s="51"/>
      <c r="F86" s="45"/>
    </row>
    <row r="87" spans="1:22">
      <c r="A87" s="87"/>
      <c r="B87" s="54" t="s">
        <v>208</v>
      </c>
      <c r="C87" s="55">
        <v>15</v>
      </c>
      <c r="D87" s="54" t="s">
        <v>209</v>
      </c>
      <c r="E87" s="56" t="s">
        <v>210</v>
      </c>
      <c r="F87" s="45"/>
    </row>
    <row r="88" spans="1:22">
      <c r="A88" s="11"/>
      <c r="D88" s="1"/>
    </row>
    <row r="89" spans="1:22">
      <c r="F89" s="4" t="s">
        <v>191</v>
      </c>
    </row>
    <row r="90" spans="1:22">
      <c r="G90" s="16"/>
    </row>
    <row r="117" ht="14.7" customHeight="1"/>
  </sheetData>
  <mergeCells count="9">
    <mergeCell ref="A1:E1"/>
    <mergeCell ref="A7:A19"/>
    <mergeCell ref="A3:A6"/>
    <mergeCell ref="A86:A87"/>
    <mergeCell ref="A55:A68"/>
    <mergeCell ref="A69:A78"/>
    <mergeCell ref="A79:A85"/>
    <mergeCell ref="A20:A36"/>
    <mergeCell ref="A37:A54"/>
  </mergeCells>
  <hyperlinks>
    <hyperlink ref="F89" r:id="rId1" xr:uid="{A8FB64C2-E90E-448A-AF10-EEE643DA3F82}"/>
    <hyperlink ref="F36" r:id="rId2" xr:uid="{32D07C53-C8BA-41E1-96F1-78B3E80C439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168C-FFBA-4299-B28E-23BE715FD84B}">
  <dimension ref="A1:V117"/>
  <sheetViews>
    <sheetView topLeftCell="D1" zoomScale="141" workbookViewId="0">
      <selection activeCell="E93" sqref="E93"/>
    </sheetView>
  </sheetViews>
  <sheetFormatPr defaultColWidth="8.6640625" defaultRowHeight="14.4"/>
  <cols>
    <col min="1" max="1" width="14.6640625" customWidth="1"/>
    <col min="2" max="2" width="38.44140625" bestFit="1" customWidth="1"/>
    <col min="3" max="3" width="23.6640625" style="34" customWidth="1"/>
    <col min="4" max="4" width="23.6640625" customWidth="1"/>
    <col min="5" max="5" width="58.109375" customWidth="1"/>
  </cols>
  <sheetData>
    <row r="1" spans="1:21" ht="14.4" customHeight="1">
      <c r="A1" s="79" t="s">
        <v>119</v>
      </c>
      <c r="B1" s="79"/>
      <c r="C1" s="79"/>
      <c r="D1" s="79"/>
      <c r="E1" s="79"/>
      <c r="F1" s="45"/>
    </row>
    <row r="2" spans="1:21" ht="14.4" customHeight="1">
      <c r="A2" s="46"/>
      <c r="B2" s="47" t="s">
        <v>120</v>
      </c>
      <c r="C2" s="47" t="s">
        <v>27</v>
      </c>
      <c r="D2" s="47" t="s">
        <v>28</v>
      </c>
      <c r="E2" s="48" t="s">
        <v>29</v>
      </c>
      <c r="F2" s="45"/>
    </row>
    <row r="3" spans="1:21" ht="14.4" customHeight="1">
      <c r="A3" s="83" t="s">
        <v>30</v>
      </c>
      <c r="B3" s="49" t="s">
        <v>31</v>
      </c>
      <c r="C3" s="50">
        <f>Inputs!C3</f>
        <v>0.78500000000000003</v>
      </c>
      <c r="D3" s="49" t="s">
        <v>32</v>
      </c>
      <c r="E3" s="51" t="s">
        <v>121</v>
      </c>
      <c r="F3" s="45"/>
      <c r="H3" s="17" t="s">
        <v>85</v>
      </c>
      <c r="I3" s="5"/>
      <c r="P3" s="17" t="s">
        <v>122</v>
      </c>
      <c r="Q3" s="5"/>
    </row>
    <row r="4" spans="1:21" ht="14.4" customHeight="1">
      <c r="A4" s="84"/>
      <c r="B4" s="44" t="s">
        <v>34</v>
      </c>
      <c r="C4" s="52">
        <f>Inputs!C4</f>
        <v>1.8720000000000001</v>
      </c>
      <c r="D4" s="44" t="s">
        <v>35</v>
      </c>
      <c r="E4" s="53" t="s">
        <v>121</v>
      </c>
      <c r="F4" s="45"/>
    </row>
    <row r="5" spans="1:21" ht="14.4" customHeight="1">
      <c r="A5" s="84"/>
      <c r="B5" s="44" t="s">
        <v>38</v>
      </c>
      <c r="C5" s="52">
        <f>Inputs!C5/L5</f>
        <v>1.6E-2</v>
      </c>
      <c r="D5" s="44" t="s">
        <v>123</v>
      </c>
      <c r="E5" s="53"/>
      <c r="F5" s="45"/>
      <c r="I5" t="s">
        <v>86</v>
      </c>
      <c r="L5">
        <f>1*60*60</f>
        <v>3600</v>
      </c>
      <c r="M5" t="s">
        <v>87</v>
      </c>
      <c r="P5" t="s">
        <v>124</v>
      </c>
      <c r="U5">
        <v>1</v>
      </c>
    </row>
    <row r="6" spans="1:21" ht="14.4" customHeight="1">
      <c r="A6" s="85"/>
      <c r="B6" s="54" t="s">
        <v>125</v>
      </c>
      <c r="C6" s="55">
        <f>U5/(U6*U9*U7)</f>
        <v>4.9997812173081788E-2</v>
      </c>
      <c r="D6" s="55"/>
      <c r="E6" s="56" t="s">
        <v>126</v>
      </c>
      <c r="F6" s="45"/>
      <c r="I6" t="s">
        <v>88</v>
      </c>
      <c r="L6">
        <v>60</v>
      </c>
      <c r="M6" t="s">
        <v>87</v>
      </c>
      <c r="P6" t="s">
        <v>127</v>
      </c>
      <c r="U6">
        <f>PI()</f>
        <v>3.1415926535897931</v>
      </c>
    </row>
    <row r="7" spans="1:21" ht="14.4" customHeight="1">
      <c r="A7" s="80" t="s">
        <v>128</v>
      </c>
      <c r="B7" s="57" t="s">
        <v>47</v>
      </c>
      <c r="C7" s="58">
        <f>Inputs!C9</f>
        <v>0</v>
      </c>
      <c r="D7" s="57" t="s">
        <v>91</v>
      </c>
      <c r="E7" s="51" t="s">
        <v>129</v>
      </c>
      <c r="F7" s="45"/>
      <c r="I7" t="s">
        <v>90</v>
      </c>
      <c r="L7">
        <v>0.30480000000000002</v>
      </c>
      <c r="M7" t="s">
        <v>91</v>
      </c>
      <c r="P7" t="s">
        <v>130</v>
      </c>
      <c r="U7">
        <f>Inputs!C6</f>
        <v>7.8</v>
      </c>
    </row>
    <row r="8" spans="1:21" ht="14.4" customHeight="1">
      <c r="A8" s="81"/>
      <c r="B8" s="59" t="s">
        <v>131</v>
      </c>
      <c r="C8" s="60">
        <f>C7*($L$21/($L$21+C7))</f>
        <v>0</v>
      </c>
      <c r="D8" s="59" t="s">
        <v>91</v>
      </c>
      <c r="E8" s="53"/>
      <c r="F8" s="45"/>
      <c r="I8" t="s">
        <v>132</v>
      </c>
      <c r="L8">
        <v>1000</v>
      </c>
      <c r="M8" t="s">
        <v>133</v>
      </c>
      <c r="P8" s="18" t="s">
        <v>134</v>
      </c>
    </row>
    <row r="9" spans="1:21" ht="14.4" customHeight="1">
      <c r="A9" s="81"/>
      <c r="B9" s="59" t="s">
        <v>135</v>
      </c>
      <c r="C9" s="60">
        <f>L14*((L17+(C8*L18))/L17)^(U19)</f>
        <v>1.2250000000000001</v>
      </c>
      <c r="D9" s="59" t="s">
        <v>136</v>
      </c>
      <c r="E9" s="53" t="s">
        <v>137</v>
      </c>
      <c r="F9" s="45"/>
      <c r="I9" t="s">
        <v>138</v>
      </c>
      <c r="L9">
        <v>0.51444400000000001</v>
      </c>
      <c r="M9" t="s">
        <v>98</v>
      </c>
      <c r="P9" t="s">
        <v>139</v>
      </c>
      <c r="U9">
        <f>U17</f>
        <v>0.81621491008207958</v>
      </c>
    </row>
    <row r="10" spans="1:21" ht="14.4" customHeight="1">
      <c r="A10" s="81"/>
      <c r="B10" s="59" t="s">
        <v>50</v>
      </c>
      <c r="C10" s="60">
        <f>Inputs!C10</f>
        <v>560000</v>
      </c>
      <c r="D10" s="59" t="s">
        <v>51</v>
      </c>
      <c r="E10" s="53" t="s">
        <v>121</v>
      </c>
      <c r="F10" s="45"/>
    </row>
    <row r="11" spans="1:21" ht="14.4" customHeight="1">
      <c r="A11" s="81"/>
      <c r="B11" s="59" t="s">
        <v>53</v>
      </c>
      <c r="C11" s="60">
        <f>Inputs!C12</f>
        <v>66.877772000000007</v>
      </c>
      <c r="D11" s="59" t="s">
        <v>98</v>
      </c>
      <c r="E11" s="53" t="s">
        <v>121</v>
      </c>
      <c r="F11" s="45"/>
      <c r="P11" t="s">
        <v>140</v>
      </c>
      <c r="U11">
        <f>1.78</f>
        <v>1.78</v>
      </c>
    </row>
    <row r="12" spans="1:21" ht="14.4" customHeight="1">
      <c r="A12" s="81"/>
      <c r="B12" s="59" t="s">
        <v>56</v>
      </c>
      <c r="C12" s="60">
        <f>Inputs!C14</f>
        <v>2804.1600000000003</v>
      </c>
      <c r="D12" s="59" t="s">
        <v>91</v>
      </c>
      <c r="E12" s="53" t="s">
        <v>121</v>
      </c>
      <c r="F12" s="45"/>
      <c r="H12" s="17" t="s">
        <v>141</v>
      </c>
      <c r="I12" s="5"/>
      <c r="P12" t="s">
        <v>142</v>
      </c>
      <c r="U12">
        <f>1</f>
        <v>1</v>
      </c>
    </row>
    <row r="13" spans="1:21" ht="14.4" customHeight="1">
      <c r="A13" s="81"/>
      <c r="B13" s="59" t="s">
        <v>143</v>
      </c>
      <c r="C13" s="60">
        <f>((1.21/C11)^2)*((2*(C10*9.81/Inputs!C7^2))/C9)</f>
        <v>4.1119201397124775E-3</v>
      </c>
      <c r="D13" s="59"/>
      <c r="E13" s="53"/>
      <c r="F13" s="45"/>
      <c r="I13" t="s">
        <v>144</v>
      </c>
      <c r="L13">
        <f>PI()</f>
        <v>3.1415926535897931</v>
      </c>
      <c r="P13" t="s">
        <v>145</v>
      </c>
      <c r="U13">
        <f>0.045</f>
        <v>4.4999999999999998E-2</v>
      </c>
    </row>
    <row r="14" spans="1:21" ht="14.4" customHeight="1">
      <c r="A14" s="81"/>
      <c r="B14" s="59" t="s">
        <v>146</v>
      </c>
      <c r="C14" s="60">
        <f>0.5*(1.21/C12)*((C10*9.81/Inputs!C7)/(C9*L19*C13*(1/C10*9.81)))</f>
        <v>1620953.2669950302</v>
      </c>
      <c r="D14" s="59" t="s">
        <v>147</v>
      </c>
      <c r="E14" s="53"/>
      <c r="F14" s="45"/>
      <c r="I14" t="s">
        <v>148</v>
      </c>
      <c r="L14">
        <v>1.2250000000000001</v>
      </c>
      <c r="M14" t="s">
        <v>136</v>
      </c>
      <c r="P14" t="s">
        <v>149</v>
      </c>
      <c r="U14">
        <f>0.68</f>
        <v>0.68</v>
      </c>
    </row>
    <row r="15" spans="1:21" ht="14.4" customHeight="1">
      <c r="A15" s="81"/>
      <c r="B15" s="59" t="s">
        <v>150</v>
      </c>
      <c r="C15" s="60">
        <f>C14*C11</f>
        <v>108405743.01274876</v>
      </c>
      <c r="D15" s="59" t="s">
        <v>151</v>
      </c>
      <c r="E15" s="53"/>
      <c r="F15" s="45"/>
    </row>
    <row r="16" spans="1:21" ht="14.4" customHeight="1">
      <c r="A16" s="81"/>
      <c r="B16" s="59" t="s">
        <v>152</v>
      </c>
      <c r="C16" s="60">
        <f>C15/(1000*1000)</f>
        <v>108.40574301274876</v>
      </c>
      <c r="D16" s="59" t="s">
        <v>153</v>
      </c>
      <c r="E16" s="53" t="s">
        <v>154</v>
      </c>
      <c r="F16" s="45"/>
      <c r="I16" t="s">
        <v>155</v>
      </c>
      <c r="L16">
        <v>340.29</v>
      </c>
      <c r="M16" t="s">
        <v>98</v>
      </c>
      <c r="P16" t="s">
        <v>156</v>
      </c>
      <c r="U16">
        <f>0.64</f>
        <v>0.64</v>
      </c>
    </row>
    <row r="17" spans="1:22" ht="14.4" customHeight="1">
      <c r="A17" s="81"/>
      <c r="B17" s="59" t="s">
        <v>157</v>
      </c>
      <c r="C17" s="60">
        <f>C12/(C11/(1.1*3))</f>
        <v>138.36776739512197</v>
      </c>
      <c r="D17" s="59" t="s">
        <v>158</v>
      </c>
      <c r="E17" s="53" t="s">
        <v>159</v>
      </c>
      <c r="F17" s="45"/>
      <c r="I17" t="s">
        <v>160</v>
      </c>
      <c r="L17">
        <v>288</v>
      </c>
      <c r="M17" t="s">
        <v>125</v>
      </c>
      <c r="P17" t="s">
        <v>161</v>
      </c>
      <c r="U17">
        <f>U11*(U12-(U13*(U7^U14)))-U16</f>
        <v>0.81621491008207958</v>
      </c>
    </row>
    <row r="18" spans="1:22" ht="14.4" customHeight="1">
      <c r="A18" s="81"/>
      <c r="B18" s="59" t="s">
        <v>162</v>
      </c>
      <c r="C18" s="60">
        <f>C19/C3</f>
        <v>4571.4687308215307</v>
      </c>
      <c r="D18" s="59" t="s">
        <v>163</v>
      </c>
      <c r="E18" s="53" t="s">
        <v>164</v>
      </c>
      <c r="F18" s="45"/>
      <c r="I18" t="s">
        <v>165</v>
      </c>
      <c r="L18">
        <v>-6.4999999999999997E-3</v>
      </c>
      <c r="M18" t="s">
        <v>166</v>
      </c>
    </row>
    <row r="19" spans="1:22" ht="14.4" customHeight="1">
      <c r="A19" s="82"/>
      <c r="B19" s="61" t="s">
        <v>162</v>
      </c>
      <c r="C19" s="62">
        <f>C5*C16*L8*C17/C11</f>
        <v>3588.6029536949018</v>
      </c>
      <c r="D19" s="61" t="s">
        <v>51</v>
      </c>
      <c r="E19" s="56" t="s">
        <v>167</v>
      </c>
      <c r="F19" s="45"/>
      <c r="I19" t="s">
        <v>168</v>
      </c>
      <c r="L19">
        <v>9.8066499999999994</v>
      </c>
      <c r="M19" t="s">
        <v>169</v>
      </c>
      <c r="P19" t="s">
        <v>170</v>
      </c>
      <c r="U19">
        <f>-((L19/(L18*L20))+1)</f>
        <v>4.2586803228141683</v>
      </c>
    </row>
    <row r="20" spans="1:22" ht="14.4" customHeight="1">
      <c r="A20" s="91" t="s">
        <v>171</v>
      </c>
      <c r="B20" s="49" t="s">
        <v>59</v>
      </c>
      <c r="C20" s="50">
        <f>Inputs!C15*$L$7</f>
        <v>15.24</v>
      </c>
      <c r="D20" s="49" t="s">
        <v>91</v>
      </c>
      <c r="E20" s="51"/>
      <c r="F20" s="45"/>
      <c r="I20" t="s">
        <v>172</v>
      </c>
      <c r="L20">
        <v>286.89999999999998</v>
      </c>
      <c r="M20" t="s">
        <v>173</v>
      </c>
    </row>
    <row r="21" spans="1:22" ht="14.7" customHeight="1">
      <c r="A21" s="92"/>
      <c r="B21" s="44" t="s">
        <v>131</v>
      </c>
      <c r="C21" s="52">
        <f>C20*($L$21/($L$21+C20))</f>
        <v>15.239963544648498</v>
      </c>
      <c r="D21" s="44" t="s">
        <v>91</v>
      </c>
      <c r="E21" s="53"/>
      <c r="F21" s="45"/>
      <c r="I21" t="s">
        <v>174</v>
      </c>
      <c r="L21">
        <v>6371000</v>
      </c>
      <c r="M21" t="s">
        <v>91</v>
      </c>
    </row>
    <row r="22" spans="1:22" ht="14.4" customHeight="1">
      <c r="A22" s="92"/>
      <c r="B22" s="44" t="s">
        <v>135</v>
      </c>
      <c r="C22" s="52">
        <f>$L$14*(($L$17+($L$18*(C21+C37)/2))/$L$17)^($U$19)</f>
        <v>0.97684849429060916</v>
      </c>
      <c r="D22" s="44" t="s">
        <v>136</v>
      </c>
      <c r="E22" s="53" t="s">
        <v>175</v>
      </c>
      <c r="F22" s="45"/>
    </row>
    <row r="23" spans="1:22" ht="14.4" customHeight="1">
      <c r="A23" s="92"/>
      <c r="B23" s="44" t="s">
        <v>176</v>
      </c>
      <c r="C23" s="52">
        <f>C10</f>
        <v>560000</v>
      </c>
      <c r="D23" s="44" t="s">
        <v>51</v>
      </c>
      <c r="E23" s="53" t="s">
        <v>177</v>
      </c>
      <c r="F23" s="45"/>
    </row>
    <row r="24" spans="1:22" ht="14.4" customHeight="1">
      <c r="A24" s="92"/>
      <c r="B24" s="44" t="s">
        <v>178</v>
      </c>
      <c r="C24" s="52">
        <f>Inputs!C16*L7/L6</f>
        <v>8.1280000000000001</v>
      </c>
      <c r="D24" s="44" t="s">
        <v>98</v>
      </c>
      <c r="E24" s="53" t="s">
        <v>177</v>
      </c>
      <c r="F24" s="45"/>
    </row>
    <row r="25" spans="1:22" ht="14.4" customHeight="1">
      <c r="A25" s="92"/>
      <c r="B25" s="44" t="s">
        <v>67</v>
      </c>
      <c r="C25" s="52">
        <f>Inputs!C18</f>
        <v>10</v>
      </c>
      <c r="D25" s="44" t="s">
        <v>68</v>
      </c>
      <c r="E25" s="53" t="s">
        <v>121</v>
      </c>
      <c r="F25" s="45"/>
    </row>
    <row r="26" spans="1:22" ht="14.4" customHeight="1">
      <c r="A26" s="92"/>
      <c r="B26" s="44" t="s">
        <v>179</v>
      </c>
      <c r="C26" s="52">
        <f>C37-C20</f>
        <v>4556.76</v>
      </c>
      <c r="D26" s="44" t="s">
        <v>91</v>
      </c>
      <c r="E26" s="53" t="s">
        <v>180</v>
      </c>
      <c r="F26" s="45"/>
    </row>
    <row r="27" spans="1:22" ht="14.4" customHeight="1">
      <c r="A27" s="92"/>
      <c r="B27" s="44" t="s">
        <v>181</v>
      </c>
      <c r="C27" s="52">
        <f>C26/TAN(C25*0.01745329)</f>
        <v>25842.67395244525</v>
      </c>
      <c r="D27" s="44" t="s">
        <v>91</v>
      </c>
      <c r="E27" s="53" t="s">
        <v>182</v>
      </c>
      <c r="F27" s="45"/>
    </row>
    <row r="28" spans="1:22" ht="14.4" customHeight="1">
      <c r="A28" s="92"/>
      <c r="B28" s="44" t="s">
        <v>183</v>
      </c>
      <c r="C28" s="52">
        <f>0.5*C22*((C32)^3)*Inputs!C7*Inputs!C38</f>
        <v>36825459.490159452</v>
      </c>
      <c r="D28" s="44" t="s">
        <v>184</v>
      </c>
      <c r="E28" s="53"/>
      <c r="F28" s="45"/>
    </row>
    <row r="29" spans="1:22" ht="14.4" customHeight="1">
      <c r="A29" s="92"/>
      <c r="B29" s="44" t="s">
        <v>185</v>
      </c>
      <c r="C29" s="63">
        <f>(2*C6*((C23*9.81)^2))/(C22*C32*Inputs!C7)</f>
        <v>22208696.035288211</v>
      </c>
      <c r="D29" s="44" t="s">
        <v>184</v>
      </c>
      <c r="E29" s="53"/>
      <c r="F29" s="45"/>
    </row>
    <row r="30" spans="1:22" ht="14.4" customHeight="1">
      <c r="A30" s="92"/>
      <c r="B30" s="44" t="s">
        <v>186</v>
      </c>
      <c r="C30" s="63">
        <f>C23*C24*9.81</f>
        <v>44651980.800000004</v>
      </c>
      <c r="D30" s="44" t="s">
        <v>184</v>
      </c>
      <c r="E30" s="53"/>
      <c r="F30" s="45"/>
    </row>
    <row r="31" spans="1:22" ht="14.4" customHeight="1">
      <c r="A31" s="92"/>
      <c r="B31" s="44" t="s">
        <v>187</v>
      </c>
      <c r="C31" s="63">
        <f>C28+C29+C30</f>
        <v>103686136.32544768</v>
      </c>
      <c r="D31" s="44" t="s">
        <v>151</v>
      </c>
      <c r="E31" s="53"/>
      <c r="F31" s="45"/>
      <c r="V31" s="19"/>
    </row>
    <row r="32" spans="1:22" ht="14.4" customHeight="1">
      <c r="A32" s="92"/>
      <c r="B32" s="44" t="s">
        <v>188</v>
      </c>
      <c r="C32" s="52">
        <f>Inputs!C17*L9</f>
        <v>164.62208000000001</v>
      </c>
      <c r="D32" s="44" t="s">
        <v>98</v>
      </c>
      <c r="E32" s="53"/>
      <c r="F32" s="45"/>
    </row>
    <row r="33" spans="1:13" ht="14.4" customHeight="1">
      <c r="A33" s="92"/>
      <c r="B33" s="44" t="s">
        <v>152</v>
      </c>
      <c r="C33" s="52">
        <f>(C31)/(1000*1000)</f>
        <v>103.68613632544768</v>
      </c>
      <c r="D33" s="44" t="s">
        <v>153</v>
      </c>
      <c r="E33" s="53" t="s">
        <v>189</v>
      </c>
      <c r="F33" s="45"/>
    </row>
    <row r="34" spans="1:13" ht="14.4" customHeight="1">
      <c r="A34" s="92"/>
      <c r="B34" s="44" t="s">
        <v>157</v>
      </c>
      <c r="C34" s="52">
        <f>C26/C24</f>
        <v>560.625</v>
      </c>
      <c r="D34" s="44" t="s">
        <v>87</v>
      </c>
      <c r="E34" s="53" t="s">
        <v>190</v>
      </c>
      <c r="F34" s="45"/>
    </row>
    <row r="35" spans="1:13" ht="14.4" customHeight="1">
      <c r="A35" s="92"/>
      <c r="B35" s="44" t="s">
        <v>162</v>
      </c>
      <c r="C35" s="52">
        <f>C36/C3</f>
        <v>25322.291398371188</v>
      </c>
      <c r="D35" s="44" t="s">
        <v>163</v>
      </c>
      <c r="E35" s="53" t="s">
        <v>190</v>
      </c>
      <c r="F35" s="45"/>
    </row>
    <row r="36" spans="1:13" ht="14.4" customHeight="1">
      <c r="A36" s="93"/>
      <c r="B36" s="54" t="s">
        <v>162</v>
      </c>
      <c r="C36" s="55">
        <f>$C$5*C33*$L$8*C34/(C24/SIN(C25*22/(7*180)))</f>
        <v>19877.998747721384</v>
      </c>
      <c r="D36" s="54" t="s">
        <v>51</v>
      </c>
      <c r="E36" s="56" t="s">
        <v>190</v>
      </c>
      <c r="F36" s="64" t="s">
        <v>191</v>
      </c>
    </row>
    <row r="37" spans="1:13" ht="14.4" customHeight="1">
      <c r="A37" s="91" t="s">
        <v>192</v>
      </c>
      <c r="B37" s="49" t="s">
        <v>59</v>
      </c>
      <c r="C37" s="50">
        <f>Inputs!C19*$L$7</f>
        <v>4572</v>
      </c>
      <c r="D37" s="49" t="s">
        <v>91</v>
      </c>
      <c r="E37" s="51"/>
      <c r="F37" s="45"/>
      <c r="I37" t="s">
        <v>172</v>
      </c>
      <c r="L37">
        <v>286.89999999999998</v>
      </c>
      <c r="M37" t="s">
        <v>173</v>
      </c>
    </row>
    <row r="38" spans="1:13" ht="14.7" customHeight="1">
      <c r="A38" s="92"/>
      <c r="B38" s="44" t="s">
        <v>131</v>
      </c>
      <c r="C38" s="52">
        <f>C37*($L$21/($L$21+C37))</f>
        <v>4568.7213633537513</v>
      </c>
      <c r="D38" s="44" t="s">
        <v>91</v>
      </c>
      <c r="E38" s="53"/>
      <c r="F38" s="45"/>
      <c r="I38" t="s">
        <v>174</v>
      </c>
      <c r="L38">
        <v>6371000</v>
      </c>
      <c r="M38" t="s">
        <v>91</v>
      </c>
    </row>
    <row r="39" spans="1:13" ht="14.4" customHeight="1">
      <c r="A39" s="92"/>
      <c r="B39" s="44" t="s">
        <v>135</v>
      </c>
      <c r="C39" s="52">
        <f>$L$14*(($L$17+($L$18*(C38+C56)/2))/$L$17)^($U$19)</f>
        <v>0.47498295051134026</v>
      </c>
      <c r="D39" s="44" t="s">
        <v>136</v>
      </c>
      <c r="E39" s="53" t="s">
        <v>175</v>
      </c>
      <c r="F39" s="45"/>
    </row>
    <row r="40" spans="1:13" ht="14.4" customHeight="1">
      <c r="A40" s="92"/>
      <c r="B40" s="44" t="s">
        <v>193</v>
      </c>
      <c r="C40" s="52">
        <f>L16*SQRT(L14/C39)</f>
        <v>546.48496831262003</v>
      </c>
      <c r="D40" s="44" t="s">
        <v>98</v>
      </c>
      <c r="E40" s="53"/>
      <c r="F40" s="45"/>
    </row>
    <row r="41" spans="1:13" ht="14.4" customHeight="1">
      <c r="A41" s="92"/>
      <c r="B41" s="44" t="s">
        <v>176</v>
      </c>
      <c r="C41" s="52">
        <f>C23</f>
        <v>560000</v>
      </c>
      <c r="D41" s="44" t="s">
        <v>51</v>
      </c>
      <c r="E41" s="53" t="s">
        <v>177</v>
      </c>
      <c r="F41" s="45"/>
    </row>
    <row r="42" spans="1:13" ht="14.4" customHeight="1">
      <c r="A42" s="92"/>
      <c r="B42" s="44" t="s">
        <v>178</v>
      </c>
      <c r="C42" s="52">
        <f>Inputs!C20*$L$7/$L$6</f>
        <v>5.08</v>
      </c>
      <c r="D42" s="44" t="s">
        <v>98</v>
      </c>
      <c r="E42" s="53" t="s">
        <v>177</v>
      </c>
      <c r="F42" s="45"/>
    </row>
    <row r="43" spans="1:13" ht="14.4" customHeight="1">
      <c r="A43" s="92"/>
      <c r="B43" s="44" t="s">
        <v>67</v>
      </c>
      <c r="C43" s="52">
        <f>Inputs!C22</f>
        <v>5</v>
      </c>
      <c r="D43" s="44" t="s">
        <v>68</v>
      </c>
      <c r="E43" s="53" t="s">
        <v>121</v>
      </c>
      <c r="F43" s="45"/>
    </row>
    <row r="44" spans="1:13" ht="14.4" customHeight="1">
      <c r="A44" s="92"/>
      <c r="B44" s="44" t="s">
        <v>179</v>
      </c>
      <c r="C44" s="52">
        <f>C56-C37</f>
        <v>8534.4000000000015</v>
      </c>
      <c r="D44" s="44" t="s">
        <v>91</v>
      </c>
      <c r="E44" s="53" t="s">
        <v>180</v>
      </c>
      <c r="F44" s="45"/>
    </row>
    <row r="45" spans="1:13" ht="14.4" customHeight="1">
      <c r="A45" s="92"/>
      <c r="B45" s="44" t="s">
        <v>181</v>
      </c>
      <c r="C45" s="52">
        <f>C44/TAN(C43*0.01745329)</f>
        <v>97548.652528727456</v>
      </c>
      <c r="D45" s="44" t="s">
        <v>91</v>
      </c>
      <c r="E45" s="53" t="s">
        <v>182</v>
      </c>
      <c r="F45" s="45"/>
    </row>
    <row r="46" spans="1:13" ht="14.4" customHeight="1">
      <c r="A46" s="92"/>
      <c r="B46" s="44" t="s">
        <v>183</v>
      </c>
      <c r="C46" s="52">
        <f>0.5*C39*((C50)^3)*Inputs!C7*Inputs!C38</f>
        <v>17906016.649259552</v>
      </c>
      <c r="D46" s="44" t="s">
        <v>184</v>
      </c>
      <c r="E46" s="53"/>
      <c r="F46" s="45"/>
    </row>
    <row r="47" spans="1:13" ht="14.4" customHeight="1">
      <c r="A47" s="92"/>
      <c r="B47" s="44" t="s">
        <v>185</v>
      </c>
      <c r="C47" s="63">
        <f>(2*$C$6*((C41*9.81)^2))/(C39*C50*Inputs!C7)</f>
        <v>45674336.85540498</v>
      </c>
      <c r="D47" s="44" t="s">
        <v>184</v>
      </c>
      <c r="E47" s="53"/>
      <c r="F47" s="45"/>
    </row>
    <row r="48" spans="1:13" ht="14.4" customHeight="1">
      <c r="A48" s="92"/>
      <c r="B48" s="44" t="s">
        <v>186</v>
      </c>
      <c r="C48" s="63">
        <f>C41*C42*9.81</f>
        <v>27907488</v>
      </c>
      <c r="D48" s="44" t="s">
        <v>184</v>
      </c>
      <c r="E48" s="53"/>
      <c r="F48" s="45"/>
    </row>
    <row r="49" spans="1:22" ht="14.4" customHeight="1">
      <c r="A49" s="92"/>
      <c r="B49" s="44" t="s">
        <v>187</v>
      </c>
      <c r="C49" s="63">
        <f>C46+C47+C48</f>
        <v>91487841.50466454</v>
      </c>
      <c r="D49" s="44" t="s">
        <v>151</v>
      </c>
      <c r="E49" s="53"/>
      <c r="F49" s="45"/>
      <c r="V49" s="19"/>
    </row>
    <row r="50" spans="1:22" ht="14.4" customHeight="1">
      <c r="A50" s="92"/>
      <c r="B50" s="44" t="s">
        <v>188</v>
      </c>
      <c r="C50" s="52">
        <f>Inputs!C21*L9</f>
        <v>164.62208000000001</v>
      </c>
      <c r="D50" s="44" t="s">
        <v>98</v>
      </c>
      <c r="E50" s="53"/>
      <c r="F50" s="45"/>
    </row>
    <row r="51" spans="1:22" ht="14.4" customHeight="1">
      <c r="A51" s="92"/>
      <c r="B51" s="44" t="s">
        <v>152</v>
      </c>
      <c r="C51" s="52">
        <f>(C49)/(1000*1000)</f>
        <v>91.487841504664544</v>
      </c>
      <c r="D51" s="44" t="s">
        <v>153</v>
      </c>
      <c r="E51" s="53" t="s">
        <v>189</v>
      </c>
      <c r="F51" s="45"/>
    </row>
    <row r="52" spans="1:22" ht="14.4" customHeight="1">
      <c r="A52" s="92"/>
      <c r="B52" s="44" t="s">
        <v>157</v>
      </c>
      <c r="C52" s="52">
        <f>C44/C42</f>
        <v>1680.0000000000002</v>
      </c>
      <c r="D52" s="44" t="s">
        <v>87</v>
      </c>
      <c r="E52" s="53" t="s">
        <v>190</v>
      </c>
      <c r="F52" s="45"/>
    </row>
    <row r="53" spans="1:22" ht="14.4" customHeight="1">
      <c r="A53" s="92"/>
      <c r="B53" s="44" t="s">
        <v>162</v>
      </c>
      <c r="C53" s="52">
        <f>C54/$C$3</f>
        <v>53768.708995189954</v>
      </c>
      <c r="D53" s="44" t="s">
        <v>163</v>
      </c>
      <c r="E53" s="53" t="s">
        <v>190</v>
      </c>
      <c r="F53" s="45"/>
    </row>
    <row r="54" spans="1:22" ht="14.4" customHeight="1">
      <c r="A54" s="93"/>
      <c r="B54" s="54" t="s">
        <v>162</v>
      </c>
      <c r="C54" s="55">
        <f>$C$5*C51*$L$8*C52/(C42/SIN(C43*22/(7*180)))</f>
        <v>42208.436561224116</v>
      </c>
      <c r="D54" s="54" t="s">
        <v>51</v>
      </c>
      <c r="E54" s="56" t="s">
        <v>190</v>
      </c>
      <c r="F54" s="45"/>
    </row>
    <row r="55" spans="1:22" ht="14.4" customHeight="1">
      <c r="A55" s="80" t="s">
        <v>71</v>
      </c>
      <c r="B55" s="57" t="s">
        <v>194</v>
      </c>
      <c r="C55" s="58">
        <f>C41</f>
        <v>560000</v>
      </c>
      <c r="D55" s="57" t="s">
        <v>51</v>
      </c>
      <c r="E55" s="51" t="s">
        <v>177</v>
      </c>
      <c r="F55" s="45"/>
      <c r="I55" t="s">
        <v>172</v>
      </c>
      <c r="L55">
        <v>286.89999999999998</v>
      </c>
      <c r="M55" t="s">
        <v>173</v>
      </c>
    </row>
    <row r="56" spans="1:22" ht="14.7" customHeight="1">
      <c r="A56" s="81"/>
      <c r="B56" s="59" t="s">
        <v>72</v>
      </c>
      <c r="C56" s="60">
        <f>Inputs!C24</f>
        <v>13106.400000000001</v>
      </c>
      <c r="D56" s="59" t="s">
        <v>91</v>
      </c>
      <c r="E56" s="53" t="s">
        <v>129</v>
      </c>
      <c r="F56" s="45"/>
      <c r="I56" t="s">
        <v>174</v>
      </c>
      <c r="L56">
        <v>6371000</v>
      </c>
      <c r="M56" t="s">
        <v>91</v>
      </c>
    </row>
    <row r="57" spans="1:22" ht="14.4" customHeight="1">
      <c r="A57" s="81"/>
      <c r="B57" s="59" t="s">
        <v>131</v>
      </c>
      <c r="C57" s="60">
        <f>C56*($L$21/($L$21+C56))</f>
        <v>13079.492910707128</v>
      </c>
      <c r="D57" s="59" t="s">
        <v>91</v>
      </c>
      <c r="E57" s="53"/>
      <c r="F57" s="45"/>
    </row>
    <row r="58" spans="1:22" ht="14.4" customHeight="1">
      <c r="A58" s="81"/>
      <c r="B58" s="59" t="s">
        <v>135</v>
      </c>
      <c r="C58" s="60">
        <f>L14*((L17+(L18*C57))/L17)^(U19)</f>
        <v>0.27612483662499598</v>
      </c>
      <c r="D58" s="59" t="s">
        <v>136</v>
      </c>
      <c r="E58" s="53" t="s">
        <v>175</v>
      </c>
      <c r="F58" s="45"/>
    </row>
    <row r="59" spans="1:22" ht="15">
      <c r="A59" s="81"/>
      <c r="B59" s="59" t="s">
        <v>193</v>
      </c>
      <c r="C59" s="65">
        <f>L16*SQRT(L14/C58)</f>
        <v>716.74470820423358</v>
      </c>
      <c r="D59" s="59" t="s">
        <v>98</v>
      </c>
      <c r="E59" s="53" t="s">
        <v>195</v>
      </c>
      <c r="F59" s="45"/>
    </row>
    <row r="60" spans="1:22" ht="14.4" customHeight="1">
      <c r="A60" s="81"/>
      <c r="B60" s="59" t="s">
        <v>74</v>
      </c>
      <c r="C60" s="60">
        <f>Inputs!C27</f>
        <v>5556000</v>
      </c>
      <c r="D60" s="59" t="s">
        <v>91</v>
      </c>
      <c r="E60" s="53"/>
      <c r="F60" s="45"/>
    </row>
    <row r="61" spans="1:22" ht="14.4" customHeight="1">
      <c r="A61" s="81"/>
      <c r="B61" s="59" t="s">
        <v>196</v>
      </c>
      <c r="C61" s="60">
        <f>0.5*Inputs!C28*C59</f>
        <v>304.61650098679928</v>
      </c>
      <c r="D61" s="59" t="s">
        <v>98</v>
      </c>
      <c r="E61" s="53"/>
      <c r="F61" s="45"/>
    </row>
    <row r="62" spans="1:22" ht="14.4" customHeight="1">
      <c r="A62" s="81"/>
      <c r="B62" s="59" t="s">
        <v>183</v>
      </c>
      <c r="C62" s="60">
        <f>0.5*C58*(C61^3)*Inputs!C7*Inputs!C38</f>
        <v>65951162.724365473</v>
      </c>
      <c r="D62" s="59" t="s">
        <v>184</v>
      </c>
      <c r="E62" s="53"/>
      <c r="F62" s="45"/>
    </row>
    <row r="63" spans="1:22" ht="14.4" customHeight="1">
      <c r="A63" s="81"/>
      <c r="B63" s="59" t="s">
        <v>185</v>
      </c>
      <c r="C63" s="60">
        <f>(2*C6*(C55^2))/(C58*C61*Inputs!C7)</f>
        <v>441206.03499141865</v>
      </c>
      <c r="D63" s="59" t="s">
        <v>184</v>
      </c>
      <c r="E63" s="66"/>
      <c r="F63" s="45"/>
    </row>
    <row r="64" spans="1:22" ht="14.4" customHeight="1">
      <c r="A64" s="81"/>
      <c r="B64" s="59" t="s">
        <v>150</v>
      </c>
      <c r="C64" s="60">
        <f>C63+C62</f>
        <v>66392368.759356894</v>
      </c>
      <c r="D64" s="59" t="s">
        <v>151</v>
      </c>
      <c r="E64" s="66"/>
      <c r="F64" s="45"/>
    </row>
    <row r="65" spans="1:22" ht="14.4" customHeight="1">
      <c r="A65" s="81"/>
      <c r="B65" s="59" t="s">
        <v>152</v>
      </c>
      <c r="C65" s="60">
        <f>(C63+C62)/(1000000)</f>
        <v>66.392368759356899</v>
      </c>
      <c r="D65" s="59" t="s">
        <v>153</v>
      </c>
      <c r="E65" s="53" t="s">
        <v>197</v>
      </c>
      <c r="F65" s="45"/>
    </row>
    <row r="66" spans="1:22" ht="14.4" customHeight="1">
      <c r="A66" s="81"/>
      <c r="B66" s="59" t="s">
        <v>198</v>
      </c>
      <c r="C66" s="60">
        <f>C60/C61</f>
        <v>18239.327094892906</v>
      </c>
      <c r="D66" s="59" t="s">
        <v>87</v>
      </c>
      <c r="E66" s="53" t="s">
        <v>190</v>
      </c>
      <c r="F66" s="45"/>
      <c r="V66" s="19"/>
    </row>
    <row r="67" spans="1:22" ht="14.4" customHeight="1">
      <c r="A67" s="81"/>
      <c r="B67" s="59" t="s">
        <v>162</v>
      </c>
      <c r="C67" s="60">
        <f>C68/C3</f>
        <v>81025.902345524562</v>
      </c>
      <c r="D67" s="59" t="s">
        <v>163</v>
      </c>
      <c r="E67" s="53" t="s">
        <v>190</v>
      </c>
      <c r="F67" s="45"/>
    </row>
    <row r="68" spans="1:22" ht="14.4" customHeight="1">
      <c r="A68" s="82"/>
      <c r="B68" s="61" t="s">
        <v>162</v>
      </c>
      <c r="C68" s="62">
        <f>C66*C65*L8*C5/C61</f>
        <v>63605.333341236787</v>
      </c>
      <c r="D68" s="61" t="s">
        <v>51</v>
      </c>
      <c r="E68" s="56" t="s">
        <v>190</v>
      </c>
      <c r="F68" s="45"/>
    </row>
    <row r="69" spans="1:22" ht="14.4" customHeight="1">
      <c r="A69" s="88" t="s">
        <v>80</v>
      </c>
      <c r="B69" s="49" t="s">
        <v>199</v>
      </c>
      <c r="C69" s="50">
        <f>C55</f>
        <v>560000</v>
      </c>
      <c r="D69" s="49" t="s">
        <v>51</v>
      </c>
      <c r="E69" s="51" t="s">
        <v>177</v>
      </c>
      <c r="F69" s="45"/>
    </row>
    <row r="70" spans="1:22" ht="14.4" customHeight="1">
      <c r="A70" s="89"/>
      <c r="B70" s="44" t="s">
        <v>61</v>
      </c>
      <c r="C70" s="52">
        <f>Inputs!C30</f>
        <v>7.620000000000001</v>
      </c>
      <c r="D70" s="44" t="s">
        <v>98</v>
      </c>
      <c r="E70" s="53"/>
      <c r="F70" s="45"/>
    </row>
    <row r="71" spans="1:22" ht="14.4" customHeight="1">
      <c r="A71" s="89"/>
      <c r="B71" s="44" t="s">
        <v>67</v>
      </c>
      <c r="C71" s="52">
        <f>Inputs!C31</f>
        <v>10</v>
      </c>
      <c r="D71" s="44" t="s">
        <v>68</v>
      </c>
      <c r="E71" s="53" t="s">
        <v>121</v>
      </c>
      <c r="F71" s="45"/>
    </row>
    <row r="72" spans="1:22" ht="14.4" customHeight="1">
      <c r="A72" s="89"/>
      <c r="B72" s="44" t="s">
        <v>179</v>
      </c>
      <c r="C72" s="52">
        <f>C56-C80</f>
        <v>13106.400000000001</v>
      </c>
      <c r="D72" s="44" t="s">
        <v>91</v>
      </c>
      <c r="E72" s="53" t="s">
        <v>200</v>
      </c>
      <c r="F72" s="45"/>
      <c r="I72" t="s">
        <v>172</v>
      </c>
      <c r="L72">
        <v>286.89999999999998</v>
      </c>
      <c r="M72" t="s">
        <v>173</v>
      </c>
    </row>
    <row r="73" spans="1:22" ht="14.7" customHeight="1">
      <c r="A73" s="89"/>
      <c r="B73" s="44" t="s">
        <v>181</v>
      </c>
      <c r="C73" s="52">
        <f>C72/TAN(C71*0.01746)</f>
        <v>74300.944844800775</v>
      </c>
      <c r="D73" s="44" t="s">
        <v>91</v>
      </c>
      <c r="E73" s="53" t="s">
        <v>182</v>
      </c>
      <c r="F73" s="45"/>
      <c r="I73" t="s">
        <v>174</v>
      </c>
      <c r="L73">
        <v>6371000</v>
      </c>
      <c r="M73" t="s">
        <v>91</v>
      </c>
    </row>
    <row r="74" spans="1:22" ht="14.4" customHeight="1">
      <c r="A74" s="89"/>
      <c r="B74" s="44" t="s">
        <v>150</v>
      </c>
      <c r="C74" s="52">
        <f>C64</f>
        <v>66392368.759356894</v>
      </c>
      <c r="D74" s="44" t="s">
        <v>184</v>
      </c>
      <c r="E74" s="53"/>
      <c r="F74" s="45"/>
    </row>
    <row r="75" spans="1:22" ht="14.4" customHeight="1">
      <c r="A75" s="89"/>
      <c r="B75" s="44" t="s">
        <v>152</v>
      </c>
      <c r="C75" s="52">
        <f>C65</f>
        <v>66.392368759356899</v>
      </c>
      <c r="D75" s="44" t="s">
        <v>153</v>
      </c>
      <c r="E75" s="53" t="s">
        <v>201</v>
      </c>
      <c r="F75" s="45"/>
    </row>
    <row r="76" spans="1:22" ht="14.4" customHeight="1">
      <c r="A76" s="89"/>
      <c r="B76" s="44" t="s">
        <v>157</v>
      </c>
      <c r="C76" s="52">
        <f>C72/C70</f>
        <v>1720</v>
      </c>
      <c r="D76" s="44" t="s">
        <v>87</v>
      </c>
      <c r="E76" s="53" t="s">
        <v>190</v>
      </c>
      <c r="F76" s="45"/>
    </row>
    <row r="77" spans="1:22" ht="14.4" customHeight="1">
      <c r="A77" s="89"/>
      <c r="B77" s="44" t="s">
        <v>162</v>
      </c>
      <c r="C77" s="52">
        <f>C78/C3</f>
        <v>53062.191722210511</v>
      </c>
      <c r="D77" s="44" t="s">
        <v>163</v>
      </c>
      <c r="E77" s="53" t="s">
        <v>190</v>
      </c>
      <c r="F77" s="45"/>
    </row>
    <row r="78" spans="1:22" ht="14.4" customHeight="1">
      <c r="A78" s="90"/>
      <c r="B78" s="54" t="s">
        <v>162</v>
      </c>
      <c r="C78" s="55">
        <f>C75*C76*L8*C5/(C70/SIN(C71*22/(180*7)))</f>
        <v>41653.820501935254</v>
      </c>
      <c r="D78" s="54" t="s">
        <v>51</v>
      </c>
      <c r="E78" s="56" t="s">
        <v>190</v>
      </c>
      <c r="F78" s="45"/>
    </row>
    <row r="79" spans="1:22" ht="14.4" customHeight="1">
      <c r="A79" s="80" t="s">
        <v>81</v>
      </c>
      <c r="B79" s="57" t="s">
        <v>202</v>
      </c>
      <c r="C79" s="58">
        <f>C69</f>
        <v>560000</v>
      </c>
      <c r="D79" s="57" t="s">
        <v>51</v>
      </c>
      <c r="E79" s="51" t="s">
        <v>177</v>
      </c>
      <c r="F79" s="45"/>
    </row>
    <row r="80" spans="1:22" ht="14.4" customHeight="1">
      <c r="A80" s="81"/>
      <c r="B80" s="59" t="s">
        <v>82</v>
      </c>
      <c r="C80" s="60">
        <f>Inputs!C33</f>
        <v>0</v>
      </c>
      <c r="D80" s="59" t="s">
        <v>91</v>
      </c>
      <c r="E80" s="53" t="s">
        <v>129</v>
      </c>
      <c r="F80" s="45"/>
    </row>
    <row r="81" spans="1:22" ht="14.4" customHeight="1">
      <c r="A81" s="81"/>
      <c r="B81" s="59" t="s">
        <v>83</v>
      </c>
      <c r="C81" s="60">
        <f>Inputs!C35</f>
        <v>2133.6</v>
      </c>
      <c r="D81" s="59" t="s">
        <v>91</v>
      </c>
      <c r="E81" s="53" t="s">
        <v>121</v>
      </c>
      <c r="F81" s="45"/>
    </row>
    <row r="82" spans="1:22" ht="14.4" customHeight="1">
      <c r="A82" s="81"/>
      <c r="B82" s="59" t="s">
        <v>152</v>
      </c>
      <c r="C82" s="60">
        <v>0</v>
      </c>
      <c r="D82" s="59" t="s">
        <v>151</v>
      </c>
      <c r="E82" s="53" t="s">
        <v>203</v>
      </c>
      <c r="F82" s="45"/>
    </row>
    <row r="83" spans="1:22" ht="14.4" customHeight="1">
      <c r="A83" s="81"/>
      <c r="B83" s="59" t="s">
        <v>157</v>
      </c>
      <c r="C83" s="60">
        <f>C81/(C11*1.23/(1.1*3))</f>
        <v>85.593352047176893</v>
      </c>
      <c r="D83" s="59" t="s">
        <v>158</v>
      </c>
      <c r="E83" s="53" t="s">
        <v>204</v>
      </c>
      <c r="F83" s="45"/>
      <c r="V83" s="19"/>
    </row>
    <row r="84" spans="1:22" ht="14.4" customHeight="1">
      <c r="A84" s="81"/>
      <c r="B84" s="59" t="s">
        <v>162</v>
      </c>
      <c r="C84" s="60">
        <f>C81*C4/1852</f>
        <v>2.1566410367170628</v>
      </c>
      <c r="D84" s="59" t="s">
        <v>163</v>
      </c>
      <c r="E84" s="53" t="s">
        <v>205</v>
      </c>
      <c r="F84" s="45"/>
    </row>
    <row r="85" spans="1:22" ht="14.4" customHeight="1">
      <c r="A85" s="82"/>
      <c r="B85" s="61" t="s">
        <v>162</v>
      </c>
      <c r="C85" s="62">
        <f>C84*C3</f>
        <v>1.6929632138228943</v>
      </c>
      <c r="D85" s="61" t="s">
        <v>51</v>
      </c>
      <c r="E85" s="56" t="s">
        <v>190</v>
      </c>
      <c r="F85" s="45"/>
    </row>
    <row r="86" spans="1:22" ht="14.4" customHeight="1">
      <c r="A86" s="86" t="s">
        <v>206</v>
      </c>
      <c r="B86" s="49" t="s">
        <v>157</v>
      </c>
      <c r="C86" s="50">
        <f>C87*L6</f>
        <v>900</v>
      </c>
      <c r="D86" s="49" t="s">
        <v>207</v>
      </c>
      <c r="E86" s="51"/>
      <c r="F86" s="45"/>
    </row>
    <row r="87" spans="1:22" ht="14.4" customHeight="1">
      <c r="A87" s="87"/>
      <c r="B87" s="54" t="s">
        <v>208</v>
      </c>
      <c r="C87" s="55">
        <v>15</v>
      </c>
      <c r="D87" s="54" t="s">
        <v>209</v>
      </c>
      <c r="E87" s="56" t="s">
        <v>210</v>
      </c>
      <c r="F87" s="45"/>
    </row>
    <row r="88" spans="1:22">
      <c r="A88" s="11"/>
      <c r="D88" s="1"/>
    </row>
    <row r="89" spans="1:22">
      <c r="F89" s="4" t="s">
        <v>191</v>
      </c>
    </row>
    <row r="90" spans="1:22">
      <c r="G90" s="16"/>
    </row>
    <row r="117" ht="14.7" customHeight="1"/>
  </sheetData>
  <mergeCells count="9">
    <mergeCell ref="A69:A78"/>
    <mergeCell ref="A79:A85"/>
    <mergeCell ref="A86:A87"/>
    <mergeCell ref="A1:E1"/>
    <mergeCell ref="A3:A6"/>
    <mergeCell ref="A7:A19"/>
    <mergeCell ref="A20:A36"/>
    <mergeCell ref="A37:A54"/>
    <mergeCell ref="A55:A68"/>
  </mergeCells>
  <hyperlinks>
    <hyperlink ref="F89" r:id="rId1" xr:uid="{2756CF14-1198-42AF-A3A3-5FFCFBB354A1}"/>
    <hyperlink ref="F36" r:id="rId2" xr:uid="{CB166480-81FF-4582-8653-62426BACBD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31F4E-16D7-426B-95FE-8FE6962A16AF}">
  <dimension ref="A1:AI58"/>
  <sheetViews>
    <sheetView topLeftCell="R18" zoomScale="108" zoomScaleNormal="116" workbookViewId="0">
      <selection activeCell="AF36" sqref="AF36:AF45"/>
    </sheetView>
  </sheetViews>
  <sheetFormatPr defaultColWidth="8.6640625" defaultRowHeight="16.2" customHeight="1"/>
  <cols>
    <col min="1" max="3" width="13.109375" customWidth="1"/>
    <col min="4" max="4" width="18.109375" customWidth="1"/>
    <col min="5" max="5" width="10.44140625" bestFit="1" customWidth="1"/>
    <col min="13" max="13" width="9" bestFit="1" customWidth="1"/>
    <col min="14" max="14" width="9.109375" bestFit="1" customWidth="1"/>
    <col min="15" max="15" width="11.33203125" bestFit="1" customWidth="1"/>
    <col min="16" max="16" width="19.33203125" bestFit="1" customWidth="1"/>
    <col min="18" max="19" width="14.109375" customWidth="1"/>
    <col min="20" max="20" width="13.109375" customWidth="1"/>
    <col min="21" max="21" width="12.6640625" bestFit="1" customWidth="1"/>
    <col min="31" max="31" width="9" bestFit="1" customWidth="1"/>
    <col min="32" max="32" width="15.6640625" style="22" bestFit="1" customWidth="1"/>
    <col min="35" max="35" width="12.6640625" style="22" bestFit="1" customWidth="1"/>
  </cols>
  <sheetData>
    <row r="1" spans="1:20" ht="14.4">
      <c r="A1" s="94" t="s">
        <v>211</v>
      </c>
      <c r="B1" s="3" t="s">
        <v>212</v>
      </c>
      <c r="C1" s="3" t="s">
        <v>213</v>
      </c>
      <c r="D1" s="14"/>
      <c r="E1" s="14"/>
      <c r="L1" s="98" t="s">
        <v>214</v>
      </c>
      <c r="M1" s="3" t="s">
        <v>212</v>
      </c>
      <c r="N1" s="23" t="s">
        <v>215</v>
      </c>
      <c r="O1" s="23" t="s">
        <v>216</v>
      </c>
      <c r="P1" s="23" t="s">
        <v>217</v>
      </c>
    </row>
    <row r="2" spans="1:20" ht="16.2" customHeight="1">
      <c r="A2" s="94"/>
      <c r="B2">
        <v>0</v>
      </c>
      <c r="C2">
        <v>0</v>
      </c>
      <c r="D2" s="15"/>
      <c r="E2" s="16"/>
      <c r="L2" s="98"/>
      <c r="M2">
        <v>0</v>
      </c>
      <c r="N2">
        <v>0</v>
      </c>
      <c r="O2">
        <v>0</v>
      </c>
      <c r="P2">
        <f>O2*1000000</f>
        <v>0</v>
      </c>
    </row>
    <row r="3" spans="1:20" ht="16.2" customHeight="1">
      <c r="A3" s="94"/>
      <c r="B3">
        <f>Calc_with_delMass!C17/60</f>
        <v>2.3061294565853663</v>
      </c>
      <c r="C3">
        <f>Calc_with_delMass!C16</f>
        <v>108.40574301274876</v>
      </c>
      <c r="D3" s="15"/>
      <c r="E3" s="16"/>
      <c r="L3" s="98"/>
      <c r="M3">
        <f>Calc_no_delMass!C17/60</f>
        <v>2.3061294565853663</v>
      </c>
      <c r="N3">
        <f>ROUNDUP(M3*60,0)</f>
        <v>139</v>
      </c>
      <c r="O3">
        <f>Calc_no_delMass!C16</f>
        <v>108.40574301274876</v>
      </c>
      <c r="P3" s="22">
        <f t="shared" ref="P3:P10" si="0">O3*1000000</f>
        <v>108405743.01274876</v>
      </c>
    </row>
    <row r="4" spans="1:20" ht="16.2" customHeight="1">
      <c r="A4" s="94"/>
      <c r="B4">
        <f>B3+Calc_with_delMass!C34/60</f>
        <v>11.649879456585367</v>
      </c>
      <c r="C4">
        <f>Calc_with_delMass!C33</f>
        <v>103.1162722342816</v>
      </c>
      <c r="D4" s="15"/>
      <c r="E4" s="16"/>
      <c r="L4" s="98"/>
      <c r="M4">
        <f>M3+Calc_no_delMass!C34/60</f>
        <v>11.649879456585367</v>
      </c>
      <c r="N4">
        <f t="shared" ref="N4:N11" si="1">ROUNDUP(M4*60,0)</f>
        <v>699</v>
      </c>
      <c r="O4">
        <f>Calc_no_delMass!C33</f>
        <v>103.68613632544768</v>
      </c>
      <c r="P4" s="22">
        <f t="shared" si="0"/>
        <v>103686136.32544768</v>
      </c>
    </row>
    <row r="5" spans="1:20" ht="16.2" customHeight="1">
      <c r="A5" s="94"/>
      <c r="B5">
        <f>B4+Calc_with_delMass!C52/60</f>
        <v>39.649879456585367</v>
      </c>
      <c r="C5">
        <f>Calc_with_delMass!C51</f>
        <v>86.593179025976241</v>
      </c>
      <c r="D5" s="15"/>
      <c r="E5" s="16"/>
      <c r="L5" s="98"/>
      <c r="M5">
        <f>M4+Calc_no_delMass!C52/60</f>
        <v>39.649879456585367</v>
      </c>
      <c r="N5">
        <f t="shared" si="1"/>
        <v>2379</v>
      </c>
      <c r="O5">
        <f>Calc_no_delMass!C51</f>
        <v>91.487841504664544</v>
      </c>
      <c r="P5" s="22">
        <f t="shared" si="0"/>
        <v>91487841.50466454</v>
      </c>
    </row>
    <row r="6" spans="1:20" ht="16.2" customHeight="1">
      <c r="A6" s="94"/>
      <c r="B6">
        <f>B5</f>
        <v>39.649879456585367</v>
      </c>
      <c r="C6">
        <f>Calc_with_delMass!C65</f>
        <v>66.298251370128824</v>
      </c>
      <c r="D6" s="15"/>
      <c r="E6" s="16"/>
      <c r="L6" s="98"/>
      <c r="M6">
        <f>M5</f>
        <v>39.649879456585367</v>
      </c>
      <c r="N6">
        <f t="shared" si="1"/>
        <v>2379</v>
      </c>
      <c r="O6">
        <f>Calc_no_delMass!C65</f>
        <v>66.392368759356899</v>
      </c>
      <c r="P6" s="22">
        <f t="shared" si="0"/>
        <v>66392368.759356901</v>
      </c>
    </row>
    <row r="7" spans="1:20" ht="16.2" customHeight="1">
      <c r="A7" s="94"/>
      <c r="B7">
        <f>B6+Calc_with_delMass!C66/60</f>
        <v>343.63866437146714</v>
      </c>
      <c r="C7">
        <f>Calc_with_delMass!C65</f>
        <v>66.298251370128824</v>
      </c>
      <c r="D7" s="15"/>
      <c r="E7" s="16"/>
      <c r="L7" s="98"/>
      <c r="M7">
        <f>M6+Calc_no_delMass!C66/60</f>
        <v>343.63866437146714</v>
      </c>
      <c r="N7">
        <f t="shared" si="1"/>
        <v>20619</v>
      </c>
      <c r="O7">
        <f>Calc_no_delMass!C65</f>
        <v>66.392368759356899</v>
      </c>
      <c r="P7" s="22">
        <f>O7*1000000</f>
        <v>66392368.759356901</v>
      </c>
    </row>
    <row r="8" spans="1:20" ht="16.2" customHeight="1">
      <c r="A8" s="94"/>
      <c r="B8">
        <f>B7+Calc_with_delMass!C76/60</f>
        <v>372.30533103813383</v>
      </c>
      <c r="C8">
        <f>C7</f>
        <v>66.298251370128824</v>
      </c>
      <c r="D8" s="15"/>
      <c r="E8" s="16"/>
      <c r="L8" s="98"/>
      <c r="M8">
        <f>M7+Calc_no_delMass!C76/60</f>
        <v>372.30533103813383</v>
      </c>
      <c r="N8">
        <f t="shared" si="1"/>
        <v>22339</v>
      </c>
      <c r="O8">
        <f>O7</f>
        <v>66.392368759356899</v>
      </c>
      <c r="P8">
        <f t="shared" si="0"/>
        <v>66392368.759356901</v>
      </c>
    </row>
    <row r="9" spans="1:20" ht="16.2" customHeight="1">
      <c r="A9" s="94"/>
      <c r="B9">
        <f>B8</f>
        <v>372.30533103813383</v>
      </c>
      <c r="C9">
        <v>0</v>
      </c>
      <c r="D9" s="15"/>
      <c r="E9" s="16"/>
      <c r="L9" s="98"/>
      <c r="M9">
        <f>M8</f>
        <v>372.30533103813383</v>
      </c>
      <c r="N9">
        <f t="shared" si="1"/>
        <v>22339</v>
      </c>
      <c r="O9">
        <v>0</v>
      </c>
      <c r="P9">
        <f t="shared" si="0"/>
        <v>0</v>
      </c>
    </row>
    <row r="10" spans="1:20" ht="16.2" customHeight="1">
      <c r="A10" s="94"/>
      <c r="B10">
        <f>B9+Calc_with_delMass!C83/60</f>
        <v>373.7318869055868</v>
      </c>
      <c r="C10">
        <v>0</v>
      </c>
      <c r="D10" s="15"/>
      <c r="E10" s="16"/>
      <c r="L10" s="98"/>
      <c r="M10">
        <f>M9+Calc_no_delMass!C83/60</f>
        <v>373.7318869055868</v>
      </c>
      <c r="N10">
        <f t="shared" si="1"/>
        <v>22424</v>
      </c>
      <c r="O10">
        <v>0</v>
      </c>
      <c r="P10">
        <f t="shared" si="0"/>
        <v>0</v>
      </c>
    </row>
    <row r="11" spans="1:20" ht="16.2" customHeight="1">
      <c r="B11">
        <f>B10+Calc_with_delMass!C86/60</f>
        <v>388.7318869055868</v>
      </c>
      <c r="C11">
        <v>0</v>
      </c>
      <c r="M11">
        <f>M10+15</f>
        <v>388.7318869055868</v>
      </c>
      <c r="N11">
        <f t="shared" si="1"/>
        <v>23324</v>
      </c>
      <c r="O11">
        <v>0</v>
      </c>
      <c r="P11">
        <v>0</v>
      </c>
    </row>
    <row r="16" spans="1:20" ht="16.2" customHeight="1">
      <c r="T16" s="26"/>
    </row>
    <row r="17" spans="1:35" ht="16.2" customHeight="1">
      <c r="A17" s="95" t="s">
        <v>218</v>
      </c>
      <c r="B17" s="95"/>
    </row>
    <row r="18" spans="1:35" ht="16.2" customHeight="1">
      <c r="A18" s="95"/>
      <c r="B18" s="95"/>
    </row>
    <row r="19" spans="1:35" ht="16.2" customHeight="1">
      <c r="A19" s="28" t="s">
        <v>212</v>
      </c>
      <c r="B19" s="28" t="s">
        <v>219</v>
      </c>
      <c r="AE19" s="99" t="s">
        <v>220</v>
      </c>
      <c r="AF19" s="99"/>
      <c r="AG19" s="99"/>
      <c r="AH19" s="99"/>
      <c r="AI19" s="99"/>
    </row>
    <row r="20" spans="1:35" ht="16.2" customHeight="1">
      <c r="A20">
        <v>0</v>
      </c>
      <c r="B20">
        <f>Calc_with_delMass!C7</f>
        <v>0</v>
      </c>
      <c r="AE20" s="99"/>
      <c r="AF20" s="99"/>
      <c r="AG20" s="99"/>
      <c r="AH20" s="99"/>
      <c r="AI20" s="99"/>
    </row>
    <row r="21" spans="1:35" ht="16.2" customHeight="1">
      <c r="A21">
        <v>2.1803405771352553</v>
      </c>
      <c r="B21">
        <f>50*Calc_with_delMass!L7+B20</f>
        <v>15.24</v>
      </c>
      <c r="AI21"/>
    </row>
    <row r="22" spans="1:35" ht="16.2" customHeight="1">
      <c r="A22">
        <v>113.25040427140276</v>
      </c>
      <c r="B22">
        <f>Calc_with_delMass!C56</f>
        <v>13106.400000000001</v>
      </c>
      <c r="AE22" s="97" t="s">
        <v>221</v>
      </c>
      <c r="AF22" s="97"/>
      <c r="AI22"/>
    </row>
    <row r="23" spans="1:35" ht="16.2" customHeight="1">
      <c r="A23">
        <v>619.89837912953897</v>
      </c>
      <c r="B23">
        <f>B22</f>
        <v>13106.400000000001</v>
      </c>
      <c r="AE23" s="20" t="s">
        <v>215</v>
      </c>
      <c r="AF23" s="24" t="s">
        <v>217</v>
      </c>
      <c r="AI23"/>
    </row>
    <row r="24" spans="1:35" ht="16.2" customHeight="1">
      <c r="A24">
        <v>648.5650457962056</v>
      </c>
      <c r="B24">
        <f>50*Calc_with_delMass!L7+B25</f>
        <v>15.24</v>
      </c>
      <c r="AE24" s="21">
        <v>0</v>
      </c>
      <c r="AF24" s="25">
        <v>0</v>
      </c>
      <c r="AI24"/>
    </row>
    <row r="25" spans="1:35" ht="16.2" customHeight="1">
      <c r="A25">
        <v>649.9137895254338</v>
      </c>
      <c r="B25">
        <f>Inputs!C33</f>
        <v>0</v>
      </c>
      <c r="AE25" s="21">
        <v>139</v>
      </c>
      <c r="AF25" s="25">
        <v>108405743.01274876</v>
      </c>
      <c r="AI25"/>
    </row>
    <row r="26" spans="1:35" ht="16.2" customHeight="1">
      <c r="A26">
        <v>664.9137895254338</v>
      </c>
      <c r="B26">
        <f>Inputs!C33</f>
        <v>0</v>
      </c>
      <c r="AE26" s="21">
        <v>699</v>
      </c>
      <c r="AF26" s="25">
        <v>103686136.32544768</v>
      </c>
      <c r="AI26"/>
    </row>
    <row r="27" spans="1:35" ht="16.2" customHeight="1">
      <c r="AE27" s="21">
        <v>2379</v>
      </c>
      <c r="AF27" s="25">
        <v>91487841.50466454</v>
      </c>
      <c r="AI27"/>
    </row>
    <row r="28" spans="1:35" ht="16.2" customHeight="1">
      <c r="AE28" s="21">
        <v>2379</v>
      </c>
      <c r="AF28" s="25">
        <v>66392368.759356901</v>
      </c>
      <c r="AI28"/>
    </row>
    <row r="29" spans="1:35" ht="16.2" customHeight="1">
      <c r="AE29" s="21">
        <v>4203</v>
      </c>
      <c r="AF29" s="25">
        <v>66392368.759356901</v>
      </c>
      <c r="AI29"/>
    </row>
    <row r="30" spans="1:35" ht="16.2" customHeight="1">
      <c r="AE30" s="21">
        <v>5923</v>
      </c>
      <c r="AF30" s="25">
        <v>66392368.759356901</v>
      </c>
      <c r="AI30"/>
    </row>
    <row r="31" spans="1:35" ht="16.2" customHeight="1">
      <c r="AE31" s="41">
        <v>5923</v>
      </c>
      <c r="AF31" s="42">
        <v>0</v>
      </c>
      <c r="AI31"/>
    </row>
    <row r="32" spans="1:35" ht="16.2" customHeight="1">
      <c r="AE32" s="38">
        <v>6009</v>
      </c>
      <c r="AF32" s="39">
        <v>0</v>
      </c>
      <c r="AI32"/>
    </row>
    <row r="33" spans="31:35" ht="16.2" customHeight="1">
      <c r="AE33" s="40">
        <v>6909</v>
      </c>
      <c r="AF33" s="39">
        <v>0</v>
      </c>
      <c r="AI33"/>
    </row>
    <row r="34" spans="31:35" ht="16.2" customHeight="1">
      <c r="AE34" s="96" t="s">
        <v>222</v>
      </c>
      <c r="AF34" s="96"/>
      <c r="AI34"/>
    </row>
    <row r="35" spans="31:35" ht="16.2" customHeight="1">
      <c r="AE35" s="20" t="s">
        <v>215</v>
      </c>
      <c r="AF35" s="24" t="s">
        <v>217</v>
      </c>
      <c r="AI35"/>
    </row>
    <row r="36" spans="31:35" ht="16.2" customHeight="1">
      <c r="AE36" s="21">
        <v>0</v>
      </c>
      <c r="AF36" s="25">
        <v>0</v>
      </c>
      <c r="AI36"/>
    </row>
    <row r="37" spans="31:35" ht="16.2" customHeight="1">
      <c r="AE37" s="21">
        <v>139</v>
      </c>
      <c r="AF37" s="25">
        <v>108405743.01274876</v>
      </c>
      <c r="AI37"/>
    </row>
    <row r="38" spans="31:35" ht="16.2" customHeight="1">
      <c r="AE38" s="21">
        <v>699</v>
      </c>
      <c r="AF38" s="25">
        <v>103686136.32544768</v>
      </c>
      <c r="AI38"/>
    </row>
    <row r="39" spans="31:35" ht="16.2" customHeight="1">
      <c r="AE39" s="21">
        <v>2379</v>
      </c>
      <c r="AF39" s="25">
        <v>91487841.50466454</v>
      </c>
      <c r="AI39"/>
    </row>
    <row r="40" spans="31:35" ht="16.2" customHeight="1">
      <c r="AE40" s="21">
        <v>2379</v>
      </c>
      <c r="AF40" s="25">
        <v>66392368.759356901</v>
      </c>
      <c r="AI40"/>
    </row>
    <row r="41" spans="31:35" ht="16.2" customHeight="1">
      <c r="AE41" s="21">
        <v>6027</v>
      </c>
      <c r="AF41" s="25">
        <v>66392368.759356901</v>
      </c>
      <c r="AI41"/>
    </row>
    <row r="42" spans="31:35" ht="16.2" customHeight="1">
      <c r="AE42" s="21">
        <v>7747</v>
      </c>
      <c r="AF42" s="25">
        <v>66392368.759356901</v>
      </c>
      <c r="AI42"/>
    </row>
    <row r="43" spans="31:35" ht="16.2" customHeight="1">
      <c r="AE43" s="21">
        <v>7747</v>
      </c>
      <c r="AF43" s="25">
        <v>0</v>
      </c>
      <c r="AI43"/>
    </row>
    <row r="44" spans="31:35" ht="16.2" customHeight="1">
      <c r="AE44" s="41">
        <v>7833</v>
      </c>
      <c r="AF44" s="42">
        <v>0</v>
      </c>
      <c r="AI44"/>
    </row>
    <row r="45" spans="31:35" ht="16.2" customHeight="1">
      <c r="AE45" s="38">
        <v>8733</v>
      </c>
      <c r="AF45" s="39">
        <v>0</v>
      </c>
      <c r="AI45"/>
    </row>
    <row r="46" spans="31:35" ht="16.2" customHeight="1">
      <c r="AI46"/>
    </row>
    <row r="47" spans="31:35" ht="16.2" customHeight="1">
      <c r="AE47" s="97" t="s">
        <v>223</v>
      </c>
      <c r="AF47" s="97"/>
      <c r="AI47"/>
    </row>
    <row r="48" spans="31:35" ht="16.2" customHeight="1">
      <c r="AE48" s="20" t="s">
        <v>215</v>
      </c>
      <c r="AF48" s="24" t="s">
        <v>217</v>
      </c>
      <c r="AI48"/>
    </row>
    <row r="49" spans="31:35" ht="16.2" customHeight="1">
      <c r="AE49" s="21">
        <v>0</v>
      </c>
      <c r="AF49" s="25">
        <v>0</v>
      </c>
      <c r="AI49"/>
    </row>
    <row r="50" spans="31:35" ht="16.2" customHeight="1">
      <c r="AE50" s="21">
        <v>139</v>
      </c>
      <c r="AF50" s="25">
        <v>108405743.01274876</v>
      </c>
      <c r="AI50"/>
    </row>
    <row r="51" spans="31:35" ht="16.2" customHeight="1">
      <c r="AE51" s="21">
        <v>699</v>
      </c>
      <c r="AF51" s="25">
        <v>103686136.32544768</v>
      </c>
      <c r="AI51"/>
    </row>
    <row r="52" spans="31:35" ht="16.2" customHeight="1">
      <c r="AE52" s="21">
        <v>2379</v>
      </c>
      <c r="AF52" s="25">
        <v>91487841.50466454</v>
      </c>
      <c r="AI52"/>
    </row>
    <row r="53" spans="31:35" ht="16.2" customHeight="1">
      <c r="AE53" s="21">
        <v>2379</v>
      </c>
      <c r="AF53" s="25">
        <v>66392368.759356901</v>
      </c>
      <c r="AI53"/>
    </row>
    <row r="54" spans="31:35" ht="16.2" customHeight="1">
      <c r="AE54" s="21">
        <v>7851</v>
      </c>
      <c r="AF54" s="25">
        <v>66392368.759356901</v>
      </c>
      <c r="AI54"/>
    </row>
    <row r="55" spans="31:35" ht="16.2" customHeight="1">
      <c r="AE55" s="21">
        <v>9571</v>
      </c>
      <c r="AF55" s="25">
        <v>66392368.759356901</v>
      </c>
      <c r="AI55"/>
    </row>
    <row r="56" spans="31:35" ht="16.2" customHeight="1">
      <c r="AE56" s="21">
        <v>9571</v>
      </c>
      <c r="AF56" s="25">
        <v>0</v>
      </c>
      <c r="AI56"/>
    </row>
    <row r="57" spans="31:35" ht="16.2" customHeight="1">
      <c r="AE57" s="41">
        <v>9657</v>
      </c>
      <c r="AF57" s="42">
        <v>0</v>
      </c>
      <c r="AI57"/>
    </row>
    <row r="58" spans="31:35" ht="16.2" customHeight="1">
      <c r="AE58" s="38">
        <v>10557</v>
      </c>
      <c r="AF58" s="39">
        <v>0</v>
      </c>
      <c r="AI58"/>
    </row>
  </sheetData>
  <mergeCells count="7">
    <mergeCell ref="A1:A10"/>
    <mergeCell ref="A17:B18"/>
    <mergeCell ref="AE34:AF34"/>
    <mergeCell ref="AE47:AF47"/>
    <mergeCell ref="L1:L10"/>
    <mergeCell ref="AE22:AF22"/>
    <mergeCell ref="AE19:AI20"/>
  </mergeCells>
  <pageMargins left="0.7" right="0.7" top="0.75" bottom="0.75" header="0.3" footer="0.3"/>
  <pageSetup paperSize="9"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e403406-88a0-4df6-bd1e-5a90e1660b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6CB6BA82D8EC4DA89D5A834EA8DECF" ma:contentTypeVersion="10" ma:contentTypeDescription="Create a new document." ma:contentTypeScope="" ma:versionID="ab6fddfd5003cdcca7b2c0a019363ce7">
  <xsd:schema xmlns:xsd="http://www.w3.org/2001/XMLSchema" xmlns:xs="http://www.w3.org/2001/XMLSchema" xmlns:p="http://schemas.microsoft.com/office/2006/metadata/properties" xmlns:ns2="fe403406-88a0-4df6-bd1e-5a90e1660b76" targetNamespace="http://schemas.microsoft.com/office/2006/metadata/properties" ma:root="true" ma:fieldsID="1ebff3e7ed7f39b25bfb78042b0b5e49" ns2:_="">
    <xsd:import namespace="fe403406-88a0-4df6-bd1e-5a90e1660b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03406-88a0-4df6-bd1e-5a90e1660b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d6a9c4d-65b9-45fb-a1b8-714e535a6e73"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A2EE67-45D5-484D-B316-A6DD6B7D673E}">
  <ds:schemaRefs>
    <ds:schemaRef ds:uri="http://schemas.microsoft.com/office/2006/metadata/properties"/>
    <ds:schemaRef ds:uri="http://schemas.microsoft.com/office/infopath/2007/PartnerControls"/>
    <ds:schemaRef ds:uri="fe403406-88a0-4df6-bd1e-5a90e1660b76"/>
  </ds:schemaRefs>
</ds:datastoreItem>
</file>

<file path=customXml/itemProps2.xml><?xml version="1.0" encoding="utf-8"?>
<ds:datastoreItem xmlns:ds="http://schemas.openxmlformats.org/officeDocument/2006/customXml" ds:itemID="{B60DA68E-3BFB-4856-B84C-D4D0169D5D6C}">
  <ds:schemaRefs>
    <ds:schemaRef ds:uri="http://schemas.microsoft.com/sharepoint/v3/contenttype/forms"/>
  </ds:schemaRefs>
</ds:datastoreItem>
</file>

<file path=customXml/itemProps3.xml><?xml version="1.0" encoding="utf-8"?>
<ds:datastoreItem xmlns:ds="http://schemas.openxmlformats.org/officeDocument/2006/customXml" ds:itemID="{60DD93F1-1824-4103-A847-F1034AF695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403406-88a0-4df6-bd1e-5a90e1660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A380 Basic Inputs</vt:lpstr>
      <vt:lpstr>Inputs</vt:lpstr>
      <vt:lpstr>Calc_with_delMass</vt:lpstr>
      <vt:lpstr>Calc_no_delMass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Dipesh Kunwar</dc:creator>
  <cp:keywords/>
  <dc:description/>
  <cp:lastModifiedBy>Dipesh Kunwar</cp:lastModifiedBy>
  <cp:revision/>
  <dcterms:created xsi:type="dcterms:W3CDTF">2024-04-24T07:12:02Z</dcterms:created>
  <dcterms:modified xsi:type="dcterms:W3CDTF">2025-01-18T20:41:09Z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0x010100226CB6BA82D8EC4DA89D5A834EA8DECF</vt:lpwstr>
  </property>
  <property fmtid="{D5CDD505-2E9C-101B-9397-08002B2CF9AE}" pid="3" name="MediaServiceImageTags">
    <vt:lpwstr/>
  </property>
</Properties>
</file>