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7F1C3C8-5A95-4C4C-A527-72175E19CA49}" xr6:coauthVersionLast="47" xr6:coauthVersionMax="47" xr10:uidLastSave="{00000000-0000-0000-0000-000000000000}"/>
  <bookViews>
    <workbookView xWindow="-108" yWindow="-108" windowWidth="23256" windowHeight="12456" xr2:uid="{91DB87D4-D5C7-45E1-BB99-D79C14884DB4}"/>
  </bookViews>
  <sheets>
    <sheet name="Read Me" sheetId="6" r:id="rId1"/>
    <sheet name="CRJ Basic Inputs" sheetId="5" r:id="rId2"/>
    <sheet name="Inputs" sheetId="4" r:id="rId3"/>
    <sheet name="Calc_with_delMass" sheetId="7" r:id="rId4"/>
    <sheet name="Calc_without_delMass" sheetId="10" r:id="rId5"/>
    <sheet name="Result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7" l="1"/>
  <c r="C26" i="7"/>
  <c r="C27" i="7"/>
  <c r="C18" i="4"/>
  <c r="C17" i="4"/>
  <c r="C20" i="4"/>
  <c r="C16" i="4"/>
  <c r="C15" i="4"/>
  <c r="C23" i="4"/>
  <c r="C13" i="4"/>
  <c r="C24" i="4"/>
  <c r="C11" i="4"/>
  <c r="C10" i="4"/>
  <c r="C26" i="4"/>
  <c r="C7" i="4"/>
  <c r="C6" i="4"/>
  <c r="C29" i="4"/>
  <c r="C8" i="4"/>
  <c r="C4" i="4"/>
  <c r="C5" i="4"/>
  <c r="C3" i="4"/>
  <c r="C12" i="4"/>
  <c r="C14" i="4"/>
  <c r="C19" i="4"/>
  <c r="C21" i="4"/>
  <c r="C22" i="4"/>
  <c r="C25" i="4"/>
  <c r="C27" i="4"/>
  <c r="C28" i="4"/>
  <c r="C30" i="4"/>
  <c r="L11" i="4"/>
  <c r="P8" i="8"/>
  <c r="P9" i="8"/>
  <c r="P10" i="8"/>
  <c r="P2" i="8"/>
  <c r="C65" i="10"/>
  <c r="U19" i="10"/>
  <c r="U16" i="10"/>
  <c r="U14" i="10"/>
  <c r="U13" i="10"/>
  <c r="L13" i="10"/>
  <c r="U12" i="10"/>
  <c r="U11" i="10"/>
  <c r="U6" i="10"/>
  <c r="L5" i="10"/>
  <c r="U16" i="7"/>
  <c r="L13" i="7" l="1"/>
  <c r="U19" i="7"/>
  <c r="L6" i="4"/>
  <c r="C65" i="7"/>
  <c r="U14" i="7"/>
  <c r="U13" i="7"/>
  <c r="U12" i="7"/>
  <c r="U11" i="7"/>
  <c r="U6" i="7"/>
  <c r="L5" i="7"/>
  <c r="C4" i="10"/>
  <c r="C5" i="10"/>
  <c r="U7" i="10"/>
  <c r="U17" i="10" s="1"/>
  <c r="U9" i="10" s="1"/>
  <c r="C6" i="10" s="1"/>
  <c r="C10" i="10"/>
  <c r="C11" i="10"/>
  <c r="C12" i="10"/>
  <c r="C50" i="10"/>
  <c r="C3" i="10"/>
  <c r="C5" i="7" l="1"/>
  <c r="C17" i="10"/>
  <c r="M3" i="8" s="1"/>
  <c r="N3" i="8" s="1"/>
  <c r="C22" i="7"/>
  <c r="C22" i="10"/>
  <c r="C60" i="7"/>
  <c r="C60" i="10"/>
  <c r="U7" i="7"/>
  <c r="D20" i="8"/>
  <c r="C50" i="7"/>
  <c r="C12" i="7"/>
  <c r="C11" i="7"/>
  <c r="C10" i="7"/>
  <c r="C4" i="7"/>
  <c r="C3" i="7"/>
  <c r="C62" i="7" l="1"/>
  <c r="C35" i="7"/>
  <c r="C35" i="10"/>
  <c r="C63" i="10"/>
  <c r="C64" i="10" s="1"/>
  <c r="C62" i="10"/>
  <c r="C17" i="7"/>
  <c r="B3" i="8" s="1"/>
  <c r="C59" i="7"/>
  <c r="C51" i="7" s="1"/>
  <c r="C52" i="7" s="1"/>
  <c r="C59" i="10"/>
  <c r="B47" i="8"/>
  <c r="B46" i="8" s="1"/>
  <c r="B48" i="8"/>
  <c r="C63" i="7"/>
  <c r="C64" i="7" s="1"/>
  <c r="C21" i="10"/>
  <c r="C49" i="10"/>
  <c r="C7" i="7"/>
  <c r="C7" i="10"/>
  <c r="C8" i="10" s="1"/>
  <c r="C9" i="10" s="1"/>
  <c r="C39" i="7"/>
  <c r="C39" i="10"/>
  <c r="C27" i="10"/>
  <c r="U17" i="7"/>
  <c r="U9" i="7" s="1"/>
  <c r="C6" i="7" s="1"/>
  <c r="C21" i="7"/>
  <c r="C49" i="7"/>
  <c r="B20" i="8"/>
  <c r="C13" i="10" l="1"/>
  <c r="C14" i="10" s="1"/>
  <c r="C15" i="10" s="1"/>
  <c r="C16" i="10" s="1"/>
  <c r="C8" i="7"/>
  <c r="C9" i="7" s="1"/>
  <c r="B42" i="8"/>
  <c r="B43" i="8" s="1"/>
  <c r="C23" i="10"/>
  <c r="C36" i="10"/>
  <c r="C37" i="10" s="1"/>
  <c r="C38" i="10" s="1"/>
  <c r="C51" i="10"/>
  <c r="C23" i="7"/>
  <c r="C24" i="7" s="1"/>
  <c r="C36" i="7"/>
  <c r="C37" i="7" s="1"/>
  <c r="C38" i="7" s="1"/>
  <c r="B44" i="8"/>
  <c r="B45" i="8" s="1"/>
  <c r="A43" i="8"/>
  <c r="A21" i="8"/>
  <c r="C29" i="7" l="1"/>
  <c r="C40" i="7"/>
  <c r="C55" i="10"/>
  <c r="C52" i="10"/>
  <c r="C19" i="10"/>
  <c r="C18" i="10" s="1"/>
  <c r="O3" i="8"/>
  <c r="P3" i="8" s="1"/>
  <c r="B4" i="8"/>
  <c r="B5" i="8" s="1"/>
  <c r="C25" i="7"/>
  <c r="C40" i="10"/>
  <c r="C45" i="10" s="1"/>
  <c r="C29" i="10"/>
  <c r="C25" i="10" s="1"/>
  <c r="C24" i="10"/>
  <c r="C31" i="10"/>
  <c r="M4" i="8" s="1"/>
  <c r="C13" i="7"/>
  <c r="C14" i="7" s="1"/>
  <c r="C15" i="7" s="1"/>
  <c r="C16" i="7" s="1"/>
  <c r="M6" i="8" l="1"/>
  <c r="N6" i="8" s="1"/>
  <c r="A22" i="8"/>
  <c r="A44" i="8"/>
  <c r="C26" i="10"/>
  <c r="C28" i="10" s="1"/>
  <c r="C30" i="10" s="1"/>
  <c r="C19" i="7"/>
  <c r="C3" i="8"/>
  <c r="C41" i="10"/>
  <c r="N4" i="8"/>
  <c r="M5" i="8"/>
  <c r="N5" i="8" s="1"/>
  <c r="C42" i="10"/>
  <c r="C41" i="7"/>
  <c r="C45" i="7"/>
  <c r="B6" i="8" s="1"/>
  <c r="A45" i="8" s="1"/>
  <c r="M7" i="8" l="1"/>
  <c r="M8" i="8" s="1"/>
  <c r="N8" i="8" s="1"/>
  <c r="C33" i="10"/>
  <c r="C32" i="10" s="1"/>
  <c r="O4" i="8"/>
  <c r="P4" i="8" s="1"/>
  <c r="C18" i="7"/>
  <c r="B21" i="8" s="1"/>
  <c r="C21" i="8" s="1"/>
  <c r="D21" i="8" s="1"/>
  <c r="C20" i="7"/>
  <c r="C44" i="10"/>
  <c r="O5" i="8" s="1"/>
  <c r="C43" i="10"/>
  <c r="C53" i="10" s="1"/>
  <c r="M9" i="8" l="1"/>
  <c r="N9" i="8" s="1"/>
  <c r="N7" i="8"/>
  <c r="P5" i="8"/>
  <c r="O6" i="8"/>
  <c r="C54" i="10"/>
  <c r="C57" i="10" s="1"/>
  <c r="C56" i="10" s="1"/>
  <c r="C47" i="10"/>
  <c r="A23" i="8"/>
  <c r="C55" i="7"/>
  <c r="B7" i="8" s="1"/>
  <c r="M10" i="8" l="1"/>
  <c r="N10" i="8" s="1"/>
  <c r="C28" i="7"/>
  <c r="C30" i="7" s="1"/>
  <c r="C33" i="7" s="1"/>
  <c r="C34" i="7" s="1"/>
  <c r="C42" i="7" s="1"/>
  <c r="C44" i="7" s="1"/>
  <c r="O7" i="8"/>
  <c r="P7" i="8" s="1"/>
  <c r="P6" i="8"/>
  <c r="C46" i="10"/>
  <c r="A24" i="8"/>
  <c r="B9" i="8"/>
  <c r="B10" i="8" s="1"/>
  <c r="A48" i="8" s="1"/>
  <c r="B8" i="8"/>
  <c r="C43" i="7" l="1"/>
  <c r="C53" i="7" s="1"/>
  <c r="C32" i="7"/>
  <c r="B22" i="8" s="1"/>
  <c r="C22" i="8" s="1"/>
  <c r="D22" i="8" s="1"/>
  <c r="C4" i="8"/>
  <c r="A46" i="8"/>
  <c r="A47" i="8"/>
  <c r="C54" i="7"/>
  <c r="C47" i="7"/>
  <c r="C46" i="7" s="1"/>
  <c r="C5" i="8"/>
  <c r="A25" i="8"/>
  <c r="B23" i="8" l="1"/>
  <c r="C23" i="8" s="1"/>
  <c r="D23" i="8" s="1"/>
  <c r="C57" i="7"/>
  <c r="C56" i="7" s="1"/>
  <c r="C48" i="7"/>
  <c r="C6" i="8"/>
  <c r="B24" i="8" l="1"/>
  <c r="B25" i="8" s="1"/>
  <c r="C25" i="8" s="1"/>
  <c r="C58" i="7"/>
  <c r="C7" i="8"/>
  <c r="C24" i="8" l="1"/>
  <c r="D24" i="8" s="1"/>
  <c r="D25" i="8" s="1"/>
</calcChain>
</file>

<file path=xl/sharedStrings.xml><?xml version="1.0" encoding="utf-8"?>
<sst xmlns="http://schemas.openxmlformats.org/spreadsheetml/2006/main" count="654" uniqueCount="223">
  <si>
    <t>Read Me - Performance Mectrics Calculator Excel Sheet</t>
  </si>
  <si>
    <t>This Excel sheet is designed to calculate power profiles and fuel consumption plots based on user inputs for different phases of flight, considering aircraft specifications. Here's how it works:</t>
  </si>
  <si>
    <t xml:space="preserve"> Inputs Sheets:</t>
  </si>
  <si>
    <t>Users can input data for various phases of flight and aircraft specifications in the respective input sheets. These inputs are crucial for accurate calculations.</t>
  </si>
  <si>
    <t xml:space="preserve"> Calc_with_delMass Sheet:</t>
  </si>
  <si>
    <t>This sheet performs the necessary calculations based on the inputs provided. Each calculation is appropriately referenced, following the equations documented.</t>
  </si>
  <si>
    <t>Ensure that inputs are correctly entered to obtain accurate results. Refer to the documentation for equations and references used in the calculations.</t>
  </si>
  <si>
    <t xml:space="preserve"> Calc_without_delMass Sheet:</t>
  </si>
  <si>
    <t>This sheet performs the necessary calculations based on the inputs provided similar to the calculations sheet, but considers no reduction in mass with fuel consumption</t>
  </si>
  <si>
    <t xml:space="preserve"> Results:</t>
  </si>
  <si>
    <t>The calculated data required to generate power profiles and fuel consumption plots is displayed in this sheet.</t>
  </si>
  <si>
    <t>Users can utilize this data to analyze power profiles and fuel consumption trends for different flight scenarios.</t>
  </si>
  <si>
    <t>Usage Instructions:</t>
  </si>
  <si>
    <t>1. Input the required data for each phase of flight and aircraft specifications in the respective input sheets.</t>
  </si>
  <si>
    <t>2. Optionally, use the provided standard inputs for the A320 aircraft by copying them to the input charts.</t>
  </si>
  <si>
    <t>3. Ensure all inputs are accurate and complete.</t>
  </si>
  <si>
    <t>4. Navigate to the "Calculations" sheet to initiate the calculation process.</t>
  </si>
  <si>
    <t>5. Review the calculated results in the "Results" sheet to obtain power profiles and fuel consumption plots.</t>
  </si>
  <si>
    <t>Note:</t>
  </si>
  <si>
    <t>It's recommended to review the documentation for detailed equations and references used in the calculations.</t>
  </si>
  <si>
    <t>Double-check inputs and calculations to ensure accuracy in results.</t>
  </si>
  <si>
    <t>For any assistance or inquiries, refer to the documentation or contact the creator of this Excel sheet.</t>
  </si>
  <si>
    <t>Documentation:</t>
  </si>
  <si>
    <t>Detailed documentation explaining the equations, references, and usage of this Excel sheet is available. Please refer to the documentation for comprehensive guidance.</t>
  </si>
  <si>
    <t>You can find the corresponding documentation in the link below:</t>
  </si>
  <si>
    <t>Input Parameters for Performance Calculations</t>
  </si>
  <si>
    <t>Input parameters</t>
  </si>
  <si>
    <t>Values</t>
  </si>
  <si>
    <t>Unit</t>
  </si>
  <si>
    <t>Remarks</t>
  </si>
  <si>
    <t>Aircraft Specific Parameters</t>
  </si>
  <si>
    <t>Fuel Density</t>
  </si>
  <si>
    <t>kg/l</t>
  </si>
  <si>
    <t>Density of Jet-A fuel</t>
  </si>
  <si>
    <t>Fuel Burn Rate</t>
  </si>
  <si>
    <t>L/NM</t>
  </si>
  <si>
    <t>*might need changes*</t>
  </si>
  <si>
    <t>Specific Fuel Consumption</t>
  </si>
  <si>
    <t>Kg/KNhr</t>
  </si>
  <si>
    <t>link</t>
  </si>
  <si>
    <t>Aspect Ratio (AR)</t>
  </si>
  <si>
    <t>Based on aircraft's structural geometry</t>
  </si>
  <si>
    <t xml:space="preserve">Wing Planform Area (S) </t>
  </si>
  <si>
    <t>m^2</t>
  </si>
  <si>
    <t>Take-off Phase</t>
  </si>
  <si>
    <t>Take-off Runway Altitude</t>
  </si>
  <si>
    <t>ft</t>
  </si>
  <si>
    <t>Can be Changed Arbitarily</t>
  </si>
  <si>
    <t>Take off Weight</t>
  </si>
  <si>
    <t>kg</t>
  </si>
  <si>
    <t>From aircraft maintenance planning</t>
  </si>
  <si>
    <t>Take-off Decision Speed</t>
  </si>
  <si>
    <t>Knots</t>
  </si>
  <si>
    <t>Vr - Rotate Speed , V2=135 , Vstall = V2/1.2, Vr = 1.1 *Vstall</t>
  </si>
  <si>
    <t>Take-off Distance at the altitude and weight</t>
  </si>
  <si>
    <t>Taken from the takeoff chart based on the take off weight included below</t>
  </si>
  <si>
    <t>Climb Phase</t>
  </si>
  <si>
    <t>Vertical speed</t>
  </si>
  <si>
    <t>ft/min</t>
  </si>
  <si>
    <t>Online source , can be taken arbitarily</t>
  </si>
  <si>
    <t>Climb Mach Number</t>
  </si>
  <si>
    <t>M or Mach Number</t>
  </si>
  <si>
    <t>In the range of 0.52 to 0.72</t>
  </si>
  <si>
    <t>Climb Angle</t>
  </si>
  <si>
    <t>degrees</t>
  </si>
  <si>
    <t>Set Arbitrarily</t>
  </si>
  <si>
    <t>Cruise Phase</t>
  </si>
  <si>
    <t>Cruise Altitude</t>
  </si>
  <si>
    <t>Set Arbitrarily as required, data used from airport manual</t>
  </si>
  <si>
    <t>Cruise Distance</t>
  </si>
  <si>
    <t>NM</t>
  </si>
  <si>
    <t>Cruise Mach Number</t>
  </si>
  <si>
    <t>M</t>
  </si>
  <si>
    <t>paper = DEVELOPMENT OF HIGH-LIFT SYSTEMS FOR THE BOMBARDIER CRJ-700</t>
  </si>
  <si>
    <t>Descent Phase</t>
  </si>
  <si>
    <t xml:space="preserve">Online source  </t>
  </si>
  <si>
    <t>Landing Phase</t>
  </si>
  <si>
    <t>Runway Altitude</t>
  </si>
  <si>
    <t>Landing Distance at the altitude and weight</t>
  </si>
  <si>
    <t>Taken from the landing chart based on the landing weight included below</t>
  </si>
  <si>
    <t>Conversions:</t>
  </si>
  <si>
    <t>1 Hour to Seconds</t>
  </si>
  <si>
    <t>s</t>
  </si>
  <si>
    <t>1 Minute to Seconds</t>
  </si>
  <si>
    <t>Take-off Runway Altitude in ft</t>
  </si>
  <si>
    <t>1 feet to metre</t>
  </si>
  <si>
    <t>m</t>
  </si>
  <si>
    <t>Take-off Runway Altitude in m</t>
  </si>
  <si>
    <t>1 Nautical Mile to kilometres</t>
  </si>
  <si>
    <t>km</t>
  </si>
  <si>
    <t>1 kilometre to metres</t>
  </si>
  <si>
    <t>1 Knot to metre per s</t>
  </si>
  <si>
    <t>m/s</t>
  </si>
  <si>
    <t>Climb Speed</t>
  </si>
  <si>
    <t>Kts</t>
  </si>
  <si>
    <t>Cruise Altitude in ft</t>
  </si>
  <si>
    <t>Cruise Altitude in m</t>
  </si>
  <si>
    <t>Cruise Distance in NM or Nautical Miles</t>
  </si>
  <si>
    <t>Cruise Distance in km</t>
  </si>
  <si>
    <t>Cruise Distance in m</t>
  </si>
  <si>
    <t>Vertical speed in ft/min</t>
  </si>
  <si>
    <t>Vertical speed in m/s</t>
  </si>
  <si>
    <t>Runway Altitude in ft</t>
  </si>
  <si>
    <t>Runway Altitude in m</t>
  </si>
  <si>
    <t>Aircraft Specific Constants:</t>
  </si>
  <si>
    <t>Zero-lift Drag Coefficient</t>
  </si>
  <si>
    <t>Roskon page 68</t>
  </si>
  <si>
    <t>Calculation for Performance metrics</t>
  </si>
  <si>
    <t>Parameters</t>
  </si>
  <si>
    <t>From Input</t>
  </si>
  <si>
    <t>Equation Parameters:</t>
  </si>
  <si>
    <t>kg/kNs</t>
  </si>
  <si>
    <t>Numerator of Induced Drag Correlation factor</t>
  </si>
  <si>
    <t>K</t>
  </si>
  <si>
    <t>Equation (5-6), Pandai 68.</t>
  </si>
  <si>
    <t>Denominator of Induced Drag Correlation factor - 1</t>
  </si>
  <si>
    <t>Takeoff Phase Calculations</t>
  </si>
  <si>
    <t>From Input, conversion to m</t>
  </si>
  <si>
    <t>Denominator of Induced Drag Correlation factor - 2</t>
  </si>
  <si>
    <t>Parameter (geopotential altitude) of Density - 1</t>
  </si>
  <si>
    <t>1MW to kW</t>
  </si>
  <si>
    <t>kW</t>
  </si>
  <si>
    <r>
      <rPr>
        <sz val="11"/>
        <color theme="1"/>
        <rFont val="Calibri"/>
        <family val="2"/>
        <scheme val="minor"/>
      </rPr>
      <t xml:space="preserve">or </t>
    </r>
    <r>
      <rPr>
        <b/>
        <i/>
        <sz val="11"/>
        <color theme="1"/>
        <rFont val="Calibri"/>
        <family val="2"/>
        <scheme val="minor"/>
      </rPr>
      <t>Aspect Ratio (AR)</t>
    </r>
  </si>
  <si>
    <t>Density</t>
  </si>
  <si>
    <t>kg/m3</t>
  </si>
  <si>
    <t>Equation (1-3), Anderson 353.</t>
  </si>
  <si>
    <t>Denominator of Induced Drag Correlation factor - 3</t>
  </si>
  <si>
    <t>Parameter of Ostwald's efficiency - 1</t>
  </si>
  <si>
    <t>Constants</t>
  </si>
  <si>
    <t>Parameter of Ostwald's efficiency - 2</t>
  </si>
  <si>
    <t>Parameter (CLmax) of Power - 1</t>
  </si>
  <si>
    <t>Pi</t>
  </si>
  <si>
    <t>Parameter of Ostwald's efficiency - 3</t>
  </si>
  <si>
    <t>Parameter (Thrust) of Power - 2</t>
  </si>
  <si>
    <t>N</t>
  </si>
  <si>
    <t>Density of air at sea level</t>
  </si>
  <si>
    <t>Parameter of Ostwald's efficiency - 4</t>
  </si>
  <si>
    <t>Power (in Watts)</t>
  </si>
  <si>
    <t>W</t>
  </si>
  <si>
    <t>Power</t>
  </si>
  <si>
    <t>MW</t>
  </si>
  <si>
    <t>Equation (7-9), Anderson 353.</t>
  </si>
  <si>
    <t>Speed of sound at sea level</t>
  </si>
  <si>
    <t>Parameter of Ostwald's efficiency - 5</t>
  </si>
  <si>
    <t>Time</t>
  </si>
  <si>
    <t>Sec</t>
  </si>
  <si>
    <t>Distance by average velocity; V_stall/3 = (V_lift_off/1.1)/3</t>
  </si>
  <si>
    <t>Standard Temperature at sea level</t>
  </si>
  <si>
    <t>Ostwald's efficiency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</si>
  <si>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Fuel</t>
    </r>
  </si>
  <si>
    <t>l</t>
  </si>
  <si>
    <t>Distance times fuel burn rate</t>
  </si>
  <si>
    <t>Temperature lapse rate</t>
  </si>
  <si>
    <t>delC/m</t>
  </si>
  <si>
    <t>Fuel Burn in liters times density</t>
  </si>
  <si>
    <t>Grav. Acceleration at sea level</t>
  </si>
  <si>
    <t>m/s2</t>
  </si>
  <si>
    <t>Parameter of air density - 1</t>
  </si>
  <si>
    <t>Climb Weight</t>
  </si>
  <si>
    <t>Initial-Final weight</t>
  </si>
  <si>
    <t>Universal Gas Constant</t>
  </si>
  <si>
    <t>J/kgK</t>
  </si>
  <si>
    <t>Rate of climb</t>
  </si>
  <si>
    <t>Radius of Earth</t>
  </si>
  <si>
    <t>Vertical Distance</t>
  </si>
  <si>
    <t xml:space="preserve">(Cruise alt-Takeoff alt) </t>
  </si>
  <si>
    <t>Distance</t>
  </si>
  <si>
    <t>Geometry:  b=p/tan(alpha)</t>
  </si>
  <si>
    <t>Parameter () of Power - 1</t>
  </si>
  <si>
    <t>J/s</t>
  </si>
  <si>
    <t>Parameter () of Power - 2</t>
  </si>
  <si>
    <t>Parameter () of Power - 3</t>
  </si>
  <si>
    <t>Power ( in Watts)</t>
  </si>
  <si>
    <t>It could be between 0.72 to 0.82, From POH</t>
  </si>
  <si>
    <t>Equation (15) , Pamadi 94/ Venkat Viswanathans Paper</t>
  </si>
  <si>
    <t>Same as in Takeoff</t>
  </si>
  <si>
    <t>Cruise Weight</t>
  </si>
  <si>
    <t>Equation (1-3),</t>
  </si>
  <si>
    <t>Link</t>
  </si>
  <si>
    <t>Speed of Sound (a)</t>
  </si>
  <si>
    <t>Equation (4),</t>
  </si>
  <si>
    <t>Cruise speed</t>
  </si>
  <si>
    <t>Equation (14) ,  Pamadi 83/ Venkat Viswanathans Paper</t>
  </si>
  <si>
    <t xml:space="preserve">Time </t>
  </si>
  <si>
    <t>Descent Weight</t>
  </si>
  <si>
    <t xml:space="preserve">(Cruise alt-Landing alt) </t>
  </si>
  <si>
    <t>As a convention, power is set to idle during descent</t>
  </si>
  <si>
    <t>Landing Weight</t>
  </si>
  <si>
    <t>Set to zero during landing, unless reverse thrust is utilized</t>
  </si>
  <si>
    <t>Same as in Takeoff, (V_landing=1.23 V_stall=1.23*V_takeoff/1.1), V_avg=V_landing/3</t>
  </si>
  <si>
    <t>Same as in Takeoff; Based on fuel burn rate per NM</t>
  </si>
  <si>
    <t>Taxi / Parking</t>
  </si>
  <si>
    <t>secs</t>
  </si>
  <si>
    <t>Taxi/Parling Time</t>
  </si>
  <si>
    <t>mins</t>
  </si>
  <si>
    <t>Standard 15 mins</t>
  </si>
  <si>
    <t>Equation (5-6)</t>
  </si>
  <si>
    <t>Equation (1-3)</t>
  </si>
  <si>
    <t>Equation (7-9)</t>
  </si>
  <si>
    <t>It could be between 0.72 to 0.82</t>
  </si>
  <si>
    <t xml:space="preserve">Equation (15) </t>
  </si>
  <si>
    <t>Equation (4)</t>
  </si>
  <si>
    <t xml:space="preserve">Equation (14) </t>
  </si>
  <si>
    <t>Considering Mass Variation</t>
  </si>
  <si>
    <t>Time(mins)</t>
  </si>
  <si>
    <t>Power(MW)</t>
  </si>
  <si>
    <t>No mass change</t>
  </si>
  <si>
    <t>Time (mins)</t>
  </si>
  <si>
    <t>Time (s)</t>
  </si>
  <si>
    <t>Power (MW)</t>
  </si>
  <si>
    <t>Power (W)</t>
  </si>
  <si>
    <t>Fuel Consumption</t>
  </si>
  <si>
    <t>Fuel (l)</t>
  </si>
  <si>
    <t>Fuel (Kg)</t>
  </si>
  <si>
    <t>Mass reduction (kg)</t>
  </si>
  <si>
    <t>Without Mass Change/ At MTOW</t>
  </si>
  <si>
    <t>Without Mass Change/ At MLW</t>
  </si>
  <si>
    <t>Range - 300 NM</t>
  </si>
  <si>
    <t>Range - 600 NM</t>
  </si>
  <si>
    <t>Altitude Variation</t>
  </si>
  <si>
    <t>Alt</t>
  </si>
  <si>
    <t>Range - 900 NM</t>
  </si>
  <si>
    <t>For the CRJ-700 aircraft, standard inputs are provided in the "CRJ Basic Inputs" chart. Users can copy these inputs to the respective input charts to run calculations for the default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</si>
</sst>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Segoe UI"/>
      <family val="2"/>
    </font>
    <font>
      <sz val="12"/>
      <color rgb="FFA9B7C6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4" borderId="1" xfId="0" applyFill="1" applyBorder="1"/>
    <xf numFmtId="0" fontId="1" fillId="4" borderId="1" xfId="0" applyFont="1" applyFill="1" applyBorder="1"/>
    <xf numFmtId="0" fontId="1" fillId="2" borderId="0" xfId="0" applyFont="1" applyFill="1"/>
    <xf numFmtId="0" fontId="1" fillId="3" borderId="0" xfId="0" applyFont="1" applyFill="1"/>
    <xf numFmtId="0" fontId="3" fillId="0" borderId="0" xfId="1"/>
    <xf numFmtId="0" fontId="0" fillId="5" borderId="0" xfId="0" applyFill="1"/>
    <xf numFmtId="0" fontId="1" fillId="6" borderId="1" xfId="0" applyFont="1" applyFill="1" applyBorder="1"/>
    <xf numFmtId="0" fontId="0" fillId="6" borderId="1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textRotation="255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5" borderId="0" xfId="0" applyFont="1" applyFill="1"/>
    <xf numFmtId="0" fontId="6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164" fontId="0" fillId="6" borderId="1" xfId="0" applyNumberFormat="1" applyFill="1" applyBorder="1"/>
    <xf numFmtId="0" fontId="7" fillId="6" borderId="1" xfId="0" applyFont="1" applyFill="1" applyBorder="1"/>
    <xf numFmtId="0" fontId="7" fillId="0" borderId="0" xfId="0" applyFont="1"/>
    <xf numFmtId="2" fontId="0" fillId="6" borderId="1" xfId="0" applyNumberFormat="1" applyFill="1" applyBorder="1"/>
    <xf numFmtId="0" fontId="8" fillId="4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9" fillId="0" borderId="0" xfId="0" applyFont="1"/>
    <xf numFmtId="0" fontId="1" fillId="4" borderId="0" xfId="0" applyFont="1" applyFill="1" applyAlignment="1">
      <alignment horizontal="center" wrapText="1"/>
    </xf>
    <xf numFmtId="0" fontId="0" fillId="8" borderId="0" xfId="0" applyFill="1"/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9" borderId="1" xfId="0" applyFont="1" applyFill="1" applyBorder="1"/>
    <xf numFmtId="0" fontId="0" fillId="9" borderId="1" xfId="0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textRotation="90"/>
    </xf>
    <xf numFmtId="0" fontId="1" fillId="7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8" borderId="0" xfId="0" applyFill="1" applyAlignment="1">
      <alignment horizontal="center" textRotation="90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E5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521411032232303E-2"/>
          <c:y val="1.8481171222202733E-2"/>
          <c:w val="0.86214597702361462"/>
          <c:h val="0.72579219591445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Results!$B$1:$C$1</c:f>
              <c:strCache>
                <c:ptCount val="1"/>
                <c:pt idx="0">
                  <c:v>Time(mins) Power(MW)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Results!$B$2:$B$10</c:f>
              <c:numCache>
                <c:formatCode>General</c:formatCode>
                <c:ptCount val="9"/>
                <c:pt idx="0">
                  <c:v>0</c:v>
                </c:pt>
                <c:pt idx="1">
                  <c:v>1.1849677049648126</c:v>
                </c:pt>
                <c:pt idx="2">
                  <c:v>12.899253419250529</c:v>
                </c:pt>
                <c:pt idx="3">
                  <c:v>12.899253419250529</c:v>
                </c:pt>
                <c:pt idx="4">
                  <c:v>78.029580644182445</c:v>
                </c:pt>
                <c:pt idx="5">
                  <c:v>89.743866358468168</c:v>
                </c:pt>
                <c:pt idx="6">
                  <c:v>89.743866358468168</c:v>
                </c:pt>
                <c:pt idx="7">
                  <c:v>90.857115150847036</c:v>
                </c:pt>
                <c:pt idx="8">
                  <c:v>105.85711515084704</c:v>
                </c:pt>
              </c:numCache>
            </c:numRef>
          </c:xVal>
          <c:yVal>
            <c:numRef>
              <c:f>Results!$C$2:$C$10</c:f>
              <c:numCache>
                <c:formatCode>General</c:formatCode>
                <c:ptCount val="9"/>
                <c:pt idx="0">
                  <c:v>0</c:v>
                </c:pt>
                <c:pt idx="1">
                  <c:v>16.79179774263724</c:v>
                </c:pt>
                <c:pt idx="2">
                  <c:v>13.405991963241435</c:v>
                </c:pt>
                <c:pt idx="3">
                  <c:v>11.171113631894835</c:v>
                </c:pt>
                <c:pt idx="4">
                  <c:v>11.171113631894835</c:v>
                </c:pt>
                <c:pt idx="5">
                  <c:v>11.171113631894835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2-4C9C-952C-C1DC94DD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29151"/>
        <c:axId val="1187629631"/>
      </c:scatterChart>
      <c:valAx>
        <c:axId val="118762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9631"/>
        <c:crosses val="autoZero"/>
        <c:crossBetween val="midCat"/>
      </c:valAx>
      <c:valAx>
        <c:axId val="11876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Results!$A$20:$A$25</c:f>
              <c:numCache>
                <c:formatCode>General</c:formatCode>
                <c:ptCount val="6"/>
                <c:pt idx="0">
                  <c:v>0</c:v>
                </c:pt>
                <c:pt idx="1">
                  <c:v>1.1849677049648126</c:v>
                </c:pt>
                <c:pt idx="2">
                  <c:v>12.899253419250529</c:v>
                </c:pt>
                <c:pt idx="3">
                  <c:v>78.029580644182445</c:v>
                </c:pt>
                <c:pt idx="4">
                  <c:v>89.743866358468168</c:v>
                </c:pt>
                <c:pt idx="5">
                  <c:v>90.857115150847036</c:v>
                </c:pt>
              </c:numCache>
            </c:numRef>
          </c:xVal>
          <c:yVal>
            <c:numRef>
              <c:f>Results!$D$20:$D$25</c:f>
              <c:numCache>
                <c:formatCode>General</c:formatCode>
                <c:ptCount val="6"/>
                <c:pt idx="0">
                  <c:v>0</c:v>
                </c:pt>
                <c:pt idx="1">
                  <c:v>356.30745443052001</c:v>
                </c:pt>
                <c:pt idx="2">
                  <c:v>2450.6078571217986</c:v>
                </c:pt>
                <c:pt idx="3">
                  <c:v>4395.2316703315537</c:v>
                </c:pt>
                <c:pt idx="4">
                  <c:v>7266.0431203770568</c:v>
                </c:pt>
                <c:pt idx="5">
                  <c:v>7267.3008395009074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3-46D7-BF9B-10EF807F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19983"/>
        <c:axId val="1719406063"/>
      </c:scatterChart>
      <c:valAx>
        <c:axId val="17194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flight(mins)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6063"/>
        <c:crosses val="autoZero"/>
        <c:crossBetween val="midCat"/>
      </c:valAx>
      <c:valAx>
        <c:axId val="17194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reduction</a:t>
                </a:r>
                <a:r>
                  <a:rPr lang="en-US" baseline="0"/>
                  <a:t> </a:t>
                </a:r>
                <a:r>
                  <a:rPr lang="en-US"/>
                  <a:t>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Profile (no mass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Results!$O$1</c:f>
              <c:strCache>
                <c:ptCount val="1"/>
                <c:pt idx="0">
                  <c:v>Power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Results!$M$2:$M$10</c:f>
              <c:numCache>
                <c:formatCode>General</c:formatCode>
                <c:ptCount val="9"/>
                <c:pt idx="0">
                  <c:v>0</c:v>
                </c:pt>
                <c:pt idx="1">
                  <c:v>1.1849677049648126</c:v>
                </c:pt>
                <c:pt idx="2">
                  <c:v>12.899253419250529</c:v>
                </c:pt>
                <c:pt idx="3">
                  <c:v>13</c:v>
                </c:pt>
                <c:pt idx="4">
                  <c:v>78.029580644182445</c:v>
                </c:pt>
                <c:pt idx="5">
                  <c:v>89.743866358468168</c:v>
                </c:pt>
                <c:pt idx="6">
                  <c:v>90</c:v>
                </c:pt>
                <c:pt idx="7">
                  <c:v>90.857115150847036</c:v>
                </c:pt>
                <c:pt idx="8">
                  <c:v>105.85711515084704</c:v>
                </c:pt>
              </c:numCache>
            </c:numRef>
          </c:xVal>
          <c:yVal>
            <c:numRef>
              <c:f>Results!$O$2:$O$10</c:f>
              <c:numCache>
                <c:formatCode>General</c:formatCode>
                <c:ptCount val="9"/>
                <c:pt idx="0">
                  <c:v>0</c:v>
                </c:pt>
                <c:pt idx="1">
                  <c:v>16.79179774263724</c:v>
                </c:pt>
                <c:pt idx="2">
                  <c:v>14.237615529234484</c:v>
                </c:pt>
                <c:pt idx="3">
                  <c:v>11.22673779689565</c:v>
                </c:pt>
                <c:pt idx="4">
                  <c:v>11.22673779689565</c:v>
                </c:pt>
                <c:pt idx="5">
                  <c:v>11.22673779689565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3-4B72-987F-6C28A32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41983"/>
        <c:axId val="337642463"/>
      </c:scatterChart>
      <c:valAx>
        <c:axId val="3376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2463"/>
        <c:crosses val="autoZero"/>
        <c:crossBetween val="midCat"/>
      </c:valAx>
      <c:valAx>
        <c:axId val="337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Results!$A$19:$B$19</c:f>
              <c:strCache>
                <c:ptCount val="1"/>
                <c:pt idx="0">
                  <c:v>Time Fuel (l)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Results!$A$20:$A$25</c:f>
              <c:numCache>
                <c:formatCode>General</c:formatCode>
                <c:ptCount val="6"/>
                <c:pt idx="0">
                  <c:v>0</c:v>
                </c:pt>
                <c:pt idx="1">
                  <c:v>1.1849677049648126</c:v>
                </c:pt>
                <c:pt idx="2">
                  <c:v>12.899253419250529</c:v>
                </c:pt>
                <c:pt idx="3">
                  <c:v>78.029580644182445</c:v>
                </c:pt>
                <c:pt idx="4">
                  <c:v>89.743866358468168</c:v>
                </c:pt>
                <c:pt idx="5">
                  <c:v>90.857115150847036</c:v>
                </c:pt>
              </c:numCache>
            </c:numRef>
          </c:xVal>
          <c:yVal>
            <c:numRef>
              <c:f>Results!$B$20:$B$25</c:f>
              <c:numCache>
                <c:formatCode>General</c:formatCode>
                <c:ptCount val="6"/>
                <c:pt idx="0">
                  <c:v>23858.598726114647</c:v>
                </c:pt>
                <c:pt idx="1">
                  <c:v>23404.703879706343</c:v>
                </c:pt>
                <c:pt idx="2">
                  <c:v>20736.805277551848</c:v>
                </c:pt>
                <c:pt idx="3">
                  <c:v>18259.577490023497</c:v>
                </c:pt>
                <c:pt idx="4">
                  <c:v>14602.492840284003</c:v>
                </c:pt>
                <c:pt idx="5">
                  <c:v>14600.890650317315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E-4123-A3D7-EA61FC4E4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19983"/>
        <c:axId val="1719406063"/>
      </c:scatterChart>
      <c:valAx>
        <c:axId val="17194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flight(mins)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6063"/>
        <c:crosses val="autoZero"/>
        <c:crossBetween val="midCat"/>
      </c:valAx>
      <c:valAx>
        <c:axId val="17194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Left</a:t>
                </a:r>
                <a:endParaRPr lang="en-US"/>
              </a:p>
              <a:p>
                <a:pPr>
                  <a:defRPr/>
                </a:pPr>
                <a:r>
                  <a:rPr lang="en-US"/>
                  <a:t>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300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Results!$AE$24:$AE$32</c:f>
              <c:numCache>
                <c:formatCode>General</c:formatCode>
                <c:ptCount val="9"/>
                <c:pt idx="0">
                  <c:v>0</c:v>
                </c:pt>
                <c:pt idx="1">
                  <c:v>84</c:v>
                </c:pt>
                <c:pt idx="2">
                  <c:v>787</c:v>
                </c:pt>
                <c:pt idx="3">
                  <c:v>840</c:v>
                </c:pt>
                <c:pt idx="4">
                  <c:v>2090</c:v>
                </c:pt>
                <c:pt idx="5">
                  <c:v>2793</c:v>
                </c:pt>
                <c:pt idx="6">
                  <c:v>2820</c:v>
                </c:pt>
                <c:pt idx="7">
                  <c:v>2857</c:v>
                </c:pt>
                <c:pt idx="8">
                  <c:v>3757</c:v>
                </c:pt>
              </c:numCache>
            </c:numRef>
          </c:xVal>
          <c:yVal>
            <c:numRef>
              <c:f>Results!$AF$24:$AF$32</c:f>
              <c:numCache>
                <c:formatCode>0.0</c:formatCode>
                <c:ptCount val="9"/>
                <c:pt idx="0">
                  <c:v>0</c:v>
                </c:pt>
                <c:pt idx="1">
                  <c:v>15.481644066019921</c:v>
                </c:pt>
                <c:pt idx="2">
                  <c:v>14.237615529234484</c:v>
                </c:pt>
                <c:pt idx="3">
                  <c:v>11.22673779689565</c:v>
                </c:pt>
                <c:pt idx="4">
                  <c:v>11.22673779689565</c:v>
                </c:pt>
                <c:pt idx="5">
                  <c:v>11.22673779689565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6-BC47-ADD1-F08363E0932C}"/>
            </c:ext>
          </c:extLst>
        </c:ser>
        <c:ser>
          <c:idx val="2"/>
          <c:order val="1"/>
          <c:tx>
            <c:v>600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Results!$AE$36:$AE$44</c:f>
              <c:numCache>
                <c:formatCode>General</c:formatCode>
                <c:ptCount val="9"/>
                <c:pt idx="0">
                  <c:v>0</c:v>
                </c:pt>
                <c:pt idx="1">
                  <c:v>84</c:v>
                </c:pt>
                <c:pt idx="2">
                  <c:v>787</c:v>
                </c:pt>
                <c:pt idx="3">
                  <c:v>840</c:v>
                </c:pt>
                <c:pt idx="4">
                  <c:v>3392</c:v>
                </c:pt>
                <c:pt idx="5">
                  <c:v>4095</c:v>
                </c:pt>
                <c:pt idx="6">
                  <c:v>4140</c:v>
                </c:pt>
                <c:pt idx="7">
                  <c:v>4159</c:v>
                </c:pt>
                <c:pt idx="8">
                  <c:v>5059</c:v>
                </c:pt>
              </c:numCache>
            </c:numRef>
          </c:xVal>
          <c:yVal>
            <c:numRef>
              <c:f>Results!$AF$36:$AF$44</c:f>
              <c:numCache>
                <c:formatCode>0.0</c:formatCode>
                <c:ptCount val="9"/>
                <c:pt idx="0">
                  <c:v>0</c:v>
                </c:pt>
                <c:pt idx="1">
                  <c:v>15.481644066019921</c:v>
                </c:pt>
                <c:pt idx="2">
                  <c:v>14.237615529234484</c:v>
                </c:pt>
                <c:pt idx="3">
                  <c:v>11.22673779689565</c:v>
                </c:pt>
                <c:pt idx="4">
                  <c:v>11.22673779689565</c:v>
                </c:pt>
                <c:pt idx="5">
                  <c:v>11.22673779689565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6-BC47-ADD1-F08363E0932C}"/>
            </c:ext>
          </c:extLst>
        </c:ser>
        <c:ser>
          <c:idx val="4"/>
          <c:order val="2"/>
          <c:tx>
            <c:v>900 NM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Results!$AE$49:$AE$57</c:f>
              <c:numCache>
                <c:formatCode>General</c:formatCode>
                <c:ptCount val="9"/>
                <c:pt idx="0">
                  <c:v>0</c:v>
                </c:pt>
                <c:pt idx="1">
                  <c:v>84</c:v>
                </c:pt>
                <c:pt idx="2">
                  <c:v>787</c:v>
                </c:pt>
                <c:pt idx="3">
                  <c:v>840</c:v>
                </c:pt>
                <c:pt idx="4">
                  <c:v>5129</c:v>
                </c:pt>
                <c:pt idx="5">
                  <c:v>5832</c:v>
                </c:pt>
                <c:pt idx="6">
                  <c:v>5880</c:v>
                </c:pt>
                <c:pt idx="7">
                  <c:v>5896</c:v>
                </c:pt>
                <c:pt idx="8">
                  <c:v>6796</c:v>
                </c:pt>
              </c:numCache>
            </c:numRef>
          </c:xVal>
          <c:yVal>
            <c:numRef>
              <c:f>Results!$AF$49:$AF$57</c:f>
              <c:numCache>
                <c:formatCode>0.0</c:formatCode>
                <c:ptCount val="9"/>
                <c:pt idx="0">
                  <c:v>0</c:v>
                </c:pt>
                <c:pt idx="1">
                  <c:v>15.481644066019921</c:v>
                </c:pt>
                <c:pt idx="2">
                  <c:v>14.237615529234484</c:v>
                </c:pt>
                <c:pt idx="3">
                  <c:v>11.22673779689565</c:v>
                </c:pt>
                <c:pt idx="4">
                  <c:v>11.22673779689565</c:v>
                </c:pt>
                <c:pt idx="5">
                  <c:v>11.22673779689565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6-BC47-ADD1-F08363E0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41983"/>
        <c:axId val="337642463"/>
      </c:scatterChart>
      <c:valAx>
        <c:axId val="3376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2463"/>
        <c:crosses val="autoZero"/>
        <c:crossBetween val="midCat"/>
      </c:valAx>
      <c:valAx>
        <c:axId val="337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[J/s]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900 NM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Results!$AE$49:$AE$57</c:f>
              <c:numCache>
                <c:formatCode>General</c:formatCode>
                <c:ptCount val="9"/>
                <c:pt idx="0">
                  <c:v>0</c:v>
                </c:pt>
                <c:pt idx="1">
                  <c:v>84</c:v>
                </c:pt>
                <c:pt idx="2">
                  <c:v>787</c:v>
                </c:pt>
                <c:pt idx="3">
                  <c:v>840</c:v>
                </c:pt>
                <c:pt idx="4">
                  <c:v>5129</c:v>
                </c:pt>
                <c:pt idx="5">
                  <c:v>5832</c:v>
                </c:pt>
                <c:pt idx="6">
                  <c:v>5880</c:v>
                </c:pt>
                <c:pt idx="7">
                  <c:v>5896</c:v>
                </c:pt>
                <c:pt idx="8">
                  <c:v>6796</c:v>
                </c:pt>
              </c:numCache>
            </c:numRef>
          </c:xVal>
          <c:yVal>
            <c:numRef>
              <c:f>Results!$AF$49:$AF$57</c:f>
              <c:numCache>
                <c:formatCode>0.0</c:formatCode>
                <c:ptCount val="9"/>
                <c:pt idx="0">
                  <c:v>0</c:v>
                </c:pt>
                <c:pt idx="1">
                  <c:v>15.481644066019921</c:v>
                </c:pt>
                <c:pt idx="2">
                  <c:v>14.237615529234484</c:v>
                </c:pt>
                <c:pt idx="3">
                  <c:v>11.22673779689565</c:v>
                </c:pt>
                <c:pt idx="4">
                  <c:v>11.22673779689565</c:v>
                </c:pt>
                <c:pt idx="5">
                  <c:v>11.22673779689565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B-2047-9086-76D50E7A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41983"/>
        <c:axId val="337642463"/>
      </c:scatterChart>
      <c:valAx>
        <c:axId val="3376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2463"/>
        <c:crosses val="autoZero"/>
        <c:crossBetween val="midCat"/>
      </c:valAx>
      <c:valAx>
        <c:axId val="337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[J/s]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variation for the mission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Results!$A$42:$A$48</c:f>
              <c:numCache>
                <c:formatCode>General</c:formatCode>
                <c:ptCount val="7"/>
                <c:pt idx="0">
                  <c:v>0</c:v>
                </c:pt>
                <c:pt idx="1">
                  <c:v>1.1849677049648126</c:v>
                </c:pt>
                <c:pt idx="2">
                  <c:v>12.899253419250529</c:v>
                </c:pt>
                <c:pt idx="3">
                  <c:v>78.029580644182445</c:v>
                </c:pt>
                <c:pt idx="4">
                  <c:v>89.743866358468168</c:v>
                </c:pt>
                <c:pt idx="5">
                  <c:v>90.857115150847036</c:v>
                </c:pt>
                <c:pt idx="6">
                  <c:v>105.85711515084704</c:v>
                </c:pt>
              </c:numCache>
            </c:numRef>
          </c:xVal>
          <c:yVal>
            <c:numRef>
              <c:f>Results!$B$42:$B$48</c:f>
              <c:numCache>
                <c:formatCode>General</c:formatCode>
                <c:ptCount val="7"/>
                <c:pt idx="0">
                  <c:v>0</c:v>
                </c:pt>
                <c:pt idx="1">
                  <c:v>15.24</c:v>
                </c:pt>
                <c:pt idx="2">
                  <c:v>12496.800000000001</c:v>
                </c:pt>
                <c:pt idx="3">
                  <c:v>12496.800000000001</c:v>
                </c:pt>
                <c:pt idx="4">
                  <c:v>15.24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3-4572-9E70-528159F8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89935"/>
        <c:axId val="935590415"/>
      </c:scatterChart>
      <c:valAx>
        <c:axId val="9355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90415"/>
        <c:crosses val="autoZero"/>
        <c:crossBetween val="midCat"/>
      </c:valAx>
      <c:valAx>
        <c:axId val="9355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300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Results!$AV$24:$AV$32</c:f>
              <c:numCache>
                <c:formatCode>General</c:formatCode>
                <c:ptCount val="9"/>
                <c:pt idx="0">
                  <c:v>0</c:v>
                </c:pt>
                <c:pt idx="1">
                  <c:v>72</c:v>
                </c:pt>
                <c:pt idx="2">
                  <c:v>774</c:v>
                </c:pt>
                <c:pt idx="3">
                  <c:v>780</c:v>
                </c:pt>
                <c:pt idx="4">
                  <c:v>2077</c:v>
                </c:pt>
                <c:pt idx="5">
                  <c:v>2780</c:v>
                </c:pt>
                <c:pt idx="6">
                  <c:v>2820</c:v>
                </c:pt>
                <c:pt idx="7">
                  <c:v>2847</c:v>
                </c:pt>
                <c:pt idx="8">
                  <c:v>3747</c:v>
                </c:pt>
              </c:numCache>
            </c:numRef>
          </c:xVal>
          <c:yVal>
            <c:numRef>
              <c:f>Results!$AW$24:$AW$32</c:f>
              <c:numCache>
                <c:formatCode>0.0</c:formatCode>
                <c:ptCount val="9"/>
                <c:pt idx="0">
                  <c:v>0</c:v>
                </c:pt>
                <c:pt idx="1">
                  <c:v>16.79179774263724</c:v>
                </c:pt>
                <c:pt idx="2">
                  <c:v>14.237615529234484</c:v>
                </c:pt>
                <c:pt idx="3">
                  <c:v>11.22673779689565</c:v>
                </c:pt>
                <c:pt idx="4">
                  <c:v>11.22673779689565</c:v>
                </c:pt>
                <c:pt idx="5">
                  <c:v>11.22673779689565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6-40BF-B57A-84CFDC7463FD}"/>
            </c:ext>
          </c:extLst>
        </c:ser>
        <c:ser>
          <c:idx val="2"/>
          <c:order val="1"/>
          <c:tx>
            <c:v>600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Results!$AV$36:$AV$44</c:f>
              <c:numCache>
                <c:formatCode>General</c:formatCode>
                <c:ptCount val="9"/>
                <c:pt idx="0">
                  <c:v>0</c:v>
                </c:pt>
                <c:pt idx="1">
                  <c:v>72</c:v>
                </c:pt>
                <c:pt idx="2">
                  <c:v>774</c:v>
                </c:pt>
                <c:pt idx="3">
                  <c:v>780</c:v>
                </c:pt>
                <c:pt idx="4">
                  <c:v>3380</c:v>
                </c:pt>
                <c:pt idx="5">
                  <c:v>4083</c:v>
                </c:pt>
                <c:pt idx="6">
                  <c:v>4140</c:v>
                </c:pt>
                <c:pt idx="7">
                  <c:v>4149</c:v>
                </c:pt>
                <c:pt idx="8">
                  <c:v>5049</c:v>
                </c:pt>
              </c:numCache>
            </c:numRef>
          </c:xVal>
          <c:yVal>
            <c:numRef>
              <c:f>Results!$AW$36:$AW$44</c:f>
              <c:numCache>
                <c:formatCode>0.0</c:formatCode>
                <c:ptCount val="9"/>
                <c:pt idx="0">
                  <c:v>0</c:v>
                </c:pt>
                <c:pt idx="1">
                  <c:v>16.79179774263724</c:v>
                </c:pt>
                <c:pt idx="2">
                  <c:v>14.237615529234484</c:v>
                </c:pt>
                <c:pt idx="3">
                  <c:v>11.22673779689565</c:v>
                </c:pt>
                <c:pt idx="4">
                  <c:v>11.22673779689565</c:v>
                </c:pt>
                <c:pt idx="5">
                  <c:v>11.22673779689565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6-40BF-B57A-84CFDC7463FD}"/>
            </c:ext>
          </c:extLst>
        </c:ser>
        <c:ser>
          <c:idx val="4"/>
          <c:order val="2"/>
          <c:tx>
            <c:v>900 NM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Results!$AV$49:$AV$57</c:f>
              <c:numCache>
                <c:formatCode>General</c:formatCode>
                <c:ptCount val="9"/>
                <c:pt idx="0">
                  <c:v>0</c:v>
                </c:pt>
                <c:pt idx="1">
                  <c:v>72</c:v>
                </c:pt>
                <c:pt idx="2">
                  <c:v>774</c:v>
                </c:pt>
                <c:pt idx="3">
                  <c:v>780</c:v>
                </c:pt>
                <c:pt idx="4">
                  <c:v>4682</c:v>
                </c:pt>
                <c:pt idx="5">
                  <c:v>5385</c:v>
                </c:pt>
                <c:pt idx="6">
                  <c:v>5400</c:v>
                </c:pt>
                <c:pt idx="7">
                  <c:v>5452</c:v>
                </c:pt>
                <c:pt idx="8">
                  <c:v>6352</c:v>
                </c:pt>
              </c:numCache>
            </c:numRef>
          </c:xVal>
          <c:yVal>
            <c:numRef>
              <c:f>Results!$AW$49:$AW$57</c:f>
              <c:numCache>
                <c:formatCode>0.0</c:formatCode>
                <c:ptCount val="9"/>
                <c:pt idx="0">
                  <c:v>0</c:v>
                </c:pt>
                <c:pt idx="1">
                  <c:v>16.79179774263724</c:v>
                </c:pt>
                <c:pt idx="2">
                  <c:v>14.237615529234484</c:v>
                </c:pt>
                <c:pt idx="3">
                  <c:v>11.22673779689565</c:v>
                </c:pt>
                <c:pt idx="4">
                  <c:v>11.22673779689565</c:v>
                </c:pt>
                <c:pt idx="5">
                  <c:v>11.22673779689565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6-40BF-B57A-84CFDC74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41983"/>
        <c:axId val="337642463"/>
      </c:scatterChart>
      <c:valAx>
        <c:axId val="3376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2463"/>
        <c:crosses val="autoZero"/>
        <c:crossBetween val="midCat"/>
      </c:valAx>
      <c:valAx>
        <c:axId val="337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[J/s]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904875</xdr:colOff>
      <xdr:row>29</xdr:row>
      <xdr:rowOff>85725</xdr:rowOff>
    </xdr:from>
    <xdr:to>
      <xdr:col>4</xdr:col>
      <xdr:colOff>3895725</xdr:colOff>
      <xdr:row>47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0C82A0-AA80-40A9-85A4-130C76305C97}"/>
            </a:ext>
            <a:ext uri="{147F2762-F138-4A5C-976F-8EAC2B608ADB}">
              <a16:predDERef xmlns:a16="http://schemas.microsoft.com/office/drawing/2014/main" pred="{B29AD9E8-EA38-4927-8396-687AB29B6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373708">
          <a:off x="6515100" y="5038725"/>
          <a:ext cx="3448050" cy="45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4714875</xdr:colOff>
      <xdr:row>28</xdr:row>
      <xdr:rowOff>95250</xdr:rowOff>
    </xdr:from>
    <xdr:to>
      <xdr:col>11</xdr:col>
      <xdr:colOff>571500</xdr:colOff>
      <xdr:row>47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61736-0433-45BD-8090-E9985E907631}"/>
            </a:ext>
            <a:ext uri="{147F2762-F138-4A5C-976F-8EAC2B608ADB}">
              <a16:predDERef xmlns:a16="http://schemas.microsoft.com/office/drawing/2014/main" pred="{130C82A0-AA80-40A9-85A4-130C76305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187338">
          <a:off x="11868150" y="4895850"/>
          <a:ext cx="352425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695325</xdr:colOff>
      <xdr:row>29</xdr:row>
      <xdr:rowOff>152400</xdr:rowOff>
    </xdr:from>
    <xdr:to>
      <xdr:col>3</xdr:col>
      <xdr:colOff>66675</xdr:colOff>
      <xdr:row>47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871B62-8AD9-4143-AA29-3EF3C6C3C1C4}"/>
            </a:ext>
            <a:ext uri="{147F2762-F138-4A5C-976F-8EAC2B608ADB}">
              <a16:predDERef xmlns:a16="http://schemas.microsoft.com/office/drawing/2014/main" pred="{A5761736-0433-45BD-8090-E9985E907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12900">
          <a:off x="1333500" y="5029200"/>
          <a:ext cx="329565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485700</xdr:colOff>
      <xdr:row>0</xdr:row>
      <xdr:rowOff>19050</xdr:rowOff>
    </xdr:from>
    <xdr:to>
      <xdr:col>9</xdr:col>
      <xdr:colOff>400659</xdr:colOff>
      <xdr:row>11</xdr:row>
      <xdr:rowOff>115991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C3580C-2C68-4D25-B4EB-E5113EDA6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404058</xdr:colOff>
      <xdr:row>17</xdr:row>
      <xdr:rowOff>3003</xdr:rowOff>
    </xdr:from>
    <xdr:to>
      <xdr:col>12</xdr:col>
      <xdr:colOff>133684</xdr:colOff>
      <xdr:row>30</xdr:row>
      <xdr:rowOff>66843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DBE75BB3-1229-4848-BEAF-0E512F75FA8F}"/>
            </a:ext>
            <a:ext uri="{147F2762-F138-4A5C-976F-8EAC2B608ADB}">
              <a16:predDERef xmlns:a16="http://schemas.microsoft.com/office/drawing/2014/main" pred="{53C3580C-2C68-4D25-B4EB-E5113EDA6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400901</xdr:colOff>
      <xdr:row>1</xdr:row>
      <xdr:rowOff>104775</xdr:rowOff>
    </xdr:from>
    <xdr:to>
      <xdr:col>22</xdr:col>
      <xdr:colOff>46851</xdr:colOff>
      <xdr:row>15</xdr:row>
      <xdr:rowOff>5828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45FD8-F20F-8F5A-4B33-6577D2CAAEF5}"/>
            </a:ext>
            <a:ext uri="{147F2762-F138-4A5C-976F-8EAC2B608ADB}">
              <a16:predDERef xmlns:a16="http://schemas.microsoft.com/office/drawing/2014/main" pred="{DBE75BB3-1229-4848-BEAF-0E512F75F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32054</xdr:colOff>
      <xdr:row>17</xdr:row>
      <xdr:rowOff>27627</xdr:rowOff>
    </xdr:from>
    <xdr:to>
      <xdr:col>20</xdr:col>
      <xdr:colOff>267368</xdr:colOff>
      <xdr:row>30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263EA-D5FC-4E05-9806-0869731C101D}"/>
            </a:ext>
            <a:ext uri="{147F2762-F138-4A5C-976F-8EAC2B608ADB}">
              <a16:predDERef xmlns:a16="http://schemas.microsoft.com/office/drawing/2014/main" pred="{A4945FD8-F20F-8F5A-4B33-6577D2CA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619760</xdr:colOff>
      <xdr:row>6</xdr:row>
      <xdr:rowOff>152400</xdr:rowOff>
    </xdr:from>
    <xdr:to>
      <xdr:col>46</xdr:col>
      <xdr:colOff>0</xdr:colOff>
      <xdr:row>27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EBA69B-B938-1745-B82C-70F4BD9F5039}"/>
            </a:ext>
            <a:ext uri="{147F2762-F138-4A5C-976F-8EAC2B608ADB}">
              <a16:predDERef xmlns:a16="http://schemas.microsoft.com/office/drawing/2014/main" pred="{9E1263EA-D5FC-4E05-9806-0869731C1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674914</xdr:colOff>
      <xdr:row>29</xdr:row>
      <xdr:rowOff>0</xdr:rowOff>
    </xdr:from>
    <xdr:to>
      <xdr:col>46</xdr:col>
      <xdr:colOff>55154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59EB2-AB75-1D43-B89B-888702DE0629}"/>
            </a:ext>
            <a:ext uri="{147F2762-F138-4A5C-976F-8EAC2B608ADB}">
              <a16:predDERef xmlns:a16="http://schemas.microsoft.com/office/drawing/2014/main" pred="{81EBA69B-B938-1745-B82C-70F4BD9F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1072028</xdr:colOff>
      <xdr:row>34</xdr:row>
      <xdr:rowOff>62753</xdr:rowOff>
    </xdr:from>
    <xdr:to>
      <xdr:col>14</xdr:col>
      <xdr:colOff>549088</xdr:colOff>
      <xdr:row>50</xdr:row>
      <xdr:rowOff>70774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F1929-8FB8-A88F-5BBC-83CA08D24FFE}"/>
            </a:ext>
            <a:ext uri="{147F2762-F138-4A5C-976F-8EAC2B608ADB}">
              <a16:predDERef xmlns:a16="http://schemas.microsoft.com/office/drawing/2014/main" pred="{57059EB2-AB75-1D43-B89B-888702DE0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88204</xdr:colOff>
      <xdr:row>10</xdr:row>
      <xdr:rowOff>10961</xdr:rowOff>
    </xdr:from>
    <xdr:to>
      <xdr:col>63</xdr:col>
      <xdr:colOff>86290</xdr:colOff>
      <xdr:row>30</xdr:row>
      <xdr:rowOff>67328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15F0A-62AE-40EA-B12C-CEBD133E026F}"/>
            </a:ext>
            <a:ext uri="{147F2762-F138-4A5C-976F-8EAC2B608ADB}">
              <a16:predDERef xmlns:a16="http://schemas.microsoft.com/office/drawing/2014/main" pred="{EBEF1929-8FB8-A88F-5BBC-83CA08D24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0.15552</cdr:x>
      <cdr:y>0.04986</cdr:y>
    </cdr:from>
    <cdr:to>
      <cdr:x>0.19604</cdr:x>
      <cdr:y>0.1134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A40B7F-1E57-CEA3-4DCE-3A9A9D12EE61}"/>
            </a:ext>
          </a:extLst>
        </cdr:cNvPr>
        <cdr:cNvSpPr txBox="1"/>
      </cdr:nvSpPr>
      <cdr:spPr>
        <a:xfrm xmlns:a="http://schemas.openxmlformats.org/drawingml/2006/main">
          <a:off x="1058194" y="205144"/>
          <a:ext cx="275744" cy="2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B050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0.21278</cdr:x>
      <cdr:y>0.2672</cdr:y>
    </cdr:from>
    <cdr:to>
      <cdr:x>0.2533</cdr:x>
      <cdr:y>0.33074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1FC2F62-A341-5A99-6661-AAA5E4323664}"/>
            </a:ext>
          </a:extLst>
        </cdr:cNvPr>
        <cdr:cNvSpPr txBox="1"/>
      </cdr:nvSpPr>
      <cdr:spPr>
        <a:xfrm xmlns:a="http://schemas.openxmlformats.org/drawingml/2006/main">
          <a:off x="1447800" y="1099457"/>
          <a:ext cx="275744" cy="2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00B050"/>
              </a:solidFill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0.15552</cdr:x>
      <cdr:y>0.04986</cdr:y>
    </cdr:from>
    <cdr:to>
      <cdr:x>0.19604</cdr:x>
      <cdr:y>0.1134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A40B7F-1E57-CEA3-4DCE-3A9A9D12EE61}"/>
            </a:ext>
          </a:extLst>
        </cdr:cNvPr>
        <cdr:cNvSpPr txBox="1"/>
      </cdr:nvSpPr>
      <cdr:spPr>
        <a:xfrm xmlns:a="http://schemas.openxmlformats.org/drawingml/2006/main">
          <a:off x="1058194" y="205144"/>
          <a:ext cx="275744" cy="2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B050"/>
              </a:solidFill>
            </a:rPr>
            <a:t>A - Take</a:t>
          </a:r>
          <a:r>
            <a:rPr lang="en-GB" sz="1100" baseline="0">
              <a:solidFill>
                <a:srgbClr val="00B050"/>
              </a:solidFill>
            </a:rPr>
            <a:t> Off</a:t>
          </a:r>
          <a:endParaRPr lang="en-GB" sz="1100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0.21278</cdr:x>
      <cdr:y>0.2672</cdr:y>
    </cdr:from>
    <cdr:to>
      <cdr:x>0.2533</cdr:x>
      <cdr:y>0.33074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1FC2F62-A341-5A99-6661-AAA5E4323664}"/>
            </a:ext>
          </a:extLst>
        </cdr:cNvPr>
        <cdr:cNvSpPr txBox="1"/>
      </cdr:nvSpPr>
      <cdr:spPr>
        <a:xfrm xmlns:a="http://schemas.openxmlformats.org/drawingml/2006/main">
          <a:off x="1447800" y="1099457"/>
          <a:ext cx="275744" cy="2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00B0F0"/>
              </a:solidFill>
            </a:rPr>
            <a:t>B - Climb</a:t>
          </a:r>
        </a:p>
      </cdr:txBody>
    </cdr:sp>
  </cdr:relSizeAnchor>
  <cdr:relSizeAnchor xmlns:cdr="http://schemas.openxmlformats.org/drawingml/2006/chartDrawing">
    <cdr:from>
      <cdr:x>0.09549</cdr:x>
      <cdr:y>0.10753</cdr:y>
    </cdr:from>
    <cdr:to>
      <cdr:x>0.10722</cdr:x>
      <cdr:y>0.80418</cdr:y>
    </cdr:to>
    <cdr:sp macro="" textlink="">
      <cdr:nvSpPr>
        <cdr:cNvPr id="4" name="Rounded Rectangle 3">
          <a:extLst xmlns:a="http://schemas.openxmlformats.org/drawingml/2006/main">
            <a:ext uri="{FF2B5EF4-FFF2-40B4-BE49-F238E27FC236}">
              <a16:creationId xmlns:a16="http://schemas.microsoft.com/office/drawing/2014/main" id="{D77BA20E-79E0-EE24-9A3D-AAC02060EC07}"/>
            </a:ext>
          </a:extLst>
        </cdr:cNvPr>
        <cdr:cNvSpPr/>
      </cdr:nvSpPr>
      <cdr:spPr>
        <a:xfrm xmlns:a="http://schemas.openxmlformats.org/drawingml/2006/main">
          <a:off x="566676" y="436700"/>
          <a:ext cx="69610" cy="2829322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B050">
            <a:alpha val="24314"/>
          </a:srgbClr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NL"/>
        </a:p>
      </cdr:txBody>
    </cdr:sp>
  </cdr:relSizeAnchor>
  <cdr:relSizeAnchor xmlns:cdr="http://schemas.openxmlformats.org/drawingml/2006/chartDrawing">
    <cdr:from>
      <cdr:x>0.10882</cdr:x>
      <cdr:y>0.31217</cdr:y>
    </cdr:from>
    <cdr:to>
      <cdr:x>0.16428</cdr:x>
      <cdr:y>0.79277</cdr:y>
    </cdr:to>
    <cdr:sp macro="" textlink="">
      <cdr:nvSpPr>
        <cdr:cNvPr id="5" name="Rounded Rectangle 4">
          <a:extLst xmlns:a="http://schemas.openxmlformats.org/drawingml/2006/main">
            <a:ext uri="{FF2B5EF4-FFF2-40B4-BE49-F238E27FC236}">
              <a16:creationId xmlns:a16="http://schemas.microsoft.com/office/drawing/2014/main" id="{77959313-B75D-0868-0285-94DAAC5BD114}"/>
            </a:ext>
          </a:extLst>
        </cdr:cNvPr>
        <cdr:cNvSpPr/>
      </cdr:nvSpPr>
      <cdr:spPr>
        <a:xfrm xmlns:a="http://schemas.openxmlformats.org/drawingml/2006/main">
          <a:off x="645781" y="1267824"/>
          <a:ext cx="329121" cy="1951873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B0F0">
            <a:alpha val="24314"/>
          </a:srgbClr>
        </a:solidFill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NL"/>
        </a:p>
      </cdr:txBody>
    </cdr:sp>
  </cdr:relSizeAnchor>
  <cdr:relSizeAnchor xmlns:cdr="http://schemas.openxmlformats.org/drawingml/2006/chartDrawing">
    <cdr:from>
      <cdr:x>0.10882</cdr:x>
      <cdr:y>0.12837</cdr:y>
    </cdr:from>
    <cdr:to>
      <cdr:x>0.19325</cdr:x>
      <cdr:y>0.31271</cdr:y>
    </cdr:to>
    <cdr:sp macro="" textlink="">
      <cdr:nvSpPr>
        <cdr:cNvPr id="6" name="Right Triangle 5">
          <a:extLst xmlns:a="http://schemas.openxmlformats.org/drawingml/2006/main">
            <a:ext uri="{FF2B5EF4-FFF2-40B4-BE49-F238E27FC236}">
              <a16:creationId xmlns:a16="http://schemas.microsoft.com/office/drawing/2014/main" id="{B291C492-DEDC-339C-D8DE-D274D1084642}"/>
            </a:ext>
          </a:extLst>
        </cdr:cNvPr>
        <cdr:cNvSpPr/>
      </cdr:nvSpPr>
      <cdr:spPr>
        <a:xfrm xmlns:a="http://schemas.openxmlformats.org/drawingml/2006/main">
          <a:off x="645780" y="521368"/>
          <a:ext cx="501020" cy="748632"/>
        </a:xfrm>
        <a:prstGeom xmlns:a="http://schemas.openxmlformats.org/drawingml/2006/main" prst="rtTriangle">
          <a:avLst/>
        </a:prstGeom>
        <a:solidFill xmlns:a="http://schemas.openxmlformats.org/drawingml/2006/main">
          <a:srgbClr val="00B0F0">
            <a:alpha val="24314"/>
          </a:srgbClr>
        </a:solidFill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NL"/>
        </a:p>
      </cdr:txBody>
    </cdr:sp>
  </cdr:relSizeAnchor>
  <cdr:relSizeAnchor xmlns:cdr="http://schemas.openxmlformats.org/drawingml/2006/chartDrawing">
    <cdr:from>
      <cdr:x>0.16867</cdr:x>
      <cdr:y>0.33575</cdr:y>
    </cdr:from>
    <cdr:to>
      <cdr:x>0.72489</cdr:x>
      <cdr:y>0.7886</cdr:y>
    </cdr:to>
    <cdr:sp macro="" textlink="">
      <cdr:nvSpPr>
        <cdr:cNvPr id="7" name="Rounded Rectangle 6">
          <a:extLst xmlns:a="http://schemas.openxmlformats.org/drawingml/2006/main">
            <a:ext uri="{FF2B5EF4-FFF2-40B4-BE49-F238E27FC236}">
              <a16:creationId xmlns:a16="http://schemas.microsoft.com/office/drawing/2014/main" id="{91249FF7-E1B9-0DD1-31E1-6A347D8C0B90}"/>
            </a:ext>
          </a:extLst>
        </cdr:cNvPr>
        <cdr:cNvSpPr/>
      </cdr:nvSpPr>
      <cdr:spPr>
        <a:xfrm xmlns:a="http://schemas.openxmlformats.org/drawingml/2006/main">
          <a:off x="1000971" y="1363579"/>
          <a:ext cx="3300777" cy="1839175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0000">
            <a:alpha val="24314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NL"/>
        </a:p>
      </cdr:txBody>
    </cdr:sp>
  </cdr:relSizeAnchor>
  <cdr:relSizeAnchor xmlns:cdr="http://schemas.openxmlformats.org/drawingml/2006/chartDrawing">
    <cdr:from>
      <cdr:x>0.77058</cdr:x>
      <cdr:y>0.4321</cdr:y>
    </cdr:from>
    <cdr:to>
      <cdr:x>0.91806</cdr:x>
      <cdr:y>0.49564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B8351D8-D193-4A50-949F-351EE2189B82}"/>
            </a:ext>
          </a:extLst>
        </cdr:cNvPr>
        <cdr:cNvSpPr txBox="1"/>
      </cdr:nvSpPr>
      <cdr:spPr>
        <a:xfrm xmlns:a="http://schemas.openxmlformats.org/drawingml/2006/main">
          <a:off x="5206780" y="1765691"/>
          <a:ext cx="996484" cy="259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C2 - Cruise</a:t>
          </a:r>
          <a:r>
            <a:rPr lang="en-GB" sz="1100" baseline="0">
              <a:solidFill>
                <a:srgbClr val="FF0000"/>
              </a:solidFill>
            </a:rPr>
            <a:t> End</a:t>
          </a:r>
          <a:endParaRPr lang="en-GB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0.21392</cdr:x>
      <cdr:y>0.44231</cdr:y>
    </cdr:from>
    <cdr:to>
      <cdr:x>0.36298</cdr:x>
      <cdr:y>0.50585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3F9FFA7-453E-225C-1874-3AFBCD52756B}"/>
            </a:ext>
          </a:extLst>
        </cdr:cNvPr>
        <cdr:cNvSpPr txBox="1"/>
      </cdr:nvSpPr>
      <cdr:spPr>
        <a:xfrm xmlns:a="http://schemas.openxmlformats.org/drawingml/2006/main">
          <a:off x="1445427" y="1807436"/>
          <a:ext cx="1007182" cy="259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C1 -Cruise</a:t>
          </a:r>
          <a:r>
            <a:rPr lang="en-GB" sz="1100" baseline="0">
              <a:solidFill>
                <a:srgbClr val="FF0000"/>
              </a:solidFill>
            </a:rPr>
            <a:t> Start</a:t>
          </a:r>
          <a:endParaRPr lang="en-GB" sz="11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0.15552</cdr:x>
      <cdr:y>0.04986</cdr:y>
    </cdr:from>
    <cdr:to>
      <cdr:x>0.19604</cdr:x>
      <cdr:y>0.1134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A40B7F-1E57-CEA3-4DCE-3A9A9D12EE61}"/>
            </a:ext>
          </a:extLst>
        </cdr:cNvPr>
        <cdr:cNvSpPr txBox="1"/>
      </cdr:nvSpPr>
      <cdr:spPr>
        <a:xfrm xmlns:a="http://schemas.openxmlformats.org/drawingml/2006/main">
          <a:off x="1058194" y="205144"/>
          <a:ext cx="275744" cy="2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00B050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0.21278</cdr:x>
      <cdr:y>0.2672</cdr:y>
    </cdr:from>
    <cdr:to>
      <cdr:x>0.2533</cdr:x>
      <cdr:y>0.33074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1FC2F62-A341-5A99-6661-AAA5E4323664}"/>
            </a:ext>
          </a:extLst>
        </cdr:cNvPr>
        <cdr:cNvSpPr txBox="1"/>
      </cdr:nvSpPr>
      <cdr:spPr>
        <a:xfrm xmlns:a="http://schemas.openxmlformats.org/drawingml/2006/main">
          <a:off x="1447800" y="1099457"/>
          <a:ext cx="275744" cy="2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00B050"/>
              </a:solidFill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ntzone.eurocontrol.int/aircraftperformance/details.aspx?ICAO=CRJ7" TargetMode="External"/><Relationship Id="rId2" Type="http://schemas.openxmlformats.org/officeDocument/2006/relationships/hyperlink" Target="https://contentzone.eurocontrol.int/aircraftperformance/details.aspx?ICAO=CRJ7" TargetMode="External"/><Relationship Id="rId1" Type="http://schemas.openxmlformats.org/officeDocument/2006/relationships/hyperlink" Target="https://www.geaerospace.com/sites/default/files/datasheet-CF34-8E.pdf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fisicaatmo.at.fcen.uba.ar/practicas/ISAweb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99DB-1A0D-4DFC-A319-478E8756884A}">
  <dimension ref="A1:A34"/>
  <sheetViews>
    <sheetView tabSelected="1" topLeftCell="A25" zoomScale="108" workbookViewId="0">
      <selection activeCell="A48" sqref="A48"/>
    </sheetView>
  </sheetViews>
  <sheetFormatPr defaultColWidth="8.6640625" defaultRowHeight="14.4"/>
  <cols>
    <col min="1" max="1" width="133.6640625" style="14" customWidth="1"/>
  </cols>
  <sheetData>
    <row r="1" spans="1:1">
      <c r="A1" s="35" t="s">
        <v>0</v>
      </c>
    </row>
    <row r="2" spans="1:1" ht="28.8">
      <c r="A2" s="14" t="s">
        <v>1</v>
      </c>
    </row>
    <row r="4" spans="1:1">
      <c r="A4" s="15" t="s">
        <v>2</v>
      </c>
    </row>
    <row r="5" spans="1:1">
      <c r="A5" s="14" t="s">
        <v>3</v>
      </c>
    </row>
    <row r="6" spans="1:1" ht="28.8">
      <c r="A6" s="14" t="s">
        <v>222</v>
      </c>
    </row>
    <row r="8" spans="1:1">
      <c r="A8" s="15" t="s">
        <v>4</v>
      </c>
    </row>
    <row r="9" spans="1:1">
      <c r="A9" s="14" t="s">
        <v>5</v>
      </c>
    </row>
    <row r="10" spans="1:1">
      <c r="A10" s="14" t="s">
        <v>6</v>
      </c>
    </row>
    <row r="12" spans="1:1">
      <c r="A12" s="15" t="s">
        <v>7</v>
      </c>
    </row>
    <row r="13" spans="1:1" ht="28.8">
      <c r="A13" s="14" t="s">
        <v>8</v>
      </c>
    </row>
    <row r="15" spans="1:1">
      <c r="A15" s="15" t="s">
        <v>9</v>
      </c>
    </row>
    <row r="16" spans="1:1">
      <c r="A16" s="14" t="s">
        <v>10</v>
      </c>
    </row>
    <row r="17" spans="1:1">
      <c r="A17" s="14" t="s">
        <v>11</v>
      </c>
    </row>
    <row r="20" spans="1:1">
      <c r="A20" s="15" t="s">
        <v>12</v>
      </c>
    </row>
    <row r="21" spans="1:1">
      <c r="A21" s="14" t="s">
        <v>13</v>
      </c>
    </row>
    <row r="22" spans="1:1">
      <c r="A22" s="14" t="s">
        <v>14</v>
      </c>
    </row>
    <row r="23" spans="1:1">
      <c r="A23" s="14" t="s">
        <v>15</v>
      </c>
    </row>
    <row r="24" spans="1:1">
      <c r="A24" s="14" t="s">
        <v>16</v>
      </c>
    </row>
    <row r="25" spans="1:1">
      <c r="A25" s="14" t="s">
        <v>17</v>
      </c>
    </row>
    <row r="27" spans="1:1">
      <c r="A27" s="15" t="s">
        <v>18</v>
      </c>
    </row>
    <row r="28" spans="1:1">
      <c r="A28" s="14" t="s">
        <v>19</v>
      </c>
    </row>
    <row r="29" spans="1:1">
      <c r="A29" s="14" t="s">
        <v>20</v>
      </c>
    </row>
    <row r="30" spans="1:1">
      <c r="A30" s="14" t="s">
        <v>21</v>
      </c>
    </row>
    <row r="32" spans="1:1">
      <c r="A32" s="15" t="s">
        <v>22</v>
      </c>
    </row>
    <row r="33" spans="1:1" ht="28.8">
      <c r="A33" s="14" t="s">
        <v>23</v>
      </c>
    </row>
    <row r="34" spans="1:1">
      <c r="A34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77D6-3AC9-4305-9131-A2E5CC05EF63}">
  <dimension ref="A1:F49"/>
  <sheetViews>
    <sheetView topLeftCell="A23" zoomScale="85" zoomScaleNormal="85" workbookViewId="0">
      <selection activeCell="B12" sqref="B12"/>
    </sheetView>
  </sheetViews>
  <sheetFormatPr defaultColWidth="8.6640625" defaultRowHeight="14.4"/>
  <cols>
    <col min="1" max="1" width="14.6640625" style="11" customWidth="1"/>
    <col min="2" max="2" width="39.5546875" style="1" customWidth="1"/>
    <col min="3" max="3" width="23.6640625" customWidth="1"/>
    <col min="4" max="4" width="23.6640625" style="1" customWidth="1"/>
    <col min="5" max="5" width="78.44140625" customWidth="1"/>
  </cols>
  <sheetData>
    <row r="1" spans="1:6">
      <c r="A1" s="43" t="s">
        <v>25</v>
      </c>
      <c r="B1" s="43"/>
      <c r="C1" s="43"/>
      <c r="D1" s="43"/>
      <c r="E1" s="43"/>
    </row>
    <row r="2" spans="1:6">
      <c r="B2" s="12" t="s">
        <v>26</v>
      </c>
      <c r="C2" s="12" t="s">
        <v>27</v>
      </c>
      <c r="D2" s="12" t="s">
        <v>28</v>
      </c>
      <c r="E2" s="10" t="s">
        <v>29</v>
      </c>
    </row>
    <row r="3" spans="1:6" ht="14.7" customHeight="1">
      <c r="A3" s="45" t="s">
        <v>30</v>
      </c>
      <c r="B3" s="8" t="s">
        <v>31</v>
      </c>
      <c r="C3" s="9">
        <v>0.78500000000000003</v>
      </c>
      <c r="D3" s="8" t="s">
        <v>32</v>
      </c>
      <c r="E3" t="s">
        <v>33</v>
      </c>
    </row>
    <row r="4" spans="1:6">
      <c r="A4" s="45"/>
      <c r="B4" s="8" t="s">
        <v>34</v>
      </c>
      <c r="C4" s="9">
        <v>1.8721329360400001</v>
      </c>
      <c r="D4" s="8" t="s">
        <v>35</v>
      </c>
      <c r="E4" t="s">
        <v>36</v>
      </c>
    </row>
    <row r="5" spans="1:6">
      <c r="A5" s="45"/>
      <c r="B5" s="8" t="s">
        <v>37</v>
      </c>
      <c r="C5" s="9">
        <v>68.400000000000006</v>
      </c>
      <c r="D5" s="8" t="s">
        <v>38</v>
      </c>
      <c r="E5" s="6" t="s">
        <v>39</v>
      </c>
    </row>
    <row r="6" spans="1:6">
      <c r="A6" s="45"/>
      <c r="B6" s="8" t="s">
        <v>40</v>
      </c>
      <c r="C6" s="9">
        <v>7.38</v>
      </c>
      <c r="D6" s="8"/>
      <c r="E6" t="s">
        <v>41</v>
      </c>
    </row>
    <row r="7" spans="1:6">
      <c r="A7" s="45"/>
      <c r="B7" s="8" t="s">
        <v>42</v>
      </c>
      <c r="C7" s="9">
        <v>68.56</v>
      </c>
      <c r="D7" s="8" t="s">
        <v>43</v>
      </c>
      <c r="E7" t="s">
        <v>41</v>
      </c>
    </row>
    <row r="8" spans="1:6">
      <c r="A8" s="46" t="s">
        <v>44</v>
      </c>
      <c r="B8" s="3" t="s">
        <v>45</v>
      </c>
      <c r="C8" s="2">
        <v>0</v>
      </c>
      <c r="D8" s="3" t="s">
        <v>46</v>
      </c>
      <c r="E8" t="s">
        <v>47</v>
      </c>
    </row>
    <row r="9" spans="1:6">
      <c r="A9" s="46"/>
      <c r="B9" s="3" t="s">
        <v>48</v>
      </c>
      <c r="C9" s="2">
        <v>30390</v>
      </c>
      <c r="D9" s="3" t="s">
        <v>49</v>
      </c>
      <c r="E9" t="s">
        <v>50</v>
      </c>
      <c r="F9">
        <v>33000</v>
      </c>
    </row>
    <row r="10" spans="1:6">
      <c r="A10" s="46"/>
      <c r="B10" s="3" t="s">
        <v>51</v>
      </c>
      <c r="C10" s="2">
        <v>123.75</v>
      </c>
      <c r="D10" s="3" t="s">
        <v>52</v>
      </c>
      <c r="E10" t="s">
        <v>53</v>
      </c>
    </row>
    <row r="11" spans="1:6">
      <c r="A11" s="46"/>
      <c r="B11" s="3" t="s">
        <v>54</v>
      </c>
      <c r="C11" s="2">
        <v>4500</v>
      </c>
      <c r="D11" s="3" t="s">
        <v>46</v>
      </c>
      <c r="E11" t="s">
        <v>55</v>
      </c>
      <c r="F11">
        <v>5300</v>
      </c>
    </row>
    <row r="12" spans="1:6">
      <c r="A12" s="44" t="s">
        <v>56</v>
      </c>
      <c r="B12" s="8" t="s">
        <v>57</v>
      </c>
      <c r="C12" s="9">
        <v>2500</v>
      </c>
      <c r="D12" s="8" t="s">
        <v>58</v>
      </c>
      <c r="E12" s="6" t="s">
        <v>59</v>
      </c>
    </row>
    <row r="13" spans="1:6">
      <c r="A13" s="44"/>
      <c r="B13" s="8" t="s">
        <v>60</v>
      </c>
      <c r="C13" s="9">
        <v>0.65</v>
      </c>
      <c r="D13" s="8" t="s">
        <v>61</v>
      </c>
      <c r="E13" t="s">
        <v>62</v>
      </c>
    </row>
    <row r="14" spans="1:6">
      <c r="A14" s="44"/>
      <c r="B14" s="8" t="s">
        <v>63</v>
      </c>
      <c r="C14" s="9">
        <v>12</v>
      </c>
      <c r="D14" s="8" t="s">
        <v>64</v>
      </c>
      <c r="E14" t="s">
        <v>65</v>
      </c>
    </row>
    <row r="15" spans="1:6">
      <c r="A15" s="47" t="s">
        <v>66</v>
      </c>
      <c r="B15" s="3" t="s">
        <v>67</v>
      </c>
      <c r="C15" s="2">
        <v>41000</v>
      </c>
      <c r="D15" s="3" t="s">
        <v>46</v>
      </c>
      <c r="E15" t="s">
        <v>68</v>
      </c>
    </row>
    <row r="16" spans="1:6">
      <c r="A16" s="47"/>
      <c r="B16" s="3" t="s">
        <v>69</v>
      </c>
      <c r="C16" s="2">
        <v>900</v>
      </c>
      <c r="D16" s="3" t="s">
        <v>70</v>
      </c>
      <c r="E16" t="s">
        <v>65</v>
      </c>
    </row>
    <row r="17" spans="1:6">
      <c r="A17" s="47"/>
      <c r="B17" s="3" t="s">
        <v>71</v>
      </c>
      <c r="C17" s="2">
        <v>0.62</v>
      </c>
      <c r="D17" s="3" t="s">
        <v>72</v>
      </c>
      <c r="E17" s="14" t="s">
        <v>73</v>
      </c>
    </row>
    <row r="18" spans="1:6">
      <c r="A18" s="44" t="s">
        <v>74</v>
      </c>
      <c r="B18" s="8" t="s">
        <v>57</v>
      </c>
      <c r="C18" s="9">
        <v>3500</v>
      </c>
      <c r="D18" s="8" t="s">
        <v>58</v>
      </c>
      <c r="E18" s="6" t="s">
        <v>75</v>
      </c>
    </row>
    <row r="19" spans="1:6">
      <c r="A19" s="44"/>
      <c r="B19" s="8" t="s">
        <v>63</v>
      </c>
      <c r="C19" s="9">
        <v>20</v>
      </c>
      <c r="D19" s="8" t="s">
        <v>64</v>
      </c>
      <c r="E19" t="s">
        <v>65</v>
      </c>
    </row>
    <row r="20" spans="1:6">
      <c r="A20" s="41" t="s">
        <v>76</v>
      </c>
      <c r="B20" s="3" t="s">
        <v>77</v>
      </c>
      <c r="C20" s="2">
        <v>0</v>
      </c>
      <c r="D20" s="3" t="s">
        <v>46</v>
      </c>
      <c r="E20" t="s">
        <v>65</v>
      </c>
    </row>
    <row r="21" spans="1:6">
      <c r="A21" s="42"/>
      <c r="B21" s="3" t="s">
        <v>78</v>
      </c>
      <c r="C21" s="2">
        <v>5200</v>
      </c>
      <c r="D21" s="3" t="s">
        <v>46</v>
      </c>
      <c r="E21" t="s">
        <v>79</v>
      </c>
      <c r="F21">
        <v>5400</v>
      </c>
    </row>
    <row r="23" spans="1:6">
      <c r="D23"/>
    </row>
    <row r="24" spans="1:6">
      <c r="D24"/>
    </row>
    <row r="25" spans="1:6">
      <c r="D25"/>
    </row>
    <row r="32" spans="1:6">
      <c r="A32" s="1"/>
      <c r="B32"/>
      <c r="D32"/>
    </row>
    <row r="33" spans="1:4">
      <c r="A33" s="1"/>
      <c r="B33"/>
      <c r="D33"/>
    </row>
    <row r="34" spans="1:4">
      <c r="A34" s="1"/>
      <c r="B34"/>
      <c r="D34"/>
    </row>
    <row r="35" spans="1:4">
      <c r="A35" s="1"/>
      <c r="B35"/>
      <c r="D35"/>
    </row>
    <row r="36" spans="1:4">
      <c r="A36" s="1"/>
      <c r="B36"/>
      <c r="D36"/>
    </row>
    <row r="37" spans="1:4">
      <c r="A37" s="1"/>
      <c r="B37"/>
      <c r="D37"/>
    </row>
    <row r="38" spans="1:4">
      <c r="A38" s="1"/>
      <c r="B38"/>
      <c r="D38"/>
    </row>
    <row r="39" spans="1:4">
      <c r="A39" s="1"/>
      <c r="B39"/>
      <c r="D39"/>
    </row>
    <row r="40" spans="1:4">
      <c r="A40" s="1"/>
      <c r="B40"/>
      <c r="D40"/>
    </row>
    <row r="41" spans="1:4">
      <c r="A41" s="1"/>
      <c r="B41"/>
      <c r="D41"/>
    </row>
    <row r="42" spans="1:4">
      <c r="A42" s="1"/>
      <c r="B42"/>
      <c r="D42"/>
    </row>
    <row r="43" spans="1:4">
      <c r="A43" s="1"/>
      <c r="B43"/>
      <c r="D43"/>
    </row>
    <row r="44" spans="1:4">
      <c r="A44" s="1"/>
      <c r="B44"/>
      <c r="D44"/>
    </row>
    <row r="45" spans="1:4">
      <c r="A45" s="1"/>
      <c r="B45"/>
      <c r="D45"/>
    </row>
    <row r="46" spans="1:4">
      <c r="A46" s="1"/>
      <c r="B46"/>
      <c r="D46"/>
    </row>
    <row r="47" spans="1:4">
      <c r="A47" s="1"/>
      <c r="B47"/>
      <c r="D47"/>
    </row>
    <row r="48" spans="1:4">
      <c r="A48" s="1"/>
      <c r="B48"/>
      <c r="D48"/>
    </row>
    <row r="49" spans="1:4">
      <c r="A49" s="1"/>
      <c r="B49"/>
      <c r="D49"/>
    </row>
  </sheetData>
  <mergeCells count="7">
    <mergeCell ref="A20:A21"/>
    <mergeCell ref="A1:E1"/>
    <mergeCell ref="A18:A19"/>
    <mergeCell ref="A3:A7"/>
    <mergeCell ref="A8:A11"/>
    <mergeCell ref="A12:A14"/>
    <mergeCell ref="A15:A17"/>
  </mergeCells>
  <hyperlinks>
    <hyperlink ref="E5" r:id="rId1" xr:uid="{553BF017-1221-4F38-8650-0487DAB31288}"/>
    <hyperlink ref="E18" r:id="rId2" display="Online source " xr:uid="{5032B23F-57C1-48C8-AD61-D9C6FBE64AE1}"/>
    <hyperlink ref="E12" r:id="rId3" xr:uid="{6F80F80B-4990-49B2-9D07-5460E9A56218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33FA-F6C0-4D01-B8F4-AD7016A57612}">
  <dimension ref="A1:M40"/>
  <sheetViews>
    <sheetView zoomScale="85" zoomScaleNormal="85" workbookViewId="0">
      <selection activeCell="C11" sqref="C11"/>
    </sheetView>
  </sheetViews>
  <sheetFormatPr defaultColWidth="8.6640625" defaultRowHeight="14.4"/>
  <cols>
    <col min="1" max="1" width="14.6640625" style="11" customWidth="1"/>
    <col min="2" max="2" width="37.33203125" style="1" customWidth="1"/>
    <col min="3" max="3" width="23.6640625" customWidth="1"/>
    <col min="4" max="4" width="23.6640625" style="1" customWidth="1"/>
    <col min="5" max="5" width="58.109375" customWidth="1"/>
  </cols>
  <sheetData>
    <row r="1" spans="1:13">
      <c r="A1" s="43" t="s">
        <v>25</v>
      </c>
      <c r="B1" s="43"/>
      <c r="C1" s="43"/>
      <c r="D1" s="43"/>
      <c r="E1" s="43"/>
    </row>
    <row r="2" spans="1:13">
      <c r="B2" s="12" t="s">
        <v>26</v>
      </c>
      <c r="C2" s="12" t="s">
        <v>27</v>
      </c>
      <c r="D2" s="12" t="s">
        <v>28</v>
      </c>
      <c r="E2" s="10" t="s">
        <v>29</v>
      </c>
    </row>
    <row r="3" spans="1:13">
      <c r="A3" s="45" t="s">
        <v>30</v>
      </c>
      <c r="B3" s="8" t="s">
        <v>31</v>
      </c>
      <c r="C3" s="9">
        <f>'CRJ Basic Inputs'!C3</f>
        <v>0.78500000000000003</v>
      </c>
      <c r="D3" s="8" t="s">
        <v>32</v>
      </c>
    </row>
    <row r="4" spans="1:13">
      <c r="A4" s="45"/>
      <c r="B4" s="8" t="s">
        <v>34</v>
      </c>
      <c r="C4" s="9">
        <f>'CRJ Basic Inputs'!C4</f>
        <v>1.8721329360400001</v>
      </c>
      <c r="D4" s="8" t="s">
        <v>35</v>
      </c>
      <c r="H4" s="19" t="s">
        <v>80</v>
      </c>
      <c r="I4" s="7"/>
    </row>
    <row r="5" spans="1:13">
      <c r="A5" s="45"/>
      <c r="B5" s="8" t="s">
        <v>37</v>
      </c>
      <c r="C5" s="37">
        <f>'CRJ Basic Inputs'!C5</f>
        <v>68.400000000000006</v>
      </c>
      <c r="D5" s="8" t="s">
        <v>38</v>
      </c>
    </row>
    <row r="6" spans="1:13">
      <c r="A6" s="45"/>
      <c r="B6" s="8" t="s">
        <v>40</v>
      </c>
      <c r="C6" s="37">
        <f>'CRJ Basic Inputs'!C6</f>
        <v>7.38</v>
      </c>
      <c r="D6" s="8"/>
      <c r="I6" t="s">
        <v>81</v>
      </c>
      <c r="L6">
        <f>1*60*60</f>
        <v>3600</v>
      </c>
      <c r="M6" t="s">
        <v>82</v>
      </c>
    </row>
    <row r="7" spans="1:13">
      <c r="A7" s="45"/>
      <c r="B7" s="8" t="s">
        <v>42</v>
      </c>
      <c r="C7" s="37">
        <f>'CRJ Basic Inputs'!C7</f>
        <v>68.56</v>
      </c>
      <c r="D7" s="8" t="s">
        <v>43</v>
      </c>
      <c r="I7" t="s">
        <v>83</v>
      </c>
      <c r="L7">
        <v>60</v>
      </c>
      <c r="M7" t="s">
        <v>82</v>
      </c>
    </row>
    <row r="8" spans="1:13">
      <c r="A8" s="46" t="s">
        <v>44</v>
      </c>
      <c r="B8" s="3" t="s">
        <v>84</v>
      </c>
      <c r="C8" s="38">
        <f>'CRJ Basic Inputs'!C8</f>
        <v>0</v>
      </c>
      <c r="D8" s="3" t="s">
        <v>46</v>
      </c>
      <c r="I8" t="s">
        <v>85</v>
      </c>
      <c r="L8">
        <v>0.30480000000000002</v>
      </c>
      <c r="M8" t="s">
        <v>86</v>
      </c>
    </row>
    <row r="9" spans="1:13">
      <c r="A9" s="46"/>
      <c r="B9" s="3" t="s">
        <v>87</v>
      </c>
      <c r="C9" s="38">
        <v>0</v>
      </c>
      <c r="D9" s="3" t="s">
        <v>86</v>
      </c>
      <c r="I9" t="s">
        <v>88</v>
      </c>
      <c r="L9">
        <v>1.8520000000000001</v>
      </c>
      <c r="M9" t="s">
        <v>89</v>
      </c>
    </row>
    <row r="10" spans="1:13">
      <c r="A10" s="46"/>
      <c r="B10" s="3" t="s">
        <v>48</v>
      </c>
      <c r="C10" s="38">
        <f>'CRJ Basic Inputs'!C9</f>
        <v>30390</v>
      </c>
      <c r="D10" s="3" t="s">
        <v>49</v>
      </c>
      <c r="I10" t="s">
        <v>90</v>
      </c>
      <c r="L10">
        <v>1000</v>
      </c>
      <c r="M10" t="s">
        <v>86</v>
      </c>
    </row>
    <row r="11" spans="1:13">
      <c r="A11" s="46"/>
      <c r="B11" s="39" t="s">
        <v>51</v>
      </c>
      <c r="C11" s="40">
        <f>'CRJ Basic Inputs'!C10</f>
        <v>123.75</v>
      </c>
      <c r="D11" s="39" t="s">
        <v>52</v>
      </c>
      <c r="I11" t="s">
        <v>91</v>
      </c>
      <c r="L11">
        <f>0.5144444</f>
        <v>0.51444440000000002</v>
      </c>
      <c r="M11" t="s">
        <v>92</v>
      </c>
    </row>
    <row r="12" spans="1:13">
      <c r="A12" s="46"/>
      <c r="B12" s="39" t="s">
        <v>51</v>
      </c>
      <c r="C12" s="40">
        <f>C11*L11</f>
        <v>63.662494500000001</v>
      </c>
      <c r="D12" s="39" t="s">
        <v>92</v>
      </c>
    </row>
    <row r="13" spans="1:13">
      <c r="A13" s="46"/>
      <c r="B13" s="39" t="s">
        <v>54</v>
      </c>
      <c r="C13" s="40">
        <f>'CRJ Basic Inputs'!C11</f>
        <v>4500</v>
      </c>
      <c r="D13" s="39" t="s">
        <v>46</v>
      </c>
    </row>
    <row r="14" spans="1:13">
      <c r="A14" s="46"/>
      <c r="B14" s="39" t="s">
        <v>54</v>
      </c>
      <c r="C14" s="40">
        <f>C13*L8</f>
        <v>1371.6000000000001</v>
      </c>
      <c r="D14" s="39" t="s">
        <v>86</v>
      </c>
    </row>
    <row r="15" spans="1:13">
      <c r="A15" s="44" t="s">
        <v>56</v>
      </c>
      <c r="B15" s="8" t="s">
        <v>57</v>
      </c>
      <c r="C15" s="9">
        <f>'CRJ Basic Inputs'!C12</f>
        <v>2500</v>
      </c>
      <c r="D15" s="8" t="s">
        <v>58</v>
      </c>
    </row>
    <row r="16" spans="1:13">
      <c r="A16" s="44"/>
      <c r="B16" s="8" t="s">
        <v>93</v>
      </c>
      <c r="C16" s="9">
        <f>'CRJ Basic Inputs'!C13</f>
        <v>0.65</v>
      </c>
      <c r="D16" s="8" t="s">
        <v>94</v>
      </c>
    </row>
    <row r="17" spans="1:4">
      <c r="A17" s="44"/>
      <c r="B17" s="8" t="s">
        <v>63</v>
      </c>
      <c r="C17" s="9">
        <f>'CRJ Basic Inputs'!C14</f>
        <v>12</v>
      </c>
      <c r="D17" s="8" t="s">
        <v>64</v>
      </c>
    </row>
    <row r="18" spans="1:4">
      <c r="A18" s="47" t="s">
        <v>66</v>
      </c>
      <c r="B18" s="3" t="s">
        <v>95</v>
      </c>
      <c r="C18" s="9">
        <f>'CRJ Basic Inputs'!C15</f>
        <v>41000</v>
      </c>
      <c r="D18" s="3" t="s">
        <v>46</v>
      </c>
    </row>
    <row r="19" spans="1:4">
      <c r="A19" s="47"/>
      <c r="B19" s="3" t="s">
        <v>96</v>
      </c>
      <c r="C19" s="23">
        <f>C18*L8</f>
        <v>12496.800000000001</v>
      </c>
      <c r="D19" s="3" t="s">
        <v>86</v>
      </c>
    </row>
    <row r="20" spans="1:4">
      <c r="A20" s="47"/>
      <c r="B20" s="3" t="s">
        <v>97</v>
      </c>
      <c r="C20" s="9">
        <f>'CRJ Basic Inputs'!C16</f>
        <v>900</v>
      </c>
      <c r="D20" s="3" t="s">
        <v>70</v>
      </c>
    </row>
    <row r="21" spans="1:4">
      <c r="A21" s="47"/>
      <c r="B21" s="3" t="s">
        <v>98</v>
      </c>
      <c r="C21" s="9">
        <f>C20*L9</f>
        <v>1666.8000000000002</v>
      </c>
      <c r="D21" s="3" t="s">
        <v>89</v>
      </c>
    </row>
    <row r="22" spans="1:4">
      <c r="A22" s="47"/>
      <c r="B22" s="3" t="s">
        <v>99</v>
      </c>
      <c r="C22" s="9">
        <f>C21*L10</f>
        <v>1666800.0000000002</v>
      </c>
      <c r="D22" s="3" t="s">
        <v>86</v>
      </c>
    </row>
    <row r="23" spans="1:4">
      <c r="A23" s="47"/>
      <c r="B23" s="3" t="s">
        <v>71</v>
      </c>
      <c r="C23" s="9">
        <f>'CRJ Basic Inputs'!C17</f>
        <v>0.62</v>
      </c>
      <c r="D23" s="3" t="s">
        <v>61</v>
      </c>
    </row>
    <row r="24" spans="1:4">
      <c r="A24" s="44" t="s">
        <v>74</v>
      </c>
      <c r="B24" s="8" t="s">
        <v>100</v>
      </c>
      <c r="C24" s="9">
        <f>'CRJ Basic Inputs'!C18</f>
        <v>3500</v>
      </c>
      <c r="D24" s="8" t="s">
        <v>58</v>
      </c>
    </row>
    <row r="25" spans="1:4">
      <c r="A25" s="44"/>
      <c r="B25" s="8" t="s">
        <v>101</v>
      </c>
      <c r="C25" s="9">
        <f>C24*L8/L7</f>
        <v>17.779999999999998</v>
      </c>
      <c r="D25" s="8" t="s">
        <v>92</v>
      </c>
    </row>
    <row r="26" spans="1:4">
      <c r="A26" s="44"/>
      <c r="B26" s="8" t="s">
        <v>63</v>
      </c>
      <c r="C26" s="9">
        <f>'CRJ Basic Inputs'!C19</f>
        <v>20</v>
      </c>
      <c r="D26" s="8" t="s">
        <v>64</v>
      </c>
    </row>
    <row r="27" spans="1:4">
      <c r="A27" s="41" t="s">
        <v>76</v>
      </c>
      <c r="B27" s="3" t="s">
        <v>102</v>
      </c>
      <c r="C27" s="9">
        <f>'CRJ Basic Inputs'!C20</f>
        <v>0</v>
      </c>
      <c r="D27" s="3" t="s">
        <v>46</v>
      </c>
    </row>
    <row r="28" spans="1:4">
      <c r="A28" s="49"/>
      <c r="B28" s="3" t="s">
        <v>103</v>
      </c>
      <c r="C28" s="9">
        <f>C27*L8</f>
        <v>0</v>
      </c>
      <c r="D28" s="3" t="s">
        <v>86</v>
      </c>
    </row>
    <row r="29" spans="1:4">
      <c r="A29" s="49"/>
      <c r="B29" s="3" t="s">
        <v>78</v>
      </c>
      <c r="C29" s="9">
        <f>'CRJ Basic Inputs'!C21</f>
        <v>5200</v>
      </c>
      <c r="D29" s="3" t="s">
        <v>46</v>
      </c>
    </row>
    <row r="30" spans="1:4">
      <c r="A30" s="42"/>
      <c r="B30" s="3" t="s">
        <v>78</v>
      </c>
      <c r="C30" s="9">
        <f>C29*L8</f>
        <v>1584.96</v>
      </c>
      <c r="D30" s="3" t="s">
        <v>86</v>
      </c>
    </row>
    <row r="32" spans="1:4">
      <c r="A32" s="48" t="s">
        <v>104</v>
      </c>
      <c r="B32" s="48"/>
    </row>
    <row r="33" spans="1:5">
      <c r="B33" s="1" t="s">
        <v>105</v>
      </c>
      <c r="C33">
        <v>1.4E-2</v>
      </c>
      <c r="E33" t="s">
        <v>106</v>
      </c>
    </row>
    <row r="34" spans="1:5">
      <c r="A34" s="1"/>
      <c r="B34" s="25"/>
    </row>
    <row r="35" spans="1:5">
      <c r="A35" s="1"/>
    </row>
    <row r="36" spans="1:5">
      <c r="A36" s="1"/>
      <c r="C36" s="1"/>
      <c r="D36"/>
    </row>
    <row r="37" spans="1:5">
      <c r="A37" s="1"/>
      <c r="C37" s="1"/>
      <c r="D37"/>
    </row>
    <row r="38" spans="1:5">
      <c r="A38" s="1"/>
      <c r="C38" s="1"/>
      <c r="D38"/>
    </row>
    <row r="39" spans="1:5">
      <c r="D39"/>
    </row>
    <row r="40" spans="1:5">
      <c r="D40"/>
    </row>
  </sheetData>
  <mergeCells count="8">
    <mergeCell ref="A32:B32"/>
    <mergeCell ref="A24:A26"/>
    <mergeCell ref="A27:A30"/>
    <mergeCell ref="A1:E1"/>
    <mergeCell ref="A3:A7"/>
    <mergeCell ref="A8:A14"/>
    <mergeCell ref="A15:A17"/>
    <mergeCell ref="A18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F3D5-7FDA-485E-A8B6-DE79360C44DD}">
  <dimension ref="A1:V67"/>
  <sheetViews>
    <sheetView zoomScale="83" workbookViewId="0">
      <selection activeCell="C31" sqref="C31"/>
    </sheetView>
  </sheetViews>
  <sheetFormatPr defaultColWidth="8.6640625" defaultRowHeight="14.4"/>
  <cols>
    <col min="1" max="1" width="14.6640625" customWidth="1"/>
    <col min="2" max="2" width="38.44140625" bestFit="1" customWidth="1"/>
    <col min="3" max="4" width="23.6640625" customWidth="1"/>
    <col min="5" max="5" width="58.109375" customWidth="1"/>
  </cols>
  <sheetData>
    <row r="1" spans="1:21">
      <c r="A1" s="43" t="s">
        <v>107</v>
      </c>
      <c r="B1" s="43"/>
      <c r="C1" s="43"/>
      <c r="D1" s="43"/>
      <c r="E1" s="43"/>
    </row>
    <row r="2" spans="1:21">
      <c r="A2" s="11"/>
      <c r="B2" s="12" t="s">
        <v>108</v>
      </c>
      <c r="C2" s="12" t="s">
        <v>27</v>
      </c>
      <c r="D2" s="12" t="s">
        <v>28</v>
      </c>
      <c r="E2" s="10" t="s">
        <v>29</v>
      </c>
    </row>
    <row r="3" spans="1:21">
      <c r="A3" s="45" t="s">
        <v>30</v>
      </c>
      <c r="B3" s="8" t="s">
        <v>31</v>
      </c>
      <c r="C3" s="9">
        <f>Inputs!C3</f>
        <v>0.78500000000000003</v>
      </c>
      <c r="D3" s="8" t="s">
        <v>32</v>
      </c>
      <c r="E3" t="s">
        <v>109</v>
      </c>
      <c r="H3" s="19" t="s">
        <v>80</v>
      </c>
      <c r="I3" s="7"/>
      <c r="P3" s="19" t="s">
        <v>110</v>
      </c>
      <c r="Q3" s="7"/>
    </row>
    <row r="4" spans="1:21">
      <c r="A4" s="45"/>
      <c r="B4" s="8" t="s">
        <v>34</v>
      </c>
      <c r="C4" s="9">
        <f>Inputs!C4</f>
        <v>1.8721329360400001</v>
      </c>
      <c r="D4" s="8" t="s">
        <v>35</v>
      </c>
      <c r="E4" t="s">
        <v>109</v>
      </c>
    </row>
    <row r="5" spans="1:21">
      <c r="A5" s="45"/>
      <c r="B5" s="8" t="s">
        <v>37</v>
      </c>
      <c r="C5" s="9">
        <f>Inputs!C5/L5</f>
        <v>1.9000000000000003E-2</v>
      </c>
      <c r="D5" s="8" t="s">
        <v>111</v>
      </c>
      <c r="I5" t="s">
        <v>81</v>
      </c>
      <c r="L5">
        <f>1*60*60</f>
        <v>3600</v>
      </c>
      <c r="M5" t="s">
        <v>82</v>
      </c>
      <c r="P5" t="s">
        <v>112</v>
      </c>
      <c r="U5">
        <v>1</v>
      </c>
    </row>
    <row r="6" spans="1:21">
      <c r="A6" s="45"/>
      <c r="B6" s="8" t="s">
        <v>113</v>
      </c>
      <c r="C6" s="9">
        <f>U5/(U6*U9*U7)</f>
        <v>5.2080076756868342E-2</v>
      </c>
      <c r="D6" s="9"/>
      <c r="E6" t="s">
        <v>114</v>
      </c>
      <c r="I6" t="s">
        <v>83</v>
      </c>
      <c r="L6">
        <v>60</v>
      </c>
      <c r="M6" t="s">
        <v>82</v>
      </c>
      <c r="P6" t="s">
        <v>115</v>
      </c>
      <c r="U6">
        <f>PI()</f>
        <v>3.1415926535897931</v>
      </c>
    </row>
    <row r="7" spans="1:21">
      <c r="A7" s="50" t="s">
        <v>116</v>
      </c>
      <c r="B7" s="3" t="s">
        <v>45</v>
      </c>
      <c r="C7" s="2">
        <f>Inputs!C9</f>
        <v>0</v>
      </c>
      <c r="D7" s="3" t="s">
        <v>86</v>
      </c>
      <c r="E7" t="s">
        <v>117</v>
      </c>
      <c r="I7" t="s">
        <v>85</v>
      </c>
      <c r="L7">
        <v>0.30480000000000002</v>
      </c>
      <c r="M7" t="s">
        <v>86</v>
      </c>
      <c r="P7" t="s">
        <v>118</v>
      </c>
      <c r="U7">
        <f>Inputs!C6</f>
        <v>7.38</v>
      </c>
    </row>
    <row r="8" spans="1:21">
      <c r="A8" s="50"/>
      <c r="B8" s="3" t="s">
        <v>119</v>
      </c>
      <c r="C8" s="2">
        <f>C7*($L$21/($L$21+C7))</f>
        <v>0</v>
      </c>
      <c r="D8" s="3" t="s">
        <v>86</v>
      </c>
      <c r="I8" t="s">
        <v>120</v>
      </c>
      <c r="L8">
        <v>1000</v>
      </c>
      <c r="M8" t="s">
        <v>121</v>
      </c>
      <c r="P8" s="20" t="s">
        <v>122</v>
      </c>
    </row>
    <row r="9" spans="1:21">
      <c r="A9" s="50"/>
      <c r="B9" s="3" t="s">
        <v>123</v>
      </c>
      <c r="C9" s="2">
        <f>L14*((L17+(C8*L18))/L17)^(U19)</f>
        <v>1.2250000000000001</v>
      </c>
      <c r="D9" s="3" t="s">
        <v>124</v>
      </c>
      <c r="E9" t="s">
        <v>125</v>
      </c>
      <c r="P9" t="s">
        <v>126</v>
      </c>
      <c r="U9">
        <f>U17</f>
        <v>0.82817506382465866</v>
      </c>
    </row>
    <row r="10" spans="1:21">
      <c r="A10" s="50"/>
      <c r="B10" s="3" t="s">
        <v>48</v>
      </c>
      <c r="C10" s="2">
        <f>Inputs!C10</f>
        <v>30390</v>
      </c>
      <c r="D10" s="3" t="s">
        <v>49</v>
      </c>
      <c r="E10" t="s">
        <v>109</v>
      </c>
    </row>
    <row r="11" spans="1:21">
      <c r="A11" s="50"/>
      <c r="B11" s="3" t="s">
        <v>51</v>
      </c>
      <c r="C11" s="2">
        <f>Inputs!C12</f>
        <v>63.662494500000001</v>
      </c>
      <c r="D11" s="3" t="s">
        <v>92</v>
      </c>
      <c r="E11" t="s">
        <v>109</v>
      </c>
      <c r="P11" t="s">
        <v>127</v>
      </c>
      <c r="U11">
        <f>1.78</f>
        <v>1.78</v>
      </c>
    </row>
    <row r="12" spans="1:21">
      <c r="A12" s="50"/>
      <c r="B12" s="3" t="s">
        <v>54</v>
      </c>
      <c r="C12" s="2">
        <f>Inputs!C14</f>
        <v>1371.6000000000001</v>
      </c>
      <c r="D12" s="3" t="s">
        <v>86</v>
      </c>
      <c r="E12" t="s">
        <v>109</v>
      </c>
      <c r="H12" s="19" t="s">
        <v>128</v>
      </c>
      <c r="I12" s="7"/>
      <c r="P12" t="s">
        <v>129</v>
      </c>
      <c r="U12">
        <f>1</f>
        <v>1</v>
      </c>
    </row>
    <row r="13" spans="1:21">
      <c r="A13" s="50"/>
      <c r="B13" s="3" t="s">
        <v>130</v>
      </c>
      <c r="C13" s="2">
        <f>((1.2/C11)^2)*((2*(C10/Inputs!C7^2))/C9)</f>
        <v>3.7504050775549655E-3</v>
      </c>
      <c r="D13" s="3"/>
      <c r="I13" t="s">
        <v>131</v>
      </c>
      <c r="L13">
        <f>PI()</f>
        <v>3.1415926535897931</v>
      </c>
      <c r="P13" t="s">
        <v>132</v>
      </c>
      <c r="U13">
        <f>0.045</f>
        <v>4.4999999999999998E-2</v>
      </c>
    </row>
    <row r="14" spans="1:21">
      <c r="A14" s="50"/>
      <c r="B14" s="3" t="s">
        <v>133</v>
      </c>
      <c r="C14" s="2">
        <f>(1.21/C12)*((C10/Inputs!C7)/(C9*L19*C13*(1/C10)))</f>
        <v>263762.79903133924</v>
      </c>
      <c r="D14" s="3" t="s">
        <v>134</v>
      </c>
      <c r="I14" t="s">
        <v>135</v>
      </c>
      <c r="L14">
        <v>1.2250000000000001</v>
      </c>
      <c r="M14" t="s">
        <v>124</v>
      </c>
      <c r="P14" t="s">
        <v>136</v>
      </c>
      <c r="U14">
        <f>0.68</f>
        <v>0.68</v>
      </c>
    </row>
    <row r="15" spans="1:21">
      <c r="A15" s="50"/>
      <c r="B15" s="3" t="s">
        <v>137</v>
      </c>
      <c r="C15" s="2">
        <f>C14*C11</f>
        <v>16791797.742637239</v>
      </c>
      <c r="D15" s="3" t="s">
        <v>138</v>
      </c>
      <c r="E15" s="18"/>
    </row>
    <row r="16" spans="1:21">
      <c r="A16" s="50"/>
      <c r="B16" s="3" t="s">
        <v>139</v>
      </c>
      <c r="C16" s="2">
        <f>C15/(1000*1000)</f>
        <v>16.79179774263724</v>
      </c>
      <c r="D16" s="3" t="s">
        <v>140</v>
      </c>
      <c r="E16" t="s">
        <v>141</v>
      </c>
      <c r="I16" t="s">
        <v>142</v>
      </c>
      <c r="L16">
        <v>340.29</v>
      </c>
      <c r="M16" t="s">
        <v>92</v>
      </c>
      <c r="P16" t="s">
        <v>143</v>
      </c>
      <c r="U16">
        <f>0.64</f>
        <v>0.64</v>
      </c>
    </row>
    <row r="17" spans="1:22">
      <c r="A17" s="50"/>
      <c r="B17" s="3" t="s">
        <v>144</v>
      </c>
      <c r="C17" s="2">
        <f>C12/(C11/(1.1*3))</f>
        <v>71.09806229788876</v>
      </c>
      <c r="D17" s="3" t="s">
        <v>145</v>
      </c>
      <c r="E17" t="s">
        <v>146</v>
      </c>
      <c r="I17" t="s">
        <v>147</v>
      </c>
      <c r="L17">
        <v>288</v>
      </c>
      <c r="M17" t="s">
        <v>113</v>
      </c>
      <c r="P17" t="s">
        <v>148</v>
      </c>
      <c r="U17">
        <f>U11*(U12-(U13*(U7^U14)))-U16</f>
        <v>0.82817506382465866</v>
      </c>
    </row>
    <row r="18" spans="1:22">
      <c r="A18" s="50"/>
      <c r="B18" s="3" t="s">
        <v>149</v>
      </c>
      <c r="C18" s="2">
        <f>C19/C3</f>
        <v>453.89484640830284</v>
      </c>
      <c r="D18" s="3" t="s">
        <v>150</v>
      </c>
      <c r="E18" t="s">
        <v>151</v>
      </c>
      <c r="I18" t="s">
        <v>152</v>
      </c>
      <c r="L18">
        <v>-6.4999999999999997E-3</v>
      </c>
      <c r="M18" t="s">
        <v>153</v>
      </c>
    </row>
    <row r="19" spans="1:22">
      <c r="A19" s="50"/>
      <c r="B19" s="3" t="s">
        <v>149</v>
      </c>
      <c r="C19" s="2">
        <f>C5*C16*L8*C17/C11</f>
        <v>356.30745443051774</v>
      </c>
      <c r="D19" s="3" t="s">
        <v>49</v>
      </c>
      <c r="E19" t="s">
        <v>154</v>
      </c>
      <c r="I19" t="s">
        <v>155</v>
      </c>
      <c r="L19">
        <v>9.8066499999999994</v>
      </c>
      <c r="M19" t="s">
        <v>156</v>
      </c>
      <c r="P19" t="s">
        <v>157</v>
      </c>
      <c r="U19">
        <f>-((L19/(L18*L20))+1)</f>
        <v>4.2586803228141683</v>
      </c>
    </row>
    <row r="20" spans="1:22">
      <c r="A20" s="53" t="s">
        <v>56</v>
      </c>
      <c r="B20" s="8" t="s">
        <v>158</v>
      </c>
      <c r="C20" s="9">
        <f>C10-C19</f>
        <v>30033.692545569484</v>
      </c>
      <c r="D20" s="8" t="s">
        <v>49</v>
      </c>
      <c r="E20" t="s">
        <v>159</v>
      </c>
      <c r="I20" t="s">
        <v>160</v>
      </c>
      <c r="L20">
        <v>286.89999999999998</v>
      </c>
      <c r="M20" t="s">
        <v>161</v>
      </c>
    </row>
    <row r="21" spans="1:22" ht="14.7" customHeight="1">
      <c r="A21" s="53"/>
      <c r="B21" s="8" t="s">
        <v>162</v>
      </c>
      <c r="C21" s="9">
        <f>Inputs!C25</f>
        <v>17.779999999999998</v>
      </c>
      <c r="D21" s="8" t="s">
        <v>92</v>
      </c>
      <c r="I21" t="s">
        <v>163</v>
      </c>
      <c r="L21">
        <v>6371000</v>
      </c>
      <c r="M21" t="s">
        <v>86</v>
      </c>
    </row>
    <row r="22" spans="1:22">
      <c r="A22" s="53"/>
      <c r="B22" s="8" t="s">
        <v>63</v>
      </c>
      <c r="C22" s="22">
        <f>Inputs!C17</f>
        <v>12</v>
      </c>
      <c r="D22" s="8" t="s">
        <v>64</v>
      </c>
      <c r="E22" t="s">
        <v>109</v>
      </c>
    </row>
    <row r="23" spans="1:22">
      <c r="A23" s="53"/>
      <c r="B23" s="8" t="s">
        <v>164</v>
      </c>
      <c r="C23" s="9">
        <f>C35-C7</f>
        <v>12496.800000000001</v>
      </c>
      <c r="D23" s="8" t="s">
        <v>86</v>
      </c>
      <c r="E23" t="s">
        <v>165</v>
      </c>
    </row>
    <row r="24" spans="1:22">
      <c r="A24" s="53"/>
      <c r="B24" s="8" t="s">
        <v>166</v>
      </c>
      <c r="C24" s="22">
        <f>C23/TAN(C22*0.01745329)</f>
        <v>58792.830294176099</v>
      </c>
      <c r="D24" s="8" t="s">
        <v>86</v>
      </c>
      <c r="E24" t="s">
        <v>167</v>
      </c>
    </row>
    <row r="25" spans="1:22">
      <c r="A25" s="53"/>
      <c r="B25" s="8" t="s">
        <v>168</v>
      </c>
      <c r="C25" s="9">
        <f>0.5*C37*((C29)^3)*Inputs!C7*Inputs!C33</f>
        <v>12861768.041162804</v>
      </c>
      <c r="D25" s="8" t="s">
        <v>169</v>
      </c>
    </row>
    <row r="26" spans="1:22">
      <c r="A26" s="53"/>
      <c r="B26" s="8" t="s">
        <v>170</v>
      </c>
      <c r="C26" s="26">
        <f>(2*C6*(C20^2))/(C37*C29*Inputs!C7)</f>
        <v>10224.868618406494</v>
      </c>
      <c r="D26" s="8" t="s">
        <v>169</v>
      </c>
    </row>
    <row r="27" spans="1:22">
      <c r="A27" s="53"/>
      <c r="B27" s="8" t="s">
        <v>171</v>
      </c>
      <c r="C27" s="26">
        <f>C20*C21</f>
        <v>533999.05346022535</v>
      </c>
      <c r="D27" s="8" t="s">
        <v>169</v>
      </c>
    </row>
    <row r="28" spans="1:22">
      <c r="A28" s="53"/>
      <c r="B28" s="8" t="s">
        <v>172</v>
      </c>
      <c r="C28" s="26">
        <f>C25+C26+C27</f>
        <v>13405991.963241436</v>
      </c>
      <c r="D28" s="8" t="s">
        <v>138</v>
      </c>
    </row>
    <row r="29" spans="1:22">
      <c r="A29" s="53"/>
      <c r="B29" s="8" t="s">
        <v>93</v>
      </c>
      <c r="C29" s="9">
        <f>Inputs!C16*C38</f>
        <v>447.16792912470351</v>
      </c>
      <c r="D29" s="8" t="s">
        <v>92</v>
      </c>
      <c r="E29" s="18" t="s">
        <v>173</v>
      </c>
    </row>
    <row r="30" spans="1:22">
      <c r="A30" s="53"/>
      <c r="B30" s="8" t="s">
        <v>139</v>
      </c>
      <c r="C30" s="9">
        <f>(C28)/(1000*1000)</f>
        <v>13.405991963241435</v>
      </c>
      <c r="D30" s="8" t="s">
        <v>140</v>
      </c>
      <c r="E30" t="s">
        <v>174</v>
      </c>
    </row>
    <row r="31" spans="1:22">
      <c r="A31" s="53"/>
      <c r="B31" s="8" t="s">
        <v>144</v>
      </c>
      <c r="C31" s="9">
        <f>C23/C21</f>
        <v>702.857142857143</v>
      </c>
      <c r="D31" s="8" t="s">
        <v>82</v>
      </c>
      <c r="E31" t="s">
        <v>175</v>
      </c>
      <c r="V31" s="25"/>
    </row>
    <row r="32" spans="1:22">
      <c r="A32" s="53"/>
      <c r="B32" s="8" t="s">
        <v>149</v>
      </c>
      <c r="C32" s="9">
        <f>C33/C3</f>
        <v>2667.8986021544961</v>
      </c>
      <c r="D32" s="8" t="s">
        <v>150</v>
      </c>
      <c r="E32" t="s">
        <v>175</v>
      </c>
    </row>
    <row r="33" spans="1:7">
      <c r="A33" s="53"/>
      <c r="B33" s="8" t="s">
        <v>149</v>
      </c>
      <c r="C33" s="22">
        <f>C5*C30*L8*C31/(C21/SIN(C22*22/(7*180)))</f>
        <v>2094.3004026912795</v>
      </c>
      <c r="D33" s="8" t="s">
        <v>49</v>
      </c>
      <c r="E33" t="s">
        <v>175</v>
      </c>
    </row>
    <row r="34" spans="1:7">
      <c r="A34" s="54" t="s">
        <v>66</v>
      </c>
      <c r="B34" s="3" t="s">
        <v>176</v>
      </c>
      <c r="C34" s="2">
        <f>C20-C33</f>
        <v>27939.392142878205</v>
      </c>
      <c r="D34" s="3" t="s">
        <v>49</v>
      </c>
      <c r="E34" t="s">
        <v>159</v>
      </c>
    </row>
    <row r="35" spans="1:7">
      <c r="A35" s="54"/>
      <c r="B35" s="3" t="s">
        <v>67</v>
      </c>
      <c r="C35" s="2">
        <f>Inputs!C19</f>
        <v>12496.800000000001</v>
      </c>
      <c r="D35" s="3" t="s">
        <v>86</v>
      </c>
      <c r="E35" t="s">
        <v>117</v>
      </c>
    </row>
    <row r="36" spans="1:7">
      <c r="A36" s="54"/>
      <c r="B36" s="3" t="s">
        <v>119</v>
      </c>
      <c r="C36" s="2">
        <f>C35*($L$21/($L$21+C35))</f>
        <v>12472.335350743813</v>
      </c>
      <c r="D36" s="3" t="s">
        <v>86</v>
      </c>
    </row>
    <row r="37" spans="1:7">
      <c r="A37" s="54"/>
      <c r="B37" s="3" t="s">
        <v>123</v>
      </c>
      <c r="C37" s="2">
        <f>L14*((L17+(L18*C36))/L17)^(U19)</f>
        <v>0.29972286740866055</v>
      </c>
      <c r="D37" s="3" t="s">
        <v>124</v>
      </c>
      <c r="E37" t="s">
        <v>177</v>
      </c>
      <c r="F37" s="6" t="s">
        <v>178</v>
      </c>
    </row>
    <row r="38" spans="1:7" ht="15">
      <c r="A38" s="54"/>
      <c r="B38" s="3" t="s">
        <v>179</v>
      </c>
      <c r="C38" s="27">
        <f>L16*SQRT(L14/C37)</f>
        <v>687.95066019185151</v>
      </c>
      <c r="D38" s="3" t="s">
        <v>92</v>
      </c>
      <c r="E38" t="s">
        <v>180</v>
      </c>
      <c r="G38" s="18"/>
    </row>
    <row r="39" spans="1:7">
      <c r="A39" s="54"/>
      <c r="B39" s="3" t="s">
        <v>69</v>
      </c>
      <c r="C39" s="2">
        <f>Inputs!C22</f>
        <v>1666800.0000000002</v>
      </c>
      <c r="D39" s="3" t="s">
        <v>86</v>
      </c>
    </row>
    <row r="40" spans="1:7">
      <c r="A40" s="54"/>
      <c r="B40" s="3" t="s">
        <v>181</v>
      </c>
      <c r="C40" s="2">
        <f>Inputs!C23*C38</f>
        <v>426.52940931894796</v>
      </c>
      <c r="D40" s="3" t="s">
        <v>92</v>
      </c>
    </row>
    <row r="41" spans="1:7">
      <c r="A41" s="54"/>
      <c r="B41" s="3" t="s">
        <v>168</v>
      </c>
      <c r="C41" s="2">
        <f>0.5*C37*(C40^3)*Inputs!C7*Inputs!C33</f>
        <v>11161836.88198179</v>
      </c>
      <c r="D41" s="3" t="s">
        <v>169</v>
      </c>
    </row>
    <row r="42" spans="1:7">
      <c r="A42" s="54"/>
      <c r="B42" s="3" t="s">
        <v>170</v>
      </c>
      <c r="C42" s="2">
        <f>(2*C6*(C34^2))/(C37*C40*Inputs!C7)</f>
        <v>9276.7499130447704</v>
      </c>
      <c r="D42" s="3" t="s">
        <v>169</v>
      </c>
      <c r="E42" s="25"/>
    </row>
    <row r="43" spans="1:7">
      <c r="A43" s="54"/>
      <c r="B43" s="3" t="s">
        <v>137</v>
      </c>
      <c r="C43" s="2">
        <f>C42+C41</f>
        <v>11171113.631894834</v>
      </c>
      <c r="D43" s="3" t="s">
        <v>138</v>
      </c>
      <c r="E43" s="25"/>
    </row>
    <row r="44" spans="1:7">
      <c r="A44" s="54"/>
      <c r="B44" s="3" t="s">
        <v>139</v>
      </c>
      <c r="C44" s="2">
        <f>(C42+C41)/(1000000)</f>
        <v>11.171113631894835</v>
      </c>
      <c r="D44" s="3" t="s">
        <v>140</v>
      </c>
      <c r="E44" t="s">
        <v>182</v>
      </c>
    </row>
    <row r="45" spans="1:7">
      <c r="A45" s="54"/>
      <c r="B45" s="3" t="s">
        <v>183</v>
      </c>
      <c r="C45" s="2">
        <f>C39/C40</f>
        <v>3907.8196334959148</v>
      </c>
      <c r="D45" s="3" t="s">
        <v>82</v>
      </c>
      <c r="E45" t="s">
        <v>175</v>
      </c>
    </row>
    <row r="46" spans="1:7">
      <c r="A46" s="54"/>
      <c r="B46" s="3" t="s">
        <v>149</v>
      </c>
      <c r="C46" s="2">
        <f>C47/C3</f>
        <v>2477.2277875283517</v>
      </c>
      <c r="D46" s="3" t="s">
        <v>150</v>
      </c>
      <c r="E46" t="s">
        <v>175</v>
      </c>
    </row>
    <row r="47" spans="1:7">
      <c r="A47" s="54"/>
      <c r="B47" s="3" t="s">
        <v>149</v>
      </c>
      <c r="C47" s="21">
        <f>C45*C44*L8*C5/C40</f>
        <v>1944.6238132097562</v>
      </c>
      <c r="D47" s="3" t="s">
        <v>49</v>
      </c>
      <c r="E47" t="s">
        <v>175</v>
      </c>
    </row>
    <row r="48" spans="1:7">
      <c r="A48" s="53" t="s">
        <v>74</v>
      </c>
      <c r="B48" s="8" t="s">
        <v>184</v>
      </c>
      <c r="C48" s="9">
        <f>C34-C47</f>
        <v>25994.768329668448</v>
      </c>
      <c r="D48" s="8" t="s">
        <v>49</v>
      </c>
      <c r="E48" t="s">
        <v>159</v>
      </c>
    </row>
    <row r="49" spans="1:5">
      <c r="A49" s="53"/>
      <c r="B49" s="8" t="s">
        <v>57</v>
      </c>
      <c r="C49" s="9">
        <f>Inputs!C25</f>
        <v>17.779999999999998</v>
      </c>
      <c r="D49" s="8" t="s">
        <v>92</v>
      </c>
    </row>
    <row r="50" spans="1:5">
      <c r="A50" s="53"/>
      <c r="B50" s="8" t="s">
        <v>63</v>
      </c>
      <c r="C50" s="9">
        <f>Inputs!C26</f>
        <v>20</v>
      </c>
      <c r="D50" s="8" t="s">
        <v>64</v>
      </c>
      <c r="E50" t="s">
        <v>109</v>
      </c>
    </row>
    <row r="51" spans="1:5">
      <c r="A51" s="53"/>
      <c r="B51" s="8" t="s">
        <v>164</v>
      </c>
      <c r="C51" s="9">
        <f>C35-C59</f>
        <v>12496.800000000001</v>
      </c>
      <c r="D51" s="8" t="s">
        <v>86</v>
      </c>
      <c r="E51" t="s">
        <v>185</v>
      </c>
    </row>
    <row r="52" spans="1:5">
      <c r="A52" s="53"/>
      <c r="B52" s="8" t="s">
        <v>166</v>
      </c>
      <c r="C52" s="22">
        <f>C51/TAN(C50*0.01746)</f>
        <v>34320.349820326708</v>
      </c>
      <c r="D52" s="24" t="s">
        <v>86</v>
      </c>
      <c r="E52" t="s">
        <v>167</v>
      </c>
    </row>
    <row r="53" spans="1:5">
      <c r="A53" s="53"/>
      <c r="B53" s="8" t="s">
        <v>137</v>
      </c>
      <c r="C53" s="22">
        <f>C43</f>
        <v>11171113.631894834</v>
      </c>
      <c r="D53" s="24" t="s">
        <v>169</v>
      </c>
    </row>
    <row r="54" spans="1:5">
      <c r="A54" s="53"/>
      <c r="B54" s="8" t="s">
        <v>139</v>
      </c>
      <c r="C54" s="9">
        <f>C44</f>
        <v>11.171113631894835</v>
      </c>
      <c r="D54" s="8" t="s">
        <v>140</v>
      </c>
      <c r="E54" t="s">
        <v>186</v>
      </c>
    </row>
    <row r="55" spans="1:5">
      <c r="A55" s="53"/>
      <c r="B55" s="8" t="s">
        <v>144</v>
      </c>
      <c r="C55" s="9">
        <f>C51/C49</f>
        <v>702.857142857143</v>
      </c>
      <c r="D55" s="8" t="s">
        <v>82</v>
      </c>
      <c r="E55" t="s">
        <v>175</v>
      </c>
    </row>
    <row r="56" spans="1:5">
      <c r="A56" s="53"/>
      <c r="B56" s="8" t="s">
        <v>149</v>
      </c>
      <c r="C56" s="9">
        <f>C57/C3</f>
        <v>3657.0846497394937</v>
      </c>
      <c r="D56" s="8" t="s">
        <v>150</v>
      </c>
      <c r="E56" t="s">
        <v>175</v>
      </c>
    </row>
    <row r="57" spans="1:5">
      <c r="A57" s="53"/>
      <c r="B57" s="8" t="s">
        <v>149</v>
      </c>
      <c r="C57" s="22">
        <f>C54*C55*L8*C5/(C49/SIN(C50*22/(180*7)))</f>
        <v>2870.8114500455026</v>
      </c>
      <c r="D57" s="8" t="s">
        <v>49</v>
      </c>
      <c r="E57" t="s">
        <v>175</v>
      </c>
    </row>
    <row r="58" spans="1:5">
      <c r="A58" s="50" t="s">
        <v>76</v>
      </c>
      <c r="B58" s="3" t="s">
        <v>187</v>
      </c>
      <c r="C58" s="2">
        <f>C48-C57</f>
        <v>23123.956879622947</v>
      </c>
      <c r="D58" s="3" t="s">
        <v>49</v>
      </c>
      <c r="E58" t="s">
        <v>159</v>
      </c>
    </row>
    <row r="59" spans="1:5">
      <c r="A59" s="50"/>
      <c r="B59" s="3" t="s">
        <v>77</v>
      </c>
      <c r="C59" s="2">
        <f>Inputs!C28</f>
        <v>0</v>
      </c>
      <c r="D59" s="3" t="s">
        <v>86</v>
      </c>
      <c r="E59" t="s">
        <v>117</v>
      </c>
    </row>
    <row r="60" spans="1:5">
      <c r="A60" s="50"/>
      <c r="B60" s="3" t="s">
        <v>78</v>
      </c>
      <c r="C60" s="2">
        <f>Inputs!C30</f>
        <v>1584.96</v>
      </c>
      <c r="D60" s="3" t="s">
        <v>86</v>
      </c>
      <c r="E60" t="s">
        <v>109</v>
      </c>
    </row>
    <row r="61" spans="1:5">
      <c r="A61" s="50"/>
      <c r="B61" s="3" t="s">
        <v>139</v>
      </c>
      <c r="C61" s="2">
        <v>0</v>
      </c>
      <c r="D61" s="3" t="s">
        <v>138</v>
      </c>
      <c r="E61" t="s">
        <v>188</v>
      </c>
    </row>
    <row r="62" spans="1:5">
      <c r="A62" s="50"/>
      <c r="B62" s="3" t="s">
        <v>144</v>
      </c>
      <c r="C62" s="2">
        <f>C60/(C11*1.23/(1.1*3))</f>
        <v>66.794927542731983</v>
      </c>
      <c r="D62" s="3" t="s">
        <v>145</v>
      </c>
      <c r="E62" t="s">
        <v>189</v>
      </c>
    </row>
    <row r="63" spans="1:5">
      <c r="A63" s="50"/>
      <c r="B63" s="3" t="s">
        <v>149</v>
      </c>
      <c r="C63" s="2">
        <f>C60*C4/1852</f>
        <v>1.6021899666878827</v>
      </c>
      <c r="D63" s="3" t="s">
        <v>150</v>
      </c>
      <c r="E63" t="s">
        <v>190</v>
      </c>
    </row>
    <row r="64" spans="1:5">
      <c r="A64" s="50"/>
      <c r="B64" s="3" t="s">
        <v>149</v>
      </c>
      <c r="C64" s="2">
        <f>C63*C3</f>
        <v>1.2577191238499881</v>
      </c>
      <c r="D64" s="3" t="s">
        <v>49</v>
      </c>
      <c r="E64" t="s">
        <v>175</v>
      </c>
    </row>
    <row r="65" spans="1:5" ht="14.7" customHeight="1">
      <c r="A65" s="51" t="s">
        <v>191</v>
      </c>
      <c r="B65" s="8" t="s">
        <v>144</v>
      </c>
      <c r="C65" s="9">
        <f>C66*L6</f>
        <v>900</v>
      </c>
      <c r="D65" s="8" t="s">
        <v>192</v>
      </c>
    </row>
    <row r="66" spans="1:5">
      <c r="A66" s="52"/>
      <c r="B66" s="8" t="s">
        <v>193</v>
      </c>
      <c r="C66" s="8">
        <v>15</v>
      </c>
      <c r="D66" s="8" t="s">
        <v>194</v>
      </c>
      <c r="E66" t="s">
        <v>195</v>
      </c>
    </row>
    <row r="67" spans="1:5">
      <c r="A67" s="13"/>
      <c r="D67" s="1"/>
    </row>
  </sheetData>
  <mergeCells count="8">
    <mergeCell ref="A1:E1"/>
    <mergeCell ref="A7:A19"/>
    <mergeCell ref="A3:A6"/>
    <mergeCell ref="A65:A66"/>
    <mergeCell ref="A20:A33"/>
    <mergeCell ref="A34:A47"/>
    <mergeCell ref="A48:A57"/>
    <mergeCell ref="A58:A64"/>
  </mergeCells>
  <hyperlinks>
    <hyperlink ref="F37" r:id="rId1" xr:uid="{A8FB64C2-E90E-448A-AF10-EEE643DA3F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241E-23EE-0445-AC57-8BB13DDD2537}">
  <dimension ref="A1:V67"/>
  <sheetViews>
    <sheetView zoomScale="68" workbookViewId="0">
      <selection activeCell="C4" sqref="C4"/>
    </sheetView>
  </sheetViews>
  <sheetFormatPr defaultColWidth="8.6640625" defaultRowHeight="14.4"/>
  <cols>
    <col min="1" max="1" width="14.6640625" customWidth="1"/>
    <col min="2" max="2" width="38.44140625" bestFit="1" customWidth="1"/>
    <col min="3" max="4" width="23.6640625" customWidth="1"/>
    <col min="5" max="5" width="58.109375" customWidth="1"/>
  </cols>
  <sheetData>
    <row r="1" spans="1:21">
      <c r="A1" s="43" t="s">
        <v>107</v>
      </c>
      <c r="B1" s="43"/>
      <c r="C1" s="43"/>
      <c r="D1" s="43"/>
      <c r="E1" s="43"/>
    </row>
    <row r="2" spans="1:21">
      <c r="A2" s="11"/>
      <c r="B2" s="12" t="s">
        <v>108</v>
      </c>
      <c r="C2" s="12" t="s">
        <v>27</v>
      </c>
      <c r="D2" s="12" t="s">
        <v>28</v>
      </c>
      <c r="E2" s="10" t="s">
        <v>29</v>
      </c>
    </row>
    <row r="3" spans="1:21">
      <c r="A3" s="45" t="s">
        <v>30</v>
      </c>
      <c r="B3" s="8" t="s">
        <v>31</v>
      </c>
      <c r="C3" s="9">
        <f>Inputs!C3</f>
        <v>0.78500000000000003</v>
      </c>
      <c r="D3" s="8" t="s">
        <v>32</v>
      </c>
      <c r="E3" t="s">
        <v>109</v>
      </c>
      <c r="H3" s="19" t="s">
        <v>80</v>
      </c>
      <c r="I3" s="7"/>
      <c r="P3" s="19" t="s">
        <v>110</v>
      </c>
      <c r="Q3" s="7"/>
    </row>
    <row r="4" spans="1:21">
      <c r="A4" s="45"/>
      <c r="B4" s="8" t="s">
        <v>34</v>
      </c>
      <c r="C4" s="9">
        <f>Inputs!C4</f>
        <v>1.8721329360400001</v>
      </c>
      <c r="D4" s="8" t="s">
        <v>35</v>
      </c>
      <c r="E4" t="s">
        <v>109</v>
      </c>
    </row>
    <row r="5" spans="1:21">
      <c r="A5" s="45"/>
      <c r="B5" s="8" t="s">
        <v>37</v>
      </c>
      <c r="C5" s="9">
        <f>Inputs!C5/L5</f>
        <v>1.9000000000000003E-2</v>
      </c>
      <c r="D5" s="8" t="s">
        <v>111</v>
      </c>
      <c r="I5" t="s">
        <v>81</v>
      </c>
      <c r="L5">
        <f>1*60*60</f>
        <v>3600</v>
      </c>
      <c r="M5" t="s">
        <v>82</v>
      </c>
      <c r="P5" t="s">
        <v>112</v>
      </c>
      <c r="U5">
        <v>1</v>
      </c>
    </row>
    <row r="6" spans="1:21">
      <c r="A6" s="45"/>
      <c r="B6" s="8" t="s">
        <v>113</v>
      </c>
      <c r="C6" s="9">
        <f>U5/(U6*U9*U7)</f>
        <v>5.2080076756868342E-2</v>
      </c>
      <c r="D6" s="9"/>
      <c r="E6" t="s">
        <v>196</v>
      </c>
      <c r="I6" t="s">
        <v>83</v>
      </c>
      <c r="L6">
        <v>60</v>
      </c>
      <c r="M6" t="s">
        <v>82</v>
      </c>
      <c r="P6" t="s">
        <v>115</v>
      </c>
      <c r="U6">
        <f>PI()</f>
        <v>3.1415926535897931</v>
      </c>
    </row>
    <row r="7" spans="1:21">
      <c r="A7" s="50" t="s">
        <v>116</v>
      </c>
      <c r="B7" s="3" t="s">
        <v>45</v>
      </c>
      <c r="C7" s="2">
        <f>Inputs!C9</f>
        <v>0</v>
      </c>
      <c r="D7" s="3" t="s">
        <v>86</v>
      </c>
      <c r="E7" t="s">
        <v>117</v>
      </c>
      <c r="I7" t="s">
        <v>85</v>
      </c>
      <c r="L7">
        <v>0.30480000000000002</v>
      </c>
      <c r="M7" t="s">
        <v>86</v>
      </c>
      <c r="P7" t="s">
        <v>118</v>
      </c>
      <c r="U7">
        <f>Inputs!C6</f>
        <v>7.38</v>
      </c>
    </row>
    <row r="8" spans="1:21">
      <c r="A8" s="50"/>
      <c r="B8" s="3" t="s">
        <v>119</v>
      </c>
      <c r="C8" s="2">
        <f>C7*($L$21/($L$21+C7))</f>
        <v>0</v>
      </c>
      <c r="D8" s="3" t="s">
        <v>86</v>
      </c>
      <c r="I8" t="s">
        <v>120</v>
      </c>
      <c r="L8">
        <v>1000</v>
      </c>
      <c r="M8" t="s">
        <v>121</v>
      </c>
      <c r="P8" s="20" t="s">
        <v>122</v>
      </c>
    </row>
    <row r="9" spans="1:21">
      <c r="A9" s="50"/>
      <c r="B9" s="3" t="s">
        <v>123</v>
      </c>
      <c r="C9" s="2">
        <f>L14*((L17+(C8*L18))/L17)^(U19)</f>
        <v>1.2250000000000001</v>
      </c>
      <c r="D9" s="3" t="s">
        <v>124</v>
      </c>
      <c r="E9" t="s">
        <v>197</v>
      </c>
      <c r="P9" t="s">
        <v>126</v>
      </c>
      <c r="U9">
        <f>U17</f>
        <v>0.82817506382465866</v>
      </c>
    </row>
    <row r="10" spans="1:21">
      <c r="A10" s="50"/>
      <c r="B10" s="3" t="s">
        <v>48</v>
      </c>
      <c r="C10" s="2">
        <f>Inputs!C10</f>
        <v>30390</v>
      </c>
      <c r="D10" s="3" t="s">
        <v>49</v>
      </c>
      <c r="E10" t="s">
        <v>109</v>
      </c>
    </row>
    <row r="11" spans="1:21">
      <c r="A11" s="50"/>
      <c r="B11" s="3" t="s">
        <v>51</v>
      </c>
      <c r="C11" s="2">
        <f>Inputs!C12</f>
        <v>63.662494500000001</v>
      </c>
      <c r="D11" s="3" t="s">
        <v>92</v>
      </c>
      <c r="E11" t="s">
        <v>109</v>
      </c>
      <c r="P11" t="s">
        <v>127</v>
      </c>
      <c r="U11">
        <f>1.78</f>
        <v>1.78</v>
      </c>
    </row>
    <row r="12" spans="1:21">
      <c r="A12" s="50"/>
      <c r="B12" s="3" t="s">
        <v>54</v>
      </c>
      <c r="C12" s="2">
        <f>Inputs!C14</f>
        <v>1371.6000000000001</v>
      </c>
      <c r="D12" s="3" t="s">
        <v>86</v>
      </c>
      <c r="E12" t="s">
        <v>109</v>
      </c>
      <c r="H12" s="19" t="s">
        <v>128</v>
      </c>
      <c r="I12" s="7"/>
      <c r="P12" t="s">
        <v>129</v>
      </c>
      <c r="U12">
        <f>1</f>
        <v>1</v>
      </c>
    </row>
    <row r="13" spans="1:21">
      <c r="A13" s="50"/>
      <c r="B13" s="3" t="s">
        <v>130</v>
      </c>
      <c r="C13" s="2">
        <f>((1.2/C11)^2)*((2*(C10/Inputs!C7^2))/C9)</f>
        <v>3.7504050775549655E-3</v>
      </c>
      <c r="D13" s="3"/>
      <c r="I13" t="s">
        <v>131</v>
      </c>
      <c r="L13">
        <f>PI()</f>
        <v>3.1415926535897931</v>
      </c>
      <c r="P13" t="s">
        <v>132</v>
      </c>
      <c r="U13">
        <f>0.045</f>
        <v>4.4999999999999998E-2</v>
      </c>
    </row>
    <row r="14" spans="1:21">
      <c r="A14" s="50"/>
      <c r="B14" s="3" t="s">
        <v>133</v>
      </c>
      <c r="C14" s="2">
        <f>(1.21/C12)*((C10/Inputs!C7)/(C9*L19*C13*(1/C10)))</f>
        <v>263762.79903133924</v>
      </c>
      <c r="D14" s="3" t="s">
        <v>134</v>
      </c>
      <c r="I14" t="s">
        <v>135</v>
      </c>
      <c r="L14">
        <v>1.2250000000000001</v>
      </c>
      <c r="M14" t="s">
        <v>124</v>
      </c>
      <c r="P14" t="s">
        <v>136</v>
      </c>
      <c r="U14">
        <f>0.68</f>
        <v>0.68</v>
      </c>
    </row>
    <row r="15" spans="1:21">
      <c r="A15" s="50"/>
      <c r="B15" s="3" t="s">
        <v>137</v>
      </c>
      <c r="C15" s="2">
        <f>C14*C11</f>
        <v>16791797.742637239</v>
      </c>
      <c r="D15" s="3" t="s">
        <v>138</v>
      </c>
      <c r="E15" s="18"/>
    </row>
    <row r="16" spans="1:21">
      <c r="A16" s="50"/>
      <c r="B16" s="3" t="s">
        <v>139</v>
      </c>
      <c r="C16" s="2">
        <f>C15/(1000*1000)</f>
        <v>16.79179774263724</v>
      </c>
      <c r="D16" s="3" t="s">
        <v>140</v>
      </c>
      <c r="E16" t="s">
        <v>198</v>
      </c>
      <c r="I16" t="s">
        <v>142</v>
      </c>
      <c r="L16">
        <v>340.29</v>
      </c>
      <c r="M16" t="s">
        <v>92</v>
      </c>
      <c r="P16" t="s">
        <v>143</v>
      </c>
      <c r="U16">
        <f>0.64</f>
        <v>0.64</v>
      </c>
    </row>
    <row r="17" spans="1:22">
      <c r="A17" s="50"/>
      <c r="B17" s="3" t="s">
        <v>144</v>
      </c>
      <c r="C17" s="2">
        <f>C12/(C11/(1.1*3))</f>
        <v>71.09806229788876</v>
      </c>
      <c r="D17" s="3" t="s">
        <v>145</v>
      </c>
      <c r="E17" t="s">
        <v>146</v>
      </c>
      <c r="I17" t="s">
        <v>147</v>
      </c>
      <c r="L17">
        <v>288</v>
      </c>
      <c r="M17" t="s">
        <v>113</v>
      </c>
      <c r="P17" t="s">
        <v>148</v>
      </c>
      <c r="U17">
        <f>U11*(U12-(U13*(U7^U14)))-U16</f>
        <v>0.82817506382465866</v>
      </c>
    </row>
    <row r="18" spans="1:22">
      <c r="A18" s="50"/>
      <c r="B18" s="3" t="s">
        <v>149</v>
      </c>
      <c r="C18" s="2">
        <f>C19/C3</f>
        <v>453.89484640830284</v>
      </c>
      <c r="D18" s="3" t="s">
        <v>150</v>
      </c>
      <c r="E18" t="s">
        <v>151</v>
      </c>
      <c r="I18" t="s">
        <v>152</v>
      </c>
      <c r="L18">
        <v>-6.4999999999999997E-3</v>
      </c>
      <c r="M18" t="s">
        <v>153</v>
      </c>
    </row>
    <row r="19" spans="1:22">
      <c r="A19" s="50"/>
      <c r="B19" s="3" t="s">
        <v>149</v>
      </c>
      <c r="C19" s="2">
        <f>C5*C16*L8*C17/C11</f>
        <v>356.30745443051774</v>
      </c>
      <c r="D19" s="3" t="s">
        <v>49</v>
      </c>
      <c r="E19" t="s">
        <v>154</v>
      </c>
      <c r="I19" t="s">
        <v>155</v>
      </c>
      <c r="L19">
        <v>9.8066499999999994</v>
      </c>
      <c r="M19" t="s">
        <v>156</v>
      </c>
      <c r="P19" t="s">
        <v>157</v>
      </c>
      <c r="U19">
        <f>-((L19/(L18*L20))+1)</f>
        <v>4.2586803228141683</v>
      </c>
    </row>
    <row r="20" spans="1:22">
      <c r="A20" s="53" t="s">
        <v>56</v>
      </c>
      <c r="B20" s="8" t="s">
        <v>158</v>
      </c>
      <c r="C20" s="9">
        <v>73900</v>
      </c>
      <c r="D20" s="8" t="s">
        <v>49</v>
      </c>
      <c r="E20" t="s">
        <v>159</v>
      </c>
      <c r="I20" t="s">
        <v>160</v>
      </c>
      <c r="L20">
        <v>286.89999999999998</v>
      </c>
      <c r="M20" t="s">
        <v>161</v>
      </c>
    </row>
    <row r="21" spans="1:22" ht="14.7" customHeight="1">
      <c r="A21" s="53"/>
      <c r="B21" s="8" t="s">
        <v>162</v>
      </c>
      <c r="C21" s="9">
        <f>Inputs!C25</f>
        <v>17.779999999999998</v>
      </c>
      <c r="D21" s="8" t="s">
        <v>92</v>
      </c>
      <c r="I21" t="s">
        <v>163</v>
      </c>
      <c r="L21">
        <v>6371000</v>
      </c>
      <c r="M21" t="s">
        <v>86</v>
      </c>
    </row>
    <row r="22" spans="1:22">
      <c r="A22" s="53"/>
      <c r="B22" s="8" t="s">
        <v>63</v>
      </c>
      <c r="C22" s="22">
        <f>Inputs!C17</f>
        <v>12</v>
      </c>
      <c r="D22" s="8" t="s">
        <v>64</v>
      </c>
      <c r="E22" t="s">
        <v>109</v>
      </c>
    </row>
    <row r="23" spans="1:22">
      <c r="A23" s="53"/>
      <c r="B23" s="8" t="s">
        <v>164</v>
      </c>
      <c r="C23" s="9">
        <f>C35-C7</f>
        <v>12496.800000000001</v>
      </c>
      <c r="D23" s="8" t="s">
        <v>86</v>
      </c>
      <c r="E23" t="s">
        <v>165</v>
      </c>
    </row>
    <row r="24" spans="1:22">
      <c r="A24" s="53"/>
      <c r="B24" s="8" t="s">
        <v>166</v>
      </c>
      <c r="C24" s="22">
        <f>C23/TAN(C22*0.01745329)</f>
        <v>58792.830294176099</v>
      </c>
      <c r="D24" s="8" t="s">
        <v>86</v>
      </c>
      <c r="E24" t="s">
        <v>167</v>
      </c>
    </row>
    <row r="25" spans="1:22">
      <c r="A25" s="53"/>
      <c r="B25" s="8" t="s">
        <v>168</v>
      </c>
      <c r="C25" s="9">
        <f>0.5*C37*((C29)^3)*Inputs!C7*Inputs!C33</f>
        <v>12861768.041162804</v>
      </c>
      <c r="D25" s="8" t="s">
        <v>169</v>
      </c>
    </row>
    <row r="26" spans="1:22">
      <c r="A26" s="53"/>
      <c r="B26" s="8" t="s">
        <v>170</v>
      </c>
      <c r="C26" s="26">
        <f>(2*C6*(C20^2))/(C37*C29*Inputs!C7)</f>
        <v>61905.48807168028</v>
      </c>
      <c r="D26" s="8" t="s">
        <v>169</v>
      </c>
    </row>
    <row r="27" spans="1:22">
      <c r="A27" s="53"/>
      <c r="B27" s="8" t="s">
        <v>171</v>
      </c>
      <c r="C27" s="26">
        <f>C20*C21</f>
        <v>1313941.9999999998</v>
      </c>
      <c r="D27" s="8" t="s">
        <v>169</v>
      </c>
    </row>
    <row r="28" spans="1:22">
      <c r="A28" s="53"/>
      <c r="B28" s="8" t="s">
        <v>172</v>
      </c>
      <c r="C28" s="26">
        <f>C25+C26+C27</f>
        <v>14237615.529234484</v>
      </c>
      <c r="D28" s="8" t="s">
        <v>138</v>
      </c>
    </row>
    <row r="29" spans="1:22">
      <c r="A29" s="53"/>
      <c r="B29" s="8" t="s">
        <v>93</v>
      </c>
      <c r="C29" s="9">
        <f>Inputs!C16*C38</f>
        <v>447.16792912470351</v>
      </c>
      <c r="D29" s="8" t="s">
        <v>92</v>
      </c>
      <c r="E29" s="18" t="s">
        <v>199</v>
      </c>
    </row>
    <row r="30" spans="1:22">
      <c r="A30" s="53"/>
      <c r="B30" s="8" t="s">
        <v>139</v>
      </c>
      <c r="C30" s="9">
        <f>(C28)/(1000*1000)</f>
        <v>14.237615529234484</v>
      </c>
      <c r="D30" s="8" t="s">
        <v>140</v>
      </c>
      <c r="E30" t="s">
        <v>200</v>
      </c>
    </row>
    <row r="31" spans="1:22">
      <c r="A31" s="53"/>
      <c r="B31" s="8" t="s">
        <v>144</v>
      </c>
      <c r="C31" s="9">
        <f>C23/C21</f>
        <v>702.857142857143</v>
      </c>
      <c r="D31" s="8" t="s">
        <v>82</v>
      </c>
      <c r="E31" t="s">
        <v>175</v>
      </c>
      <c r="V31" s="25"/>
    </row>
    <row r="32" spans="1:22">
      <c r="A32" s="53"/>
      <c r="B32" s="8" t="s">
        <v>149</v>
      </c>
      <c r="C32" s="9">
        <f>C33/C3</f>
        <v>2833.3982798594448</v>
      </c>
      <c r="D32" s="8" t="s">
        <v>150</v>
      </c>
      <c r="E32" t="s">
        <v>175</v>
      </c>
    </row>
    <row r="33" spans="1:7">
      <c r="A33" s="53"/>
      <c r="B33" s="8" t="s">
        <v>149</v>
      </c>
      <c r="C33" s="22">
        <f>C5*C30*L8*C31/(C21/SIN(C22*22/(7*180)))</f>
        <v>2224.2176496896641</v>
      </c>
      <c r="D33" s="8" t="s">
        <v>49</v>
      </c>
      <c r="E33" t="s">
        <v>175</v>
      </c>
    </row>
    <row r="34" spans="1:7">
      <c r="A34" s="54" t="s">
        <v>66</v>
      </c>
      <c r="B34" s="3" t="s">
        <v>176</v>
      </c>
      <c r="C34" s="2">
        <v>73900</v>
      </c>
      <c r="D34" s="3" t="s">
        <v>49</v>
      </c>
      <c r="E34" t="s">
        <v>159</v>
      </c>
    </row>
    <row r="35" spans="1:7">
      <c r="A35" s="54"/>
      <c r="B35" s="3" t="s">
        <v>67</v>
      </c>
      <c r="C35" s="2">
        <f>Inputs!C19</f>
        <v>12496.800000000001</v>
      </c>
      <c r="D35" s="3" t="s">
        <v>86</v>
      </c>
      <c r="E35" t="s">
        <v>117</v>
      </c>
    </row>
    <row r="36" spans="1:7">
      <c r="A36" s="54"/>
      <c r="B36" s="3" t="s">
        <v>119</v>
      </c>
      <c r="C36" s="2">
        <f>C35*($L$21/($L$21+C35))</f>
        <v>12472.335350743813</v>
      </c>
      <c r="D36" s="3" t="s">
        <v>86</v>
      </c>
    </row>
    <row r="37" spans="1:7">
      <c r="A37" s="54"/>
      <c r="B37" s="3" t="s">
        <v>123</v>
      </c>
      <c r="C37" s="2">
        <f>L14*((L17+(L18*C36))/L17)^(U19)</f>
        <v>0.29972286740866055</v>
      </c>
      <c r="D37" s="3" t="s">
        <v>124</v>
      </c>
      <c r="E37" t="s">
        <v>197</v>
      </c>
    </row>
    <row r="38" spans="1:7" ht="15">
      <c r="A38" s="54"/>
      <c r="B38" s="3" t="s">
        <v>179</v>
      </c>
      <c r="C38" s="27">
        <f>L16*SQRT(L14/C37)</f>
        <v>687.95066019185151</v>
      </c>
      <c r="D38" s="3" t="s">
        <v>92</v>
      </c>
      <c r="E38" t="s">
        <v>201</v>
      </c>
      <c r="G38" s="18"/>
    </row>
    <row r="39" spans="1:7">
      <c r="A39" s="54"/>
      <c r="B39" s="3" t="s">
        <v>69</v>
      </c>
      <c r="C39" s="2">
        <f>Inputs!C22</f>
        <v>1666800.0000000002</v>
      </c>
      <c r="D39" s="3" t="s">
        <v>86</v>
      </c>
    </row>
    <row r="40" spans="1:7">
      <c r="A40" s="54"/>
      <c r="B40" s="3" t="s">
        <v>181</v>
      </c>
      <c r="C40" s="2">
        <f>Inputs!C23*C38</f>
        <v>426.52940931894796</v>
      </c>
      <c r="D40" s="3" t="s">
        <v>92</v>
      </c>
    </row>
    <row r="41" spans="1:7">
      <c r="A41" s="54"/>
      <c r="B41" s="3" t="s">
        <v>168</v>
      </c>
      <c r="C41" s="2">
        <f>0.5*C37*(C40^3)*Inputs!C7*Inputs!C33</f>
        <v>11161836.88198179</v>
      </c>
      <c r="D41" s="3" t="s">
        <v>169</v>
      </c>
    </row>
    <row r="42" spans="1:7">
      <c r="A42" s="54"/>
      <c r="B42" s="3" t="s">
        <v>170</v>
      </c>
      <c r="C42" s="2">
        <f>(2*C6*(C34^2))/(C37*C40*Inputs!C7)</f>
        <v>64900.914913858374</v>
      </c>
      <c r="D42" s="3" t="s">
        <v>169</v>
      </c>
      <c r="E42" s="25"/>
    </row>
    <row r="43" spans="1:7">
      <c r="A43" s="54"/>
      <c r="B43" s="3" t="s">
        <v>137</v>
      </c>
      <c r="C43" s="2">
        <f>C42+C41</f>
        <v>11226737.796895649</v>
      </c>
      <c r="D43" s="3" t="s">
        <v>138</v>
      </c>
      <c r="E43" s="25"/>
    </row>
    <row r="44" spans="1:7">
      <c r="A44" s="54"/>
      <c r="B44" s="3" t="s">
        <v>139</v>
      </c>
      <c r="C44" s="2">
        <f>(C42+C41)/(1000000)</f>
        <v>11.22673779689565</v>
      </c>
      <c r="D44" s="3" t="s">
        <v>140</v>
      </c>
      <c r="E44" t="s">
        <v>202</v>
      </c>
    </row>
    <row r="45" spans="1:7">
      <c r="A45" s="54"/>
      <c r="B45" s="3" t="s">
        <v>183</v>
      </c>
      <c r="C45" s="2">
        <f>C39/C40</f>
        <v>3907.8196334959148</v>
      </c>
      <c r="D45" s="3" t="s">
        <v>82</v>
      </c>
      <c r="E45" t="s">
        <v>175</v>
      </c>
    </row>
    <row r="46" spans="1:7">
      <c r="A46" s="54"/>
      <c r="B46" s="3" t="s">
        <v>149</v>
      </c>
      <c r="C46" s="2">
        <f>C47/C3</f>
        <v>2489.5626121249493</v>
      </c>
      <c r="D46" s="3" t="s">
        <v>150</v>
      </c>
      <c r="E46" t="s">
        <v>175</v>
      </c>
    </row>
    <row r="47" spans="1:7">
      <c r="A47" s="54"/>
      <c r="B47" s="3" t="s">
        <v>149</v>
      </c>
      <c r="C47" s="21">
        <f>C45*C44*L8*C5/C40</f>
        <v>1954.3066505180852</v>
      </c>
      <c r="D47" s="3" t="s">
        <v>49</v>
      </c>
      <c r="E47" t="s">
        <v>175</v>
      </c>
    </row>
    <row r="48" spans="1:7">
      <c r="A48" s="53" t="s">
        <v>74</v>
      </c>
      <c r="B48" s="8" t="s">
        <v>184</v>
      </c>
      <c r="C48" s="9">
        <v>73900</v>
      </c>
      <c r="D48" s="8" t="s">
        <v>49</v>
      </c>
      <c r="E48" t="s">
        <v>159</v>
      </c>
    </row>
    <row r="49" spans="1:5">
      <c r="A49" s="53"/>
      <c r="B49" s="8" t="s">
        <v>57</v>
      </c>
      <c r="C49" s="9">
        <f>Inputs!C25</f>
        <v>17.779999999999998</v>
      </c>
      <c r="D49" s="8" t="s">
        <v>92</v>
      </c>
    </row>
    <row r="50" spans="1:5">
      <c r="A50" s="53"/>
      <c r="B50" s="8" t="s">
        <v>63</v>
      </c>
      <c r="C50" s="9">
        <f>Inputs!C26</f>
        <v>20</v>
      </c>
      <c r="D50" s="8" t="s">
        <v>64</v>
      </c>
      <c r="E50" t="s">
        <v>109</v>
      </c>
    </row>
    <row r="51" spans="1:5">
      <c r="A51" s="53"/>
      <c r="B51" s="8" t="s">
        <v>164</v>
      </c>
      <c r="C51" s="9">
        <f>C35-C59</f>
        <v>12496.800000000001</v>
      </c>
      <c r="D51" s="8" t="s">
        <v>86</v>
      </c>
      <c r="E51" t="s">
        <v>185</v>
      </c>
    </row>
    <row r="52" spans="1:5">
      <c r="A52" s="53"/>
      <c r="B52" s="8" t="s">
        <v>166</v>
      </c>
      <c r="C52" s="22">
        <f>C51/TAN(C50*0.01746)</f>
        <v>34320.349820326708</v>
      </c>
      <c r="D52" s="24" t="s">
        <v>86</v>
      </c>
      <c r="E52" t="s">
        <v>167</v>
      </c>
    </row>
    <row r="53" spans="1:5">
      <c r="A53" s="53"/>
      <c r="B53" s="8" t="s">
        <v>137</v>
      </c>
      <c r="C53" s="22">
        <f>C43</f>
        <v>11226737.796895649</v>
      </c>
      <c r="D53" s="24" t="s">
        <v>169</v>
      </c>
    </row>
    <row r="54" spans="1:5">
      <c r="A54" s="53"/>
      <c r="B54" s="8" t="s">
        <v>139</v>
      </c>
      <c r="C54" s="9">
        <f>C44</f>
        <v>11.22673779689565</v>
      </c>
      <c r="D54" s="8" t="s">
        <v>140</v>
      </c>
      <c r="E54" t="s">
        <v>186</v>
      </c>
    </row>
    <row r="55" spans="1:5">
      <c r="A55" s="53"/>
      <c r="B55" s="8" t="s">
        <v>144</v>
      </c>
      <c r="C55" s="9">
        <f>C51/C49</f>
        <v>702.857142857143</v>
      </c>
      <c r="D55" s="8" t="s">
        <v>82</v>
      </c>
      <c r="E55" t="s">
        <v>175</v>
      </c>
    </row>
    <row r="56" spans="1:5">
      <c r="A56" s="53"/>
      <c r="B56" s="8" t="s">
        <v>149</v>
      </c>
      <c r="C56" s="9">
        <f>C57/C3</f>
        <v>3675.2943185945546</v>
      </c>
      <c r="D56" s="8" t="s">
        <v>150</v>
      </c>
      <c r="E56" t="s">
        <v>175</v>
      </c>
    </row>
    <row r="57" spans="1:5">
      <c r="A57" s="53"/>
      <c r="B57" s="8" t="s">
        <v>149</v>
      </c>
      <c r="C57" s="22">
        <f>C54*C55*L8*C5/(C49/SIN(C50*22/(180*7)))</f>
        <v>2885.1060400967253</v>
      </c>
      <c r="D57" s="8" t="s">
        <v>49</v>
      </c>
      <c r="E57" t="s">
        <v>175</v>
      </c>
    </row>
    <row r="58" spans="1:5">
      <c r="A58" s="50" t="s">
        <v>76</v>
      </c>
      <c r="B58" s="3" t="s">
        <v>187</v>
      </c>
      <c r="C58" s="2">
        <v>73900</v>
      </c>
      <c r="D58" s="3" t="s">
        <v>49</v>
      </c>
      <c r="E58" t="s">
        <v>159</v>
      </c>
    </row>
    <row r="59" spans="1:5">
      <c r="A59" s="50"/>
      <c r="B59" s="3" t="s">
        <v>77</v>
      </c>
      <c r="C59" s="2">
        <f>Inputs!C28</f>
        <v>0</v>
      </c>
      <c r="D59" s="3" t="s">
        <v>86</v>
      </c>
      <c r="E59" t="s">
        <v>117</v>
      </c>
    </row>
    <row r="60" spans="1:5">
      <c r="A60" s="50"/>
      <c r="B60" s="3" t="s">
        <v>78</v>
      </c>
      <c r="C60" s="2">
        <f>Inputs!C30</f>
        <v>1584.96</v>
      </c>
      <c r="D60" s="3" t="s">
        <v>86</v>
      </c>
      <c r="E60" t="s">
        <v>109</v>
      </c>
    </row>
    <row r="61" spans="1:5">
      <c r="A61" s="50"/>
      <c r="B61" s="3" t="s">
        <v>139</v>
      </c>
      <c r="C61" s="2">
        <v>0</v>
      </c>
      <c r="D61" s="3" t="s">
        <v>138</v>
      </c>
      <c r="E61" t="s">
        <v>188</v>
      </c>
    </row>
    <row r="62" spans="1:5">
      <c r="A62" s="50"/>
      <c r="B62" s="3" t="s">
        <v>144</v>
      </c>
      <c r="C62" s="2">
        <f>C60/(C11*1.23/(1.1*3))</f>
        <v>66.794927542731983</v>
      </c>
      <c r="D62" s="3" t="s">
        <v>145</v>
      </c>
      <c r="E62" t="s">
        <v>189</v>
      </c>
    </row>
    <row r="63" spans="1:5">
      <c r="A63" s="50"/>
      <c r="B63" s="3" t="s">
        <v>149</v>
      </c>
      <c r="C63" s="2">
        <f>C60*C4/1852</f>
        <v>1.6021899666878827</v>
      </c>
      <c r="D63" s="3" t="s">
        <v>150</v>
      </c>
      <c r="E63" t="s">
        <v>190</v>
      </c>
    </row>
    <row r="64" spans="1:5">
      <c r="A64" s="50"/>
      <c r="B64" s="3" t="s">
        <v>149</v>
      </c>
      <c r="C64" s="2">
        <f>C63*C3</f>
        <v>1.2577191238499881</v>
      </c>
      <c r="D64" s="3" t="s">
        <v>49</v>
      </c>
      <c r="E64" t="s">
        <v>175</v>
      </c>
    </row>
    <row r="65" spans="1:5" ht="14.7" customHeight="1">
      <c r="A65" s="51" t="s">
        <v>191</v>
      </c>
      <c r="B65" s="8" t="s">
        <v>144</v>
      </c>
      <c r="C65" s="9">
        <f>C66*L6</f>
        <v>900</v>
      </c>
      <c r="D65" s="8" t="s">
        <v>192</v>
      </c>
    </row>
    <row r="66" spans="1:5">
      <c r="A66" s="52"/>
      <c r="B66" s="8" t="s">
        <v>193</v>
      </c>
      <c r="C66" s="8">
        <v>15</v>
      </c>
      <c r="D66" s="8" t="s">
        <v>194</v>
      </c>
      <c r="E66" t="s">
        <v>195</v>
      </c>
    </row>
    <row r="67" spans="1:5">
      <c r="A67" s="13"/>
      <c r="D67" s="1"/>
    </row>
  </sheetData>
  <mergeCells count="8">
    <mergeCell ref="A58:A64"/>
    <mergeCell ref="A65:A66"/>
    <mergeCell ref="A1:E1"/>
    <mergeCell ref="A3:A6"/>
    <mergeCell ref="A7:A19"/>
    <mergeCell ref="A20:A33"/>
    <mergeCell ref="A34:A47"/>
    <mergeCell ref="A48:A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1F4E-16D7-426B-95FE-8FE6962A16AF}">
  <dimension ref="A1:AZ58"/>
  <sheetViews>
    <sheetView topLeftCell="A20" zoomScale="57" zoomScaleNormal="73" workbookViewId="0">
      <selection activeCell="B4" sqref="B4"/>
    </sheetView>
  </sheetViews>
  <sheetFormatPr defaultColWidth="8.6640625" defaultRowHeight="16.2" customHeight="1"/>
  <cols>
    <col min="1" max="3" width="13.109375" customWidth="1"/>
    <col min="4" max="4" width="18.109375" customWidth="1"/>
    <col min="5" max="5" width="10.44140625" bestFit="1" customWidth="1"/>
    <col min="13" max="13" width="8.88671875" bestFit="1" customWidth="1"/>
    <col min="14" max="14" width="9" bestFit="1" customWidth="1"/>
    <col min="15" max="15" width="11.6640625" customWidth="1"/>
    <col min="16" max="16" width="15.6640625" bestFit="1" customWidth="1"/>
    <col min="18" max="19" width="14.109375" customWidth="1"/>
    <col min="20" max="20" width="13.109375" customWidth="1"/>
    <col min="21" max="21" width="12.6640625" bestFit="1" customWidth="1"/>
    <col min="31" max="31" width="9" bestFit="1" customWidth="1"/>
    <col min="32" max="32" width="15.6640625" style="30" bestFit="1" customWidth="1"/>
    <col min="35" max="35" width="12.6640625" style="30" bestFit="1" customWidth="1"/>
    <col min="48" max="48" width="9" bestFit="1" customWidth="1"/>
    <col min="49" max="49" width="15.6640625" bestFit="1" customWidth="1"/>
    <col min="50" max="51" width="9.109375"/>
    <col min="52" max="52" width="12.6640625" bestFit="1" customWidth="1"/>
  </cols>
  <sheetData>
    <row r="1" spans="1:20" ht="14.4">
      <c r="A1" s="57" t="s">
        <v>203</v>
      </c>
      <c r="B1" s="4" t="s">
        <v>204</v>
      </c>
      <c r="C1" s="4" t="s">
        <v>205</v>
      </c>
      <c r="D1" s="16"/>
      <c r="E1" s="16"/>
      <c r="L1" s="59" t="s">
        <v>206</v>
      </c>
      <c r="M1" s="31" t="s">
        <v>207</v>
      </c>
      <c r="N1" s="31" t="s">
        <v>208</v>
      </c>
      <c r="O1" s="31" t="s">
        <v>209</v>
      </c>
      <c r="P1" s="31" t="s">
        <v>210</v>
      </c>
    </row>
    <row r="2" spans="1:20" ht="16.2" customHeight="1">
      <c r="A2" s="57"/>
      <c r="B2">
        <v>0</v>
      </c>
      <c r="C2">
        <v>0</v>
      </c>
      <c r="D2" s="17"/>
      <c r="E2" s="18"/>
      <c r="L2" s="59"/>
      <c r="M2">
        <v>0</v>
      </c>
      <c r="N2">
        <v>0</v>
      </c>
      <c r="O2">
        <v>0</v>
      </c>
      <c r="P2">
        <f>O2*1000000</f>
        <v>0</v>
      </c>
    </row>
    <row r="3" spans="1:20" ht="16.2" customHeight="1">
      <c r="A3" s="57"/>
      <c r="B3">
        <f>Calc_with_delMass!C17/60</f>
        <v>1.1849677049648126</v>
      </c>
      <c r="C3">
        <f>Calc_with_delMass!C16</f>
        <v>16.79179774263724</v>
      </c>
      <c r="D3" s="17"/>
      <c r="E3" s="18"/>
      <c r="L3" s="59"/>
      <c r="M3">
        <f>Calc_without_delMass!C17/60</f>
        <v>1.1849677049648126</v>
      </c>
      <c r="N3">
        <f>ROUNDUP(M3*60,0)</f>
        <v>72</v>
      </c>
      <c r="O3">
        <f>Calc_without_delMass!C16</f>
        <v>16.79179774263724</v>
      </c>
      <c r="P3" s="30">
        <f t="shared" ref="P3:P10" si="0">O3*1000000</f>
        <v>16791797.742637239</v>
      </c>
    </row>
    <row r="4" spans="1:20" ht="16.2" customHeight="1">
      <c r="A4" s="57"/>
      <c r="B4">
        <f>B3+Calc_with_delMass!C31/60</f>
        <v>12.899253419250529</v>
      </c>
      <c r="C4">
        <f>Calc_with_delMass!C30</f>
        <v>13.405991963241435</v>
      </c>
      <c r="D4" s="17"/>
      <c r="E4" s="18"/>
      <c r="L4" s="59"/>
      <c r="M4">
        <f>M3+Calc_without_delMass!C31/60</f>
        <v>12.899253419250529</v>
      </c>
      <c r="N4">
        <f t="shared" ref="N4:N10" si="1">ROUNDUP(M4*60,0)</f>
        <v>774</v>
      </c>
      <c r="O4">
        <f>Calc_without_delMass!C30</f>
        <v>14.237615529234484</v>
      </c>
      <c r="P4" s="30">
        <f t="shared" si="0"/>
        <v>14237615.529234484</v>
      </c>
    </row>
    <row r="5" spans="1:20" ht="16.2" customHeight="1">
      <c r="A5" s="57"/>
      <c r="B5">
        <f>B4</f>
        <v>12.899253419250529</v>
      </c>
      <c r="C5">
        <f>Calc_with_delMass!C44</f>
        <v>11.171113631894835</v>
      </c>
      <c r="D5" s="17"/>
      <c r="E5" s="18"/>
      <c r="L5" s="59"/>
      <c r="M5">
        <f>ROUNDUP(M4,0)</f>
        <v>13</v>
      </c>
      <c r="N5">
        <f t="shared" si="1"/>
        <v>780</v>
      </c>
      <c r="O5">
        <f>Calc_without_delMass!C44</f>
        <v>11.22673779689565</v>
      </c>
      <c r="P5" s="30">
        <f t="shared" si="0"/>
        <v>11226737.796895649</v>
      </c>
    </row>
    <row r="6" spans="1:20" ht="16.2" customHeight="1">
      <c r="A6" s="57"/>
      <c r="B6">
        <f>B4+Calc_with_delMass!C45/60</f>
        <v>78.029580644182445</v>
      </c>
      <c r="C6">
        <f>C5</f>
        <v>11.171113631894835</v>
      </c>
      <c r="D6" s="17"/>
      <c r="E6" s="18"/>
      <c r="L6" s="59"/>
      <c r="M6">
        <f>M4+Calc_without_delMass!C45/60</f>
        <v>78.029580644182445</v>
      </c>
      <c r="N6">
        <f t="shared" si="1"/>
        <v>4682</v>
      </c>
      <c r="O6">
        <f>O5</f>
        <v>11.22673779689565</v>
      </c>
      <c r="P6" s="30">
        <f t="shared" si="0"/>
        <v>11226737.796895649</v>
      </c>
    </row>
    <row r="7" spans="1:20" ht="16.2" customHeight="1">
      <c r="A7" s="57"/>
      <c r="B7">
        <f>B6+Calc_with_delMass!C55/60</f>
        <v>89.743866358468168</v>
      </c>
      <c r="C7">
        <f>C6</f>
        <v>11.171113631894835</v>
      </c>
      <c r="D7" s="17"/>
      <c r="E7" s="18"/>
      <c r="L7" s="59"/>
      <c r="M7">
        <f>M6+Calc_without_delMass!C55/60</f>
        <v>89.743866358468168</v>
      </c>
      <c r="N7">
        <f t="shared" si="1"/>
        <v>5385</v>
      </c>
      <c r="O7">
        <f>O6</f>
        <v>11.22673779689565</v>
      </c>
      <c r="P7" s="30">
        <f t="shared" si="0"/>
        <v>11226737.796895649</v>
      </c>
    </row>
    <row r="8" spans="1:20" ht="16.2" customHeight="1">
      <c r="A8" s="57"/>
      <c r="B8">
        <f>B7</f>
        <v>89.743866358468168</v>
      </c>
      <c r="C8">
        <v>0</v>
      </c>
      <c r="D8" s="17"/>
      <c r="E8" s="18"/>
      <c r="L8" s="59"/>
      <c r="M8">
        <f>ROUNDUP(M7,0)</f>
        <v>90</v>
      </c>
      <c r="N8">
        <f t="shared" si="1"/>
        <v>5400</v>
      </c>
      <c r="O8">
        <v>0</v>
      </c>
      <c r="P8">
        <f t="shared" si="0"/>
        <v>0</v>
      </c>
    </row>
    <row r="9" spans="1:20" ht="16.2" customHeight="1">
      <c r="A9" s="57"/>
      <c r="B9">
        <f>B7+Calc_with_delMass!C62/60</f>
        <v>90.857115150847036</v>
      </c>
      <c r="C9">
        <v>0</v>
      </c>
      <c r="D9" s="17"/>
      <c r="E9" s="18"/>
      <c r="L9" s="59"/>
      <c r="M9">
        <f>M7+Calc_without_delMass!C62/60</f>
        <v>90.857115150847036</v>
      </c>
      <c r="N9">
        <f t="shared" si="1"/>
        <v>5452</v>
      </c>
      <c r="O9">
        <v>0</v>
      </c>
      <c r="P9">
        <f t="shared" si="0"/>
        <v>0</v>
      </c>
    </row>
    <row r="10" spans="1:20" ht="16.2" customHeight="1">
      <c r="A10" s="57"/>
      <c r="B10">
        <f>B9+Calc_with_delMass!C65/60</f>
        <v>105.85711515084704</v>
      </c>
      <c r="C10">
        <v>0</v>
      </c>
      <c r="D10" s="17"/>
      <c r="E10" s="18"/>
      <c r="L10" s="59"/>
      <c r="M10">
        <f>M9+Calc_without_delMass!C65/60</f>
        <v>105.85711515084704</v>
      </c>
      <c r="N10">
        <f t="shared" si="1"/>
        <v>6352</v>
      </c>
      <c r="O10">
        <v>0</v>
      </c>
      <c r="P10">
        <f t="shared" si="0"/>
        <v>0</v>
      </c>
    </row>
    <row r="16" spans="1:20" ht="16.2" customHeight="1">
      <c r="T16" s="34"/>
    </row>
    <row r="17" spans="1:52" ht="16.2" customHeight="1">
      <c r="A17" s="58" t="s">
        <v>211</v>
      </c>
      <c r="B17" s="58"/>
      <c r="C17" s="58"/>
      <c r="D17" s="58"/>
    </row>
    <row r="18" spans="1:52" ht="16.2" customHeight="1">
      <c r="A18" s="58"/>
      <c r="B18" s="58"/>
      <c r="C18" s="58"/>
      <c r="D18" s="58"/>
      <c r="AW18" s="30"/>
      <c r="AZ18" s="30"/>
    </row>
    <row r="19" spans="1:52" ht="16.2" customHeight="1">
      <c r="A19" s="5" t="s">
        <v>144</v>
      </c>
      <c r="B19" s="5" t="s">
        <v>212</v>
      </c>
      <c r="C19" s="5" t="s">
        <v>213</v>
      </c>
      <c r="D19" s="5" t="s">
        <v>214</v>
      </c>
      <c r="AE19" s="55" t="s">
        <v>215</v>
      </c>
      <c r="AF19" s="55"/>
      <c r="AG19" s="55"/>
      <c r="AH19" s="55"/>
      <c r="AI19" s="55"/>
      <c r="AV19" s="55" t="s">
        <v>216</v>
      </c>
      <c r="AW19" s="55"/>
      <c r="AX19" s="55"/>
      <c r="AY19" s="55"/>
      <c r="AZ19" s="55"/>
    </row>
    <row r="20" spans="1:52" ht="16.2" customHeight="1">
      <c r="A20">
        <v>0</v>
      </c>
      <c r="B20">
        <f>C20/Calc_with_delMass!C3</f>
        <v>23858.598726114647</v>
      </c>
      <c r="C20">
        <v>18729</v>
      </c>
      <c r="D20">
        <f>0</f>
        <v>0</v>
      </c>
      <c r="AE20" s="55"/>
      <c r="AF20" s="55"/>
      <c r="AG20" s="55"/>
      <c r="AH20" s="55"/>
      <c r="AI20" s="55"/>
      <c r="AV20" s="55"/>
      <c r="AW20" s="55"/>
      <c r="AX20" s="55"/>
      <c r="AY20" s="55"/>
      <c r="AZ20" s="55"/>
    </row>
    <row r="21" spans="1:52" ht="16.2" customHeight="1">
      <c r="A21">
        <f>B3</f>
        <v>1.1849677049648126</v>
      </c>
      <c r="B21">
        <f>B20-Calc_with_delMass!C18</f>
        <v>23404.703879706343</v>
      </c>
      <c r="C21">
        <f>Results!B21*0.785</f>
        <v>18372.69254556948</v>
      </c>
      <c r="D21">
        <f>D20+(C20-C21)</f>
        <v>356.30745443052001</v>
      </c>
      <c r="AI21"/>
      <c r="AW21" s="30"/>
    </row>
    <row r="22" spans="1:52" ht="16.2" customHeight="1">
      <c r="A22">
        <f>B4</f>
        <v>12.899253419250529</v>
      </c>
      <c r="B22">
        <f>B21-Calc_with_delMass!C32</f>
        <v>20736.805277551848</v>
      </c>
      <c r="C22">
        <f>Results!B22*0.785</f>
        <v>16278.392142878201</v>
      </c>
      <c r="D22">
        <f t="shared" ref="D22:D25" si="2">D21+(C21-C22)</f>
        <v>2450.6078571217986</v>
      </c>
      <c r="AE22" s="56" t="s">
        <v>217</v>
      </c>
      <c r="AF22" s="56"/>
      <c r="AI22"/>
      <c r="AV22" s="56" t="s">
        <v>217</v>
      </c>
      <c r="AW22" s="56"/>
    </row>
    <row r="23" spans="1:52" ht="16.2" customHeight="1">
      <c r="A23">
        <f>B6</f>
        <v>78.029580644182445</v>
      </c>
      <c r="B23">
        <f>B22-Calc_with_delMass!C46</f>
        <v>18259.577490023497</v>
      </c>
      <c r="C23">
        <f>Results!B23*0.785</f>
        <v>14333.768329668446</v>
      </c>
      <c r="D23">
        <f t="shared" si="2"/>
        <v>4395.2316703315537</v>
      </c>
      <c r="AE23" s="28" t="s">
        <v>208</v>
      </c>
      <c r="AF23" s="32" t="s">
        <v>210</v>
      </c>
      <c r="AI23"/>
      <c r="AV23" s="28" t="s">
        <v>208</v>
      </c>
      <c r="AW23" s="32" t="s">
        <v>210</v>
      </c>
    </row>
    <row r="24" spans="1:52" ht="16.2" customHeight="1">
      <c r="A24">
        <f>B7</f>
        <v>89.743866358468168</v>
      </c>
      <c r="B24">
        <f>B23-Calc_with_delMass!C56</f>
        <v>14602.492840284003</v>
      </c>
      <c r="C24">
        <f>Results!B24*0.785</f>
        <v>11462.956879622943</v>
      </c>
      <c r="D24">
        <f t="shared" si="2"/>
        <v>7266.0431203770568</v>
      </c>
      <c r="AE24" s="29">
        <v>0</v>
      </c>
      <c r="AF24" s="33">
        <v>0</v>
      </c>
      <c r="AI24"/>
      <c r="AV24" s="29">
        <v>0</v>
      </c>
      <c r="AW24" s="33">
        <v>0</v>
      </c>
    </row>
    <row r="25" spans="1:52" ht="16.2" customHeight="1">
      <c r="A25">
        <f>B9</f>
        <v>90.857115150847036</v>
      </c>
      <c r="B25">
        <f>B24-Calc_with_delMass!C63</f>
        <v>14600.890650317315</v>
      </c>
      <c r="C25">
        <f>Results!B25*0.785</f>
        <v>11461.699160499093</v>
      </c>
      <c r="D25">
        <f t="shared" si="2"/>
        <v>7267.3008395009074</v>
      </c>
      <c r="AE25" s="29">
        <v>84</v>
      </c>
      <c r="AF25" s="33">
        <v>15.481644066019921</v>
      </c>
      <c r="AI25"/>
      <c r="AV25" s="29">
        <v>72</v>
      </c>
      <c r="AW25" s="33">
        <v>16.79179774263724</v>
      </c>
    </row>
    <row r="26" spans="1:52" ht="16.2" customHeight="1">
      <c r="AE26" s="29">
        <v>787</v>
      </c>
      <c r="AF26" s="33">
        <v>14.237615529234484</v>
      </c>
      <c r="AI26"/>
      <c r="AV26" s="29">
        <v>774</v>
      </c>
      <c r="AW26" s="33">
        <v>14.237615529234484</v>
      </c>
    </row>
    <row r="27" spans="1:52" ht="16.2" customHeight="1">
      <c r="AE27" s="29">
        <v>840</v>
      </c>
      <c r="AF27" s="33">
        <v>11.22673779689565</v>
      </c>
      <c r="AI27"/>
      <c r="AV27" s="29">
        <v>780</v>
      </c>
      <c r="AW27" s="33">
        <v>11.22673779689565</v>
      </c>
    </row>
    <row r="28" spans="1:52" ht="16.2" customHeight="1">
      <c r="AE28" s="29">
        <v>2090</v>
      </c>
      <c r="AF28" s="33">
        <v>11.22673779689565</v>
      </c>
      <c r="AI28"/>
      <c r="AV28" s="29">
        <v>2077</v>
      </c>
      <c r="AW28" s="33">
        <v>11.22673779689565</v>
      </c>
    </row>
    <row r="29" spans="1:52" ht="16.2" customHeight="1">
      <c r="AE29" s="29">
        <v>2793</v>
      </c>
      <c r="AF29" s="33">
        <v>11.22673779689565</v>
      </c>
      <c r="AI29"/>
      <c r="AV29" s="29">
        <v>2780</v>
      </c>
      <c r="AW29" s="33">
        <v>11.22673779689565</v>
      </c>
    </row>
    <row r="30" spans="1:52" ht="16.2" customHeight="1">
      <c r="AE30" s="29">
        <v>2820</v>
      </c>
      <c r="AF30" s="33">
        <v>0</v>
      </c>
      <c r="AI30"/>
      <c r="AV30" s="29">
        <v>2820</v>
      </c>
      <c r="AW30" s="33">
        <v>0</v>
      </c>
    </row>
    <row r="31" spans="1:52" ht="16.2" customHeight="1">
      <c r="AE31" s="29">
        <v>2857</v>
      </c>
      <c r="AF31" s="33">
        <v>0</v>
      </c>
      <c r="AI31"/>
      <c r="AV31" s="29">
        <v>2847</v>
      </c>
      <c r="AW31" s="33">
        <v>0</v>
      </c>
    </row>
    <row r="32" spans="1:52" ht="16.2" customHeight="1">
      <c r="AE32" s="29">
        <v>3757</v>
      </c>
      <c r="AF32" s="33">
        <v>0</v>
      </c>
      <c r="AI32"/>
      <c r="AV32" s="29">
        <v>3747</v>
      </c>
      <c r="AW32" s="33">
        <v>0</v>
      </c>
    </row>
    <row r="33" spans="1:49" ht="16.2" customHeight="1">
      <c r="AI33"/>
      <c r="AW33" s="30"/>
    </row>
    <row r="34" spans="1:49" ht="16.2" customHeight="1">
      <c r="AE34" s="56" t="s">
        <v>218</v>
      </c>
      <c r="AF34" s="56"/>
      <c r="AI34"/>
      <c r="AV34" s="56" t="s">
        <v>218</v>
      </c>
      <c r="AW34" s="56"/>
    </row>
    <row r="35" spans="1:49" ht="16.2" customHeight="1">
      <c r="AE35" s="28" t="s">
        <v>208</v>
      </c>
      <c r="AF35" s="32" t="s">
        <v>210</v>
      </c>
      <c r="AI35"/>
      <c r="AV35" s="28" t="s">
        <v>208</v>
      </c>
      <c r="AW35" s="32" t="s">
        <v>210</v>
      </c>
    </row>
    <row r="36" spans="1:49" ht="16.2" customHeight="1">
      <c r="AE36" s="29">
        <v>0</v>
      </c>
      <c r="AF36" s="33">
        <v>0</v>
      </c>
      <c r="AI36"/>
      <c r="AV36" s="29">
        <v>0</v>
      </c>
      <c r="AW36" s="33">
        <v>0</v>
      </c>
    </row>
    <row r="37" spans="1:49" ht="16.2" customHeight="1">
      <c r="AE37" s="29">
        <v>84</v>
      </c>
      <c r="AF37" s="33">
        <v>15.481644066019921</v>
      </c>
      <c r="AI37"/>
      <c r="AV37" s="29">
        <v>72</v>
      </c>
      <c r="AW37" s="33">
        <v>16.79179774263724</v>
      </c>
    </row>
    <row r="38" spans="1:49" ht="16.2" customHeight="1">
      <c r="AE38" s="29">
        <v>787</v>
      </c>
      <c r="AF38" s="33">
        <v>14.237615529234484</v>
      </c>
      <c r="AI38"/>
      <c r="AV38" s="29">
        <v>774</v>
      </c>
      <c r="AW38" s="33">
        <v>14.237615529234484</v>
      </c>
    </row>
    <row r="39" spans="1:49" ht="16.2" customHeight="1">
      <c r="A39" s="58" t="s">
        <v>219</v>
      </c>
      <c r="B39" s="58"/>
      <c r="AE39" s="29">
        <v>840</v>
      </c>
      <c r="AF39" s="33">
        <v>11.22673779689565</v>
      </c>
      <c r="AI39"/>
      <c r="AV39" s="29">
        <v>780</v>
      </c>
      <c r="AW39" s="33">
        <v>11.22673779689565</v>
      </c>
    </row>
    <row r="40" spans="1:49" ht="16.2" customHeight="1">
      <c r="A40" s="58"/>
      <c r="B40" s="58"/>
      <c r="AE40" s="29">
        <v>3392</v>
      </c>
      <c r="AF40" s="33">
        <v>11.22673779689565</v>
      </c>
      <c r="AI40"/>
      <c r="AV40" s="29">
        <v>3380</v>
      </c>
      <c r="AW40" s="33">
        <v>11.22673779689565</v>
      </c>
    </row>
    <row r="41" spans="1:49" ht="16.2" customHeight="1">
      <c r="A41" s="36" t="s">
        <v>204</v>
      </c>
      <c r="B41" s="36" t="s">
        <v>220</v>
      </c>
      <c r="AE41" s="29">
        <v>4095</v>
      </c>
      <c r="AF41" s="33">
        <v>11.22673779689565</v>
      </c>
      <c r="AI41"/>
      <c r="AV41" s="29">
        <v>4083</v>
      </c>
      <c r="AW41" s="33">
        <v>11.22673779689565</v>
      </c>
    </row>
    <row r="42" spans="1:49" ht="16.2" customHeight="1">
      <c r="A42">
        <v>0</v>
      </c>
      <c r="B42">
        <f>Calc_with_delMass!C7</f>
        <v>0</v>
      </c>
      <c r="AE42" s="29">
        <v>4140</v>
      </c>
      <c r="AF42" s="33">
        <v>0</v>
      </c>
      <c r="AI42"/>
      <c r="AV42" s="29">
        <v>4140</v>
      </c>
      <c r="AW42" s="33">
        <v>0</v>
      </c>
    </row>
    <row r="43" spans="1:49" ht="16.2" customHeight="1">
      <c r="A43">
        <f>B3</f>
        <v>1.1849677049648126</v>
      </c>
      <c r="B43">
        <f>50*Calc_with_delMass!L7+B42</f>
        <v>15.24</v>
      </c>
      <c r="AE43" s="29">
        <v>4159</v>
      </c>
      <c r="AF43" s="33">
        <v>0</v>
      </c>
      <c r="AI43"/>
      <c r="AV43" s="29">
        <v>4149</v>
      </c>
      <c r="AW43" s="33">
        <v>0</v>
      </c>
    </row>
    <row r="44" spans="1:49" ht="16.2" customHeight="1">
      <c r="A44">
        <f>B4</f>
        <v>12.899253419250529</v>
      </c>
      <c r="B44">
        <f>Calc_with_delMass!C35</f>
        <v>12496.800000000001</v>
      </c>
      <c r="AE44" s="29">
        <v>5059</v>
      </c>
      <c r="AF44" s="33">
        <v>0</v>
      </c>
      <c r="AI44"/>
      <c r="AV44" s="29">
        <v>5049</v>
      </c>
      <c r="AW44" s="33">
        <v>0</v>
      </c>
    </row>
    <row r="45" spans="1:49" ht="16.2" customHeight="1">
      <c r="A45">
        <f>B6</f>
        <v>78.029580644182445</v>
      </c>
      <c r="B45">
        <f>B44</f>
        <v>12496.800000000001</v>
      </c>
      <c r="AI45"/>
      <c r="AW45" s="30"/>
    </row>
    <row r="46" spans="1:49" ht="16.2" customHeight="1">
      <c r="A46">
        <f>B8</f>
        <v>89.743866358468168</v>
      </c>
      <c r="B46">
        <f>50*Calc_with_delMass!L7+B47</f>
        <v>15.24</v>
      </c>
      <c r="AI46"/>
      <c r="AW46" s="30"/>
    </row>
    <row r="47" spans="1:49" ht="16.2" customHeight="1">
      <c r="A47">
        <f>B9</f>
        <v>90.857115150847036</v>
      </c>
      <c r="B47">
        <f>Inputs!C28</f>
        <v>0</v>
      </c>
      <c r="AE47" s="56" t="s">
        <v>221</v>
      </c>
      <c r="AF47" s="56"/>
      <c r="AI47"/>
      <c r="AV47" s="56" t="s">
        <v>221</v>
      </c>
      <c r="AW47" s="56"/>
    </row>
    <row r="48" spans="1:49" ht="16.2" customHeight="1">
      <c r="A48">
        <f>B10</f>
        <v>105.85711515084704</v>
      </c>
      <c r="B48">
        <f>Inputs!C28</f>
        <v>0</v>
      </c>
      <c r="AE48" s="28" t="s">
        <v>208</v>
      </c>
      <c r="AF48" s="32" t="s">
        <v>210</v>
      </c>
      <c r="AI48"/>
      <c r="AV48" s="28" t="s">
        <v>208</v>
      </c>
      <c r="AW48" s="32" t="s">
        <v>210</v>
      </c>
    </row>
    <row r="49" spans="31:49" ht="16.2" customHeight="1">
      <c r="AE49" s="29">
        <v>0</v>
      </c>
      <c r="AF49" s="33">
        <v>0</v>
      </c>
      <c r="AI49"/>
      <c r="AV49" s="29">
        <v>0</v>
      </c>
      <c r="AW49" s="33">
        <v>0</v>
      </c>
    </row>
    <row r="50" spans="31:49" ht="16.2" customHeight="1">
      <c r="AE50" s="29">
        <v>84</v>
      </c>
      <c r="AF50" s="33">
        <v>15.481644066019921</v>
      </c>
      <c r="AI50"/>
      <c r="AV50" s="29">
        <v>72</v>
      </c>
      <c r="AW50" s="33">
        <v>16.79179774263724</v>
      </c>
    </row>
    <row r="51" spans="31:49" ht="16.2" customHeight="1">
      <c r="AE51" s="29">
        <v>787</v>
      </c>
      <c r="AF51" s="33">
        <v>14.237615529234484</v>
      </c>
      <c r="AI51"/>
      <c r="AV51" s="29">
        <v>774</v>
      </c>
      <c r="AW51" s="33">
        <v>14.237615529234484</v>
      </c>
    </row>
    <row r="52" spans="31:49" ht="16.2" customHeight="1">
      <c r="AE52" s="29">
        <v>840</v>
      </c>
      <c r="AF52" s="33">
        <v>11.22673779689565</v>
      </c>
      <c r="AI52"/>
      <c r="AV52" s="29">
        <v>780</v>
      </c>
      <c r="AW52" s="33">
        <v>11.22673779689565</v>
      </c>
    </row>
    <row r="53" spans="31:49" ht="16.2" customHeight="1">
      <c r="AE53" s="29">
        <v>5129</v>
      </c>
      <c r="AF53" s="33">
        <v>11.22673779689565</v>
      </c>
      <c r="AI53"/>
      <c r="AV53" s="29">
        <v>4682</v>
      </c>
      <c r="AW53" s="33">
        <v>11.22673779689565</v>
      </c>
    </row>
    <row r="54" spans="31:49" ht="16.2" customHeight="1">
      <c r="AE54" s="29">
        <v>5832</v>
      </c>
      <c r="AF54" s="33">
        <v>11.22673779689565</v>
      </c>
      <c r="AI54"/>
      <c r="AV54" s="29">
        <v>5385</v>
      </c>
      <c r="AW54" s="33">
        <v>11.22673779689565</v>
      </c>
    </row>
    <row r="55" spans="31:49" ht="16.2" customHeight="1">
      <c r="AE55" s="29">
        <v>5880</v>
      </c>
      <c r="AF55" s="33">
        <v>0</v>
      </c>
      <c r="AI55"/>
      <c r="AV55" s="29">
        <v>5400</v>
      </c>
      <c r="AW55" s="33">
        <v>0</v>
      </c>
    </row>
    <row r="56" spans="31:49" ht="16.2" customHeight="1">
      <c r="AE56" s="29">
        <v>5896</v>
      </c>
      <c r="AF56" s="33">
        <v>0</v>
      </c>
      <c r="AI56"/>
      <c r="AV56" s="29">
        <v>5452</v>
      </c>
      <c r="AW56" s="33">
        <v>0</v>
      </c>
    </row>
    <row r="57" spans="31:49" ht="16.2" customHeight="1">
      <c r="AE57" s="29">
        <v>6796</v>
      </c>
      <c r="AF57" s="33">
        <v>0</v>
      </c>
      <c r="AI57"/>
      <c r="AV57" s="29">
        <v>6352</v>
      </c>
      <c r="AW57" s="33">
        <v>0</v>
      </c>
    </row>
    <row r="58" spans="31:49" ht="16.2" customHeight="1">
      <c r="AI58"/>
    </row>
  </sheetData>
  <mergeCells count="12">
    <mergeCell ref="AV19:AZ20"/>
    <mergeCell ref="AV22:AW22"/>
    <mergeCell ref="AV34:AW34"/>
    <mergeCell ref="AV47:AW47"/>
    <mergeCell ref="A1:A10"/>
    <mergeCell ref="A17:D18"/>
    <mergeCell ref="A39:B40"/>
    <mergeCell ref="AE34:AF34"/>
    <mergeCell ref="AE47:AF47"/>
    <mergeCell ref="L1:L10"/>
    <mergeCell ref="AE22:AF22"/>
    <mergeCell ref="AE19:AI20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403406-88a0-4df6-bd1e-5a90e1660b7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6CB6BA82D8EC4DA89D5A834EA8DECF" ma:contentTypeVersion="10" ma:contentTypeDescription="Create a new document." ma:contentTypeScope="" ma:versionID="ab6fddfd5003cdcca7b2c0a019363ce7">
  <xsd:schema xmlns:xsd="http://www.w3.org/2001/XMLSchema" xmlns:xs="http://www.w3.org/2001/XMLSchema" xmlns:p="http://schemas.microsoft.com/office/2006/metadata/properties" xmlns:ns2="fe403406-88a0-4df6-bd1e-5a90e1660b76" targetNamespace="http://schemas.microsoft.com/office/2006/metadata/properties" ma:root="true" ma:fieldsID="1ebff3e7ed7f39b25bfb78042b0b5e49" ns2:_="">
    <xsd:import namespace="fe403406-88a0-4df6-bd1e-5a90e1660b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03406-88a0-4df6-bd1e-5a90e1660b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a9c4d-65b9-45fb-a1b8-714e535a6e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A2EE67-45D5-484D-B316-A6DD6B7D673E}">
  <ds:schemaRefs>
    <ds:schemaRef ds:uri="http://schemas.microsoft.com/office/2006/metadata/properties"/>
    <ds:schemaRef ds:uri="http://schemas.microsoft.com/office/infopath/2007/PartnerControls"/>
    <ds:schemaRef ds:uri="fe403406-88a0-4df6-bd1e-5a90e1660b76"/>
  </ds:schemaRefs>
</ds:datastoreItem>
</file>

<file path=customXml/itemProps2.xml><?xml version="1.0" encoding="utf-8"?>
<ds:datastoreItem xmlns:ds="http://schemas.openxmlformats.org/officeDocument/2006/customXml" ds:itemID="{B60DA68E-3BFB-4856-B84C-D4D0169D5D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DD93F1-1824-4103-A847-F1034AF695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403406-88a0-4df6-bd1e-5a90e1660b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CRJ Basic Inputs</vt:lpstr>
      <vt:lpstr>Inputs</vt:lpstr>
      <vt:lpstr>Calc_with_delMass</vt:lpstr>
      <vt:lpstr>Calc_without_delMass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Dipesh Kunwar</dc:creator>
  <cp:keywords/>
  <dc:description/>
  <cp:lastModifiedBy>Dipesh Kunwar</cp:lastModifiedBy>
  <cp:revision/>
  <dcterms:created xsi:type="dcterms:W3CDTF">2024-04-24T07:12:02Z</dcterms:created>
  <dcterms:modified xsi:type="dcterms:W3CDTF">2025-01-18T20:36:58Z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0x010100226CB6BA82D8EC4DA89D5A834EA8DECF</vt:lpwstr>
  </property>
  <property fmtid="{D5CDD505-2E9C-101B-9397-08002B2CF9AE}" pid="3" name="MediaServiceImageTags">
    <vt:lpwstr/>
  </property>
</Properties>
</file>