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jo\projects\csapat\dvtk\"/>
    </mc:Choice>
  </mc:AlternateContent>
  <xr:revisionPtr revIDLastSave="0" documentId="13_ncr:1_{E35E8AE1-9342-493D-B6AB-BA2738EC20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ject statistics" sheetId="1" r:id="rId1"/>
    <sheet name="stm (Local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2" l="1"/>
  <c r="N2" i="2"/>
  <c r="N42" i="2"/>
  <c r="N40" i="2"/>
  <c r="N39" i="2"/>
  <c r="N37" i="2"/>
  <c r="N36" i="2"/>
  <c r="N34" i="2"/>
  <c r="N33" i="2"/>
  <c r="N30" i="2"/>
  <c r="N28" i="2"/>
  <c r="N27" i="2"/>
  <c r="N25" i="2"/>
  <c r="N24" i="2"/>
  <c r="N23" i="2"/>
  <c r="N17" i="2"/>
  <c r="N15" i="2"/>
  <c r="N14" i="2"/>
  <c r="N9" i="2"/>
  <c r="N8" i="2"/>
  <c r="N5" i="2"/>
  <c r="N3" i="2"/>
  <c r="N12" i="2" s="1"/>
  <c r="M42" i="2"/>
  <c r="M40" i="2"/>
  <c r="M39" i="2"/>
  <c r="M37" i="2"/>
  <c r="M36" i="2"/>
  <c r="M33" i="2"/>
  <c r="M30" i="2"/>
  <c r="M28" i="2"/>
  <c r="M27" i="2"/>
  <c r="M25" i="2"/>
  <c r="M24" i="2"/>
  <c r="M23" i="2"/>
  <c r="M18" i="2"/>
  <c r="M17" i="2"/>
  <c r="M15" i="2"/>
  <c r="M14" i="2"/>
  <c r="M9" i="2"/>
  <c r="M8" i="2"/>
  <c r="M6" i="2"/>
  <c r="M5" i="2"/>
  <c r="M3" i="2"/>
  <c r="M2" i="2"/>
  <c r="L42" i="2"/>
  <c r="L40" i="2"/>
  <c r="L39" i="2"/>
  <c r="L36" i="2"/>
  <c r="L34" i="2"/>
  <c r="L33" i="2"/>
  <c r="L32" i="2"/>
  <c r="L30" i="2"/>
  <c r="L29" i="2"/>
  <c r="O29" i="2" s="1"/>
  <c r="L28" i="2"/>
  <c r="L27" i="2"/>
  <c r="L25" i="2"/>
  <c r="L24" i="2"/>
  <c r="L23" i="2"/>
  <c r="L18" i="2"/>
  <c r="L17" i="2"/>
  <c r="L15" i="2"/>
  <c r="L14" i="2"/>
  <c r="L9" i="2"/>
  <c r="L8" i="2"/>
  <c r="L6" i="2"/>
  <c r="L5" i="2"/>
  <c r="L3" i="2"/>
  <c r="L2" i="2"/>
  <c r="K2" i="2"/>
  <c r="K42" i="2"/>
  <c r="K40" i="2"/>
  <c r="K39" i="2"/>
  <c r="K37" i="2"/>
  <c r="K36" i="2"/>
  <c r="K34" i="2"/>
  <c r="K33" i="2"/>
  <c r="K30" i="2"/>
  <c r="K28" i="2"/>
  <c r="K27" i="2"/>
  <c r="K25" i="2"/>
  <c r="K24" i="2"/>
  <c r="K23" i="2"/>
  <c r="K18" i="2"/>
  <c r="K17" i="2"/>
  <c r="K15" i="2"/>
  <c r="K14" i="2"/>
  <c r="K9" i="2"/>
  <c r="K8" i="2"/>
  <c r="K6" i="2"/>
  <c r="K5" i="2"/>
  <c r="K3" i="2"/>
  <c r="J42" i="2"/>
  <c r="J41" i="2"/>
  <c r="O41" i="2" s="1"/>
  <c r="J40" i="2"/>
  <c r="J39" i="2"/>
  <c r="J37" i="2"/>
  <c r="J36" i="2"/>
  <c r="J34" i="2"/>
  <c r="J33" i="2"/>
  <c r="J32" i="2"/>
  <c r="J30" i="2"/>
  <c r="J28" i="2"/>
  <c r="J27" i="2"/>
  <c r="J25" i="2"/>
  <c r="J24" i="2"/>
  <c r="J23" i="2"/>
  <c r="J18" i="2"/>
  <c r="J17" i="2"/>
  <c r="J15" i="2"/>
  <c r="J14" i="2"/>
  <c r="J9" i="2"/>
  <c r="J8" i="2"/>
  <c r="J6" i="2"/>
  <c r="J5" i="2"/>
  <c r="J3" i="2"/>
  <c r="J2" i="2"/>
  <c r="I42" i="2"/>
  <c r="I40" i="2"/>
  <c r="I39" i="2"/>
  <c r="I37" i="2"/>
  <c r="I36" i="2"/>
  <c r="I34" i="2"/>
  <c r="I33" i="2"/>
  <c r="I30" i="2"/>
  <c r="I28" i="2"/>
  <c r="I27" i="2"/>
  <c r="I25" i="2"/>
  <c r="I24" i="2"/>
  <c r="I23" i="2"/>
  <c r="I18" i="2"/>
  <c r="I17" i="2"/>
  <c r="I19" i="2" s="1"/>
  <c r="I15" i="2"/>
  <c r="I14" i="2"/>
  <c r="I9" i="2"/>
  <c r="I8" i="2"/>
  <c r="I6" i="2"/>
  <c r="I5" i="2"/>
  <c r="I3" i="2"/>
  <c r="I2" i="2"/>
  <c r="H42" i="2"/>
  <c r="H40" i="2"/>
  <c r="H39" i="2"/>
  <c r="H36" i="2"/>
  <c r="H34" i="2"/>
  <c r="H33" i="2"/>
  <c r="H30" i="2"/>
  <c r="H28" i="2"/>
  <c r="H27" i="2"/>
  <c r="H25" i="2"/>
  <c r="H24" i="2"/>
  <c r="H23" i="2"/>
  <c r="H17" i="2"/>
  <c r="H15" i="2"/>
  <c r="H14" i="2"/>
  <c r="H9" i="2"/>
  <c r="H8" i="2"/>
  <c r="H6" i="2"/>
  <c r="H5" i="2"/>
  <c r="H3" i="2"/>
  <c r="H2" i="2"/>
  <c r="G42" i="2"/>
  <c r="G40" i="2"/>
  <c r="G39" i="2"/>
  <c r="G36" i="2"/>
  <c r="G33" i="2"/>
  <c r="G28" i="2"/>
  <c r="G27" i="2"/>
  <c r="G25" i="2"/>
  <c r="G24" i="2"/>
  <c r="G23" i="2"/>
  <c r="G18" i="2"/>
  <c r="G17" i="2"/>
  <c r="G15" i="2"/>
  <c r="G14" i="2"/>
  <c r="G8" i="2"/>
  <c r="G6" i="2"/>
  <c r="G5" i="2"/>
  <c r="G3" i="2"/>
  <c r="G2" i="2"/>
  <c r="F42" i="2"/>
  <c r="F40" i="2"/>
  <c r="F39" i="2"/>
  <c r="F37" i="2"/>
  <c r="F36" i="2"/>
  <c r="F34" i="2"/>
  <c r="F33" i="2"/>
  <c r="F28" i="2"/>
  <c r="F27" i="2"/>
  <c r="F25" i="2"/>
  <c r="F24" i="2"/>
  <c r="F23" i="2"/>
  <c r="F18" i="2"/>
  <c r="F17" i="2"/>
  <c r="F15" i="2"/>
  <c r="F14" i="2"/>
  <c r="F9" i="2"/>
  <c r="F8" i="2"/>
  <c r="F6" i="2"/>
  <c r="F5" i="2"/>
  <c r="F3" i="2"/>
  <c r="F2" i="2"/>
  <c r="E42" i="2"/>
  <c r="E40" i="2"/>
  <c r="E39" i="2"/>
  <c r="E37" i="2"/>
  <c r="E36" i="2"/>
  <c r="E34" i="2"/>
  <c r="E33" i="2"/>
  <c r="E28" i="2"/>
  <c r="E27" i="2"/>
  <c r="E25" i="2"/>
  <c r="E24" i="2"/>
  <c r="E23" i="2"/>
  <c r="E17" i="2"/>
  <c r="E15" i="2"/>
  <c r="E14" i="2"/>
  <c r="E8" i="2"/>
  <c r="E6" i="2"/>
  <c r="E5" i="2"/>
  <c r="E3" i="2"/>
  <c r="E2" i="2"/>
  <c r="N10" i="2"/>
  <c r="D42" i="2"/>
  <c r="D40" i="2"/>
  <c r="D39" i="2"/>
  <c r="D37" i="2"/>
  <c r="D36" i="2"/>
  <c r="D33" i="2"/>
  <c r="D28" i="2"/>
  <c r="C28" i="2"/>
  <c r="D27" i="2"/>
  <c r="D25" i="2"/>
  <c r="C24" i="2"/>
  <c r="D24" i="2"/>
  <c r="D23" i="2"/>
  <c r="D18" i="2"/>
  <c r="D17" i="2"/>
  <c r="D15" i="2"/>
  <c r="D14" i="2"/>
  <c r="C9" i="2"/>
  <c r="O9" i="2" s="1"/>
  <c r="D8" i="2"/>
  <c r="D6" i="2"/>
  <c r="D5" i="2"/>
  <c r="D3" i="2"/>
  <c r="D2" i="2"/>
  <c r="C42" i="2"/>
  <c r="C40" i="2"/>
  <c r="C39" i="2"/>
  <c r="C37" i="2"/>
  <c r="C36" i="2"/>
  <c r="C33" i="2"/>
  <c r="C27" i="2"/>
  <c r="C25" i="2"/>
  <c r="C23" i="2"/>
  <c r="C18" i="2"/>
  <c r="C17" i="2"/>
  <c r="C15" i="2"/>
  <c r="C14" i="2"/>
  <c r="C8" i="2"/>
  <c r="C6" i="2"/>
  <c r="C5" i="2"/>
  <c r="C3" i="2"/>
  <c r="C2" i="2"/>
  <c r="B42" i="2"/>
  <c r="O42" i="2" s="1"/>
  <c r="B40" i="2"/>
  <c r="B39" i="2"/>
  <c r="B36" i="2"/>
  <c r="B33" i="2"/>
  <c r="B27" i="2"/>
  <c r="B26" i="2"/>
  <c r="O26" i="2" s="1"/>
  <c r="B25" i="2"/>
  <c r="B24" i="2"/>
  <c r="O24" i="2" s="1"/>
  <c r="B23" i="2"/>
  <c r="B17" i="2"/>
  <c r="B14" i="2"/>
  <c r="B8" i="2"/>
  <c r="B6" i="2"/>
  <c r="B5" i="2"/>
  <c r="B3" i="2"/>
  <c r="B2" i="2"/>
  <c r="O2" i="2" l="1"/>
  <c r="O30" i="2"/>
  <c r="O27" i="2"/>
  <c r="O3" i="2"/>
  <c r="O25" i="2"/>
  <c r="O18" i="2"/>
  <c r="O34" i="2"/>
  <c r="O5" i="2"/>
  <c r="O28" i="2"/>
  <c r="O6" i="2"/>
  <c r="O8" i="2"/>
  <c r="O10" i="2" s="1"/>
  <c r="O33" i="2"/>
  <c r="O32" i="2"/>
  <c r="O14" i="2"/>
  <c r="O17" i="2"/>
  <c r="O39" i="2"/>
  <c r="O36" i="2"/>
  <c r="O23" i="2"/>
  <c r="O40" i="2"/>
  <c r="O15" i="2"/>
  <c r="O37" i="2"/>
  <c r="O38" i="2" s="1"/>
  <c r="L35" i="2"/>
  <c r="J35" i="2"/>
  <c r="N11" i="2"/>
  <c r="N13" i="2" s="1"/>
  <c r="L20" i="2"/>
  <c r="M20" i="2"/>
  <c r="L21" i="2"/>
  <c r="M21" i="2"/>
  <c r="J16" i="2"/>
  <c r="K16" i="2"/>
  <c r="K20" i="2"/>
  <c r="I10" i="2"/>
  <c r="I38" i="2"/>
  <c r="J38" i="2"/>
  <c r="N16" i="2"/>
  <c r="J12" i="2"/>
  <c r="K12" i="2"/>
  <c r="K10" i="2"/>
  <c r="L10" i="2"/>
  <c r="L16" i="2"/>
  <c r="N21" i="2"/>
  <c r="I20" i="2"/>
  <c r="N38" i="2"/>
  <c r="I16" i="2"/>
  <c r="J11" i="2"/>
  <c r="J20" i="2"/>
  <c r="M11" i="2"/>
  <c r="K21" i="2"/>
  <c r="M12" i="2"/>
  <c r="J21" i="2"/>
  <c r="M16" i="2"/>
  <c r="E35" i="2"/>
  <c r="J10" i="2"/>
  <c r="M10" i="2"/>
  <c r="N20" i="2"/>
  <c r="N35" i="2"/>
  <c r="I35" i="2"/>
  <c r="K35" i="2"/>
  <c r="L11" i="2"/>
  <c r="L12" i="2"/>
  <c r="M38" i="2"/>
  <c r="J7" i="2"/>
  <c r="K38" i="2"/>
  <c r="K7" i="2"/>
  <c r="L7" i="2"/>
  <c r="M7" i="2"/>
  <c r="K11" i="2"/>
  <c r="I12" i="2"/>
  <c r="I7" i="2"/>
  <c r="I11" i="2"/>
  <c r="H35" i="2"/>
  <c r="H20" i="2"/>
  <c r="H21" i="2"/>
  <c r="H16" i="2"/>
  <c r="H10" i="2"/>
  <c r="H12" i="2"/>
  <c r="H11" i="2"/>
  <c r="H7" i="2"/>
  <c r="G20" i="2"/>
  <c r="G21" i="2"/>
  <c r="G16" i="2"/>
  <c r="G12" i="2"/>
  <c r="G7" i="2"/>
  <c r="G11" i="2"/>
  <c r="F38" i="2"/>
  <c r="F35" i="2"/>
  <c r="F20" i="2"/>
  <c r="F21" i="2"/>
  <c r="F16" i="2"/>
  <c r="F10" i="2"/>
  <c r="F12" i="2"/>
  <c r="F11" i="2"/>
  <c r="F7" i="2"/>
  <c r="E38" i="2"/>
  <c r="E20" i="2"/>
  <c r="E21" i="2"/>
  <c r="E16" i="2"/>
  <c r="E12" i="2"/>
  <c r="E7" i="2"/>
  <c r="E11" i="2"/>
  <c r="N4" i="2"/>
  <c r="M19" i="2"/>
  <c r="M4" i="2"/>
  <c r="L19" i="2"/>
  <c r="L4" i="2"/>
  <c r="K19" i="2"/>
  <c r="K4" i="2"/>
  <c r="J19" i="2"/>
  <c r="J4" i="2"/>
  <c r="I4" i="2"/>
  <c r="I21" i="2"/>
  <c r="H4" i="2"/>
  <c r="G19" i="2"/>
  <c r="G4" i="2"/>
  <c r="F4" i="2"/>
  <c r="F19" i="2"/>
  <c r="E4" i="2"/>
  <c r="D38" i="2"/>
  <c r="D20" i="2"/>
  <c r="D21" i="2"/>
  <c r="D16" i="2"/>
  <c r="D7" i="2"/>
  <c r="D12" i="2"/>
  <c r="D11" i="2"/>
  <c r="D19" i="2"/>
  <c r="D4" i="2"/>
  <c r="C38" i="2"/>
  <c r="C19" i="2"/>
  <c r="C20" i="2"/>
  <c r="C16" i="2"/>
  <c r="C12" i="2"/>
  <c r="C10" i="2"/>
  <c r="C11" i="2"/>
  <c r="C21" i="2"/>
  <c r="C7" i="2"/>
  <c r="C4" i="2"/>
  <c r="B20" i="2"/>
  <c r="B12" i="2"/>
  <c r="B11" i="2"/>
  <c r="B7" i="2"/>
  <c r="B4" i="2"/>
  <c r="O4" i="2" l="1"/>
  <c r="O7" i="2"/>
  <c r="E22" i="2"/>
  <c r="F22" i="2"/>
  <c r="O16" i="2"/>
  <c r="O35" i="2"/>
  <c r="O19" i="2"/>
  <c r="O20" i="2"/>
  <c r="O11" i="2"/>
  <c r="K13" i="2"/>
  <c r="L22" i="2"/>
  <c r="M22" i="2"/>
  <c r="I22" i="2"/>
  <c r="O12" i="2"/>
  <c r="O21" i="2"/>
  <c r="K22" i="2"/>
  <c r="J13" i="2"/>
  <c r="J22" i="2"/>
  <c r="H22" i="2"/>
  <c r="L13" i="2"/>
  <c r="N22" i="2"/>
  <c r="M13" i="2"/>
  <c r="D22" i="2"/>
  <c r="I13" i="2"/>
  <c r="H13" i="2"/>
  <c r="G22" i="2"/>
  <c r="G13" i="2"/>
  <c r="F13" i="2"/>
  <c r="E13" i="2"/>
  <c r="D13" i="2"/>
  <c r="C22" i="2"/>
  <c r="C13" i="2"/>
  <c r="B13" i="2"/>
  <c r="O22" i="2" l="1"/>
  <c r="O13" i="2"/>
</calcChain>
</file>

<file path=xl/sharedStrings.xml><?xml version="1.0" encoding="utf-8"?>
<sst xmlns="http://schemas.openxmlformats.org/spreadsheetml/2006/main" count="5601" uniqueCount="908">
  <si>
    <t>Summary</t>
  </si>
  <si>
    <t>Project</t>
  </si>
  <si>
    <t>stm - Away team (2-3) Simple Noi Liga 2022/23</t>
  </si>
  <si>
    <t>Date</t>
  </si>
  <si>
    <t>Competition</t>
  </si>
  <si>
    <t>Simple Noi Liga</t>
  </si>
  <si>
    <t>Season</t>
  </si>
  <si>
    <t>2022/23</t>
  </si>
  <si>
    <t>Local team</t>
  </si>
  <si>
    <t>stm</t>
  </si>
  <si>
    <t>Visitor team</t>
  </si>
  <si>
    <t>Away team</t>
  </si>
  <si>
    <t>Result</t>
  </si>
  <si>
    <t>2 - 3</t>
  </si>
  <si>
    <t>Pass</t>
  </si>
  <si>
    <t>Field position</t>
  </si>
  <si>
    <t>Event</t>
  </si>
  <si>
    <t>Time</t>
  </si>
  <si>
    <t>Start</t>
  </si>
  <si>
    <t>Stop</t>
  </si>
  <si>
    <t>Team</t>
  </si>
  <si>
    <t>Players</t>
  </si>
  <si>
    <t>Outcome</t>
  </si>
  <si>
    <t>FieldX</t>
  </si>
  <si>
    <t>FieldY</t>
  </si>
  <si>
    <t>Pass 001</t>
  </si>
  <si>
    <t/>
  </si>
  <si>
    <t xml:space="preserve">1-Zsani </t>
  </si>
  <si>
    <t>Success</t>
  </si>
  <si>
    <t>Pass 002</t>
  </si>
  <si>
    <t xml:space="preserve">7-Nina </t>
  </si>
  <si>
    <t>Pass 003</t>
  </si>
  <si>
    <t xml:space="preserve">77-Ivana </t>
  </si>
  <si>
    <t>Pass 004</t>
  </si>
  <si>
    <t>Failure</t>
  </si>
  <si>
    <t>Pass 005</t>
  </si>
  <si>
    <t>Pass 006</t>
  </si>
  <si>
    <t>Pass 007</t>
  </si>
  <si>
    <t xml:space="preserve">8-Szidi </t>
  </si>
  <si>
    <t>Pass 008</t>
  </si>
  <si>
    <t xml:space="preserve">10-Slaki </t>
  </si>
  <si>
    <t>Pass 009</t>
  </si>
  <si>
    <t xml:space="preserve">22-Sanda </t>
  </si>
  <si>
    <t>Pass 010</t>
  </si>
  <si>
    <t xml:space="preserve">10-Kicsi </t>
  </si>
  <si>
    <t>Pass 011</t>
  </si>
  <si>
    <t xml:space="preserve">13-Kriszti </t>
  </si>
  <si>
    <t>Pass 012</t>
  </si>
  <si>
    <t>Pass 013</t>
  </si>
  <si>
    <t>Pass 014</t>
  </si>
  <si>
    <t>Pass 015</t>
  </si>
  <si>
    <t xml:space="preserve">21-Milana </t>
  </si>
  <si>
    <t>Pass 016</t>
  </si>
  <si>
    <t>Pass 017</t>
  </si>
  <si>
    <t>Pass 018</t>
  </si>
  <si>
    <t>Pass 019</t>
  </si>
  <si>
    <t>Pass 020</t>
  </si>
  <si>
    <t>Pass 021</t>
  </si>
  <si>
    <t xml:space="preserve">24-Betty </t>
  </si>
  <si>
    <t>Pass 022</t>
  </si>
  <si>
    <t>Pass 023</t>
  </si>
  <si>
    <t>Pass 024</t>
  </si>
  <si>
    <t>Pass 025</t>
  </si>
  <si>
    <t>Pass 026</t>
  </si>
  <si>
    <t>Pass 027</t>
  </si>
  <si>
    <t>Pass 028</t>
  </si>
  <si>
    <t>Pass 029</t>
  </si>
  <si>
    <t xml:space="preserve">83-Peó </t>
  </si>
  <si>
    <t>Pass 030</t>
  </si>
  <si>
    <t>Pass 031</t>
  </si>
  <si>
    <t>Pass 032</t>
  </si>
  <si>
    <t>Pass 033</t>
  </si>
  <si>
    <t>Pass 034</t>
  </si>
  <si>
    <t>Pass 035</t>
  </si>
  <si>
    <t>Pass 036</t>
  </si>
  <si>
    <t>Pass 037</t>
  </si>
  <si>
    <t>Pass 038</t>
  </si>
  <si>
    <t>Pass 039</t>
  </si>
  <si>
    <t>Pass 040</t>
  </si>
  <si>
    <t>Pass 041</t>
  </si>
  <si>
    <t>Pass 042</t>
  </si>
  <si>
    <t>Pass 043</t>
  </si>
  <si>
    <t>Pass 044</t>
  </si>
  <si>
    <t>Pass 045</t>
  </si>
  <si>
    <t>Pass 046</t>
  </si>
  <si>
    <t>Pass 047</t>
  </si>
  <si>
    <t>Pass 048</t>
  </si>
  <si>
    <t>Pass 049</t>
  </si>
  <si>
    <t>Pass 050</t>
  </si>
  <si>
    <t>Pass 051</t>
  </si>
  <si>
    <t>Pass 052</t>
  </si>
  <si>
    <t>Pass 053</t>
  </si>
  <si>
    <t>Pass 054</t>
  </si>
  <si>
    <t>Pass 055</t>
  </si>
  <si>
    <t>Pass 056</t>
  </si>
  <si>
    <t>Pass 057</t>
  </si>
  <si>
    <t>Pass 058</t>
  </si>
  <si>
    <t>Pass 059</t>
  </si>
  <si>
    <t>Pass 060</t>
  </si>
  <si>
    <t>Pass 061</t>
  </si>
  <si>
    <t>Pass 062</t>
  </si>
  <si>
    <t>Pass 063</t>
  </si>
  <si>
    <t>Pass 064</t>
  </si>
  <si>
    <t>Pass 065</t>
  </si>
  <si>
    <t>Pass 066</t>
  </si>
  <si>
    <t>Pass 067</t>
  </si>
  <si>
    <t>Pass 068</t>
  </si>
  <si>
    <t>Pass 069</t>
  </si>
  <si>
    <t>Pass 070</t>
  </si>
  <si>
    <t>Pass 071</t>
  </si>
  <si>
    <t>Pass 072</t>
  </si>
  <si>
    <t>Pass 073</t>
  </si>
  <si>
    <t>Pass 074</t>
  </si>
  <si>
    <t>Pass 075</t>
  </si>
  <si>
    <t>Pass 076</t>
  </si>
  <si>
    <t>Pass 077</t>
  </si>
  <si>
    <t>Pass 078</t>
  </si>
  <si>
    <t>Pass 079</t>
  </si>
  <si>
    <t>Pass 080</t>
  </si>
  <si>
    <t>Pass 081</t>
  </si>
  <si>
    <t>Pass 082</t>
  </si>
  <si>
    <t>Pass 083</t>
  </si>
  <si>
    <t>Pass 084</t>
  </si>
  <si>
    <t>Pass 085</t>
  </si>
  <si>
    <t>Pass 086</t>
  </si>
  <si>
    <t>Pass 087</t>
  </si>
  <si>
    <t>Pass 088</t>
  </si>
  <si>
    <t>Pass 089</t>
  </si>
  <si>
    <t>Pass 090</t>
  </si>
  <si>
    <t>Pass 091</t>
  </si>
  <si>
    <t>Pass 092</t>
  </si>
  <si>
    <t>Pass 093</t>
  </si>
  <si>
    <t>Pass 094</t>
  </si>
  <si>
    <t>Pass 095</t>
  </si>
  <si>
    <t>Pass 096</t>
  </si>
  <si>
    <t>Pass 097</t>
  </si>
  <si>
    <t>Pass 098</t>
  </si>
  <si>
    <t>Pass 099</t>
  </si>
  <si>
    <t>Pass 100</t>
  </si>
  <si>
    <t>Pass 101</t>
  </si>
  <si>
    <t>Pass 102</t>
  </si>
  <si>
    <t>Pass 103</t>
  </si>
  <si>
    <t>Pass 104</t>
  </si>
  <si>
    <t>Pass 105</t>
  </si>
  <si>
    <t>Pass 106</t>
  </si>
  <si>
    <t>Pass 107</t>
  </si>
  <si>
    <t>Pass 108</t>
  </si>
  <si>
    <t>Pass 109</t>
  </si>
  <si>
    <t>Pass 110</t>
  </si>
  <si>
    <t>Pass 111</t>
  </si>
  <si>
    <t>Pass 112</t>
  </si>
  <si>
    <t>Pass 113</t>
  </si>
  <si>
    <t>Pass 114</t>
  </si>
  <si>
    <t>Pass 115</t>
  </si>
  <si>
    <t>Pass 116</t>
  </si>
  <si>
    <t>Pass 117</t>
  </si>
  <si>
    <t>Pass 118</t>
  </si>
  <si>
    <t>Pass 119</t>
  </si>
  <si>
    <t>Pass 120</t>
  </si>
  <si>
    <t>Pass 121</t>
  </si>
  <si>
    <t>Pass 122</t>
  </si>
  <si>
    <t>Pass 123</t>
  </si>
  <si>
    <t>Pass 124</t>
  </si>
  <si>
    <t>Pass 125</t>
  </si>
  <si>
    <t>Pass 126</t>
  </si>
  <si>
    <t>Pass 127</t>
  </si>
  <si>
    <t>Pass 128</t>
  </si>
  <si>
    <t>Pass 129</t>
  </si>
  <si>
    <t>Pass 130</t>
  </si>
  <si>
    <t>Pass 131</t>
  </si>
  <si>
    <t>Pass 132</t>
  </si>
  <si>
    <t>Pass 133</t>
  </si>
  <si>
    <t>Pass 134</t>
  </si>
  <si>
    <t>Pass 135</t>
  </si>
  <si>
    <t>Pass 136</t>
  </si>
  <si>
    <t>Pass 137</t>
  </si>
  <si>
    <t>Pass 138</t>
  </si>
  <si>
    <t>Pass 139</t>
  </si>
  <si>
    <t>Pass 140</t>
  </si>
  <si>
    <t>Pass 141</t>
  </si>
  <si>
    <t>Pass 142</t>
  </si>
  <si>
    <t>Pass 143</t>
  </si>
  <si>
    <t>Pass 144</t>
  </si>
  <si>
    <t>Pass 145</t>
  </si>
  <si>
    <t>Pass 146</t>
  </si>
  <si>
    <t>Pass 147</t>
  </si>
  <si>
    <t>Pass 148</t>
  </si>
  <si>
    <t>Pass 149</t>
  </si>
  <si>
    <t>Pass 150</t>
  </si>
  <si>
    <t>Pass 151</t>
  </si>
  <si>
    <t>Pass 152</t>
  </si>
  <si>
    <t>Pass 153</t>
  </si>
  <si>
    <t>Pass 154</t>
  </si>
  <si>
    <t>Pass 155</t>
  </si>
  <si>
    <t>Pass 156</t>
  </si>
  <si>
    <t>Pass 157</t>
  </si>
  <si>
    <t>Pass 158</t>
  </si>
  <si>
    <t>Pass 159</t>
  </si>
  <si>
    <t xml:space="preserve">3-Puffi </t>
  </si>
  <si>
    <t>Pass 160</t>
  </si>
  <si>
    <t>Pass 161</t>
  </si>
  <si>
    <t>Pass 162</t>
  </si>
  <si>
    <t>Pass 163</t>
  </si>
  <si>
    <t>Pass 164</t>
  </si>
  <si>
    <t>Pass 165</t>
  </si>
  <si>
    <t>Pass 166</t>
  </si>
  <si>
    <t>Pass 167</t>
  </si>
  <si>
    <t>Pass 168</t>
  </si>
  <si>
    <t>Pass 169</t>
  </si>
  <si>
    <t>Pass 170</t>
  </si>
  <si>
    <t>Pass 171</t>
  </si>
  <si>
    <t>Pass 172</t>
  </si>
  <si>
    <t>Pass 173</t>
  </si>
  <si>
    <t>Pass 174</t>
  </si>
  <si>
    <t>Pass 175</t>
  </si>
  <si>
    <t>Pass 176</t>
  </si>
  <si>
    <t>Pass 177</t>
  </si>
  <si>
    <t>Pass 178</t>
  </si>
  <si>
    <t>Pass 179</t>
  </si>
  <si>
    <t>Pass 180</t>
  </si>
  <si>
    <t>Pass 181</t>
  </si>
  <si>
    <t>Pass 182</t>
  </si>
  <si>
    <t>Pass 183</t>
  </si>
  <si>
    <t>Pass 184</t>
  </si>
  <si>
    <t>Pass 185</t>
  </si>
  <si>
    <t>Pass 186</t>
  </si>
  <si>
    <t>Pass 187</t>
  </si>
  <si>
    <t>Pass 188</t>
  </si>
  <si>
    <t>Pass 189</t>
  </si>
  <si>
    <t>Pass 190</t>
  </si>
  <si>
    <t>Pass 191</t>
  </si>
  <si>
    <t>Pass 192</t>
  </si>
  <si>
    <t>Pass 193</t>
  </si>
  <si>
    <t>Pass 194</t>
  </si>
  <si>
    <t>Pass 195</t>
  </si>
  <si>
    <t>Pass 196</t>
  </si>
  <si>
    <t>Pass 197</t>
  </si>
  <si>
    <t>Pass 198</t>
  </si>
  <si>
    <t>Pass 199</t>
  </si>
  <si>
    <t>Pass 200</t>
  </si>
  <si>
    <t>Pass 201</t>
  </si>
  <si>
    <t>Pass 202</t>
  </si>
  <si>
    <t>Pass 203</t>
  </si>
  <si>
    <t>Pass 204</t>
  </si>
  <si>
    <t>Pass 205</t>
  </si>
  <si>
    <t>Pass 206</t>
  </si>
  <si>
    <t>Pass 207</t>
  </si>
  <si>
    <t>Pass 208</t>
  </si>
  <si>
    <t>Pass 209</t>
  </si>
  <si>
    <t>Pass 210</t>
  </si>
  <si>
    <t>Pass 211</t>
  </si>
  <si>
    <t>Pass 212</t>
  </si>
  <si>
    <t>Pass 213</t>
  </si>
  <si>
    <t>Pass 214</t>
  </si>
  <si>
    <t>Pass 215</t>
  </si>
  <si>
    <t>Pass 216</t>
  </si>
  <si>
    <t>Pass 217</t>
  </si>
  <si>
    <t>Pass 218</t>
  </si>
  <si>
    <t>Pass 219</t>
  </si>
  <si>
    <t>Pass 220</t>
  </si>
  <si>
    <t>Pass 221</t>
  </si>
  <si>
    <t>Pass 222</t>
  </si>
  <si>
    <t>Pass 223</t>
  </si>
  <si>
    <t>Pass 224</t>
  </si>
  <si>
    <t xml:space="preserve">30-Dorka </t>
  </si>
  <si>
    <t>Pass 225</t>
  </si>
  <si>
    <t>Pass 226</t>
  </si>
  <si>
    <t>Pass 227</t>
  </si>
  <si>
    <t>Pass 228</t>
  </si>
  <si>
    <t>Pass 230</t>
  </si>
  <si>
    <t>Pass 231</t>
  </si>
  <si>
    <t>Pass 232</t>
  </si>
  <si>
    <t>Pass 233</t>
  </si>
  <si>
    <t>Pass 234</t>
  </si>
  <si>
    <t>Pass 235</t>
  </si>
  <si>
    <t>Pass 236</t>
  </si>
  <si>
    <t>Pass 237</t>
  </si>
  <si>
    <t>Pass 238</t>
  </si>
  <si>
    <t>Pass 239</t>
  </si>
  <si>
    <t>Pass 240</t>
  </si>
  <si>
    <t>Pass 241</t>
  </si>
  <si>
    <t>Pass 242</t>
  </si>
  <si>
    <t>Pass 243</t>
  </si>
  <si>
    <t>Pass 244</t>
  </si>
  <si>
    <t>Pass 245</t>
  </si>
  <si>
    <t>Pass 246</t>
  </si>
  <si>
    <t>Pass 247</t>
  </si>
  <si>
    <t>Pass 248</t>
  </si>
  <si>
    <t>Pass 249</t>
  </si>
  <si>
    <t>Pass 250</t>
  </si>
  <si>
    <t>Pass 251</t>
  </si>
  <si>
    <t>Pass 252</t>
  </si>
  <si>
    <t>Pass 253</t>
  </si>
  <si>
    <t>Pass 254</t>
  </si>
  <si>
    <t>Pass 255</t>
  </si>
  <si>
    <t>Pass 256</t>
  </si>
  <si>
    <t>Pass 257</t>
  </si>
  <si>
    <t>Pass 258</t>
  </si>
  <si>
    <t>Pass 259</t>
  </si>
  <si>
    <t>Pass 260</t>
  </si>
  <si>
    <t>Pass 261</t>
  </si>
  <si>
    <t>Interception</t>
  </si>
  <si>
    <t>Interception 001</t>
  </si>
  <si>
    <t>Interception 002</t>
  </si>
  <si>
    <t>Interception 003</t>
  </si>
  <si>
    <t>Interception 004</t>
  </si>
  <si>
    <t>Interception 005</t>
  </si>
  <si>
    <t>Interception 006</t>
  </si>
  <si>
    <t>Interception 007</t>
  </si>
  <si>
    <t>Interception 008</t>
  </si>
  <si>
    <t>Interception 009</t>
  </si>
  <si>
    <t>Interception 010</t>
  </si>
  <si>
    <t>Interception 011</t>
  </si>
  <si>
    <t>Interception 012</t>
  </si>
  <si>
    <t>Interception 013</t>
  </si>
  <si>
    <t>Interception 014</t>
  </si>
  <si>
    <t>Interception 015</t>
  </si>
  <si>
    <t>Interception 016</t>
  </si>
  <si>
    <t>Interception 017</t>
  </si>
  <si>
    <t>Interception 018</t>
  </si>
  <si>
    <t>Interception 019</t>
  </si>
  <si>
    <t>Interception 020</t>
  </si>
  <si>
    <t>Interception 021</t>
  </si>
  <si>
    <t>Interception 022</t>
  </si>
  <si>
    <t>Interception 023</t>
  </si>
  <si>
    <t>Interception 024</t>
  </si>
  <si>
    <t>Interception 025</t>
  </si>
  <si>
    <t>Interception 026</t>
  </si>
  <si>
    <t>Interception 027</t>
  </si>
  <si>
    <t>Interception 028</t>
  </si>
  <si>
    <t>Interception 029</t>
  </si>
  <si>
    <t>Interception 030</t>
  </si>
  <si>
    <t>Interception 031</t>
  </si>
  <si>
    <t>Interception 032</t>
  </si>
  <si>
    <t>Interception 033</t>
  </si>
  <si>
    <t>Interception 034</t>
  </si>
  <si>
    <t>Interception 035</t>
  </si>
  <si>
    <t>Interception 036</t>
  </si>
  <si>
    <t>Interception 037</t>
  </si>
  <si>
    <t>Interception 038</t>
  </si>
  <si>
    <t>Interception 039</t>
  </si>
  <si>
    <t>Interception 040</t>
  </si>
  <si>
    <t>Interception 041</t>
  </si>
  <si>
    <t>Interception 042</t>
  </si>
  <si>
    <t>Interception 043</t>
  </si>
  <si>
    <t>Interception 044</t>
  </si>
  <si>
    <t>Interception 045</t>
  </si>
  <si>
    <t>Interception 046</t>
  </si>
  <si>
    <t>Interception 047</t>
  </si>
  <si>
    <t>Interception 048</t>
  </si>
  <si>
    <t>Interception 049</t>
  </si>
  <si>
    <t>Interception 050</t>
  </si>
  <si>
    <t>Interception 051</t>
  </si>
  <si>
    <t>Interception 052</t>
  </si>
  <si>
    <t>Interception 053</t>
  </si>
  <si>
    <t>Interception 054</t>
  </si>
  <si>
    <t>Interception 055</t>
  </si>
  <si>
    <t>Interception 056</t>
  </si>
  <si>
    <t>Interception 057</t>
  </si>
  <si>
    <t>Interception 058</t>
  </si>
  <si>
    <t>Interception 059</t>
  </si>
  <si>
    <t>Interception 060</t>
  </si>
  <si>
    <t>Interception 061</t>
  </si>
  <si>
    <t>Interception 062</t>
  </si>
  <si>
    <t>Interception 063</t>
  </si>
  <si>
    <t>Interception 064</t>
  </si>
  <si>
    <t>Interception 065</t>
  </si>
  <si>
    <t>Interception 066</t>
  </si>
  <si>
    <t>Interception 067</t>
  </si>
  <si>
    <t>Interception 068</t>
  </si>
  <si>
    <t>Interception 069</t>
  </si>
  <si>
    <t>Interception 070</t>
  </si>
  <si>
    <t>Interception 071</t>
  </si>
  <si>
    <t>Interception 072</t>
  </si>
  <si>
    <t>Interception 073</t>
  </si>
  <si>
    <t>Interception 074</t>
  </si>
  <si>
    <t>Interception 075</t>
  </si>
  <si>
    <t>Interception 076</t>
  </si>
  <si>
    <t>Interception 077</t>
  </si>
  <si>
    <t>Interception 078</t>
  </si>
  <si>
    <t>Interception 079</t>
  </si>
  <si>
    <t>Interception 080</t>
  </si>
  <si>
    <t>Interception 081</t>
  </si>
  <si>
    <t>Interception 082</t>
  </si>
  <si>
    <t>Interception 083</t>
  </si>
  <si>
    <t>Interception 084</t>
  </si>
  <si>
    <t>Interception 085</t>
  </si>
  <si>
    <t>Interception 086</t>
  </si>
  <si>
    <t>Interception 087</t>
  </si>
  <si>
    <t>Interception 088</t>
  </si>
  <si>
    <t>Interception 089</t>
  </si>
  <si>
    <t>Interception 090</t>
  </si>
  <si>
    <t>Interception 091</t>
  </si>
  <si>
    <t>Interception 092</t>
  </si>
  <si>
    <t>Interception 093</t>
  </si>
  <si>
    <t>Interception 094</t>
  </si>
  <si>
    <t>Interception 095</t>
  </si>
  <si>
    <t>Interception 096</t>
  </si>
  <si>
    <t>Challenge</t>
  </si>
  <si>
    <t>Challenge 001</t>
  </si>
  <si>
    <t>lost</t>
  </si>
  <si>
    <t>Challenge 002</t>
  </si>
  <si>
    <t>won</t>
  </si>
  <si>
    <t>Challenge 003</t>
  </si>
  <si>
    <t>Challenge 004</t>
  </si>
  <si>
    <t>Challenge 005</t>
  </si>
  <si>
    <t>Challenge 006</t>
  </si>
  <si>
    <t>Challenge 007</t>
  </si>
  <si>
    <t>Challenge 008</t>
  </si>
  <si>
    <t>Challenge 009</t>
  </si>
  <si>
    <t>Challenge 010</t>
  </si>
  <si>
    <t>Challenge 011</t>
  </si>
  <si>
    <t>Challenge 012</t>
  </si>
  <si>
    <t>Challenge 013</t>
  </si>
  <si>
    <t>Challenge 014</t>
  </si>
  <si>
    <t>Challenge 015</t>
  </si>
  <si>
    <t>Challenge 016</t>
  </si>
  <si>
    <t>Challenge 017</t>
  </si>
  <si>
    <t>Challenge 018</t>
  </si>
  <si>
    <t>Challenge 019</t>
  </si>
  <si>
    <t>Challenge 020</t>
  </si>
  <si>
    <t>Challenge 021</t>
  </si>
  <si>
    <t>Challenge 022</t>
  </si>
  <si>
    <t>Challenge 023</t>
  </si>
  <si>
    <t>Challenge 024</t>
  </si>
  <si>
    <t>Challenge 025</t>
  </si>
  <si>
    <t>Challenge 026</t>
  </si>
  <si>
    <t>Challenge 027</t>
  </si>
  <si>
    <t>Challenge 028</t>
  </si>
  <si>
    <t>Challenge 029</t>
  </si>
  <si>
    <t>Challenge 030</t>
  </si>
  <si>
    <t>Challenge 031</t>
  </si>
  <si>
    <t>Challenge 032</t>
  </si>
  <si>
    <t>Challenge 033</t>
  </si>
  <si>
    <t>Challenge 034</t>
  </si>
  <si>
    <t>Challenge 035</t>
  </si>
  <si>
    <t>Challenge 036</t>
  </si>
  <si>
    <t>Challenge 037</t>
  </si>
  <si>
    <t>Challenge 038</t>
  </si>
  <si>
    <t>Challenge 039</t>
  </si>
  <si>
    <t>Challenge 040</t>
  </si>
  <si>
    <t>Challenge 041</t>
  </si>
  <si>
    <t>Challenge 042</t>
  </si>
  <si>
    <t>Challenge 043</t>
  </si>
  <si>
    <t>Challenge 044</t>
  </si>
  <si>
    <t>Challenge 045</t>
  </si>
  <si>
    <t>Challenge 046</t>
  </si>
  <si>
    <t>Challenge 047</t>
  </si>
  <si>
    <t>Challenge 048</t>
  </si>
  <si>
    <t>Challenge 049</t>
  </si>
  <si>
    <t>Challenge 050</t>
  </si>
  <si>
    <t>Challenge 051</t>
  </si>
  <si>
    <t>Challenge 052</t>
  </si>
  <si>
    <t>Challenge 053</t>
  </si>
  <si>
    <t>Challenge 054</t>
  </si>
  <si>
    <t>Challenge 055</t>
  </si>
  <si>
    <t>Challenge 056</t>
  </si>
  <si>
    <t>Challenge 057</t>
  </si>
  <si>
    <t>Challenge 058</t>
  </si>
  <si>
    <t>Challenge 059</t>
  </si>
  <si>
    <t>Challenge 060</t>
  </si>
  <si>
    <t>Challenge 061</t>
  </si>
  <si>
    <t>Challenge 062</t>
  </si>
  <si>
    <t>Challenge 063</t>
  </si>
  <si>
    <t>Challenge 064</t>
  </si>
  <si>
    <t>Challenge 065</t>
  </si>
  <si>
    <t>Challenge 066</t>
  </si>
  <si>
    <t>Challenge 067</t>
  </si>
  <si>
    <t>Challenge 068</t>
  </si>
  <si>
    <t>Challenge 069</t>
  </si>
  <si>
    <t>Challenge 070</t>
  </si>
  <si>
    <t>Challenge 071</t>
  </si>
  <si>
    <t>Challenge 072</t>
  </si>
  <si>
    <t>Challenge 073</t>
  </si>
  <si>
    <t>Challenge 074</t>
  </si>
  <si>
    <t>Challenge 075</t>
  </si>
  <si>
    <t>Challenge 076</t>
  </si>
  <si>
    <t>Challenge 077</t>
  </si>
  <si>
    <t>Challenge 078</t>
  </si>
  <si>
    <t>Challenge 079</t>
  </si>
  <si>
    <t>Challenge 080</t>
  </si>
  <si>
    <t>Challenge 081</t>
  </si>
  <si>
    <t>Challenge 082</t>
  </si>
  <si>
    <t>Challenge 083</t>
  </si>
  <si>
    <t>Challenge 084</t>
  </si>
  <si>
    <t>Challenge 085</t>
  </si>
  <si>
    <t>Challenge 086</t>
  </si>
  <si>
    <t>Challenge 087</t>
  </si>
  <si>
    <t>Challenge 088</t>
  </si>
  <si>
    <t>Challenge 089</t>
  </si>
  <si>
    <t>Challenge 090</t>
  </si>
  <si>
    <t>Challenge 091</t>
  </si>
  <si>
    <t>Challenge 092</t>
  </si>
  <si>
    <t>Challenge 093</t>
  </si>
  <si>
    <t>Challenge 094</t>
  </si>
  <si>
    <t>Challenge 095</t>
  </si>
  <si>
    <t>Challenge 096</t>
  </si>
  <si>
    <t>Challenge 097</t>
  </si>
  <si>
    <t>Challenge 098</t>
  </si>
  <si>
    <t>Challenge 099</t>
  </si>
  <si>
    <t>Challenge 100</t>
  </si>
  <si>
    <t>Challenge 101</t>
  </si>
  <si>
    <t>Challenge 102</t>
  </si>
  <si>
    <t>Challenge 103</t>
  </si>
  <si>
    <t>Challenge 104</t>
  </si>
  <si>
    <t>Aerial challenge</t>
  </si>
  <si>
    <t>Aerial challenge 001</t>
  </si>
  <si>
    <t>Aerial challenge 002</t>
  </si>
  <si>
    <t>Aerial challenge 003</t>
  </si>
  <si>
    <t>Aerial challenge 004</t>
  </si>
  <si>
    <t>Aerial challenge 005</t>
  </si>
  <si>
    <t>Aerial challenge 006</t>
  </si>
  <si>
    <t>Aerial challenge 007</t>
  </si>
  <si>
    <t>Aerial challenge 008</t>
  </si>
  <si>
    <t>Aerial challenge 009</t>
  </si>
  <si>
    <t>Aerial challenge 010</t>
  </si>
  <si>
    <t>Aerial challenge 011</t>
  </si>
  <si>
    <t>Aerial challenge 012</t>
  </si>
  <si>
    <t>Aerial challenge 013</t>
  </si>
  <si>
    <t>Aerial challenge 014</t>
  </si>
  <si>
    <t>Aerial challenge 015</t>
  </si>
  <si>
    <t>Aerial challenge 016</t>
  </si>
  <si>
    <t>Aerial challenge 017</t>
  </si>
  <si>
    <t>Aerial challenge 018</t>
  </si>
  <si>
    <t>Aerial challenge 019</t>
  </si>
  <si>
    <t>Aerial challenge 020</t>
  </si>
  <si>
    <t>Aerial challenge 021</t>
  </si>
  <si>
    <t>Aerial challenge 022</t>
  </si>
  <si>
    <t>Aerial challenge 023</t>
  </si>
  <si>
    <t>Aerial challenge 024</t>
  </si>
  <si>
    <t>Aerial challenge 025</t>
  </si>
  <si>
    <t>Aerial challenge 026</t>
  </si>
  <si>
    <t>Cross</t>
  </si>
  <si>
    <t>Cross 001</t>
  </si>
  <si>
    <t>Cross 002</t>
  </si>
  <si>
    <t>Cross 003</t>
  </si>
  <si>
    <t>Cross 004</t>
  </si>
  <si>
    <t>Cross 005</t>
  </si>
  <si>
    <t>Cross 006</t>
  </si>
  <si>
    <t>Cross 007</t>
  </si>
  <si>
    <t>Cross 008</t>
  </si>
  <si>
    <t>Cross 009</t>
  </si>
  <si>
    <t>Cross 010</t>
  </si>
  <si>
    <t>Cross 011</t>
  </si>
  <si>
    <t>Cross 012</t>
  </si>
  <si>
    <t>Cross 013</t>
  </si>
  <si>
    <t>Cross 014</t>
  </si>
  <si>
    <t>Cross 015</t>
  </si>
  <si>
    <t>Cross 016</t>
  </si>
  <si>
    <t>Cross 017</t>
  </si>
  <si>
    <t>Cross 018</t>
  </si>
  <si>
    <t>Cross 019</t>
  </si>
  <si>
    <t>Cross 020</t>
  </si>
  <si>
    <t>Clearance/block</t>
  </si>
  <si>
    <t>Clearance/block 001</t>
  </si>
  <si>
    <t>Clearance/block 002</t>
  </si>
  <si>
    <t>Clearance/block 003</t>
  </si>
  <si>
    <t>Clearance/block 004</t>
  </si>
  <si>
    <t>Clearance/block 005</t>
  </si>
  <si>
    <t>Clearance/block 006</t>
  </si>
  <si>
    <t>Clearance/block 007</t>
  </si>
  <si>
    <t>Clearance/block 008</t>
  </si>
  <si>
    <t>Clearance/block 009</t>
  </si>
  <si>
    <t>Clearance/block 010</t>
  </si>
  <si>
    <t>Clearance/block 011</t>
  </si>
  <si>
    <t>Clearance/block 012</t>
  </si>
  <si>
    <t>Clearance/block 013</t>
  </si>
  <si>
    <t>Clearance/block 014</t>
  </si>
  <si>
    <t>Clearance/block 015</t>
  </si>
  <si>
    <t>Clearance/block 016</t>
  </si>
  <si>
    <t>Clearance/block 017</t>
  </si>
  <si>
    <t>Clearance/block 018</t>
  </si>
  <si>
    <t>Clearance/block 019</t>
  </si>
  <si>
    <t>Clearance/block 020</t>
  </si>
  <si>
    <t>Clearance/block 021</t>
  </si>
  <si>
    <t>Clearance/block 022</t>
  </si>
  <si>
    <t>Clearance/block 023</t>
  </si>
  <si>
    <t>Clearance/block 024</t>
  </si>
  <si>
    <t>Clearance/block 025</t>
  </si>
  <si>
    <t>Clearance/block 026</t>
  </si>
  <si>
    <t>Clearance/block 027</t>
  </si>
  <si>
    <t>Clearance/block 028</t>
  </si>
  <si>
    <t>Clearance/block 029</t>
  </si>
  <si>
    <t>Goal attempt</t>
  </si>
  <si>
    <t>Goal position</t>
  </si>
  <si>
    <t>GoalX</t>
  </si>
  <si>
    <t>GoalY</t>
  </si>
  <si>
    <t>Goal attempt 001</t>
  </si>
  <si>
    <t>off target</t>
  </si>
  <si>
    <t>Goal attempt 002</t>
  </si>
  <si>
    <t>Goal attempt 003</t>
  </si>
  <si>
    <t>Goal attempt 004</t>
  </si>
  <si>
    <t>Goal attempt 005</t>
  </si>
  <si>
    <t>goal</t>
  </si>
  <si>
    <t>Goal attempt 006</t>
  </si>
  <si>
    <t>Goal attempt 007</t>
  </si>
  <si>
    <t>Goal attempt 008</t>
  </si>
  <si>
    <t>Goal attempt 009</t>
  </si>
  <si>
    <t>on target</t>
  </si>
  <si>
    <t>Goal attempt 010</t>
  </si>
  <si>
    <t>Goal attempt 011</t>
  </si>
  <si>
    <t>Goal attempt 012</t>
  </si>
  <si>
    <t>Goal attempt 013</t>
  </si>
  <si>
    <t>Goal attempt 014</t>
  </si>
  <si>
    <t>Goal attempt 015</t>
  </si>
  <si>
    <t>Goal attempt 016</t>
  </si>
  <si>
    <t>Goal attempt 017</t>
  </si>
  <si>
    <t>Goal attempt 018</t>
  </si>
  <si>
    <t>Goal attempt 019</t>
  </si>
  <si>
    <t>Goal attempt 020</t>
  </si>
  <si>
    <t>Foul committed</t>
  </si>
  <si>
    <t>Half field position</t>
  </si>
  <si>
    <t>HalfFieldX</t>
  </si>
  <si>
    <t>HalfFieldY</t>
  </si>
  <si>
    <t>Foul committed 001</t>
  </si>
  <si>
    <t>Foul committed 002</t>
  </si>
  <si>
    <t>Foul committed 003</t>
  </si>
  <si>
    <t>Foul committed 004</t>
  </si>
  <si>
    <t>Foul committed 005</t>
  </si>
  <si>
    <t>Foul committed 006</t>
  </si>
  <si>
    <t>Foul committed 007</t>
  </si>
  <si>
    <t>Foul committed 008</t>
  </si>
  <si>
    <t>Foul committed 009</t>
  </si>
  <si>
    <t>Foul committed 010</t>
  </si>
  <si>
    <t>Foul committed 011</t>
  </si>
  <si>
    <t>Foul committed 012</t>
  </si>
  <si>
    <t>Foul committed 013</t>
  </si>
  <si>
    <t>Foul committed 014</t>
  </si>
  <si>
    <t>Long ball</t>
  </si>
  <si>
    <t>Long ball 001</t>
  </si>
  <si>
    <t>Long ball 002</t>
  </si>
  <si>
    <t>Long ball 003</t>
  </si>
  <si>
    <t>Long ball 004</t>
  </si>
  <si>
    <t>Long ball 005</t>
  </si>
  <si>
    <t>Long ball 006</t>
  </si>
  <si>
    <t>Long ball 007</t>
  </si>
  <si>
    <t>Long ball 008</t>
  </si>
  <si>
    <t>Long ball 009</t>
  </si>
  <si>
    <t>Long ball 010</t>
  </si>
  <si>
    <t>Long ball 011</t>
  </si>
  <si>
    <t>Long ball 012</t>
  </si>
  <si>
    <t>Long ball 013</t>
  </si>
  <si>
    <t>Long ball 014</t>
  </si>
  <si>
    <t>Long ball 015</t>
  </si>
  <si>
    <t>Long ball 016</t>
  </si>
  <si>
    <t>Long ball 017</t>
  </si>
  <si>
    <t>Long ball 018</t>
  </si>
  <si>
    <t>Long ball 019</t>
  </si>
  <si>
    <t>Long ball 020</t>
  </si>
  <si>
    <t>Long ball 021</t>
  </si>
  <si>
    <t>Long ball 022</t>
  </si>
  <si>
    <t>Long ball 023</t>
  </si>
  <si>
    <t>Long ball 024</t>
  </si>
  <si>
    <t>Long ball 025</t>
  </si>
  <si>
    <t>Long ball 026</t>
  </si>
  <si>
    <t>Long ball 027</t>
  </si>
  <si>
    <t>Long ball 028</t>
  </si>
  <si>
    <t>Long ball 029</t>
  </si>
  <si>
    <t>Long ball 030</t>
  </si>
  <si>
    <t>Long ball 031</t>
  </si>
  <si>
    <t>Long ball 032</t>
  </si>
  <si>
    <t>Long ball 033</t>
  </si>
  <si>
    <t>Long ball 034</t>
  </si>
  <si>
    <t>Long ball 035</t>
  </si>
  <si>
    <t>Long ball 036</t>
  </si>
  <si>
    <t>Long ball 037</t>
  </si>
  <si>
    <t>Long ball 038</t>
  </si>
  <si>
    <t>Long ball 039</t>
  </si>
  <si>
    <t>Long ball 040</t>
  </si>
  <si>
    <t>Long ball 041</t>
  </si>
  <si>
    <t>Long ball 042</t>
  </si>
  <si>
    <t>Long ball 043</t>
  </si>
  <si>
    <t>Long ball 044</t>
  </si>
  <si>
    <t>Long ball 045</t>
  </si>
  <si>
    <t>Long ball 046</t>
  </si>
  <si>
    <t>Long ball 047</t>
  </si>
  <si>
    <t>Long ball 048</t>
  </si>
  <si>
    <t>Long ball 049</t>
  </si>
  <si>
    <t>Long ball 050</t>
  </si>
  <si>
    <t>Long ball 051</t>
  </si>
  <si>
    <t>Long ball 052</t>
  </si>
  <si>
    <t>Long ball 053</t>
  </si>
  <si>
    <t>Long ball 054</t>
  </si>
  <si>
    <t>Long ball 055</t>
  </si>
  <si>
    <t>Long ball 056</t>
  </si>
  <si>
    <t>Long ball 057</t>
  </si>
  <si>
    <t>Long ball 058</t>
  </si>
  <si>
    <t>Long ball 059</t>
  </si>
  <si>
    <t>Long ball 060</t>
  </si>
  <si>
    <t>Long ball 061</t>
  </si>
  <si>
    <t>Long ball 062</t>
  </si>
  <si>
    <t>Long ball 063</t>
  </si>
  <si>
    <t>Long ball 064</t>
  </si>
  <si>
    <t>Long ball 065</t>
  </si>
  <si>
    <t>Long ball 066</t>
  </si>
  <si>
    <t>Long ball 067</t>
  </si>
  <si>
    <t>Long ball 068</t>
  </si>
  <si>
    <t>Long ball 069</t>
  </si>
  <si>
    <t>Long ball 070</t>
  </si>
  <si>
    <t>Long ball 071</t>
  </si>
  <si>
    <t>Long ball 072</t>
  </si>
  <si>
    <t>Long ball 073</t>
  </si>
  <si>
    <t>Long ball 074</t>
  </si>
  <si>
    <t>Long ball 075</t>
  </si>
  <si>
    <t>Long ball 076</t>
  </si>
  <si>
    <t>Long ball 077</t>
  </si>
  <si>
    <t>chance created</t>
  </si>
  <si>
    <t>New subcategory 1</t>
  </si>
  <si>
    <t>key pass 001</t>
  </si>
  <si>
    <t>key pass 002</t>
  </si>
  <si>
    <t>chance created 003</t>
  </si>
  <si>
    <t>chance created 004</t>
  </si>
  <si>
    <t>chance created 005</t>
  </si>
  <si>
    <t>assist</t>
  </si>
  <si>
    <t>chance created 006</t>
  </si>
  <si>
    <t>chance created 007</t>
  </si>
  <si>
    <t>chance created 009</t>
  </si>
  <si>
    <t>chance created 010</t>
  </si>
  <si>
    <t>chance created 008</t>
  </si>
  <si>
    <t>Foul against</t>
  </si>
  <si>
    <t>Foul against 001</t>
  </si>
  <si>
    <t>Foul against 002</t>
  </si>
  <si>
    <t>Foul against 003</t>
  </si>
  <si>
    <t>Foul against 004</t>
  </si>
  <si>
    <t>Foul against 005</t>
  </si>
  <si>
    <t>Foul against 006</t>
  </si>
  <si>
    <t>Foul against 007</t>
  </si>
  <si>
    <t>Foul against 008</t>
  </si>
  <si>
    <t>Foul against 009</t>
  </si>
  <si>
    <t>Foul against 010</t>
  </si>
  <si>
    <t>Foul against 011</t>
  </si>
  <si>
    <t>Foul against 012</t>
  </si>
  <si>
    <t>Foul against 013</t>
  </si>
  <si>
    <t>Foul against 014</t>
  </si>
  <si>
    <t>Save</t>
  </si>
  <si>
    <t>Save 001</t>
  </si>
  <si>
    <t>Save 002</t>
  </si>
  <si>
    <t>Save 003</t>
  </si>
  <si>
    <t>Save 004</t>
  </si>
  <si>
    <t>Save 005</t>
  </si>
  <si>
    <t>Throw in</t>
  </si>
  <si>
    <t>Throw in 001</t>
  </si>
  <si>
    <t>success</t>
  </si>
  <si>
    <t>Throw in 002</t>
  </si>
  <si>
    <t>Throw in 003</t>
  </si>
  <si>
    <t>Throw in 004</t>
  </si>
  <si>
    <t>Throw in 005</t>
  </si>
  <si>
    <t>Throw in 006</t>
  </si>
  <si>
    <t>Throw in 007</t>
  </si>
  <si>
    <t>Throw in 008</t>
  </si>
  <si>
    <t>Throw in 009</t>
  </si>
  <si>
    <t>Throw in 010</t>
  </si>
  <si>
    <t>Throw in 011</t>
  </si>
  <si>
    <t>Throw in 012</t>
  </si>
  <si>
    <t>Throw in 013</t>
  </si>
  <si>
    <t>Throw in 014</t>
  </si>
  <si>
    <t>failure</t>
  </si>
  <si>
    <t>Throw in 015</t>
  </si>
  <si>
    <t>Throw in 016</t>
  </si>
  <si>
    <t>Throw in 017</t>
  </si>
  <si>
    <t>Throw in 018</t>
  </si>
  <si>
    <t>Throw in 019</t>
  </si>
  <si>
    <t>Throw in 020</t>
  </si>
  <si>
    <t>Throw in 021</t>
  </si>
  <si>
    <t>Throw in 022</t>
  </si>
  <si>
    <t>Throw in 023</t>
  </si>
  <si>
    <t>Throw in 024</t>
  </si>
  <si>
    <t>Throw in 025</t>
  </si>
  <si>
    <t>Throw in 026</t>
  </si>
  <si>
    <t>Throw in 027</t>
  </si>
  <si>
    <t>Throw in 028</t>
  </si>
  <si>
    <t>Throw in 029</t>
  </si>
  <si>
    <t>Throw in 030</t>
  </si>
  <si>
    <t>Throw in 031</t>
  </si>
  <si>
    <t>Throw in 032</t>
  </si>
  <si>
    <t>Throw in 033</t>
  </si>
  <si>
    <t>Throw in 034</t>
  </si>
  <si>
    <t>Throw in 035</t>
  </si>
  <si>
    <t>Throw in 036</t>
  </si>
  <si>
    <t>Throw in 037</t>
  </si>
  <si>
    <t>Throw in 038</t>
  </si>
  <si>
    <t>Throw in 039</t>
  </si>
  <si>
    <t>Throw in 040</t>
  </si>
  <si>
    <t>Throw in 041</t>
  </si>
  <si>
    <t>Throw in 042</t>
  </si>
  <si>
    <t>Dribble</t>
  </si>
  <si>
    <t>Dribble 001</t>
  </si>
  <si>
    <t>successful</t>
  </si>
  <si>
    <t>Dribble 002</t>
  </si>
  <si>
    <t>lost ball</t>
  </si>
  <si>
    <t>Dribble 003</t>
  </si>
  <si>
    <t>Dribble 004</t>
  </si>
  <si>
    <t>Dribble 005</t>
  </si>
  <si>
    <t>Dribble 006</t>
  </si>
  <si>
    <t>Dribble 007</t>
  </si>
  <si>
    <t>Dribble 008</t>
  </si>
  <si>
    <t>Dribble 009</t>
  </si>
  <si>
    <t>Dribble 010</t>
  </si>
  <si>
    <t>Dribble 011</t>
  </si>
  <si>
    <t>Dribble 012</t>
  </si>
  <si>
    <t>Dribble 013</t>
  </si>
  <si>
    <t>Dribble 014</t>
  </si>
  <si>
    <t>Dribble 015</t>
  </si>
  <si>
    <t>Dribble 016</t>
  </si>
  <si>
    <t>Dribble 017</t>
  </si>
  <si>
    <t>Dribble 018</t>
  </si>
  <si>
    <t>Dribble 019</t>
  </si>
  <si>
    <t>Dribble 020</t>
  </si>
  <si>
    <t>Dribble 021</t>
  </si>
  <si>
    <t>Dribble 022</t>
  </si>
  <si>
    <t>Dribble 023</t>
  </si>
  <si>
    <t>Dribble 024</t>
  </si>
  <si>
    <t>Dribble 025</t>
  </si>
  <si>
    <t>Dribble 026</t>
  </si>
  <si>
    <t>Dribble 027</t>
  </si>
  <si>
    <t>Dribble 028</t>
  </si>
  <si>
    <t>Dribble 029</t>
  </si>
  <si>
    <t>Dribble 030</t>
  </si>
  <si>
    <t>Dribble 031</t>
  </si>
  <si>
    <t>Dribble 032</t>
  </si>
  <si>
    <t>Dribble 033</t>
  </si>
  <si>
    <t>Dribble 034</t>
  </si>
  <si>
    <t>Score</t>
  </si>
  <si>
    <t>Score 001</t>
  </si>
  <si>
    <t xml:space="preserve">10-Player 10 </t>
  </si>
  <si>
    <t>Score 002</t>
  </si>
  <si>
    <t>Score 003</t>
  </si>
  <si>
    <t>Score 005</t>
  </si>
  <si>
    <t>Score 004</t>
  </si>
  <si>
    <t xml:space="preserve">11-Player 11 </t>
  </si>
  <si>
    <t>Substitution</t>
  </si>
  <si>
    <t>Lineup</t>
  </si>
  <si>
    <t>PlayersSubstitution</t>
  </si>
  <si>
    <t>St. Mihály</t>
  </si>
  <si>
    <t>PositionChange</t>
  </si>
  <si>
    <t>other ball loss</t>
  </si>
  <si>
    <t>other ball loss 001</t>
  </si>
  <si>
    <t>other ball loss 002</t>
  </si>
  <si>
    <t>other ball loss 003</t>
  </si>
  <si>
    <t>other ball loss 004</t>
  </si>
  <si>
    <t>other ball loss 005</t>
  </si>
  <si>
    <t>other ball loss 006</t>
  </si>
  <si>
    <t>other ball loss 007</t>
  </si>
  <si>
    <t>other ball loss 008</t>
  </si>
  <si>
    <t>other ball loss 009</t>
  </si>
  <si>
    <t>other ball loss 010</t>
  </si>
  <si>
    <t>other ball loss 011</t>
  </si>
  <si>
    <t>other ball loss 012</t>
  </si>
  <si>
    <t>other ball loss 013</t>
  </si>
  <si>
    <t>other ball loss 014</t>
  </si>
  <si>
    <t>other ball loss 015</t>
  </si>
  <si>
    <t>other ball loss 016</t>
  </si>
  <si>
    <t>offside</t>
  </si>
  <si>
    <t>offside 001</t>
  </si>
  <si>
    <t>offside 002</t>
  </si>
  <si>
    <t>%</t>
  </si>
  <si>
    <t>Long balls</t>
  </si>
  <si>
    <t>Crosses</t>
  </si>
  <si>
    <t>Chance created</t>
  </si>
  <si>
    <t>Combined</t>
  </si>
  <si>
    <t>Fouls against</t>
  </si>
  <si>
    <t>Fouls commited</t>
  </si>
  <si>
    <t>Clearance/Block</t>
  </si>
  <si>
    <t>Thow in</t>
  </si>
  <si>
    <t>Offside</t>
  </si>
  <si>
    <t>hit the woodwork</t>
  </si>
  <si>
    <t>other ball loss*</t>
  </si>
  <si>
    <t>Zsani</t>
  </si>
  <si>
    <t>Peo</t>
  </si>
  <si>
    <t>Betty</t>
  </si>
  <si>
    <t>Kriszti</t>
  </si>
  <si>
    <t>Nina</t>
  </si>
  <si>
    <t>Slaki</t>
  </si>
  <si>
    <t>Sanda</t>
  </si>
  <si>
    <t>Szidi</t>
  </si>
  <si>
    <t>Milana</t>
  </si>
  <si>
    <t>Kicsi</t>
  </si>
  <si>
    <t>Ivana</t>
  </si>
  <si>
    <t>Puffi</t>
  </si>
  <si>
    <t>Dorka</t>
  </si>
  <si>
    <t>Oszlop1</t>
  </si>
  <si>
    <t>Name</t>
  </si>
  <si>
    <t>All</t>
  </si>
  <si>
    <t>*egyéb labdavesztés</t>
  </si>
  <si>
    <t>teremtett helyzet</t>
  </si>
  <si>
    <t>gólpassz</t>
  </si>
  <si>
    <t>les</t>
  </si>
  <si>
    <t>bedobás</t>
  </si>
  <si>
    <t>csel</t>
  </si>
  <si>
    <t>lövés</t>
  </si>
  <si>
    <t>kaput eltaláló</t>
  </si>
  <si>
    <t>kaput elkerülő</t>
  </si>
  <si>
    <t>kapufa</t>
  </si>
  <si>
    <t>gól</t>
  </si>
  <si>
    <t>tisztázás/blokk</t>
  </si>
  <si>
    <t>védés</t>
  </si>
  <si>
    <t>labdaszerzés</t>
  </si>
  <si>
    <t>összesen</t>
  </si>
  <si>
    <t>légicsata xd</t>
  </si>
  <si>
    <t>párharc</t>
  </si>
  <si>
    <t>együtt</t>
  </si>
  <si>
    <t>beadás</t>
  </si>
  <si>
    <t>ívelés/indítás</t>
  </si>
  <si>
    <t>passz</t>
  </si>
  <si>
    <t>sikeres</t>
  </si>
  <si>
    <t>elszenvedett szabálytl.</t>
  </si>
  <si>
    <t>elkövetett szabályt.</t>
  </si>
  <si>
    <t>(*mostly technical mistakes/leginkább technikai hiba)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</si>
</sst>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%"/>
  </numFmts>
  <fonts count="10" x14ac:knownFonts="1">
    <font>
      <sz val="11"/>
      <name val="Calibri"/>
    </font>
    <font>
      <sz val="11"/>
      <color theme="1"/>
      <name val="Calibri"/>
      <family val="2"/>
      <charset val="238"/>
      <scheme val="minor"/>
    </font>
    <font>
      <sz val="18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/>
    </xf>
    <xf numFmtId="21" fontId="0" fillId="0" borderId="0" xfId="0" applyNumberFormat="1"/>
    <xf numFmtId="0" fontId="8" fillId="5" borderId="1" xfId="0" applyFont="1" applyFill="1" applyBorder="1"/>
    <xf numFmtId="0" fontId="4" fillId="0" borderId="0" xfId="0" applyFont="1"/>
    <xf numFmtId="0" fontId="0" fillId="0" borderId="2" xfId="0" applyBorder="1"/>
    <xf numFmtId="0" fontId="7" fillId="0" borderId="3" xfId="0" applyFont="1" applyBorder="1"/>
    <xf numFmtId="0" fontId="7" fillId="6" borderId="3" xfId="0" applyFont="1" applyFill="1" applyBorder="1"/>
    <xf numFmtId="0" fontId="8" fillId="5" borderId="3" xfId="0" applyFont="1" applyFill="1" applyBorder="1"/>
    <xf numFmtId="0" fontId="0" fillId="0" borderId="3" xfId="0" applyBorder="1"/>
    <xf numFmtId="0" fontId="9" fillId="0" borderId="3" xfId="0" applyFont="1" applyBorder="1"/>
    <xf numFmtId="0" fontId="8" fillId="7" borderId="3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7" fillId="6" borderId="4" xfId="0" applyFont="1" applyFill="1" applyBorder="1"/>
    <xf numFmtId="165" fontId="0" fillId="0" borderId="5" xfId="1" applyNumberFormat="1" applyFont="1" applyBorder="1"/>
    <xf numFmtId="0" fontId="0" fillId="0" borderId="5" xfId="0" applyBorder="1"/>
    <xf numFmtId="0" fontId="7" fillId="0" borderId="4" xfId="0" applyFont="1" applyBorder="1"/>
    <xf numFmtId="0" fontId="9" fillId="6" borderId="4" xfId="0" applyFont="1" applyFill="1" applyBorder="1"/>
    <xf numFmtId="0" fontId="0" fillId="0" borderId="6" xfId="0" applyBorder="1"/>
    <xf numFmtId="0" fontId="8" fillId="5" borderId="4" xfId="0" applyFont="1" applyFill="1" applyBorder="1"/>
    <xf numFmtId="0" fontId="8" fillId="7" borderId="4" xfId="0" applyFont="1" applyFill="1" applyBorder="1"/>
    <xf numFmtId="0" fontId="0" fillId="0" borderId="4" xfId="0" applyBorder="1"/>
    <xf numFmtId="0" fontId="0" fillId="0" borderId="1" xfId="0" applyBorder="1"/>
    <xf numFmtId="0" fontId="4" fillId="0" borderId="2" xfId="0" applyFont="1" applyBorder="1"/>
    <xf numFmtId="165" fontId="0" fillId="0" borderId="4" xfId="1" applyNumberFormat="1" applyFont="1" applyBorder="1"/>
    <xf numFmtId="0" fontId="0" fillId="0" borderId="8" xfId="0" applyBorder="1"/>
    <xf numFmtId="0" fontId="0" fillId="0" borderId="9" xfId="0" applyBorder="1"/>
    <xf numFmtId="0" fontId="5" fillId="2" borderId="3" xfId="2" applyFont="1" applyBorder="1"/>
    <xf numFmtId="0" fontId="5" fillId="2" borderId="2" xfId="2" applyFont="1" applyBorder="1"/>
    <xf numFmtId="0" fontId="5" fillId="2" borderId="7" xfId="2" applyFont="1" applyBorder="1"/>
    <xf numFmtId="0" fontId="5" fillId="2" borderId="10" xfId="2" applyFont="1" applyBorder="1"/>
    <xf numFmtId="0" fontId="5" fillId="2" borderId="9" xfId="2" applyFont="1" applyBorder="1"/>
    <xf numFmtId="0" fontId="5" fillId="2" borderId="8" xfId="2" applyFont="1" applyBorder="1"/>
    <xf numFmtId="0" fontId="5" fillId="2" borderId="4" xfId="2" applyFont="1" applyBorder="1"/>
    <xf numFmtId="0" fontId="5" fillId="2" borderId="1" xfId="2" applyFont="1" applyBorder="1"/>
    <xf numFmtId="0" fontId="1" fillId="4" borderId="3" xfId="4" applyBorder="1"/>
    <xf numFmtId="0" fontId="1" fillId="3" borderId="3" xfId="3" applyBorder="1"/>
    <xf numFmtId="0" fontId="1" fillId="4" borderId="4" xfId="4" applyBorder="1"/>
    <xf numFmtId="0" fontId="8" fillId="5" borderId="7" xfId="0" applyFont="1" applyFill="1" applyBorder="1"/>
    <xf numFmtId="0" fontId="0" fillId="0" borderId="11" xfId="0" applyBorder="1"/>
    <xf numFmtId="0" fontId="1" fillId="3" borderId="4" xfId="3" applyBorder="1"/>
    <xf numFmtId="0" fontId="0" fillId="0" borderId="12" xfId="0" applyBorder="1"/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</cellXfs>
  <cellStyles count="5">
    <cellStyle name="20% - 6. jelölőszín" xfId="3" builtinId="50"/>
    <cellStyle name="40% - 6. jelölőszín" xfId="4" builtinId="51"/>
    <cellStyle name="Jelölőszín 6" xfId="2" builtinId="49"/>
    <cellStyle name="Normál" xfId="0" builtinId="0"/>
    <cellStyle name="Százalék" xfId="1" builtinId="5"/>
  </cellStyles>
  <dxfs count="4">
    <dxf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Pass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statistics'!$A$10</c:f>
              <c:strCache>
                <c:ptCount val="1"/>
                <c:pt idx="0">
                  <c:v>Pass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statistics'!$H$12:$H$272</c:f>
              <c:numCache>
                <c:formatCode>General</c:formatCode>
                <c:ptCount val="261"/>
                <c:pt idx="0">
                  <c:v>5.3867403314917101E-2</c:v>
                </c:pt>
                <c:pt idx="1">
                  <c:v>0.26657458563535902</c:v>
                </c:pt>
                <c:pt idx="2">
                  <c:v>0.34392265193370197</c:v>
                </c:pt>
                <c:pt idx="3">
                  <c:v>0.299723756906077</c:v>
                </c:pt>
                <c:pt idx="4">
                  <c:v>5.3867403314917101E-2</c:v>
                </c:pt>
                <c:pt idx="5">
                  <c:v>0.31077348066298299</c:v>
                </c:pt>
                <c:pt idx="6">
                  <c:v>0.37707182320442001</c:v>
                </c:pt>
                <c:pt idx="7">
                  <c:v>0.48480662983425399</c:v>
                </c:pt>
                <c:pt idx="8">
                  <c:v>0.98756906077348094</c:v>
                </c:pt>
                <c:pt idx="9">
                  <c:v>0.94613259668508298</c:v>
                </c:pt>
                <c:pt idx="10">
                  <c:v>0.399171270718232</c:v>
                </c:pt>
                <c:pt idx="11">
                  <c:v>0.42127071823204398</c:v>
                </c:pt>
                <c:pt idx="12">
                  <c:v>0.38259668508287298</c:v>
                </c:pt>
                <c:pt idx="13">
                  <c:v>0.35497237569060802</c:v>
                </c:pt>
                <c:pt idx="14">
                  <c:v>0.73342541436464104</c:v>
                </c:pt>
                <c:pt idx="15">
                  <c:v>0.64779005524861899</c:v>
                </c:pt>
                <c:pt idx="16">
                  <c:v>0.27762430939226501</c:v>
                </c:pt>
                <c:pt idx="17">
                  <c:v>0.31077348066298299</c:v>
                </c:pt>
                <c:pt idx="18">
                  <c:v>0.41574585635359101</c:v>
                </c:pt>
                <c:pt idx="19">
                  <c:v>0.69751381215469599</c:v>
                </c:pt>
                <c:pt idx="20">
                  <c:v>0.45994475138121499</c:v>
                </c:pt>
                <c:pt idx="21">
                  <c:v>0.56767955801104997</c:v>
                </c:pt>
                <c:pt idx="22">
                  <c:v>0.78867403314917095</c:v>
                </c:pt>
                <c:pt idx="23">
                  <c:v>0.23342541436464101</c:v>
                </c:pt>
                <c:pt idx="24">
                  <c:v>0.72237569060773499</c:v>
                </c:pt>
                <c:pt idx="25">
                  <c:v>0.76657458563535896</c:v>
                </c:pt>
                <c:pt idx="26">
                  <c:v>0.76381215469613295</c:v>
                </c:pt>
                <c:pt idx="27">
                  <c:v>0.71408839779005495</c:v>
                </c:pt>
                <c:pt idx="28">
                  <c:v>0.65331491712707201</c:v>
                </c:pt>
                <c:pt idx="29">
                  <c:v>0.74723756906077299</c:v>
                </c:pt>
                <c:pt idx="30">
                  <c:v>0.675414364640884</c:v>
                </c:pt>
                <c:pt idx="31">
                  <c:v>0.34116022099447502</c:v>
                </c:pt>
                <c:pt idx="32">
                  <c:v>0.31906077348066297</c:v>
                </c:pt>
                <c:pt idx="33">
                  <c:v>0.33563535911602199</c:v>
                </c:pt>
                <c:pt idx="34">
                  <c:v>0.299723756906077</c:v>
                </c:pt>
                <c:pt idx="35">
                  <c:v>0.24723756906077299</c:v>
                </c:pt>
                <c:pt idx="36">
                  <c:v>0.26657458563535902</c:v>
                </c:pt>
                <c:pt idx="37">
                  <c:v>0.161602209944751</c:v>
                </c:pt>
                <c:pt idx="38">
                  <c:v>5.3867403314917101E-2</c:v>
                </c:pt>
                <c:pt idx="39">
                  <c:v>0.12845303867403299</c:v>
                </c:pt>
                <c:pt idx="40">
                  <c:v>0.31629834254143602</c:v>
                </c:pt>
                <c:pt idx="41">
                  <c:v>0.26657458563535902</c:v>
                </c:pt>
                <c:pt idx="42">
                  <c:v>0.29419889502762397</c:v>
                </c:pt>
                <c:pt idx="43">
                  <c:v>0.31629834254143602</c:v>
                </c:pt>
                <c:pt idx="44">
                  <c:v>0.29143646408839802</c:v>
                </c:pt>
                <c:pt idx="45">
                  <c:v>0.244475138121547</c:v>
                </c:pt>
                <c:pt idx="46">
                  <c:v>8.9779005524861899E-2</c:v>
                </c:pt>
                <c:pt idx="47">
                  <c:v>0.111878453038674</c:v>
                </c:pt>
                <c:pt idx="48">
                  <c:v>0.31353591160221</c:v>
                </c:pt>
                <c:pt idx="49">
                  <c:v>0.42679558011049701</c:v>
                </c:pt>
                <c:pt idx="50">
                  <c:v>5.6629834254143599E-2</c:v>
                </c:pt>
                <c:pt idx="51">
                  <c:v>0.17817679558010999</c:v>
                </c:pt>
                <c:pt idx="52">
                  <c:v>0.29696132596685099</c:v>
                </c:pt>
                <c:pt idx="53">
                  <c:v>0.24171270718231999</c:v>
                </c:pt>
                <c:pt idx="54">
                  <c:v>0.30524861878453002</c:v>
                </c:pt>
                <c:pt idx="55">
                  <c:v>0.18646408839779</c:v>
                </c:pt>
                <c:pt idx="56">
                  <c:v>0.299723756906077</c:v>
                </c:pt>
                <c:pt idx="57">
                  <c:v>0.21408839779005501</c:v>
                </c:pt>
                <c:pt idx="58">
                  <c:v>0.205801104972376</c:v>
                </c:pt>
                <c:pt idx="59">
                  <c:v>0.31353591160221</c:v>
                </c:pt>
                <c:pt idx="60">
                  <c:v>5.9392265193370201E-2</c:v>
                </c:pt>
                <c:pt idx="61">
                  <c:v>5.6629834254143599E-2</c:v>
                </c:pt>
                <c:pt idx="62">
                  <c:v>0.86602209944751396</c:v>
                </c:pt>
                <c:pt idx="63">
                  <c:v>0.71408839779005495</c:v>
                </c:pt>
                <c:pt idx="64">
                  <c:v>0.39640883977900598</c:v>
                </c:pt>
                <c:pt idx="65">
                  <c:v>0.33011049723756902</c:v>
                </c:pt>
                <c:pt idx="66">
                  <c:v>0.39640883977900598</c:v>
                </c:pt>
                <c:pt idx="67">
                  <c:v>0.49585635359115998</c:v>
                </c:pt>
                <c:pt idx="68">
                  <c:v>0.25276243093922701</c:v>
                </c:pt>
                <c:pt idx="69">
                  <c:v>0.338397790055249</c:v>
                </c:pt>
                <c:pt idx="70">
                  <c:v>0.68922651933701695</c:v>
                </c:pt>
                <c:pt idx="71">
                  <c:v>0.62016574585635398</c:v>
                </c:pt>
                <c:pt idx="72">
                  <c:v>0.219613259668508</c:v>
                </c:pt>
                <c:pt idx="73">
                  <c:v>0.36049723756906099</c:v>
                </c:pt>
                <c:pt idx="74">
                  <c:v>0.71132596685082905</c:v>
                </c:pt>
                <c:pt idx="75">
                  <c:v>0.45441988950276202</c:v>
                </c:pt>
                <c:pt idx="76">
                  <c:v>0.42955801104972402</c:v>
                </c:pt>
                <c:pt idx="77">
                  <c:v>0.36049723756906099</c:v>
                </c:pt>
                <c:pt idx="78">
                  <c:v>0.19198895027624299</c:v>
                </c:pt>
                <c:pt idx="79">
                  <c:v>0.25828729281767998</c:v>
                </c:pt>
                <c:pt idx="80">
                  <c:v>8.1491712707182307E-2</c:v>
                </c:pt>
                <c:pt idx="81">
                  <c:v>0.15883977900552501</c:v>
                </c:pt>
                <c:pt idx="82">
                  <c:v>0.17817679558010999</c:v>
                </c:pt>
                <c:pt idx="83">
                  <c:v>0.125690607734807</c:v>
                </c:pt>
                <c:pt idx="84">
                  <c:v>0.14779005524861899</c:v>
                </c:pt>
                <c:pt idx="85">
                  <c:v>0.12016574585635401</c:v>
                </c:pt>
                <c:pt idx="86">
                  <c:v>0.15883977900552501</c:v>
                </c:pt>
                <c:pt idx="87">
                  <c:v>0.24171270718231999</c:v>
                </c:pt>
                <c:pt idx="88">
                  <c:v>0.551104972375691</c:v>
                </c:pt>
                <c:pt idx="89">
                  <c:v>0.53729281767955805</c:v>
                </c:pt>
                <c:pt idx="90">
                  <c:v>0.45441988950276202</c:v>
                </c:pt>
                <c:pt idx="91">
                  <c:v>0.57872928176795602</c:v>
                </c:pt>
                <c:pt idx="92">
                  <c:v>0.21685082872928199</c:v>
                </c:pt>
                <c:pt idx="93">
                  <c:v>9.6685082872928207E-3</c:v>
                </c:pt>
                <c:pt idx="94">
                  <c:v>5.6629834254143599E-2</c:v>
                </c:pt>
                <c:pt idx="95">
                  <c:v>0.72790055248618801</c:v>
                </c:pt>
                <c:pt idx="96">
                  <c:v>0.43232044198894998</c:v>
                </c:pt>
                <c:pt idx="97">
                  <c:v>0.424033149171271</c:v>
                </c:pt>
                <c:pt idx="98">
                  <c:v>0.424033149171271</c:v>
                </c:pt>
                <c:pt idx="99">
                  <c:v>0.60635359116022103</c:v>
                </c:pt>
                <c:pt idx="100">
                  <c:v>0.66988950276243098</c:v>
                </c:pt>
                <c:pt idx="101">
                  <c:v>0.70580110497237603</c:v>
                </c:pt>
                <c:pt idx="102">
                  <c:v>0.30248618784530401</c:v>
                </c:pt>
                <c:pt idx="103">
                  <c:v>0.55386740331491702</c:v>
                </c:pt>
                <c:pt idx="104">
                  <c:v>0.36602209944751402</c:v>
                </c:pt>
                <c:pt idx="105">
                  <c:v>0.23895027624309401</c:v>
                </c:pt>
                <c:pt idx="106">
                  <c:v>0.24171270718231999</c:v>
                </c:pt>
                <c:pt idx="107">
                  <c:v>0.18922651933701701</c:v>
                </c:pt>
                <c:pt idx="108">
                  <c:v>0.50138121546961301</c:v>
                </c:pt>
                <c:pt idx="109">
                  <c:v>0.79419889502762397</c:v>
                </c:pt>
                <c:pt idx="110">
                  <c:v>0.23618784530386699</c:v>
                </c:pt>
                <c:pt idx="111">
                  <c:v>0.22790055248618801</c:v>
                </c:pt>
                <c:pt idx="112">
                  <c:v>0.11740331491712699</c:v>
                </c:pt>
                <c:pt idx="113">
                  <c:v>0.23342541436464101</c:v>
                </c:pt>
                <c:pt idx="114">
                  <c:v>0.24723756906077299</c:v>
                </c:pt>
                <c:pt idx="115">
                  <c:v>0.50138121546961301</c:v>
                </c:pt>
                <c:pt idx="116">
                  <c:v>0.324585635359116</c:v>
                </c:pt>
                <c:pt idx="117">
                  <c:v>0.23618784530386699</c:v>
                </c:pt>
                <c:pt idx="118">
                  <c:v>5.3867403314917101E-2</c:v>
                </c:pt>
                <c:pt idx="119">
                  <c:v>0.39088397790055202</c:v>
                </c:pt>
                <c:pt idx="120">
                  <c:v>0.33563535911602199</c:v>
                </c:pt>
                <c:pt idx="121">
                  <c:v>0.136740331491713</c:v>
                </c:pt>
                <c:pt idx="122">
                  <c:v>0.37154696132596698</c:v>
                </c:pt>
                <c:pt idx="123">
                  <c:v>0.38535911602209899</c:v>
                </c:pt>
                <c:pt idx="124">
                  <c:v>0.75276243093922701</c:v>
                </c:pt>
                <c:pt idx="125">
                  <c:v>0.20856353591160201</c:v>
                </c:pt>
                <c:pt idx="126">
                  <c:v>0.40469613259668502</c:v>
                </c:pt>
                <c:pt idx="127">
                  <c:v>0.28591160220994499</c:v>
                </c:pt>
                <c:pt idx="128">
                  <c:v>0.363259668508287</c:v>
                </c:pt>
                <c:pt idx="129">
                  <c:v>0.30801104972375698</c:v>
                </c:pt>
                <c:pt idx="130">
                  <c:v>5.1104972375690602E-2</c:v>
                </c:pt>
                <c:pt idx="131">
                  <c:v>9.2541436464088397E-2</c:v>
                </c:pt>
                <c:pt idx="132">
                  <c:v>0.136740331491713</c:v>
                </c:pt>
                <c:pt idx="133">
                  <c:v>0.18922651933701701</c:v>
                </c:pt>
                <c:pt idx="134">
                  <c:v>0.49861878453038699</c:v>
                </c:pt>
                <c:pt idx="135">
                  <c:v>0.725138121546961</c:v>
                </c:pt>
                <c:pt idx="136">
                  <c:v>0.84392265193370197</c:v>
                </c:pt>
                <c:pt idx="137">
                  <c:v>0.49585635359115998</c:v>
                </c:pt>
                <c:pt idx="138">
                  <c:v>0.50414364640884002</c:v>
                </c:pt>
                <c:pt idx="139">
                  <c:v>0.57872928176795602</c:v>
                </c:pt>
                <c:pt idx="140">
                  <c:v>0.33287292817679598</c:v>
                </c:pt>
                <c:pt idx="141">
                  <c:v>0.14502762430939201</c:v>
                </c:pt>
                <c:pt idx="142">
                  <c:v>0.67817679558011001</c:v>
                </c:pt>
                <c:pt idx="143">
                  <c:v>0.58149171270718203</c:v>
                </c:pt>
                <c:pt idx="144">
                  <c:v>0.57320441988950299</c:v>
                </c:pt>
                <c:pt idx="145">
                  <c:v>0.575966850828729</c:v>
                </c:pt>
                <c:pt idx="146">
                  <c:v>0.551104972375691</c:v>
                </c:pt>
                <c:pt idx="147">
                  <c:v>0.57044198895027598</c:v>
                </c:pt>
                <c:pt idx="148">
                  <c:v>0.36049723756906099</c:v>
                </c:pt>
                <c:pt idx="149">
                  <c:v>0.39640883977900598</c:v>
                </c:pt>
                <c:pt idx="150">
                  <c:v>0.64779005524861899</c:v>
                </c:pt>
                <c:pt idx="151">
                  <c:v>0.50138121546961301</c:v>
                </c:pt>
                <c:pt idx="152">
                  <c:v>0.13121546961326</c:v>
                </c:pt>
                <c:pt idx="153">
                  <c:v>0.19751381215469599</c:v>
                </c:pt>
                <c:pt idx="154">
                  <c:v>0.43232044198894998</c:v>
                </c:pt>
                <c:pt idx="155">
                  <c:v>0.54281767955801097</c:v>
                </c:pt>
                <c:pt idx="156">
                  <c:v>0.52624309392265201</c:v>
                </c:pt>
                <c:pt idx="157">
                  <c:v>0.66712707182320397</c:v>
                </c:pt>
                <c:pt idx="158">
                  <c:v>0.69475138121546998</c:v>
                </c:pt>
                <c:pt idx="159">
                  <c:v>0.22790055248618801</c:v>
                </c:pt>
                <c:pt idx="160">
                  <c:v>0.15331491712707199</c:v>
                </c:pt>
                <c:pt idx="161">
                  <c:v>0.20856353591160201</c:v>
                </c:pt>
                <c:pt idx="162">
                  <c:v>0.424033149171271</c:v>
                </c:pt>
                <c:pt idx="163">
                  <c:v>0.25552486187845302</c:v>
                </c:pt>
                <c:pt idx="164">
                  <c:v>0.21685082872928199</c:v>
                </c:pt>
                <c:pt idx="165">
                  <c:v>0.28314917127071798</c:v>
                </c:pt>
                <c:pt idx="166">
                  <c:v>0.39088397790055202</c:v>
                </c:pt>
                <c:pt idx="167">
                  <c:v>0.55939226519337004</c:v>
                </c:pt>
                <c:pt idx="168">
                  <c:v>0.63121546961326003</c:v>
                </c:pt>
                <c:pt idx="169">
                  <c:v>0.68370165745856404</c:v>
                </c:pt>
                <c:pt idx="170">
                  <c:v>0.24171270718231999</c:v>
                </c:pt>
                <c:pt idx="171">
                  <c:v>0.28314917127071798</c:v>
                </c:pt>
                <c:pt idx="172">
                  <c:v>0.219613259668508</c:v>
                </c:pt>
                <c:pt idx="173">
                  <c:v>0.25828729281767998</c:v>
                </c:pt>
                <c:pt idx="174">
                  <c:v>0.31906077348066297</c:v>
                </c:pt>
                <c:pt idx="175">
                  <c:v>0.38535911602209899</c:v>
                </c:pt>
                <c:pt idx="176">
                  <c:v>0.68370165745856404</c:v>
                </c:pt>
                <c:pt idx="177">
                  <c:v>0.74171270718231996</c:v>
                </c:pt>
                <c:pt idx="178">
                  <c:v>0.80801104972375704</c:v>
                </c:pt>
                <c:pt idx="179">
                  <c:v>0.83839779005524895</c:v>
                </c:pt>
                <c:pt idx="180">
                  <c:v>0.66160220994475105</c:v>
                </c:pt>
                <c:pt idx="181">
                  <c:v>0.32734806629834301</c:v>
                </c:pt>
                <c:pt idx="182">
                  <c:v>0.41022099447513799</c:v>
                </c:pt>
                <c:pt idx="183">
                  <c:v>0.56767955801104997</c:v>
                </c:pt>
                <c:pt idx="184">
                  <c:v>0.55662983425414403</c:v>
                </c:pt>
                <c:pt idx="185">
                  <c:v>0.50966850828729304</c:v>
                </c:pt>
                <c:pt idx="186">
                  <c:v>0.60635359116022103</c:v>
                </c:pt>
                <c:pt idx="187">
                  <c:v>0.68093922651933703</c:v>
                </c:pt>
                <c:pt idx="188">
                  <c:v>0.61740331491712697</c:v>
                </c:pt>
                <c:pt idx="189">
                  <c:v>0.66436464088397795</c:v>
                </c:pt>
                <c:pt idx="190">
                  <c:v>0.74447513812154698</c:v>
                </c:pt>
                <c:pt idx="191">
                  <c:v>0.363259668508287</c:v>
                </c:pt>
                <c:pt idx="192">
                  <c:v>0.43508287292817699</c:v>
                </c:pt>
                <c:pt idx="193">
                  <c:v>0.52348066298342499</c:v>
                </c:pt>
                <c:pt idx="194">
                  <c:v>0.50414364640884002</c:v>
                </c:pt>
                <c:pt idx="195">
                  <c:v>0.47375690607734799</c:v>
                </c:pt>
                <c:pt idx="196">
                  <c:v>0.33011049723756902</c:v>
                </c:pt>
                <c:pt idx="197">
                  <c:v>9.8066298342541394E-2</c:v>
                </c:pt>
                <c:pt idx="198">
                  <c:v>0.650552486187845</c:v>
                </c:pt>
                <c:pt idx="199">
                  <c:v>0.26933701657458597</c:v>
                </c:pt>
                <c:pt idx="200">
                  <c:v>0.48480662983425399</c:v>
                </c:pt>
                <c:pt idx="201">
                  <c:v>0.205801104972376</c:v>
                </c:pt>
                <c:pt idx="202">
                  <c:v>0.23342541436464101</c:v>
                </c:pt>
                <c:pt idx="203">
                  <c:v>0.76104972375690605</c:v>
                </c:pt>
                <c:pt idx="204">
                  <c:v>0.68646408839779005</c:v>
                </c:pt>
                <c:pt idx="205">
                  <c:v>0.87983425414364602</c:v>
                </c:pt>
                <c:pt idx="206">
                  <c:v>0.78038674033149202</c:v>
                </c:pt>
                <c:pt idx="207">
                  <c:v>0.67817679558011001</c:v>
                </c:pt>
                <c:pt idx="208">
                  <c:v>0.84116022099447496</c:v>
                </c:pt>
                <c:pt idx="209">
                  <c:v>0.77209944751381199</c:v>
                </c:pt>
                <c:pt idx="210">
                  <c:v>0.83287292817679603</c:v>
                </c:pt>
                <c:pt idx="211">
                  <c:v>0.76933701657458597</c:v>
                </c:pt>
                <c:pt idx="212">
                  <c:v>0.78038674033149202</c:v>
                </c:pt>
                <c:pt idx="213">
                  <c:v>0.64779005524861899</c:v>
                </c:pt>
                <c:pt idx="214">
                  <c:v>0.78314917127071804</c:v>
                </c:pt>
                <c:pt idx="215">
                  <c:v>0.45718232044198898</c:v>
                </c:pt>
                <c:pt idx="216">
                  <c:v>0.32182320441988899</c:v>
                </c:pt>
                <c:pt idx="217">
                  <c:v>0.27762430939226501</c:v>
                </c:pt>
                <c:pt idx="218">
                  <c:v>0.78867403314917095</c:v>
                </c:pt>
                <c:pt idx="219">
                  <c:v>0.55662983425414403</c:v>
                </c:pt>
                <c:pt idx="220">
                  <c:v>0.412983425414365</c:v>
                </c:pt>
                <c:pt idx="221">
                  <c:v>0.180939226519337</c:v>
                </c:pt>
                <c:pt idx="222">
                  <c:v>0.98756906077348094</c:v>
                </c:pt>
                <c:pt idx="223">
                  <c:v>0.98756906077348094</c:v>
                </c:pt>
                <c:pt idx="224">
                  <c:v>0.874309392265193</c:v>
                </c:pt>
                <c:pt idx="225">
                  <c:v>0.78314917127071804</c:v>
                </c:pt>
                <c:pt idx="226">
                  <c:v>0.83011049723756902</c:v>
                </c:pt>
                <c:pt idx="227">
                  <c:v>0.58425414364640904</c:v>
                </c:pt>
                <c:pt idx="228">
                  <c:v>0.68922651933701695</c:v>
                </c:pt>
                <c:pt idx="229">
                  <c:v>0.650552486187845</c:v>
                </c:pt>
                <c:pt idx="230">
                  <c:v>0.56491712707182296</c:v>
                </c:pt>
                <c:pt idx="231">
                  <c:v>0.49861878453038699</c:v>
                </c:pt>
                <c:pt idx="232">
                  <c:v>0.57320441988950299</c:v>
                </c:pt>
                <c:pt idx="233">
                  <c:v>0.56767955801104997</c:v>
                </c:pt>
                <c:pt idx="234">
                  <c:v>0.47928176795580102</c:v>
                </c:pt>
                <c:pt idx="235">
                  <c:v>5.1104972375690602E-2</c:v>
                </c:pt>
                <c:pt idx="236">
                  <c:v>0.98480662983425404</c:v>
                </c:pt>
                <c:pt idx="237">
                  <c:v>0.14226519337016599</c:v>
                </c:pt>
                <c:pt idx="238">
                  <c:v>0.22237569060773499</c:v>
                </c:pt>
                <c:pt idx="239">
                  <c:v>0.30801104972375698</c:v>
                </c:pt>
                <c:pt idx="240">
                  <c:v>0.41850828729281803</c:v>
                </c:pt>
                <c:pt idx="241">
                  <c:v>0.15883977900552501</c:v>
                </c:pt>
                <c:pt idx="242">
                  <c:v>0.88812154696132595</c:v>
                </c:pt>
                <c:pt idx="243">
                  <c:v>0.93784530386740295</c:v>
                </c:pt>
                <c:pt idx="244">
                  <c:v>0.106353591160221</c:v>
                </c:pt>
                <c:pt idx="245">
                  <c:v>0.125690607734807</c:v>
                </c:pt>
                <c:pt idx="246">
                  <c:v>0.324585635359116</c:v>
                </c:pt>
                <c:pt idx="247">
                  <c:v>0.30248618784530401</c:v>
                </c:pt>
                <c:pt idx="248">
                  <c:v>0.73895027624309395</c:v>
                </c:pt>
                <c:pt idx="249">
                  <c:v>0.424033149171271</c:v>
                </c:pt>
                <c:pt idx="250">
                  <c:v>0.324585635359116</c:v>
                </c:pt>
                <c:pt idx="251">
                  <c:v>0.74447513812154698</c:v>
                </c:pt>
                <c:pt idx="252">
                  <c:v>0.54558011049723798</c:v>
                </c:pt>
                <c:pt idx="253">
                  <c:v>0.161602209944751</c:v>
                </c:pt>
                <c:pt idx="254">
                  <c:v>0.55939226519337004</c:v>
                </c:pt>
                <c:pt idx="255">
                  <c:v>0.69848484848484804</c:v>
                </c:pt>
                <c:pt idx="256">
                  <c:v>0.75828729281768004</c:v>
                </c:pt>
                <c:pt idx="257">
                  <c:v>0.150552486187845</c:v>
                </c:pt>
                <c:pt idx="258">
                  <c:v>3.7292817679557999E-2</c:v>
                </c:pt>
                <c:pt idx="259">
                  <c:v>0.36602209944751402</c:v>
                </c:pt>
                <c:pt idx="260">
                  <c:v>0.56215469613259705</c:v>
                </c:pt>
              </c:numCache>
            </c:numRef>
          </c:xVal>
          <c:yVal>
            <c:numRef>
              <c:f>'Project statistics'!$I$12:$I$272</c:f>
              <c:numCache>
                <c:formatCode>General</c:formatCode>
                <c:ptCount val="261"/>
                <c:pt idx="0">
                  <c:v>0.48706896551724099</c:v>
                </c:pt>
                <c:pt idx="1">
                  <c:v>0.28017241379310298</c:v>
                </c:pt>
                <c:pt idx="2">
                  <c:v>0.38793103448275901</c:v>
                </c:pt>
                <c:pt idx="3">
                  <c:v>0.14224137931034497</c:v>
                </c:pt>
                <c:pt idx="4">
                  <c:v>0.50431034482758608</c:v>
                </c:pt>
                <c:pt idx="5">
                  <c:v>0.15517241379310298</c:v>
                </c:pt>
                <c:pt idx="6">
                  <c:v>0.26724137931034497</c:v>
                </c:pt>
                <c:pt idx="7">
                  <c:v>0.37068965517241403</c:v>
                </c:pt>
                <c:pt idx="8">
                  <c:v>1.2931034482759007E-2</c:v>
                </c:pt>
                <c:pt idx="9">
                  <c:v>0.25</c:v>
                </c:pt>
                <c:pt idx="10">
                  <c:v>7.7586206896552046E-2</c:v>
                </c:pt>
                <c:pt idx="11">
                  <c:v>0.15086206896551702</c:v>
                </c:pt>
                <c:pt idx="12">
                  <c:v>3.4482758620689946E-2</c:v>
                </c:pt>
                <c:pt idx="13">
                  <c:v>3.0172413793102981E-2</c:v>
                </c:pt>
                <c:pt idx="14">
                  <c:v>0.49568965517241403</c:v>
                </c:pt>
                <c:pt idx="15">
                  <c:v>0.47844827586206895</c:v>
                </c:pt>
                <c:pt idx="16">
                  <c:v>0.22413793103448298</c:v>
                </c:pt>
                <c:pt idx="17">
                  <c:v>0.28879310344827602</c:v>
                </c:pt>
                <c:pt idx="18">
                  <c:v>0.27586206896551702</c:v>
                </c:pt>
                <c:pt idx="19">
                  <c:v>3.0172413793102981E-2</c:v>
                </c:pt>
                <c:pt idx="20">
                  <c:v>0.43965517241379304</c:v>
                </c:pt>
                <c:pt idx="21">
                  <c:v>0.41810344827586199</c:v>
                </c:pt>
                <c:pt idx="22">
                  <c:v>0.57327586206896597</c:v>
                </c:pt>
                <c:pt idx="23">
                  <c:v>0.72844827586206895</c:v>
                </c:pt>
                <c:pt idx="24">
                  <c:v>0.75431034482758597</c:v>
                </c:pt>
                <c:pt idx="25">
                  <c:v>0.59051724137931005</c:v>
                </c:pt>
                <c:pt idx="26">
                  <c:v>0.86206896551724099</c:v>
                </c:pt>
                <c:pt idx="27">
                  <c:v>0.97413793103448276</c:v>
                </c:pt>
                <c:pt idx="28">
                  <c:v>0.94827586206896552</c:v>
                </c:pt>
                <c:pt idx="29">
                  <c:v>0.87931034482758597</c:v>
                </c:pt>
                <c:pt idx="30">
                  <c:v>0.72413793103448298</c:v>
                </c:pt>
                <c:pt idx="31">
                  <c:v>0.74568965517241392</c:v>
                </c:pt>
                <c:pt idx="32">
                  <c:v>0.70689655172413801</c:v>
                </c:pt>
                <c:pt idx="33">
                  <c:v>0.77586206896551702</c:v>
                </c:pt>
                <c:pt idx="34">
                  <c:v>0.79741379310344795</c:v>
                </c:pt>
                <c:pt idx="35">
                  <c:v>0.5</c:v>
                </c:pt>
                <c:pt idx="36">
                  <c:v>0.24137931034482796</c:v>
                </c:pt>
                <c:pt idx="37">
                  <c:v>8.1896551724138011E-2</c:v>
                </c:pt>
                <c:pt idx="38">
                  <c:v>0.13793103448275901</c:v>
                </c:pt>
                <c:pt idx="39">
                  <c:v>4.7413793103447954E-2</c:v>
                </c:pt>
                <c:pt idx="40">
                  <c:v>0.38362068965517204</c:v>
                </c:pt>
                <c:pt idx="41">
                  <c:v>0.37931034482758597</c:v>
                </c:pt>
                <c:pt idx="42">
                  <c:v>0.25431034482758597</c:v>
                </c:pt>
                <c:pt idx="43">
                  <c:v>3.8793103448276023E-2</c:v>
                </c:pt>
                <c:pt idx="44">
                  <c:v>0.13362068965517204</c:v>
                </c:pt>
                <c:pt idx="45">
                  <c:v>0.24137931034482796</c:v>
                </c:pt>
                <c:pt idx="46">
                  <c:v>4.7413793103447954E-2</c:v>
                </c:pt>
                <c:pt idx="47">
                  <c:v>0.15948275862068995</c:v>
                </c:pt>
                <c:pt idx="48">
                  <c:v>0.45689655172413801</c:v>
                </c:pt>
                <c:pt idx="49">
                  <c:v>0.40948275862068995</c:v>
                </c:pt>
                <c:pt idx="50">
                  <c:v>0.48275862068965503</c:v>
                </c:pt>
                <c:pt idx="51">
                  <c:v>0.56465517241379293</c:v>
                </c:pt>
                <c:pt idx="52">
                  <c:v>0.57758620689655205</c:v>
                </c:pt>
                <c:pt idx="53">
                  <c:v>0.21120689655172398</c:v>
                </c:pt>
                <c:pt idx="54">
                  <c:v>0.46120689655172398</c:v>
                </c:pt>
                <c:pt idx="55">
                  <c:v>0.65086206896551702</c:v>
                </c:pt>
                <c:pt idx="56">
                  <c:v>0.55172413793103403</c:v>
                </c:pt>
                <c:pt idx="57">
                  <c:v>0.49137931034482796</c:v>
                </c:pt>
                <c:pt idx="58">
                  <c:v>0.85775862068965503</c:v>
                </c:pt>
                <c:pt idx="59">
                  <c:v>0.818965517241379</c:v>
                </c:pt>
                <c:pt idx="60">
                  <c:v>0.49137931034482796</c:v>
                </c:pt>
                <c:pt idx="61">
                  <c:v>0.50431034482758608</c:v>
                </c:pt>
                <c:pt idx="62">
                  <c:v>0.13362068965517204</c:v>
                </c:pt>
                <c:pt idx="63">
                  <c:v>0.21982758620689602</c:v>
                </c:pt>
                <c:pt idx="64">
                  <c:v>0.74568965517241392</c:v>
                </c:pt>
                <c:pt idx="65">
                  <c:v>0.82758620689655205</c:v>
                </c:pt>
                <c:pt idx="66">
                  <c:v>0.61637931034482807</c:v>
                </c:pt>
                <c:pt idx="67">
                  <c:v>0.49137931034482796</c:v>
                </c:pt>
                <c:pt idx="68">
                  <c:v>0.306034482758621</c:v>
                </c:pt>
                <c:pt idx="69">
                  <c:v>0.38793103448275901</c:v>
                </c:pt>
                <c:pt idx="70">
                  <c:v>0.72844827586206895</c:v>
                </c:pt>
                <c:pt idx="71">
                  <c:v>0.96551724137931028</c:v>
                </c:pt>
                <c:pt idx="72">
                  <c:v>0.93534482758620685</c:v>
                </c:pt>
                <c:pt idx="73">
                  <c:v>0.78017241379310298</c:v>
                </c:pt>
                <c:pt idx="74">
                  <c:v>0.62931034482758608</c:v>
                </c:pt>
                <c:pt idx="75">
                  <c:v>0.68534482758620707</c:v>
                </c:pt>
                <c:pt idx="76">
                  <c:v>0.96120689655172409</c:v>
                </c:pt>
                <c:pt idx="77">
                  <c:v>0.32327586206896597</c:v>
                </c:pt>
                <c:pt idx="78">
                  <c:v>0.22413793103448298</c:v>
                </c:pt>
                <c:pt idx="79">
                  <c:v>0.34051724137931005</c:v>
                </c:pt>
                <c:pt idx="80">
                  <c:v>0.13362068965517204</c:v>
                </c:pt>
                <c:pt idx="81">
                  <c:v>7.7586206896552046E-2</c:v>
                </c:pt>
                <c:pt idx="82">
                  <c:v>0.66379310344827602</c:v>
                </c:pt>
                <c:pt idx="83">
                  <c:v>0.45258620689655205</c:v>
                </c:pt>
                <c:pt idx="84">
                  <c:v>0.29741379310344795</c:v>
                </c:pt>
                <c:pt idx="85">
                  <c:v>0.52586206896551702</c:v>
                </c:pt>
                <c:pt idx="86">
                  <c:v>0.70258620689655205</c:v>
                </c:pt>
                <c:pt idx="87">
                  <c:v>0.681034482758621</c:v>
                </c:pt>
                <c:pt idx="88">
                  <c:v>0.44827586206896597</c:v>
                </c:pt>
                <c:pt idx="89">
                  <c:v>3.0172413793102981E-2</c:v>
                </c:pt>
                <c:pt idx="90">
                  <c:v>4.7413793103447954E-2</c:v>
                </c:pt>
                <c:pt idx="91">
                  <c:v>0.181034482758621</c:v>
                </c:pt>
                <c:pt idx="92">
                  <c:v>0.70258620689655205</c:v>
                </c:pt>
                <c:pt idx="93">
                  <c:v>0.90948275862068972</c:v>
                </c:pt>
                <c:pt idx="94">
                  <c:v>0.48706896551724099</c:v>
                </c:pt>
                <c:pt idx="95">
                  <c:v>0.74137931034482807</c:v>
                </c:pt>
                <c:pt idx="96">
                  <c:v>0.88793103448275901</c:v>
                </c:pt>
                <c:pt idx="97">
                  <c:v>0.96551724137931028</c:v>
                </c:pt>
                <c:pt idx="98">
                  <c:v>0.72844827586206895</c:v>
                </c:pt>
                <c:pt idx="99">
                  <c:v>0.58620689655172398</c:v>
                </c:pt>
                <c:pt idx="100">
                  <c:v>0.33620689655172398</c:v>
                </c:pt>
                <c:pt idx="101">
                  <c:v>3.0172413793102981E-2</c:v>
                </c:pt>
                <c:pt idx="102">
                  <c:v>5.1724137931034031E-2</c:v>
                </c:pt>
                <c:pt idx="103">
                  <c:v>0.10775862068965503</c:v>
                </c:pt>
                <c:pt idx="104">
                  <c:v>0.29310344827586199</c:v>
                </c:pt>
                <c:pt idx="105">
                  <c:v>0.18534482758620696</c:v>
                </c:pt>
                <c:pt idx="106">
                  <c:v>6.8965517241379004E-2</c:v>
                </c:pt>
                <c:pt idx="107">
                  <c:v>0.125</c:v>
                </c:pt>
                <c:pt idx="108">
                  <c:v>0.49568965517241403</c:v>
                </c:pt>
                <c:pt idx="109">
                  <c:v>0.10344827586206895</c:v>
                </c:pt>
                <c:pt idx="110">
                  <c:v>0.11206896551724099</c:v>
                </c:pt>
                <c:pt idx="111">
                  <c:v>0.10344827586206895</c:v>
                </c:pt>
                <c:pt idx="112">
                  <c:v>0.70689655172413801</c:v>
                </c:pt>
                <c:pt idx="113">
                  <c:v>0.96982758620689657</c:v>
                </c:pt>
                <c:pt idx="114">
                  <c:v>0.98706896551724144</c:v>
                </c:pt>
                <c:pt idx="115">
                  <c:v>0.5</c:v>
                </c:pt>
                <c:pt idx="116">
                  <c:v>0.568965517241379</c:v>
                </c:pt>
                <c:pt idx="117">
                  <c:v>0.35775862068965503</c:v>
                </c:pt>
                <c:pt idx="118">
                  <c:v>0.48275862068965503</c:v>
                </c:pt>
                <c:pt idx="119">
                  <c:v>0.65948275862068995</c:v>
                </c:pt>
                <c:pt idx="120">
                  <c:v>0.97844827586206895</c:v>
                </c:pt>
                <c:pt idx="121">
                  <c:v>0.74568965517241392</c:v>
                </c:pt>
                <c:pt idx="122">
                  <c:v>0.90517241379310343</c:v>
                </c:pt>
                <c:pt idx="123">
                  <c:v>0.87931034482758597</c:v>
                </c:pt>
                <c:pt idx="124">
                  <c:v>0.11206896551724099</c:v>
                </c:pt>
                <c:pt idx="125">
                  <c:v>0.70258620689655205</c:v>
                </c:pt>
                <c:pt idx="126">
                  <c:v>0.61206896551724099</c:v>
                </c:pt>
                <c:pt idx="127">
                  <c:v>8.6206896551723977E-2</c:v>
                </c:pt>
                <c:pt idx="128">
                  <c:v>6.4655172413793038E-2</c:v>
                </c:pt>
                <c:pt idx="129">
                  <c:v>0.11637931034482796</c:v>
                </c:pt>
                <c:pt idx="130">
                  <c:v>0.125</c:v>
                </c:pt>
                <c:pt idx="131">
                  <c:v>3.4482758620689946E-2</c:v>
                </c:pt>
                <c:pt idx="132">
                  <c:v>0.14655172413793105</c:v>
                </c:pt>
                <c:pt idx="133">
                  <c:v>3.8793103448276023E-2</c:v>
                </c:pt>
                <c:pt idx="134">
                  <c:v>0.49568965517241403</c:v>
                </c:pt>
                <c:pt idx="135">
                  <c:v>0.31034482758620696</c:v>
                </c:pt>
                <c:pt idx="136">
                  <c:v>0.84051724137931005</c:v>
                </c:pt>
                <c:pt idx="137">
                  <c:v>0.5</c:v>
                </c:pt>
                <c:pt idx="138">
                  <c:v>0.87068965517241403</c:v>
                </c:pt>
                <c:pt idx="139">
                  <c:v>0.84913793103448298</c:v>
                </c:pt>
                <c:pt idx="140">
                  <c:v>0.10775862068965503</c:v>
                </c:pt>
                <c:pt idx="141">
                  <c:v>0.83620689655172398</c:v>
                </c:pt>
                <c:pt idx="142">
                  <c:v>5.6034482758620996E-2</c:v>
                </c:pt>
                <c:pt idx="143">
                  <c:v>5.6034482758620996E-2</c:v>
                </c:pt>
                <c:pt idx="144">
                  <c:v>0.375</c:v>
                </c:pt>
                <c:pt idx="145">
                  <c:v>0.67241379310344795</c:v>
                </c:pt>
                <c:pt idx="146">
                  <c:v>0.82327586206896497</c:v>
                </c:pt>
                <c:pt idx="147">
                  <c:v>0.95258620689655171</c:v>
                </c:pt>
                <c:pt idx="148">
                  <c:v>0.95258620689655171</c:v>
                </c:pt>
                <c:pt idx="149">
                  <c:v>0.78448275862068995</c:v>
                </c:pt>
                <c:pt idx="150">
                  <c:v>0.86206896551724099</c:v>
                </c:pt>
                <c:pt idx="151">
                  <c:v>0.44827586206896597</c:v>
                </c:pt>
                <c:pt idx="152">
                  <c:v>0.95258620689655171</c:v>
                </c:pt>
                <c:pt idx="153">
                  <c:v>0.50862068965517193</c:v>
                </c:pt>
                <c:pt idx="154">
                  <c:v>0.63362068965517193</c:v>
                </c:pt>
                <c:pt idx="155">
                  <c:v>0.76724137931034497</c:v>
                </c:pt>
                <c:pt idx="156">
                  <c:v>0.90086206896551724</c:v>
                </c:pt>
                <c:pt idx="157">
                  <c:v>0.87068965517241403</c:v>
                </c:pt>
                <c:pt idx="158">
                  <c:v>0.81465517241379304</c:v>
                </c:pt>
                <c:pt idx="159">
                  <c:v>3.8793103448276023E-2</c:v>
                </c:pt>
                <c:pt idx="160">
                  <c:v>2.5862068965517016E-2</c:v>
                </c:pt>
                <c:pt idx="161">
                  <c:v>5.1724137931034031E-2</c:v>
                </c:pt>
                <c:pt idx="162">
                  <c:v>9.9137931034482984E-2</c:v>
                </c:pt>
                <c:pt idx="163">
                  <c:v>3.8793103448276023E-2</c:v>
                </c:pt>
                <c:pt idx="164">
                  <c:v>0.26293103448275901</c:v>
                </c:pt>
                <c:pt idx="165">
                  <c:v>0.17672413793103403</c:v>
                </c:pt>
                <c:pt idx="166">
                  <c:v>0.32327586206896597</c:v>
                </c:pt>
                <c:pt idx="167">
                  <c:v>0.38362068965517204</c:v>
                </c:pt>
                <c:pt idx="168">
                  <c:v>0.38362068965517204</c:v>
                </c:pt>
                <c:pt idx="169">
                  <c:v>0.46982758620689702</c:v>
                </c:pt>
                <c:pt idx="170">
                  <c:v>0.96982758620689657</c:v>
                </c:pt>
                <c:pt idx="171">
                  <c:v>0.90948275862068972</c:v>
                </c:pt>
                <c:pt idx="172">
                  <c:v>0.97844827586206895</c:v>
                </c:pt>
                <c:pt idx="173">
                  <c:v>0.98706896551724144</c:v>
                </c:pt>
                <c:pt idx="174">
                  <c:v>0.97844827586206895</c:v>
                </c:pt>
                <c:pt idx="175">
                  <c:v>0.90948275862068972</c:v>
                </c:pt>
                <c:pt idx="176">
                  <c:v>0.82327586206896497</c:v>
                </c:pt>
                <c:pt idx="177">
                  <c:v>0.72844827586206895</c:v>
                </c:pt>
                <c:pt idx="178">
                  <c:v>0.48706896551724099</c:v>
                </c:pt>
                <c:pt idx="179">
                  <c:v>0.51293103448275901</c:v>
                </c:pt>
                <c:pt idx="180">
                  <c:v>6.0344827586206962E-2</c:v>
                </c:pt>
                <c:pt idx="181">
                  <c:v>6.0344827586206962E-2</c:v>
                </c:pt>
                <c:pt idx="182">
                  <c:v>0.77586206896551702</c:v>
                </c:pt>
                <c:pt idx="183">
                  <c:v>0.92241379310344829</c:v>
                </c:pt>
                <c:pt idx="184">
                  <c:v>0.75862068965517193</c:v>
                </c:pt>
                <c:pt idx="185">
                  <c:v>0.50862068965517193</c:v>
                </c:pt>
                <c:pt idx="186">
                  <c:v>0.56034482758620707</c:v>
                </c:pt>
                <c:pt idx="187">
                  <c:v>0.73706896551724099</c:v>
                </c:pt>
                <c:pt idx="188">
                  <c:v>0.87068965517241403</c:v>
                </c:pt>
                <c:pt idx="189">
                  <c:v>0.66379310344827602</c:v>
                </c:pt>
                <c:pt idx="190">
                  <c:v>0.54310344827586199</c:v>
                </c:pt>
                <c:pt idx="191">
                  <c:v>0.10344827586206895</c:v>
                </c:pt>
                <c:pt idx="192">
                  <c:v>0.51293103448275901</c:v>
                </c:pt>
                <c:pt idx="193">
                  <c:v>0.818965517241379</c:v>
                </c:pt>
                <c:pt idx="194">
                  <c:v>0.81034482758620696</c:v>
                </c:pt>
                <c:pt idx="195">
                  <c:v>0.681034482758621</c:v>
                </c:pt>
                <c:pt idx="196">
                  <c:v>0.82327586206896497</c:v>
                </c:pt>
                <c:pt idx="197">
                  <c:v>0.69827586206896597</c:v>
                </c:pt>
                <c:pt idx="198">
                  <c:v>0.49568965517241403</c:v>
                </c:pt>
                <c:pt idx="199">
                  <c:v>0.76293103448275901</c:v>
                </c:pt>
                <c:pt idx="200">
                  <c:v>0.82758620689655205</c:v>
                </c:pt>
                <c:pt idx="201">
                  <c:v>0.84482758620689702</c:v>
                </c:pt>
                <c:pt idx="202">
                  <c:v>0.68965517241379293</c:v>
                </c:pt>
                <c:pt idx="203">
                  <c:v>0.53879310344827602</c:v>
                </c:pt>
                <c:pt idx="204">
                  <c:v>0.34482758620689602</c:v>
                </c:pt>
                <c:pt idx="205">
                  <c:v>5.1724137931034031E-2</c:v>
                </c:pt>
                <c:pt idx="206">
                  <c:v>3.4482758620689946E-2</c:v>
                </c:pt>
                <c:pt idx="207">
                  <c:v>0.12931034482758597</c:v>
                </c:pt>
                <c:pt idx="208">
                  <c:v>2.155172413793105E-2</c:v>
                </c:pt>
                <c:pt idx="209">
                  <c:v>0.22844827586206895</c:v>
                </c:pt>
                <c:pt idx="210">
                  <c:v>0.26724137931034497</c:v>
                </c:pt>
                <c:pt idx="211">
                  <c:v>0.34913793103448298</c:v>
                </c:pt>
                <c:pt idx="212">
                  <c:v>0.61637931034482807</c:v>
                </c:pt>
                <c:pt idx="213">
                  <c:v>0.73706896551724099</c:v>
                </c:pt>
                <c:pt idx="214">
                  <c:v>0.86637931034482807</c:v>
                </c:pt>
                <c:pt idx="215">
                  <c:v>0.82327586206896497</c:v>
                </c:pt>
                <c:pt idx="216">
                  <c:v>0.34482758620689602</c:v>
                </c:pt>
                <c:pt idx="217">
                  <c:v>8.6206896551720424E-3</c:v>
                </c:pt>
                <c:pt idx="218">
                  <c:v>4.7413793103447954E-2</c:v>
                </c:pt>
                <c:pt idx="219">
                  <c:v>0.71551724137931005</c:v>
                </c:pt>
                <c:pt idx="220">
                  <c:v>0.90517241379310343</c:v>
                </c:pt>
                <c:pt idx="221">
                  <c:v>0.625</c:v>
                </c:pt>
                <c:pt idx="222">
                  <c:v>0.99568965517241381</c:v>
                </c:pt>
                <c:pt idx="223">
                  <c:v>0.99568965517241381</c:v>
                </c:pt>
                <c:pt idx="224">
                  <c:v>0.10344827586206895</c:v>
                </c:pt>
                <c:pt idx="225">
                  <c:v>9.482758620689602E-2</c:v>
                </c:pt>
                <c:pt idx="226">
                  <c:v>0.27155172413793105</c:v>
                </c:pt>
                <c:pt idx="227">
                  <c:v>0.26724137931034497</c:v>
                </c:pt>
                <c:pt idx="228">
                  <c:v>2.155172413793105E-2</c:v>
                </c:pt>
                <c:pt idx="229">
                  <c:v>3.0172413793102981E-2</c:v>
                </c:pt>
                <c:pt idx="230">
                  <c:v>0.39655172413793105</c:v>
                </c:pt>
                <c:pt idx="231">
                  <c:v>0.34913793103448298</c:v>
                </c:pt>
                <c:pt idx="232">
                  <c:v>0.38362068965517204</c:v>
                </c:pt>
                <c:pt idx="233">
                  <c:v>0.46120689655172398</c:v>
                </c:pt>
                <c:pt idx="234">
                  <c:v>0.83620689655172398</c:v>
                </c:pt>
                <c:pt idx="235">
                  <c:v>0.48706896551724099</c:v>
                </c:pt>
                <c:pt idx="236">
                  <c:v>0.87931034482758597</c:v>
                </c:pt>
                <c:pt idx="237">
                  <c:v>0.48706896551724099</c:v>
                </c:pt>
                <c:pt idx="238">
                  <c:v>0.64224137931034497</c:v>
                </c:pt>
                <c:pt idx="239">
                  <c:v>0.78448275862068995</c:v>
                </c:pt>
                <c:pt idx="240">
                  <c:v>0.71120689655172398</c:v>
                </c:pt>
                <c:pt idx="241">
                  <c:v>0.93103448275862066</c:v>
                </c:pt>
                <c:pt idx="242">
                  <c:v>0.431034482758621</c:v>
                </c:pt>
                <c:pt idx="243">
                  <c:v>0.43965517241379304</c:v>
                </c:pt>
                <c:pt idx="244">
                  <c:v>0.65086206896551702</c:v>
                </c:pt>
                <c:pt idx="245">
                  <c:v>0.84051724137931005</c:v>
                </c:pt>
                <c:pt idx="246">
                  <c:v>0.97413793103448276</c:v>
                </c:pt>
                <c:pt idx="247">
                  <c:v>0.87068965517241403</c:v>
                </c:pt>
                <c:pt idx="248">
                  <c:v>0.84913793103448298</c:v>
                </c:pt>
                <c:pt idx="249">
                  <c:v>0.92241379310344829</c:v>
                </c:pt>
                <c:pt idx="250">
                  <c:v>0.86206896551724099</c:v>
                </c:pt>
                <c:pt idx="251">
                  <c:v>0.82327586206896497</c:v>
                </c:pt>
                <c:pt idx="252">
                  <c:v>0.94396551724137934</c:v>
                </c:pt>
                <c:pt idx="253">
                  <c:v>0.36637931034482796</c:v>
                </c:pt>
                <c:pt idx="254">
                  <c:v>0.28017241379310298</c:v>
                </c:pt>
                <c:pt idx="255">
                  <c:v>0.10900473933649302</c:v>
                </c:pt>
                <c:pt idx="256">
                  <c:v>0.31465517241379304</c:v>
                </c:pt>
                <c:pt idx="257">
                  <c:v>0.85775862068965503</c:v>
                </c:pt>
                <c:pt idx="258">
                  <c:v>0.70258620689655205</c:v>
                </c:pt>
                <c:pt idx="259">
                  <c:v>0.74568965517241392</c:v>
                </c:pt>
                <c:pt idx="260">
                  <c:v>0.43965517241379304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4-4D3A-83CC-02FF2C762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committed (HalfField)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statistics'!$A$587</c:f>
              <c:strCache>
                <c:ptCount val="1"/>
                <c:pt idx="0">
                  <c:v>Foul committed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statistics'!$I$589:$I$602</c:f>
              <c:numCache>
                <c:formatCode>General</c:formatCode>
                <c:ptCount val="14"/>
              </c:numCache>
            </c:numRef>
          </c:xVal>
          <c:yVal>
            <c:numRef>
              <c:f>'Project statistics'!$J$589:$J$602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6-4F63-B145-BFD2862A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Long ball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statistics'!$A$604</c:f>
              <c:strCache>
                <c:ptCount val="1"/>
                <c:pt idx="0">
                  <c:v>Long 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statistics'!$H$606:$H$682</c:f>
              <c:numCache>
                <c:formatCode>General</c:formatCode>
                <c:ptCount val="77"/>
                <c:pt idx="0">
                  <c:v>6.4917127071823205E-2</c:v>
                </c:pt>
                <c:pt idx="1">
                  <c:v>0.114640883977901</c:v>
                </c:pt>
                <c:pt idx="2">
                  <c:v>0.59806629834254099</c:v>
                </c:pt>
                <c:pt idx="3">
                  <c:v>0.600828729281768</c:v>
                </c:pt>
                <c:pt idx="4">
                  <c:v>0.66988950276243098</c:v>
                </c:pt>
                <c:pt idx="5">
                  <c:v>0.54005524861878496</c:v>
                </c:pt>
                <c:pt idx="6">
                  <c:v>0.103591160220994</c:v>
                </c:pt>
                <c:pt idx="7">
                  <c:v>0.40193370165745901</c:v>
                </c:pt>
                <c:pt idx="8">
                  <c:v>0.68370165745856404</c:v>
                </c:pt>
                <c:pt idx="9">
                  <c:v>0.69751381215469599</c:v>
                </c:pt>
                <c:pt idx="10">
                  <c:v>0.25276243093922701</c:v>
                </c:pt>
                <c:pt idx="11">
                  <c:v>0.136740331491713</c:v>
                </c:pt>
                <c:pt idx="12">
                  <c:v>5.1104972375690602E-2</c:v>
                </c:pt>
                <c:pt idx="13">
                  <c:v>4.8342541436464097E-2</c:v>
                </c:pt>
                <c:pt idx="14">
                  <c:v>0.225138121546961</c:v>
                </c:pt>
                <c:pt idx="15">
                  <c:v>0.32734806629834301</c:v>
                </c:pt>
                <c:pt idx="16">
                  <c:v>0.324585635359116</c:v>
                </c:pt>
                <c:pt idx="17">
                  <c:v>0.37983425414364602</c:v>
                </c:pt>
                <c:pt idx="18">
                  <c:v>0.69475138121546998</c:v>
                </c:pt>
                <c:pt idx="19">
                  <c:v>0.205801104972376</c:v>
                </c:pt>
                <c:pt idx="20">
                  <c:v>0.40745856353591198</c:v>
                </c:pt>
                <c:pt idx="21">
                  <c:v>0.374309392265193</c:v>
                </c:pt>
                <c:pt idx="22">
                  <c:v>0.14779005524861899</c:v>
                </c:pt>
                <c:pt idx="23">
                  <c:v>0.45994475138121499</c:v>
                </c:pt>
                <c:pt idx="24">
                  <c:v>0.25</c:v>
                </c:pt>
                <c:pt idx="25">
                  <c:v>0.106353591160221</c:v>
                </c:pt>
                <c:pt idx="26">
                  <c:v>5.6629834254143599E-2</c:v>
                </c:pt>
                <c:pt idx="27">
                  <c:v>0.388121546961326</c:v>
                </c:pt>
                <c:pt idx="28">
                  <c:v>0.29696132596685099</c:v>
                </c:pt>
                <c:pt idx="29">
                  <c:v>0.19751381215469599</c:v>
                </c:pt>
                <c:pt idx="30">
                  <c:v>0.44613259668508298</c:v>
                </c:pt>
                <c:pt idx="31">
                  <c:v>0.125690607734807</c:v>
                </c:pt>
                <c:pt idx="32">
                  <c:v>0.363259668508287</c:v>
                </c:pt>
                <c:pt idx="33">
                  <c:v>0.57320441988950299</c:v>
                </c:pt>
                <c:pt idx="34">
                  <c:v>0.650552486187845</c:v>
                </c:pt>
                <c:pt idx="35">
                  <c:v>5.3867403314917101E-2</c:v>
                </c:pt>
                <c:pt idx="36">
                  <c:v>3.7292817679557999E-2</c:v>
                </c:pt>
                <c:pt idx="37">
                  <c:v>0.103591160220994</c:v>
                </c:pt>
                <c:pt idx="38">
                  <c:v>0.205801104972376</c:v>
                </c:pt>
                <c:pt idx="39">
                  <c:v>0.11740331491712699</c:v>
                </c:pt>
                <c:pt idx="40">
                  <c:v>4.5580110497237598E-2</c:v>
                </c:pt>
                <c:pt idx="41">
                  <c:v>0.27209944751381199</c:v>
                </c:pt>
                <c:pt idx="42">
                  <c:v>0.42955801104972402</c:v>
                </c:pt>
                <c:pt idx="43">
                  <c:v>0.21132596685082899</c:v>
                </c:pt>
                <c:pt idx="44">
                  <c:v>8.4254143646408805E-2</c:v>
                </c:pt>
                <c:pt idx="45">
                  <c:v>0.349447513812155</c:v>
                </c:pt>
                <c:pt idx="46">
                  <c:v>0.412983425414365</c:v>
                </c:pt>
                <c:pt idx="47">
                  <c:v>0.12845303867403299</c:v>
                </c:pt>
                <c:pt idx="48">
                  <c:v>0.48204419889502798</c:v>
                </c:pt>
                <c:pt idx="49">
                  <c:v>0.25552486187845302</c:v>
                </c:pt>
                <c:pt idx="50">
                  <c:v>0.136740331491713</c:v>
                </c:pt>
                <c:pt idx="51">
                  <c:v>0.29143646408839802</c:v>
                </c:pt>
                <c:pt idx="52">
                  <c:v>0.34392265193370197</c:v>
                </c:pt>
                <c:pt idx="53">
                  <c:v>0.27762430939226501</c:v>
                </c:pt>
                <c:pt idx="54">
                  <c:v>0.448895027624309</c:v>
                </c:pt>
                <c:pt idx="55">
                  <c:v>0.462707182320442</c:v>
                </c:pt>
                <c:pt idx="56">
                  <c:v>0.45165745856353601</c:v>
                </c:pt>
                <c:pt idx="57">
                  <c:v>0.74171270718231996</c:v>
                </c:pt>
                <c:pt idx="58">
                  <c:v>0.86049723756906105</c:v>
                </c:pt>
                <c:pt idx="59">
                  <c:v>4.0055248618784497E-2</c:v>
                </c:pt>
                <c:pt idx="60">
                  <c:v>0.16712707182320399</c:v>
                </c:pt>
                <c:pt idx="61">
                  <c:v>0.63121546961326003</c:v>
                </c:pt>
                <c:pt idx="62">
                  <c:v>0.44060773480663001</c:v>
                </c:pt>
                <c:pt idx="63">
                  <c:v>0.56491712707182296</c:v>
                </c:pt>
                <c:pt idx="64">
                  <c:v>0.700276243093923</c:v>
                </c:pt>
                <c:pt idx="65">
                  <c:v>0.22790055248618801</c:v>
                </c:pt>
                <c:pt idx="66">
                  <c:v>0.338397790055249</c:v>
                </c:pt>
                <c:pt idx="67">
                  <c:v>0.114640883977901</c:v>
                </c:pt>
                <c:pt idx="68">
                  <c:v>0.44060773480663001</c:v>
                </c:pt>
                <c:pt idx="69">
                  <c:v>0.64779005524861899</c:v>
                </c:pt>
                <c:pt idx="70">
                  <c:v>0.55386740331491702</c:v>
                </c:pt>
                <c:pt idx="71">
                  <c:v>0.23895027624309401</c:v>
                </c:pt>
                <c:pt idx="72">
                  <c:v>0.42955801104972402</c:v>
                </c:pt>
                <c:pt idx="73">
                  <c:v>0.41574585635359101</c:v>
                </c:pt>
                <c:pt idx="74">
                  <c:v>0.39364640883977903</c:v>
                </c:pt>
                <c:pt idx="75">
                  <c:v>0.45994475138121499</c:v>
                </c:pt>
                <c:pt idx="76">
                  <c:v>0.35497237569060802</c:v>
                </c:pt>
              </c:numCache>
            </c:numRef>
          </c:xVal>
          <c:yVal>
            <c:numRef>
              <c:f>'Project statistics'!$I$606:$I$682</c:f>
              <c:numCache>
                <c:formatCode>General</c:formatCode>
                <c:ptCount val="77"/>
                <c:pt idx="0">
                  <c:v>0.47844827586206895</c:v>
                </c:pt>
                <c:pt idx="1">
                  <c:v>4.7413793103447954E-2</c:v>
                </c:pt>
                <c:pt idx="2">
                  <c:v>0.10775862068965503</c:v>
                </c:pt>
                <c:pt idx="3">
                  <c:v>4.3103448275861989E-2</c:v>
                </c:pt>
                <c:pt idx="4">
                  <c:v>5.1724137931034031E-2</c:v>
                </c:pt>
                <c:pt idx="5">
                  <c:v>0.49568965517241403</c:v>
                </c:pt>
                <c:pt idx="6">
                  <c:v>0.568965517241379</c:v>
                </c:pt>
                <c:pt idx="7">
                  <c:v>0.71551724137931005</c:v>
                </c:pt>
                <c:pt idx="8">
                  <c:v>0.76724137931034497</c:v>
                </c:pt>
                <c:pt idx="9">
                  <c:v>0.77586206896551702</c:v>
                </c:pt>
                <c:pt idx="10">
                  <c:v>0.37068965517241403</c:v>
                </c:pt>
                <c:pt idx="11">
                  <c:v>0.431034482758621</c:v>
                </c:pt>
                <c:pt idx="12">
                  <c:v>0.56465517241379293</c:v>
                </c:pt>
                <c:pt idx="13">
                  <c:v>0.51293103448275901</c:v>
                </c:pt>
                <c:pt idx="14">
                  <c:v>0.58189655172413801</c:v>
                </c:pt>
                <c:pt idx="15">
                  <c:v>0.556034482758621</c:v>
                </c:pt>
                <c:pt idx="16">
                  <c:v>0.48706896551724099</c:v>
                </c:pt>
                <c:pt idx="17">
                  <c:v>0.39655172413793105</c:v>
                </c:pt>
                <c:pt idx="18">
                  <c:v>0.20689655172413801</c:v>
                </c:pt>
                <c:pt idx="19">
                  <c:v>0.66379310344827602</c:v>
                </c:pt>
                <c:pt idx="20">
                  <c:v>0.57327586206896597</c:v>
                </c:pt>
                <c:pt idx="21">
                  <c:v>0.71120689655172398</c:v>
                </c:pt>
                <c:pt idx="22">
                  <c:v>0.59913793103448298</c:v>
                </c:pt>
                <c:pt idx="23">
                  <c:v>0.84051724137931005</c:v>
                </c:pt>
                <c:pt idx="24">
                  <c:v>3.0172413793102981E-2</c:v>
                </c:pt>
                <c:pt idx="25">
                  <c:v>0.50431034482758608</c:v>
                </c:pt>
                <c:pt idx="26">
                  <c:v>0.47844827586206895</c:v>
                </c:pt>
                <c:pt idx="27">
                  <c:v>0.48706896551724099</c:v>
                </c:pt>
                <c:pt idx="28">
                  <c:v>0.64655172413793105</c:v>
                </c:pt>
                <c:pt idx="29">
                  <c:v>0.14224137931034497</c:v>
                </c:pt>
                <c:pt idx="30">
                  <c:v>0.10344827586206895</c:v>
                </c:pt>
                <c:pt idx="31">
                  <c:v>3.4482758620689946E-2</c:v>
                </c:pt>
                <c:pt idx="32">
                  <c:v>0.59913793103448298</c:v>
                </c:pt>
                <c:pt idx="33">
                  <c:v>9.482758620689602E-2</c:v>
                </c:pt>
                <c:pt idx="34">
                  <c:v>0.25</c:v>
                </c:pt>
                <c:pt idx="35">
                  <c:v>0.48275862068965503</c:v>
                </c:pt>
                <c:pt idx="36">
                  <c:v>0.83620689655172398</c:v>
                </c:pt>
                <c:pt idx="37">
                  <c:v>0.98275862068965525</c:v>
                </c:pt>
                <c:pt idx="38">
                  <c:v>0.93103448275862066</c:v>
                </c:pt>
                <c:pt idx="39">
                  <c:v>0.92241379310344829</c:v>
                </c:pt>
                <c:pt idx="40">
                  <c:v>0.53448275862068995</c:v>
                </c:pt>
                <c:pt idx="41">
                  <c:v>0.96551724137931028</c:v>
                </c:pt>
                <c:pt idx="42">
                  <c:v>0.62931034482758608</c:v>
                </c:pt>
                <c:pt idx="43">
                  <c:v>1.7241379310344973E-2</c:v>
                </c:pt>
                <c:pt idx="44">
                  <c:v>9.9137931034482984E-2</c:v>
                </c:pt>
                <c:pt idx="45">
                  <c:v>0.56465517241379293</c:v>
                </c:pt>
                <c:pt idx="46">
                  <c:v>0.443965517241379</c:v>
                </c:pt>
                <c:pt idx="47">
                  <c:v>0.39224137931034497</c:v>
                </c:pt>
                <c:pt idx="48">
                  <c:v>0.90517241379310343</c:v>
                </c:pt>
                <c:pt idx="49">
                  <c:v>6.4655172413793038E-2</c:v>
                </c:pt>
                <c:pt idx="50">
                  <c:v>0.76293103448275901</c:v>
                </c:pt>
                <c:pt idx="51">
                  <c:v>3.4482758620689946E-2</c:v>
                </c:pt>
                <c:pt idx="52">
                  <c:v>0.96551724137931028</c:v>
                </c:pt>
                <c:pt idx="53">
                  <c:v>0.98275862068965525</c:v>
                </c:pt>
                <c:pt idx="54">
                  <c:v>0.75</c:v>
                </c:pt>
                <c:pt idx="55">
                  <c:v>0.90948275862068972</c:v>
                </c:pt>
                <c:pt idx="56">
                  <c:v>0.69827586206896597</c:v>
                </c:pt>
                <c:pt idx="57">
                  <c:v>0.818965517241379</c:v>
                </c:pt>
                <c:pt idx="58">
                  <c:v>0.32758620689655205</c:v>
                </c:pt>
                <c:pt idx="59">
                  <c:v>0.24568965517241403</c:v>
                </c:pt>
                <c:pt idx="60">
                  <c:v>3.0172413793102981E-2</c:v>
                </c:pt>
                <c:pt idx="61">
                  <c:v>0.45689655172413801</c:v>
                </c:pt>
                <c:pt idx="62">
                  <c:v>0.443965517241379</c:v>
                </c:pt>
                <c:pt idx="63">
                  <c:v>0.81034482758620696</c:v>
                </c:pt>
                <c:pt idx="64">
                  <c:v>0.36637931034482796</c:v>
                </c:pt>
                <c:pt idx="65">
                  <c:v>0.318965517241379</c:v>
                </c:pt>
                <c:pt idx="66">
                  <c:v>0.42241379310344795</c:v>
                </c:pt>
                <c:pt idx="67">
                  <c:v>0.61206896551724099</c:v>
                </c:pt>
                <c:pt idx="68">
                  <c:v>0.73706896551724099</c:v>
                </c:pt>
                <c:pt idx="69">
                  <c:v>0.306034482758621</c:v>
                </c:pt>
                <c:pt idx="70">
                  <c:v>0.46120689655172398</c:v>
                </c:pt>
                <c:pt idx="71">
                  <c:v>0.64655172413793105</c:v>
                </c:pt>
                <c:pt idx="72">
                  <c:v>0.48275862068965503</c:v>
                </c:pt>
                <c:pt idx="73">
                  <c:v>0.96120689655172409</c:v>
                </c:pt>
                <c:pt idx="74">
                  <c:v>9.482758620689602E-2</c:v>
                </c:pt>
                <c:pt idx="75">
                  <c:v>0.53017241379310298</c:v>
                </c:pt>
                <c:pt idx="76">
                  <c:v>0.75431034482758597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1-4523-B23C-BE09BFC7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chance created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statistics'!$A$684</c:f>
              <c:strCache>
                <c:ptCount val="1"/>
                <c:pt idx="0">
                  <c:v>chance created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statistics'!$H$686:$H$695</c:f>
              <c:numCache>
                <c:formatCode>General</c:formatCode>
                <c:ptCount val="10"/>
                <c:pt idx="0">
                  <c:v>0.71408839779005495</c:v>
                </c:pt>
                <c:pt idx="1">
                  <c:v>0.399171270718232</c:v>
                </c:pt>
                <c:pt idx="2">
                  <c:v>0.62016574585635398</c:v>
                </c:pt>
                <c:pt idx="3">
                  <c:v>0.399171270718232</c:v>
                </c:pt>
                <c:pt idx="4">
                  <c:v>0.76104972375690605</c:v>
                </c:pt>
                <c:pt idx="5">
                  <c:v>0.412983425414365</c:v>
                </c:pt>
                <c:pt idx="6">
                  <c:v>0.85773480662983403</c:v>
                </c:pt>
                <c:pt idx="7">
                  <c:v>0.88812154696132595</c:v>
                </c:pt>
                <c:pt idx="8">
                  <c:v>0.90193370165745856</c:v>
                </c:pt>
                <c:pt idx="9">
                  <c:v>0.61464088397790095</c:v>
                </c:pt>
              </c:numCache>
            </c:numRef>
          </c:xVal>
          <c:yVal>
            <c:numRef>
              <c:f>'Project statistics'!$I$686:$I$695</c:f>
              <c:numCache>
                <c:formatCode>General</c:formatCode>
                <c:ptCount val="10"/>
                <c:pt idx="0">
                  <c:v>0.29741379310344795</c:v>
                </c:pt>
                <c:pt idx="1">
                  <c:v>0.57758620689655205</c:v>
                </c:pt>
                <c:pt idx="2">
                  <c:v>0.63362068965517193</c:v>
                </c:pt>
                <c:pt idx="3">
                  <c:v>0.39224137931034497</c:v>
                </c:pt>
                <c:pt idx="4">
                  <c:v>0.73706896551724099</c:v>
                </c:pt>
                <c:pt idx="5">
                  <c:v>0.181034482758621</c:v>
                </c:pt>
                <c:pt idx="6">
                  <c:v>0.68965517241379293</c:v>
                </c:pt>
                <c:pt idx="7">
                  <c:v>0.21120689655172409</c:v>
                </c:pt>
                <c:pt idx="8">
                  <c:v>0.82758620689655171</c:v>
                </c:pt>
                <c:pt idx="9">
                  <c:v>0.46120689655172398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7-4242-A75B-0E567E16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against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statistics'!$A$700</c:f>
              <c:strCache>
                <c:ptCount val="1"/>
                <c:pt idx="0">
                  <c:v>Foul 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statistics'!$G$702:$G$715</c:f>
              <c:numCache>
                <c:formatCode>General</c:formatCode>
                <c:ptCount val="14"/>
                <c:pt idx="0">
                  <c:v>0.58862433862433905</c:v>
                </c:pt>
                <c:pt idx="1">
                  <c:v>0.316137566137566</c:v>
                </c:pt>
                <c:pt idx="2">
                  <c:v>0.42460317460317498</c:v>
                </c:pt>
                <c:pt idx="3">
                  <c:v>0.59656084656084696</c:v>
                </c:pt>
                <c:pt idx="4">
                  <c:v>0.66534391534391502</c:v>
                </c:pt>
                <c:pt idx="5">
                  <c:v>4.8941798941798897E-2</c:v>
                </c:pt>
                <c:pt idx="6">
                  <c:v>0.15476190476190499</c:v>
                </c:pt>
                <c:pt idx="7">
                  <c:v>0.30555555555555602</c:v>
                </c:pt>
                <c:pt idx="8">
                  <c:v>0.453703703703704</c:v>
                </c:pt>
                <c:pt idx="9">
                  <c:v>0.39021164021164001</c:v>
                </c:pt>
                <c:pt idx="10">
                  <c:v>0.60714285714285698</c:v>
                </c:pt>
                <c:pt idx="11">
                  <c:v>0.498677248677249</c:v>
                </c:pt>
                <c:pt idx="12">
                  <c:v>0.36111111111111099</c:v>
                </c:pt>
                <c:pt idx="13">
                  <c:v>0.705026455026455</c:v>
                </c:pt>
              </c:numCache>
            </c:numRef>
          </c:xVal>
          <c:yVal>
            <c:numRef>
              <c:f>'Project statistics'!$H$702:$H$715</c:f>
              <c:numCache>
                <c:formatCode>General</c:formatCode>
                <c:ptCount val="14"/>
                <c:pt idx="0">
                  <c:v>0.12396694214876003</c:v>
                </c:pt>
                <c:pt idx="1">
                  <c:v>0.48760330578512401</c:v>
                </c:pt>
                <c:pt idx="2">
                  <c:v>0.86776859504132198</c:v>
                </c:pt>
                <c:pt idx="3">
                  <c:v>0.11983471074380203</c:v>
                </c:pt>
                <c:pt idx="4">
                  <c:v>0.30578512396694202</c:v>
                </c:pt>
                <c:pt idx="5">
                  <c:v>0.85950413223140498</c:v>
                </c:pt>
                <c:pt idx="6">
                  <c:v>0.97107438016528935</c:v>
                </c:pt>
                <c:pt idx="7">
                  <c:v>2.4793388429751984E-2</c:v>
                </c:pt>
                <c:pt idx="8">
                  <c:v>0.669421487603306</c:v>
                </c:pt>
                <c:pt idx="9">
                  <c:v>0.17768595041322299</c:v>
                </c:pt>
                <c:pt idx="10">
                  <c:v>0.45041322314049603</c:v>
                </c:pt>
                <c:pt idx="11">
                  <c:v>0.53719008264462798</c:v>
                </c:pt>
                <c:pt idx="12">
                  <c:v>9.090909090909105E-2</c:v>
                </c:pt>
                <c:pt idx="13">
                  <c:v>0.80991735537190102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8-41DF-B448-8A9720E3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against (HalfField)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statistics'!$A$700</c:f>
              <c:strCache>
                <c:ptCount val="1"/>
                <c:pt idx="0">
                  <c:v>Foul 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statistics'!$I$702:$I$715</c:f>
              <c:numCache>
                <c:formatCode>General</c:formatCode>
                <c:ptCount val="14"/>
              </c:numCache>
            </c:numRef>
          </c:xVal>
          <c:yVal>
            <c:numRef>
              <c:f>'Project statistics'!$J$702:$J$715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E-4F11-8B06-470E37D0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Save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statistics'!$A$717</c:f>
              <c:strCache>
                <c:ptCount val="1"/>
                <c:pt idx="0">
                  <c:v>Save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statistics'!$G$719:$G$723</c:f>
              <c:numCache>
                <c:formatCode>General</c:formatCode>
                <c:ptCount val="5"/>
                <c:pt idx="0">
                  <c:v>1.4550264550264499E-2</c:v>
                </c:pt>
                <c:pt idx="1">
                  <c:v>1.1904761904761901E-2</c:v>
                </c:pt>
                <c:pt idx="2">
                  <c:v>3.9682539682539698E-3</c:v>
                </c:pt>
                <c:pt idx="3">
                  <c:v>3.5714285714285698E-2</c:v>
                </c:pt>
                <c:pt idx="4">
                  <c:v>3.0423280423280401E-2</c:v>
                </c:pt>
              </c:numCache>
            </c:numRef>
          </c:xVal>
          <c:yVal>
            <c:numRef>
              <c:f>'Project statistics'!$H$719:$H$723</c:f>
              <c:numCache>
                <c:formatCode>General</c:formatCode>
                <c:ptCount val="5"/>
                <c:pt idx="0">
                  <c:v>0.49173553719008301</c:v>
                </c:pt>
                <c:pt idx="1">
                  <c:v>0.495867768595041</c:v>
                </c:pt>
                <c:pt idx="2">
                  <c:v>0.44214876033057804</c:v>
                </c:pt>
                <c:pt idx="3">
                  <c:v>0.52479338842975198</c:v>
                </c:pt>
                <c:pt idx="4">
                  <c:v>0.39256198347107396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E-43E9-8AF1-477BBE88C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Throw in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statistics'!$A$733</c:f>
              <c:strCache>
                <c:ptCount val="1"/>
                <c:pt idx="0">
                  <c:v>Throw in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statistics'!$H$735:$H$776</c:f>
              <c:numCache>
                <c:formatCode>General</c:formatCode>
                <c:ptCount val="42"/>
                <c:pt idx="0">
                  <c:v>0.45994475138121499</c:v>
                </c:pt>
                <c:pt idx="1">
                  <c:v>0.448895027624309</c:v>
                </c:pt>
                <c:pt idx="2">
                  <c:v>0.58149171270718203</c:v>
                </c:pt>
                <c:pt idx="3">
                  <c:v>0.79696132596685099</c:v>
                </c:pt>
                <c:pt idx="4">
                  <c:v>0.725138121546961</c:v>
                </c:pt>
                <c:pt idx="5">
                  <c:v>0.14779005524861899</c:v>
                </c:pt>
                <c:pt idx="6">
                  <c:v>0.23618784530386699</c:v>
                </c:pt>
                <c:pt idx="7">
                  <c:v>0.58425414364640904</c:v>
                </c:pt>
                <c:pt idx="8">
                  <c:v>0.41574585635359101</c:v>
                </c:pt>
                <c:pt idx="9">
                  <c:v>0.59254143646408797</c:v>
                </c:pt>
                <c:pt idx="10">
                  <c:v>0.70303867403314901</c:v>
                </c:pt>
                <c:pt idx="11">
                  <c:v>0.424033149171271</c:v>
                </c:pt>
                <c:pt idx="12">
                  <c:v>0.75276243093922701</c:v>
                </c:pt>
                <c:pt idx="13">
                  <c:v>0.75276243093922701</c:v>
                </c:pt>
                <c:pt idx="14">
                  <c:v>0.230662983425414</c:v>
                </c:pt>
                <c:pt idx="15">
                  <c:v>0.28314917127071798</c:v>
                </c:pt>
                <c:pt idx="16">
                  <c:v>0.81906077348066297</c:v>
                </c:pt>
                <c:pt idx="17">
                  <c:v>0.38535911602209899</c:v>
                </c:pt>
                <c:pt idx="18">
                  <c:v>0.26933701657458597</c:v>
                </c:pt>
                <c:pt idx="19">
                  <c:v>0.49585635359115998</c:v>
                </c:pt>
                <c:pt idx="20">
                  <c:v>0.19198895027624299</c:v>
                </c:pt>
                <c:pt idx="21">
                  <c:v>0.12016574585635401</c:v>
                </c:pt>
                <c:pt idx="22">
                  <c:v>0.36602209944751402</c:v>
                </c:pt>
                <c:pt idx="23">
                  <c:v>0.136740331491713</c:v>
                </c:pt>
                <c:pt idx="24">
                  <c:v>0.20303867403314901</c:v>
                </c:pt>
                <c:pt idx="25">
                  <c:v>0.13397790055248601</c:v>
                </c:pt>
                <c:pt idx="26">
                  <c:v>0.26657458563535902</c:v>
                </c:pt>
                <c:pt idx="27">
                  <c:v>0.68093922651933703</c:v>
                </c:pt>
                <c:pt idx="28">
                  <c:v>0.55662983425414403</c:v>
                </c:pt>
                <c:pt idx="29">
                  <c:v>0.80524861878453002</c:v>
                </c:pt>
                <c:pt idx="30">
                  <c:v>0.81629834254143696</c:v>
                </c:pt>
                <c:pt idx="31">
                  <c:v>0.79419889502762397</c:v>
                </c:pt>
                <c:pt idx="32">
                  <c:v>0.79419889502762397</c:v>
                </c:pt>
                <c:pt idx="33">
                  <c:v>0.79419889502762397</c:v>
                </c:pt>
                <c:pt idx="34">
                  <c:v>0.62292817679557999</c:v>
                </c:pt>
                <c:pt idx="35">
                  <c:v>0.66160220994475105</c:v>
                </c:pt>
                <c:pt idx="36">
                  <c:v>0.19475138121547</c:v>
                </c:pt>
                <c:pt idx="37">
                  <c:v>0.25552486187845302</c:v>
                </c:pt>
                <c:pt idx="38">
                  <c:v>0.37983425414364602</c:v>
                </c:pt>
                <c:pt idx="39">
                  <c:v>0.60911602209944704</c:v>
                </c:pt>
                <c:pt idx="40">
                  <c:v>0.62016574585635398</c:v>
                </c:pt>
                <c:pt idx="41">
                  <c:v>0.62845303867403302</c:v>
                </c:pt>
              </c:numCache>
            </c:numRef>
          </c:xVal>
          <c:yVal>
            <c:numRef>
              <c:f>'Project statistics'!$I$735:$I$776</c:f>
              <c:numCache>
                <c:formatCode>General</c:formatCode>
                <c:ptCount val="42"/>
                <c:pt idx="0">
                  <c:v>1.7241379310344973E-2</c:v>
                </c:pt>
                <c:pt idx="1">
                  <c:v>1.7241379310344973E-2</c:v>
                </c:pt>
                <c:pt idx="2">
                  <c:v>1.7241379310344973E-2</c:v>
                </c:pt>
                <c:pt idx="3">
                  <c:v>0.98275862068965525</c:v>
                </c:pt>
                <c:pt idx="4">
                  <c:v>0.99568965517241381</c:v>
                </c:pt>
                <c:pt idx="5">
                  <c:v>1.2931034482759007E-2</c:v>
                </c:pt>
                <c:pt idx="6">
                  <c:v>0.98706896551724144</c:v>
                </c:pt>
                <c:pt idx="7">
                  <c:v>1.2931034482759007E-2</c:v>
                </c:pt>
                <c:pt idx="8">
                  <c:v>1.2931034482759007E-2</c:v>
                </c:pt>
                <c:pt idx="9">
                  <c:v>1.7241379310344973E-2</c:v>
                </c:pt>
                <c:pt idx="10">
                  <c:v>1.2931034482759007E-2</c:v>
                </c:pt>
                <c:pt idx="11">
                  <c:v>1.7241379310344973E-2</c:v>
                </c:pt>
                <c:pt idx="12">
                  <c:v>4.3103448275859657E-3</c:v>
                </c:pt>
                <c:pt idx="13">
                  <c:v>0.99137931034482762</c:v>
                </c:pt>
                <c:pt idx="14">
                  <c:v>1.2931034482759007E-2</c:v>
                </c:pt>
                <c:pt idx="15">
                  <c:v>1.2931034482759007E-2</c:v>
                </c:pt>
                <c:pt idx="16">
                  <c:v>0.99137931034482762</c:v>
                </c:pt>
                <c:pt idx="17">
                  <c:v>0.99568965517241381</c:v>
                </c:pt>
                <c:pt idx="18">
                  <c:v>0.99137931034482762</c:v>
                </c:pt>
                <c:pt idx="19">
                  <c:v>0.99568965517241381</c:v>
                </c:pt>
                <c:pt idx="20">
                  <c:v>0.97844827586206895</c:v>
                </c:pt>
                <c:pt idx="21">
                  <c:v>0.99137931034482762</c:v>
                </c:pt>
                <c:pt idx="22">
                  <c:v>0.98706896551724144</c:v>
                </c:pt>
                <c:pt idx="23">
                  <c:v>8.6206896551720424E-3</c:v>
                </c:pt>
                <c:pt idx="24">
                  <c:v>1.7241379310344973E-2</c:v>
                </c:pt>
                <c:pt idx="25">
                  <c:v>0.99137931034482762</c:v>
                </c:pt>
                <c:pt idx="26">
                  <c:v>0.99137931034482762</c:v>
                </c:pt>
                <c:pt idx="27">
                  <c:v>1.2931034482759007E-2</c:v>
                </c:pt>
                <c:pt idx="28">
                  <c:v>0.99568965517241381</c:v>
                </c:pt>
                <c:pt idx="29">
                  <c:v>1</c:v>
                </c:pt>
                <c:pt idx="30">
                  <c:v>0.98275862068965525</c:v>
                </c:pt>
                <c:pt idx="31">
                  <c:v>0.99568965517241381</c:v>
                </c:pt>
                <c:pt idx="32">
                  <c:v>0.99137931034482762</c:v>
                </c:pt>
                <c:pt idx="33">
                  <c:v>0.98275862068965525</c:v>
                </c:pt>
                <c:pt idx="34">
                  <c:v>8.6206896551720424E-3</c:v>
                </c:pt>
                <c:pt idx="35">
                  <c:v>1.7241379310344973E-2</c:v>
                </c:pt>
                <c:pt idx="36">
                  <c:v>0.99568965517241381</c:v>
                </c:pt>
                <c:pt idx="37">
                  <c:v>0.99137931034482762</c:v>
                </c:pt>
                <c:pt idx="38">
                  <c:v>0.97413793103448276</c:v>
                </c:pt>
                <c:pt idx="39">
                  <c:v>0.98706896551724144</c:v>
                </c:pt>
                <c:pt idx="40">
                  <c:v>0.99568965517241381</c:v>
                </c:pt>
                <c:pt idx="41">
                  <c:v>2.5862068965517016E-2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8-45A8-95ED-32E18CC5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Dribble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statistics'!$A$778</c:f>
              <c:strCache>
                <c:ptCount val="1"/>
                <c:pt idx="0">
                  <c:v>Dribble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statistics'!$H$780:$H$813</c:f>
              <c:numCache>
                <c:formatCode>General</c:formatCode>
                <c:ptCount val="34"/>
                <c:pt idx="0">
                  <c:v>0.34116022099447502</c:v>
                </c:pt>
                <c:pt idx="1">
                  <c:v>0.15883977900552501</c:v>
                </c:pt>
                <c:pt idx="2">
                  <c:v>0.36049723756906099</c:v>
                </c:pt>
                <c:pt idx="3">
                  <c:v>0.71132596685082905</c:v>
                </c:pt>
                <c:pt idx="4">
                  <c:v>0.66712707182320397</c:v>
                </c:pt>
                <c:pt idx="5">
                  <c:v>0.31629834254143602</c:v>
                </c:pt>
                <c:pt idx="6">
                  <c:v>0.34392265193370197</c:v>
                </c:pt>
                <c:pt idx="7">
                  <c:v>0.32182320441988899</c:v>
                </c:pt>
                <c:pt idx="8">
                  <c:v>0.28591160220994499</c:v>
                </c:pt>
                <c:pt idx="9">
                  <c:v>0.58701657458563505</c:v>
                </c:pt>
                <c:pt idx="10">
                  <c:v>0.40745856353591198</c:v>
                </c:pt>
                <c:pt idx="11">
                  <c:v>0.462707182320442</c:v>
                </c:pt>
                <c:pt idx="12">
                  <c:v>0.45718232044198898</c:v>
                </c:pt>
                <c:pt idx="13">
                  <c:v>0.83287292817679603</c:v>
                </c:pt>
                <c:pt idx="14">
                  <c:v>0.88259668508287303</c:v>
                </c:pt>
                <c:pt idx="15">
                  <c:v>0.55939226519337004</c:v>
                </c:pt>
                <c:pt idx="16">
                  <c:v>0.91850828729281797</c:v>
                </c:pt>
                <c:pt idx="17">
                  <c:v>0.97099447513812198</c:v>
                </c:pt>
                <c:pt idx="18">
                  <c:v>0.96270718232044195</c:v>
                </c:pt>
                <c:pt idx="19">
                  <c:v>0.21685082872928199</c:v>
                </c:pt>
                <c:pt idx="20">
                  <c:v>0.74723756906077299</c:v>
                </c:pt>
                <c:pt idx="21">
                  <c:v>0.437845303867403</c:v>
                </c:pt>
                <c:pt idx="22">
                  <c:v>0.21132596685082899</c:v>
                </c:pt>
                <c:pt idx="23">
                  <c:v>0.21685082872928199</c:v>
                </c:pt>
                <c:pt idx="24">
                  <c:v>0.41682974559686897</c:v>
                </c:pt>
                <c:pt idx="25">
                  <c:v>0.40469613259668502</c:v>
                </c:pt>
                <c:pt idx="26">
                  <c:v>0.76933701657458597</c:v>
                </c:pt>
                <c:pt idx="27">
                  <c:v>0.81353591160220995</c:v>
                </c:pt>
                <c:pt idx="28">
                  <c:v>0.26381215469613301</c:v>
                </c:pt>
                <c:pt idx="29">
                  <c:v>0.17265193370165699</c:v>
                </c:pt>
                <c:pt idx="30">
                  <c:v>0.75828729281768004</c:v>
                </c:pt>
                <c:pt idx="31">
                  <c:v>0.68093922651933703</c:v>
                </c:pt>
                <c:pt idx="32">
                  <c:v>0.92955801104972402</c:v>
                </c:pt>
                <c:pt idx="33">
                  <c:v>0.69198895027624296</c:v>
                </c:pt>
              </c:numCache>
            </c:numRef>
          </c:xVal>
          <c:yVal>
            <c:numRef>
              <c:f>'Project statistics'!$I$780:$I$813</c:f>
              <c:numCache>
                <c:formatCode>General</c:formatCode>
                <c:ptCount val="34"/>
                <c:pt idx="0">
                  <c:v>0.18965517241379304</c:v>
                </c:pt>
                <c:pt idx="1">
                  <c:v>6.0344827586206962E-2</c:v>
                </c:pt>
                <c:pt idx="2">
                  <c:v>0.23275862068965503</c:v>
                </c:pt>
                <c:pt idx="3">
                  <c:v>0.875</c:v>
                </c:pt>
                <c:pt idx="4">
                  <c:v>0.85344827586206895</c:v>
                </c:pt>
                <c:pt idx="5">
                  <c:v>0.556034482758621</c:v>
                </c:pt>
                <c:pt idx="6">
                  <c:v>0.26724137931034497</c:v>
                </c:pt>
                <c:pt idx="7">
                  <c:v>0.36637931034482796</c:v>
                </c:pt>
                <c:pt idx="8">
                  <c:v>0.47413793103448298</c:v>
                </c:pt>
                <c:pt idx="9">
                  <c:v>0.14224137931034497</c:v>
                </c:pt>
                <c:pt idx="10">
                  <c:v>0.99568965517241381</c:v>
                </c:pt>
                <c:pt idx="11">
                  <c:v>0.65086206896551702</c:v>
                </c:pt>
                <c:pt idx="12">
                  <c:v>0.65948275862068995</c:v>
                </c:pt>
                <c:pt idx="13">
                  <c:v>0.556034482758621</c:v>
                </c:pt>
                <c:pt idx="14">
                  <c:v>0.71982758620689702</c:v>
                </c:pt>
                <c:pt idx="15">
                  <c:v>0.80172413793103403</c:v>
                </c:pt>
                <c:pt idx="16">
                  <c:v>0.70689655172413801</c:v>
                </c:pt>
                <c:pt idx="17">
                  <c:v>0.68534482758620707</c:v>
                </c:pt>
                <c:pt idx="18">
                  <c:v>0.66810344827586199</c:v>
                </c:pt>
                <c:pt idx="19">
                  <c:v>5.6034482758620996E-2</c:v>
                </c:pt>
                <c:pt idx="20">
                  <c:v>0.59051724137931005</c:v>
                </c:pt>
                <c:pt idx="21">
                  <c:v>0.62068965517241392</c:v>
                </c:pt>
                <c:pt idx="22">
                  <c:v>0.21120689655172398</c:v>
                </c:pt>
                <c:pt idx="23">
                  <c:v>8.6206896551723977E-2</c:v>
                </c:pt>
                <c:pt idx="24">
                  <c:v>0.94189602446483178</c:v>
                </c:pt>
                <c:pt idx="25">
                  <c:v>0.72413793103448298</c:v>
                </c:pt>
                <c:pt idx="26">
                  <c:v>0.86206896551724099</c:v>
                </c:pt>
                <c:pt idx="27">
                  <c:v>2.5862068965517016E-2</c:v>
                </c:pt>
                <c:pt idx="28">
                  <c:v>0.76724137931034497</c:v>
                </c:pt>
                <c:pt idx="29">
                  <c:v>0.875</c:v>
                </c:pt>
                <c:pt idx="30">
                  <c:v>0.93534482758620685</c:v>
                </c:pt>
                <c:pt idx="31">
                  <c:v>0.93534482758620685</c:v>
                </c:pt>
                <c:pt idx="32">
                  <c:v>0.86637931034482807</c:v>
                </c:pt>
                <c:pt idx="33">
                  <c:v>0.25431034482758597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7-4CAC-B09F-6137ECEE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other ball loss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statistics'!$A$847</c:f>
              <c:strCache>
                <c:ptCount val="1"/>
                <c:pt idx="0">
                  <c:v>other ball loss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statistics'!$G$849:$G$864</c:f>
              <c:numCache>
                <c:formatCode>General</c:formatCode>
                <c:ptCount val="16"/>
                <c:pt idx="0">
                  <c:v>0.54629629629629595</c:v>
                </c:pt>
                <c:pt idx="1">
                  <c:v>0.81084656084656104</c:v>
                </c:pt>
                <c:pt idx="2">
                  <c:v>0.40343915343915299</c:v>
                </c:pt>
                <c:pt idx="3">
                  <c:v>0.66798941798941802</c:v>
                </c:pt>
                <c:pt idx="4">
                  <c:v>0.32407407407407401</c:v>
                </c:pt>
                <c:pt idx="5">
                  <c:v>0.28703703703703698</c:v>
                </c:pt>
                <c:pt idx="6">
                  <c:v>8.3333333333333301E-2</c:v>
                </c:pt>
                <c:pt idx="7">
                  <c:v>0.35582010582010598</c:v>
                </c:pt>
                <c:pt idx="8">
                  <c:v>0.72089947089947104</c:v>
                </c:pt>
                <c:pt idx="9">
                  <c:v>0.26851851851851799</c:v>
                </c:pt>
                <c:pt idx="10">
                  <c:v>0.42724867724867699</c:v>
                </c:pt>
                <c:pt idx="11">
                  <c:v>0.30026455026455001</c:v>
                </c:pt>
                <c:pt idx="12">
                  <c:v>0.82671957671957697</c:v>
                </c:pt>
                <c:pt idx="13">
                  <c:v>0.70767195767195801</c:v>
                </c:pt>
                <c:pt idx="14">
                  <c:v>0.29232804232804199</c:v>
                </c:pt>
                <c:pt idx="15">
                  <c:v>0.78174603174603197</c:v>
                </c:pt>
              </c:numCache>
            </c:numRef>
          </c:xVal>
          <c:yVal>
            <c:numRef>
              <c:f>'Project statistics'!$H$849:$H$864</c:f>
              <c:numCache>
                <c:formatCode>General</c:formatCode>
                <c:ptCount val="16"/>
                <c:pt idx="0">
                  <c:v>0.26033057851239705</c:v>
                </c:pt>
                <c:pt idx="1">
                  <c:v>0.73966942148760295</c:v>
                </c:pt>
                <c:pt idx="2">
                  <c:v>0.27685950413223104</c:v>
                </c:pt>
                <c:pt idx="3">
                  <c:v>0.55371900826446296</c:v>
                </c:pt>
                <c:pt idx="4">
                  <c:v>0.91322314049586784</c:v>
                </c:pt>
                <c:pt idx="5">
                  <c:v>0.26859504132231404</c:v>
                </c:pt>
                <c:pt idx="6">
                  <c:v>0.58264462809917394</c:v>
                </c:pt>
                <c:pt idx="7">
                  <c:v>8.2644628099169948E-3</c:v>
                </c:pt>
                <c:pt idx="8">
                  <c:v>0.99173553719008267</c:v>
                </c:pt>
                <c:pt idx="9">
                  <c:v>0.97933884297520657</c:v>
                </c:pt>
                <c:pt idx="10">
                  <c:v>6.6115702479338956E-2</c:v>
                </c:pt>
                <c:pt idx="11">
                  <c:v>0.60743801652892593</c:v>
                </c:pt>
                <c:pt idx="12">
                  <c:v>0.93801652892561982</c:v>
                </c:pt>
                <c:pt idx="13">
                  <c:v>0.70661157024793397</c:v>
                </c:pt>
                <c:pt idx="14">
                  <c:v>0.87190082644628097</c:v>
                </c:pt>
                <c:pt idx="15">
                  <c:v>0.53305785123966898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8-442A-A78F-EB91950C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offside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statistics'!$A$866</c:f>
              <c:strCache>
                <c:ptCount val="1"/>
                <c:pt idx="0">
                  <c:v>offside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statistics'!$G$868:$G$869</c:f>
              <c:numCache>
                <c:formatCode>General</c:formatCode>
                <c:ptCount val="2"/>
                <c:pt idx="0">
                  <c:v>0.54894179894179895</c:v>
                </c:pt>
                <c:pt idx="1">
                  <c:v>0.794973544973545</c:v>
                </c:pt>
              </c:numCache>
            </c:numRef>
          </c:xVal>
          <c:yVal>
            <c:numRef>
              <c:f>'Project statistics'!$H$868:$H$869</c:f>
              <c:numCache>
                <c:formatCode>General</c:formatCode>
                <c:ptCount val="2"/>
                <c:pt idx="0">
                  <c:v>0.80991735537190102</c:v>
                </c:pt>
                <c:pt idx="1">
                  <c:v>0.68181818181818199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F-4C88-A735-6834C392C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Interception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statistics'!$A$274</c:f>
              <c:strCache>
                <c:ptCount val="1"/>
                <c:pt idx="0">
                  <c:v>Interception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statistics'!$G$276:$G$371</c:f>
              <c:numCache>
                <c:formatCode>General</c:formatCode>
                <c:ptCount val="96"/>
                <c:pt idx="0">
                  <c:v>0.316137566137566</c:v>
                </c:pt>
                <c:pt idx="1">
                  <c:v>0.37698412698412698</c:v>
                </c:pt>
                <c:pt idx="2">
                  <c:v>0.456349206349206</c:v>
                </c:pt>
                <c:pt idx="3">
                  <c:v>0.615079365079365</c:v>
                </c:pt>
                <c:pt idx="4">
                  <c:v>0.73677248677248697</c:v>
                </c:pt>
                <c:pt idx="5">
                  <c:v>0.26058201058201103</c:v>
                </c:pt>
                <c:pt idx="6">
                  <c:v>0.41137566137566101</c:v>
                </c:pt>
                <c:pt idx="7">
                  <c:v>0.39285714285714302</c:v>
                </c:pt>
                <c:pt idx="8">
                  <c:v>0.72354497354497305</c:v>
                </c:pt>
                <c:pt idx="9">
                  <c:v>0.55687830687830697</c:v>
                </c:pt>
                <c:pt idx="10">
                  <c:v>0.342592592592593</c:v>
                </c:pt>
                <c:pt idx="11">
                  <c:v>0.26587301587301598</c:v>
                </c:pt>
                <c:pt idx="12">
                  <c:v>0.12830687830687801</c:v>
                </c:pt>
                <c:pt idx="13">
                  <c:v>0.30820105820105798</c:v>
                </c:pt>
                <c:pt idx="14">
                  <c:v>5.95238095238095E-2</c:v>
                </c:pt>
                <c:pt idx="15">
                  <c:v>0.363756613756614</c:v>
                </c:pt>
                <c:pt idx="16">
                  <c:v>0.39021164021164001</c:v>
                </c:pt>
                <c:pt idx="17">
                  <c:v>0.239417989417989</c:v>
                </c:pt>
                <c:pt idx="18">
                  <c:v>0.316137566137566</c:v>
                </c:pt>
                <c:pt idx="19">
                  <c:v>0.183862433862434</c:v>
                </c:pt>
                <c:pt idx="20">
                  <c:v>0.40608465608465599</c:v>
                </c:pt>
                <c:pt idx="21">
                  <c:v>0.41402116402116401</c:v>
                </c:pt>
                <c:pt idx="22">
                  <c:v>0.239417989417989</c:v>
                </c:pt>
                <c:pt idx="23">
                  <c:v>0.62566137566137603</c:v>
                </c:pt>
                <c:pt idx="24">
                  <c:v>0.236772486772487</c:v>
                </c:pt>
                <c:pt idx="25">
                  <c:v>0.44576719576719598</c:v>
                </c:pt>
                <c:pt idx="26">
                  <c:v>2.51322751322751E-2</c:v>
                </c:pt>
                <c:pt idx="27">
                  <c:v>0.30820105820105798</c:v>
                </c:pt>
                <c:pt idx="28">
                  <c:v>0.41666666666666702</c:v>
                </c:pt>
                <c:pt idx="29">
                  <c:v>0.215608465608466</c:v>
                </c:pt>
                <c:pt idx="30">
                  <c:v>0.236772486772487</c:v>
                </c:pt>
                <c:pt idx="31">
                  <c:v>0.67328042328042303</c:v>
                </c:pt>
                <c:pt idx="32">
                  <c:v>0.318783068783069</c:v>
                </c:pt>
                <c:pt idx="33">
                  <c:v>0.44047619047619002</c:v>
                </c:pt>
                <c:pt idx="34">
                  <c:v>0.35582010582010598</c:v>
                </c:pt>
                <c:pt idx="35">
                  <c:v>0.35317460317460297</c:v>
                </c:pt>
                <c:pt idx="36">
                  <c:v>0.125661375661376</c:v>
                </c:pt>
                <c:pt idx="37">
                  <c:v>4.6296296296296301E-2</c:v>
                </c:pt>
                <c:pt idx="38">
                  <c:v>0.498677248677249</c:v>
                </c:pt>
                <c:pt idx="39">
                  <c:v>0.54100529100529104</c:v>
                </c:pt>
                <c:pt idx="40">
                  <c:v>0.34523809523809501</c:v>
                </c:pt>
                <c:pt idx="41">
                  <c:v>0.183862433862434</c:v>
                </c:pt>
                <c:pt idx="42">
                  <c:v>9.6560846560846597E-2</c:v>
                </c:pt>
                <c:pt idx="43">
                  <c:v>0.12830687830687801</c:v>
                </c:pt>
                <c:pt idx="44">
                  <c:v>0.67592592592592604</c:v>
                </c:pt>
                <c:pt idx="45">
                  <c:v>0.87169312169312196</c:v>
                </c:pt>
                <c:pt idx="46">
                  <c:v>0.57010582010582</c:v>
                </c:pt>
                <c:pt idx="47">
                  <c:v>0.55952380952380998</c:v>
                </c:pt>
                <c:pt idx="48">
                  <c:v>0.54365079365079405</c:v>
                </c:pt>
                <c:pt idx="49">
                  <c:v>0.32671957671957702</c:v>
                </c:pt>
                <c:pt idx="50">
                  <c:v>0.25</c:v>
                </c:pt>
                <c:pt idx="51">
                  <c:v>0.408730158730159</c:v>
                </c:pt>
                <c:pt idx="52">
                  <c:v>0.40608465608465599</c:v>
                </c:pt>
                <c:pt idx="53">
                  <c:v>0.55687830687830697</c:v>
                </c:pt>
                <c:pt idx="54">
                  <c:v>0.23412698412698399</c:v>
                </c:pt>
                <c:pt idx="55">
                  <c:v>0.17592592592592601</c:v>
                </c:pt>
                <c:pt idx="56">
                  <c:v>0.136243386243386</c:v>
                </c:pt>
                <c:pt idx="57">
                  <c:v>0.46957671957671998</c:v>
                </c:pt>
                <c:pt idx="58">
                  <c:v>0.69179894179894197</c:v>
                </c:pt>
                <c:pt idx="59">
                  <c:v>0.76587301587301604</c:v>
                </c:pt>
                <c:pt idx="60">
                  <c:v>0.183862433862434</c:v>
                </c:pt>
                <c:pt idx="61">
                  <c:v>0.194444444444444</c:v>
                </c:pt>
                <c:pt idx="62">
                  <c:v>0.19973544973544999</c:v>
                </c:pt>
                <c:pt idx="63">
                  <c:v>0.28968253968253999</c:v>
                </c:pt>
                <c:pt idx="64">
                  <c:v>0.80820105820105803</c:v>
                </c:pt>
                <c:pt idx="65">
                  <c:v>0.83994708994709</c:v>
                </c:pt>
                <c:pt idx="66">
                  <c:v>0.42195767195767198</c:v>
                </c:pt>
                <c:pt idx="67">
                  <c:v>0.54629629629629595</c:v>
                </c:pt>
                <c:pt idx="68">
                  <c:v>0.59126984126984095</c:v>
                </c:pt>
                <c:pt idx="69">
                  <c:v>0.59391534391534395</c:v>
                </c:pt>
                <c:pt idx="70">
                  <c:v>0.35317460317460297</c:v>
                </c:pt>
                <c:pt idx="71">
                  <c:v>0.53835978835978804</c:v>
                </c:pt>
                <c:pt idx="72">
                  <c:v>0.35317460317460297</c:v>
                </c:pt>
                <c:pt idx="73">
                  <c:v>0.112433862433862</c:v>
                </c:pt>
                <c:pt idx="74">
                  <c:v>0.67592592592592604</c:v>
                </c:pt>
                <c:pt idx="75">
                  <c:v>0.32407407407407401</c:v>
                </c:pt>
                <c:pt idx="76">
                  <c:v>0.18650793650793601</c:v>
                </c:pt>
                <c:pt idx="77">
                  <c:v>0.64417989417989396</c:v>
                </c:pt>
                <c:pt idx="78">
                  <c:v>0.14417989417989399</c:v>
                </c:pt>
                <c:pt idx="79">
                  <c:v>0.87962962962962998</c:v>
                </c:pt>
                <c:pt idx="80">
                  <c:v>0.55158730158730196</c:v>
                </c:pt>
                <c:pt idx="81">
                  <c:v>0.41402116402116401</c:v>
                </c:pt>
                <c:pt idx="82">
                  <c:v>0.170634920634921</c:v>
                </c:pt>
                <c:pt idx="83">
                  <c:v>0.83201058201058198</c:v>
                </c:pt>
                <c:pt idx="84">
                  <c:v>0.60714285714285698</c:v>
                </c:pt>
                <c:pt idx="85">
                  <c:v>0.702380952380952</c:v>
                </c:pt>
                <c:pt idx="86">
                  <c:v>0.59656084656084696</c:v>
                </c:pt>
                <c:pt idx="87">
                  <c:v>0.342592592592593</c:v>
                </c:pt>
                <c:pt idx="88">
                  <c:v>0.42195767195767198</c:v>
                </c:pt>
                <c:pt idx="89">
                  <c:v>0.18650793650793601</c:v>
                </c:pt>
                <c:pt idx="90">
                  <c:v>0.456349206349206</c:v>
                </c:pt>
                <c:pt idx="91">
                  <c:v>0.61772486772486801</c:v>
                </c:pt>
                <c:pt idx="92">
                  <c:v>9.6560846560846597E-2</c:v>
                </c:pt>
                <c:pt idx="93">
                  <c:v>0.40343915343915299</c:v>
                </c:pt>
                <c:pt idx="94">
                  <c:v>0.34523809523809501</c:v>
                </c:pt>
                <c:pt idx="95">
                  <c:v>0.54365079365079405</c:v>
                </c:pt>
              </c:numCache>
            </c:numRef>
          </c:xVal>
          <c:yVal>
            <c:numRef>
              <c:f>'Project statistics'!$H$276:$H$371</c:f>
              <c:numCache>
                <c:formatCode>General</c:formatCode>
                <c:ptCount val="96"/>
                <c:pt idx="0">
                  <c:v>0.28925619834710703</c:v>
                </c:pt>
                <c:pt idx="1">
                  <c:v>0.12396694214876003</c:v>
                </c:pt>
                <c:pt idx="2">
                  <c:v>0.38016528925619797</c:v>
                </c:pt>
                <c:pt idx="3">
                  <c:v>0.30165289256198302</c:v>
                </c:pt>
                <c:pt idx="4">
                  <c:v>0.46694214876033102</c:v>
                </c:pt>
                <c:pt idx="5">
                  <c:v>0.21900826446280997</c:v>
                </c:pt>
                <c:pt idx="6">
                  <c:v>0.39669421487603296</c:v>
                </c:pt>
                <c:pt idx="7">
                  <c:v>0.64049586776859502</c:v>
                </c:pt>
                <c:pt idx="8">
                  <c:v>0.93801652892561982</c:v>
                </c:pt>
                <c:pt idx="9">
                  <c:v>0.70247933884297498</c:v>
                </c:pt>
                <c:pt idx="10">
                  <c:v>0.76446280991735494</c:v>
                </c:pt>
                <c:pt idx="11">
                  <c:v>8.2644628099173945E-2</c:v>
                </c:pt>
                <c:pt idx="12">
                  <c:v>0.14049586776859502</c:v>
                </c:pt>
                <c:pt idx="13">
                  <c:v>0.42975206611570205</c:v>
                </c:pt>
                <c:pt idx="14">
                  <c:v>0.54545454545454497</c:v>
                </c:pt>
                <c:pt idx="15">
                  <c:v>0.47520661157024802</c:v>
                </c:pt>
                <c:pt idx="16">
                  <c:v>0.70661157024793397</c:v>
                </c:pt>
                <c:pt idx="17">
                  <c:v>0.20247933884297498</c:v>
                </c:pt>
                <c:pt idx="18">
                  <c:v>0.42975206611570205</c:v>
                </c:pt>
                <c:pt idx="19">
                  <c:v>0.70661157024793397</c:v>
                </c:pt>
                <c:pt idx="20">
                  <c:v>0.77272727272727304</c:v>
                </c:pt>
                <c:pt idx="21">
                  <c:v>0.665289256198347</c:v>
                </c:pt>
                <c:pt idx="22">
                  <c:v>0.29338842975206603</c:v>
                </c:pt>
                <c:pt idx="23">
                  <c:v>0.95041322314049592</c:v>
                </c:pt>
                <c:pt idx="24">
                  <c:v>0.92975206611570249</c:v>
                </c:pt>
                <c:pt idx="25">
                  <c:v>3.3057851239668978E-2</c:v>
                </c:pt>
                <c:pt idx="26">
                  <c:v>0.76446280991735494</c:v>
                </c:pt>
                <c:pt idx="27">
                  <c:v>0.63223140495867802</c:v>
                </c:pt>
                <c:pt idx="28">
                  <c:v>0.73553719008264506</c:v>
                </c:pt>
                <c:pt idx="29">
                  <c:v>0.23140495867768596</c:v>
                </c:pt>
                <c:pt idx="30">
                  <c:v>9.5041322314050047E-2</c:v>
                </c:pt>
                <c:pt idx="31">
                  <c:v>0.28925619834710703</c:v>
                </c:pt>
                <c:pt idx="32">
                  <c:v>0.97520661157024791</c:v>
                </c:pt>
                <c:pt idx="33">
                  <c:v>0.9049586776859504</c:v>
                </c:pt>
                <c:pt idx="34">
                  <c:v>0.89669421487603296</c:v>
                </c:pt>
                <c:pt idx="35">
                  <c:v>0.76859504132231393</c:v>
                </c:pt>
                <c:pt idx="36">
                  <c:v>0.14876033057851201</c:v>
                </c:pt>
                <c:pt idx="37">
                  <c:v>0.21487603305785097</c:v>
                </c:pt>
                <c:pt idx="38">
                  <c:v>0.84297520661156999</c:v>
                </c:pt>
                <c:pt idx="39">
                  <c:v>0.834710743801653</c:v>
                </c:pt>
                <c:pt idx="40">
                  <c:v>0.12809917355371903</c:v>
                </c:pt>
                <c:pt idx="41">
                  <c:v>0.90082644628099173</c:v>
                </c:pt>
                <c:pt idx="42">
                  <c:v>0.92561983471074383</c:v>
                </c:pt>
                <c:pt idx="43">
                  <c:v>0.86363636363636398</c:v>
                </c:pt>
                <c:pt idx="44">
                  <c:v>7.4380165289255951E-2</c:v>
                </c:pt>
                <c:pt idx="45">
                  <c:v>0.661157024793388</c:v>
                </c:pt>
                <c:pt idx="46">
                  <c:v>0.39256198347107396</c:v>
                </c:pt>
                <c:pt idx="47">
                  <c:v>0.85950413223140498</c:v>
                </c:pt>
                <c:pt idx="48">
                  <c:v>0.90082644628099173</c:v>
                </c:pt>
                <c:pt idx="49">
                  <c:v>0.95867768595041325</c:v>
                </c:pt>
                <c:pt idx="50">
                  <c:v>0.97107438016528935</c:v>
                </c:pt>
                <c:pt idx="51">
                  <c:v>0.79752066115702502</c:v>
                </c:pt>
                <c:pt idx="52">
                  <c:v>0.78099173553719003</c:v>
                </c:pt>
                <c:pt idx="53">
                  <c:v>0.97933884297520657</c:v>
                </c:pt>
                <c:pt idx="54">
                  <c:v>0.98347107438016534</c:v>
                </c:pt>
                <c:pt idx="55">
                  <c:v>0.95454545454545447</c:v>
                </c:pt>
                <c:pt idx="56">
                  <c:v>0.97107438016528935</c:v>
                </c:pt>
                <c:pt idx="57">
                  <c:v>0.82231404958677701</c:v>
                </c:pt>
                <c:pt idx="58">
                  <c:v>0.89256198347107396</c:v>
                </c:pt>
                <c:pt idx="59">
                  <c:v>0.62809917355371903</c:v>
                </c:pt>
                <c:pt idx="60">
                  <c:v>5.7851239669420962E-2</c:v>
                </c:pt>
                <c:pt idx="61">
                  <c:v>6.6115702479338956E-2</c:v>
                </c:pt>
                <c:pt idx="62">
                  <c:v>0.23553719008264495</c:v>
                </c:pt>
                <c:pt idx="63">
                  <c:v>0.96280991735537191</c:v>
                </c:pt>
                <c:pt idx="64">
                  <c:v>0.495867768595041</c:v>
                </c:pt>
                <c:pt idx="65">
                  <c:v>9.9173553719008045E-2</c:v>
                </c:pt>
                <c:pt idx="66">
                  <c:v>0.69834710743801698</c:v>
                </c:pt>
                <c:pt idx="67">
                  <c:v>0.64876033057851201</c:v>
                </c:pt>
                <c:pt idx="68">
                  <c:v>0.58677685950413205</c:v>
                </c:pt>
                <c:pt idx="69">
                  <c:v>0.56611570247933907</c:v>
                </c:pt>
                <c:pt idx="70">
                  <c:v>0.13223140495867802</c:v>
                </c:pt>
                <c:pt idx="71">
                  <c:v>0.81404958677686001</c:v>
                </c:pt>
                <c:pt idx="72">
                  <c:v>0.85123966942148799</c:v>
                </c:pt>
                <c:pt idx="73">
                  <c:v>0.64876033057851201</c:v>
                </c:pt>
                <c:pt idx="74">
                  <c:v>0.5</c:v>
                </c:pt>
                <c:pt idx="75">
                  <c:v>0.74793388429752095</c:v>
                </c:pt>
                <c:pt idx="76">
                  <c:v>0.85950413223140498</c:v>
                </c:pt>
                <c:pt idx="77">
                  <c:v>0.73966942148760295</c:v>
                </c:pt>
                <c:pt idx="78">
                  <c:v>0.38429752066115697</c:v>
                </c:pt>
                <c:pt idx="79">
                  <c:v>0.95867768595041325</c:v>
                </c:pt>
                <c:pt idx="80">
                  <c:v>0.669421487603306</c:v>
                </c:pt>
                <c:pt idx="81">
                  <c:v>0.9049586776859504</c:v>
                </c:pt>
                <c:pt idx="82">
                  <c:v>0.64876033057851201</c:v>
                </c:pt>
                <c:pt idx="83">
                  <c:v>0.89669421487603296</c:v>
                </c:pt>
                <c:pt idx="84">
                  <c:v>0.27685950413223104</c:v>
                </c:pt>
                <c:pt idx="85">
                  <c:v>0.26446280991735505</c:v>
                </c:pt>
                <c:pt idx="86">
                  <c:v>0.35537190082644599</c:v>
                </c:pt>
                <c:pt idx="87">
                  <c:v>0.54132231404958697</c:v>
                </c:pt>
                <c:pt idx="88">
                  <c:v>0.97107438016528935</c:v>
                </c:pt>
                <c:pt idx="89">
                  <c:v>0.88429752066115697</c:v>
                </c:pt>
                <c:pt idx="90">
                  <c:v>0.54958677685950397</c:v>
                </c:pt>
                <c:pt idx="91">
                  <c:v>0.42561983471074405</c:v>
                </c:pt>
                <c:pt idx="92">
                  <c:v>0.67768595041322299</c:v>
                </c:pt>
                <c:pt idx="93">
                  <c:v>0.91735537190082639</c:v>
                </c:pt>
                <c:pt idx="94">
                  <c:v>0.74380165289256195</c:v>
                </c:pt>
                <c:pt idx="95">
                  <c:v>0.96280991735537191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7-496C-966C-414960A7B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Pass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(Local)'!$A$48</c:f>
              <c:strCache>
                <c:ptCount val="1"/>
                <c:pt idx="0">
                  <c:v>Pass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(Local)'!$G$50:$G$309</c:f>
              <c:numCache>
                <c:formatCode>General</c:formatCode>
                <c:ptCount val="109"/>
                <c:pt idx="0">
                  <c:v>5.3867403314917101E-2</c:v>
                </c:pt>
                <c:pt idx="1">
                  <c:v>0.26657458563535902</c:v>
                </c:pt>
                <c:pt idx="2">
                  <c:v>0.34392265193370197</c:v>
                </c:pt>
                <c:pt idx="3">
                  <c:v>5.3867403314917101E-2</c:v>
                </c:pt>
                <c:pt idx="4">
                  <c:v>0.31077348066298299</c:v>
                </c:pt>
                <c:pt idx="5">
                  <c:v>0.48480662983425399</c:v>
                </c:pt>
                <c:pt idx="6">
                  <c:v>0.98756906077348094</c:v>
                </c:pt>
                <c:pt idx="7">
                  <c:v>0.94613259668508298</c:v>
                </c:pt>
                <c:pt idx="8">
                  <c:v>0.399171270718232</c:v>
                </c:pt>
                <c:pt idx="9">
                  <c:v>0.42127071823204398</c:v>
                </c:pt>
                <c:pt idx="10">
                  <c:v>0.38259668508287298</c:v>
                </c:pt>
                <c:pt idx="11">
                  <c:v>0.35497237569060802</c:v>
                </c:pt>
                <c:pt idx="12">
                  <c:v>0.73342541436464104</c:v>
                </c:pt>
                <c:pt idx="13">
                  <c:v>0.64779005524861899</c:v>
                </c:pt>
                <c:pt idx="14">
                  <c:v>0.27762430939226501</c:v>
                </c:pt>
                <c:pt idx="15">
                  <c:v>0.31077348066298299</c:v>
                </c:pt>
                <c:pt idx="16">
                  <c:v>0.41574585635359101</c:v>
                </c:pt>
                <c:pt idx="17">
                  <c:v>0.69751381215469599</c:v>
                </c:pt>
                <c:pt idx="18">
                  <c:v>0.45994475138121499</c:v>
                </c:pt>
                <c:pt idx="19">
                  <c:v>0.56767955801104997</c:v>
                </c:pt>
                <c:pt idx="20">
                  <c:v>0.23342541436464101</c:v>
                </c:pt>
                <c:pt idx="21">
                  <c:v>0.72237569060773499</c:v>
                </c:pt>
                <c:pt idx="22">
                  <c:v>0.76657458563535896</c:v>
                </c:pt>
                <c:pt idx="23">
                  <c:v>0.71408839779005495</c:v>
                </c:pt>
                <c:pt idx="24">
                  <c:v>0.65331491712707201</c:v>
                </c:pt>
                <c:pt idx="25">
                  <c:v>0.74723756906077299</c:v>
                </c:pt>
                <c:pt idx="26">
                  <c:v>0.675414364640884</c:v>
                </c:pt>
                <c:pt idx="27">
                  <c:v>0.34116022099447502</c:v>
                </c:pt>
                <c:pt idx="28">
                  <c:v>0.31906077348066297</c:v>
                </c:pt>
                <c:pt idx="29">
                  <c:v>0.33563535911602199</c:v>
                </c:pt>
                <c:pt idx="30">
                  <c:v>0.299723756906077</c:v>
                </c:pt>
                <c:pt idx="31">
                  <c:v>0.24723756906077299</c:v>
                </c:pt>
                <c:pt idx="32">
                  <c:v>0.26657458563535902</c:v>
                </c:pt>
                <c:pt idx="33">
                  <c:v>0.161602209944751</c:v>
                </c:pt>
                <c:pt idx="34">
                  <c:v>5.3867403314917101E-2</c:v>
                </c:pt>
                <c:pt idx="35">
                  <c:v>0.12845303867403299</c:v>
                </c:pt>
                <c:pt idx="36">
                  <c:v>0.31629834254143602</c:v>
                </c:pt>
                <c:pt idx="37">
                  <c:v>0.26657458563535902</c:v>
                </c:pt>
                <c:pt idx="38">
                  <c:v>0.29419889502762397</c:v>
                </c:pt>
                <c:pt idx="39">
                  <c:v>0.29143646408839802</c:v>
                </c:pt>
                <c:pt idx="40">
                  <c:v>0.244475138121547</c:v>
                </c:pt>
                <c:pt idx="41">
                  <c:v>0.31353591160221</c:v>
                </c:pt>
                <c:pt idx="42">
                  <c:v>0.42679558011049701</c:v>
                </c:pt>
                <c:pt idx="43">
                  <c:v>5.6629834254143599E-2</c:v>
                </c:pt>
                <c:pt idx="44">
                  <c:v>0.17817679558010999</c:v>
                </c:pt>
                <c:pt idx="45">
                  <c:v>0.29696132596685099</c:v>
                </c:pt>
                <c:pt idx="46">
                  <c:v>0.24171270718231999</c:v>
                </c:pt>
                <c:pt idx="47">
                  <c:v>0.30524861878453002</c:v>
                </c:pt>
                <c:pt idx="48">
                  <c:v>0.18646408839779</c:v>
                </c:pt>
                <c:pt idx="49">
                  <c:v>0.299723756906077</c:v>
                </c:pt>
                <c:pt idx="50">
                  <c:v>0.21408839779005501</c:v>
                </c:pt>
                <c:pt idx="51">
                  <c:v>0.205801104972376</c:v>
                </c:pt>
                <c:pt idx="52">
                  <c:v>5.9392265193370201E-2</c:v>
                </c:pt>
                <c:pt idx="53">
                  <c:v>5.6629834254143599E-2</c:v>
                </c:pt>
                <c:pt idx="54">
                  <c:v>0.86602209944751396</c:v>
                </c:pt>
                <c:pt idx="55">
                  <c:v>0.71408839779005495</c:v>
                </c:pt>
                <c:pt idx="56">
                  <c:v>0.39640883977900598</c:v>
                </c:pt>
                <c:pt idx="57">
                  <c:v>0.33011049723756902</c:v>
                </c:pt>
                <c:pt idx="58">
                  <c:v>0.39640883977900598</c:v>
                </c:pt>
                <c:pt idx="59">
                  <c:v>0.49585635359115998</c:v>
                </c:pt>
                <c:pt idx="60">
                  <c:v>0.338397790055249</c:v>
                </c:pt>
                <c:pt idx="61">
                  <c:v>0.62016574585635398</c:v>
                </c:pt>
                <c:pt idx="62">
                  <c:v>0.219613259668508</c:v>
                </c:pt>
                <c:pt idx="63">
                  <c:v>0.36049723756906099</c:v>
                </c:pt>
                <c:pt idx="64">
                  <c:v>0.71132596685082905</c:v>
                </c:pt>
                <c:pt idx="65">
                  <c:v>0.45441988950276202</c:v>
                </c:pt>
                <c:pt idx="66">
                  <c:v>0.42955801104972402</c:v>
                </c:pt>
                <c:pt idx="67">
                  <c:v>0.19198895027624299</c:v>
                </c:pt>
                <c:pt idx="68">
                  <c:v>0.25828729281767998</c:v>
                </c:pt>
                <c:pt idx="69">
                  <c:v>0.17817679558010999</c:v>
                </c:pt>
                <c:pt idx="70">
                  <c:v>0.125690607734807</c:v>
                </c:pt>
                <c:pt idx="71">
                  <c:v>0.14779005524861899</c:v>
                </c:pt>
                <c:pt idx="72">
                  <c:v>0.12016574585635401</c:v>
                </c:pt>
                <c:pt idx="73">
                  <c:v>0.15883977900552501</c:v>
                </c:pt>
                <c:pt idx="74">
                  <c:v>0.24171270718231999</c:v>
                </c:pt>
                <c:pt idx="75">
                  <c:v>0.53729281767955805</c:v>
                </c:pt>
                <c:pt idx="76">
                  <c:v>0.45441988950276202</c:v>
                </c:pt>
                <c:pt idx="77">
                  <c:v>0.21685082872928199</c:v>
                </c:pt>
                <c:pt idx="78">
                  <c:v>5.6629834254143599E-2</c:v>
                </c:pt>
                <c:pt idx="79">
                  <c:v>0.43232044198894998</c:v>
                </c:pt>
                <c:pt idx="80">
                  <c:v>0.424033149171271</c:v>
                </c:pt>
                <c:pt idx="81">
                  <c:v>0.424033149171271</c:v>
                </c:pt>
                <c:pt idx="82">
                  <c:v>0.60635359116022103</c:v>
                </c:pt>
                <c:pt idx="83">
                  <c:v>0.30248618784530401</c:v>
                </c:pt>
                <c:pt idx="84">
                  <c:v>0.55386740331491702</c:v>
                </c:pt>
                <c:pt idx="85">
                  <c:v>0.23895027624309401</c:v>
                </c:pt>
                <c:pt idx="86">
                  <c:v>0.24171270718231999</c:v>
                </c:pt>
                <c:pt idx="87">
                  <c:v>0.18922651933701701</c:v>
                </c:pt>
                <c:pt idx="88">
                  <c:v>0.50138121546961301</c:v>
                </c:pt>
                <c:pt idx="89">
                  <c:v>0.23618784530386699</c:v>
                </c:pt>
                <c:pt idx="90">
                  <c:v>0.11740331491712699</c:v>
                </c:pt>
                <c:pt idx="91">
                  <c:v>0.23342541436464101</c:v>
                </c:pt>
                <c:pt idx="92">
                  <c:v>0.24723756906077299</c:v>
                </c:pt>
                <c:pt idx="93">
                  <c:v>0.50138121546961301</c:v>
                </c:pt>
                <c:pt idx="94">
                  <c:v>0.324585635359116</c:v>
                </c:pt>
                <c:pt idx="95">
                  <c:v>5.3867403314917101E-2</c:v>
                </c:pt>
                <c:pt idx="96">
                  <c:v>0.33563535911602199</c:v>
                </c:pt>
                <c:pt idx="97">
                  <c:v>0.136740331491713</c:v>
                </c:pt>
                <c:pt idx="98">
                  <c:v>0.37154696132596698</c:v>
                </c:pt>
                <c:pt idx="99">
                  <c:v>0.38535911602209899</c:v>
                </c:pt>
                <c:pt idx="100">
                  <c:v>0.75276243093922701</c:v>
                </c:pt>
                <c:pt idx="101">
                  <c:v>0.20856353591160201</c:v>
                </c:pt>
                <c:pt idx="102">
                  <c:v>0.40469613259668502</c:v>
                </c:pt>
                <c:pt idx="103">
                  <c:v>0.28591160220994499</c:v>
                </c:pt>
                <c:pt idx="104">
                  <c:v>0.363259668508287</c:v>
                </c:pt>
                <c:pt idx="105">
                  <c:v>5.1104972375690602E-2</c:v>
                </c:pt>
                <c:pt idx="106">
                  <c:v>9.2541436464088397E-2</c:v>
                </c:pt>
                <c:pt idx="107">
                  <c:v>0.136740331491713</c:v>
                </c:pt>
                <c:pt idx="108">
                  <c:v>0.18922651933701701</c:v>
                </c:pt>
              </c:numCache>
            </c:numRef>
          </c:xVal>
          <c:yVal>
            <c:numRef>
              <c:f>'stm (Local)'!$H$50:$H$309</c:f>
              <c:numCache>
                <c:formatCode>General</c:formatCode>
                <c:ptCount val="109"/>
                <c:pt idx="0">
                  <c:v>0.48706896551724099</c:v>
                </c:pt>
                <c:pt idx="1">
                  <c:v>0.28017241379310298</c:v>
                </c:pt>
                <c:pt idx="2">
                  <c:v>0.38793103448275901</c:v>
                </c:pt>
                <c:pt idx="3">
                  <c:v>0.50431034482758608</c:v>
                </c:pt>
                <c:pt idx="4">
                  <c:v>0.15517241379310298</c:v>
                </c:pt>
                <c:pt idx="5">
                  <c:v>0.37068965517241403</c:v>
                </c:pt>
                <c:pt idx="6">
                  <c:v>1.2931034482759007E-2</c:v>
                </c:pt>
                <c:pt idx="7">
                  <c:v>0.25</c:v>
                </c:pt>
                <c:pt idx="8">
                  <c:v>7.7586206896552046E-2</c:v>
                </c:pt>
                <c:pt idx="9">
                  <c:v>0.15086206896551702</c:v>
                </c:pt>
                <c:pt idx="10">
                  <c:v>3.4482758620689946E-2</c:v>
                </c:pt>
                <c:pt idx="11">
                  <c:v>3.0172413793102981E-2</c:v>
                </c:pt>
                <c:pt idx="12">
                  <c:v>0.49568965517241403</c:v>
                </c:pt>
                <c:pt idx="13">
                  <c:v>0.47844827586206895</c:v>
                </c:pt>
                <c:pt idx="14">
                  <c:v>0.22413793103448298</c:v>
                </c:pt>
                <c:pt idx="15">
                  <c:v>0.28879310344827602</c:v>
                </c:pt>
                <c:pt idx="16">
                  <c:v>0.27586206896551702</c:v>
                </c:pt>
                <c:pt idx="17">
                  <c:v>3.0172413793102981E-2</c:v>
                </c:pt>
                <c:pt idx="18">
                  <c:v>0.43965517241379304</c:v>
                </c:pt>
                <c:pt idx="19">
                  <c:v>0.41810344827586199</c:v>
                </c:pt>
                <c:pt idx="20">
                  <c:v>0.72844827586206895</c:v>
                </c:pt>
                <c:pt idx="21">
                  <c:v>0.75431034482758597</c:v>
                </c:pt>
                <c:pt idx="22">
                  <c:v>0.59051724137931005</c:v>
                </c:pt>
                <c:pt idx="23">
                  <c:v>0.97413793103448276</c:v>
                </c:pt>
                <c:pt idx="24">
                  <c:v>0.94827586206896552</c:v>
                </c:pt>
                <c:pt idx="25">
                  <c:v>0.87931034482758597</c:v>
                </c:pt>
                <c:pt idx="26">
                  <c:v>0.72413793103448298</c:v>
                </c:pt>
                <c:pt idx="27">
                  <c:v>0.74568965517241392</c:v>
                </c:pt>
                <c:pt idx="28">
                  <c:v>0.70689655172413801</c:v>
                </c:pt>
                <c:pt idx="29">
                  <c:v>0.77586206896551702</c:v>
                </c:pt>
                <c:pt idx="30">
                  <c:v>0.79741379310344795</c:v>
                </c:pt>
                <c:pt idx="31">
                  <c:v>0.5</c:v>
                </c:pt>
                <c:pt idx="32">
                  <c:v>0.24137931034482796</c:v>
                </c:pt>
                <c:pt idx="33">
                  <c:v>8.1896551724138011E-2</c:v>
                </c:pt>
                <c:pt idx="34">
                  <c:v>0.13793103448275901</c:v>
                </c:pt>
                <c:pt idx="35">
                  <c:v>4.7413793103447954E-2</c:v>
                </c:pt>
                <c:pt idx="36">
                  <c:v>0.38362068965517204</c:v>
                </c:pt>
                <c:pt idx="37">
                  <c:v>0.37931034482758597</c:v>
                </c:pt>
                <c:pt idx="38">
                  <c:v>0.25431034482758597</c:v>
                </c:pt>
                <c:pt idx="39">
                  <c:v>0.13362068965517204</c:v>
                </c:pt>
                <c:pt idx="40">
                  <c:v>0.24137931034482796</c:v>
                </c:pt>
                <c:pt idx="41">
                  <c:v>0.45689655172413801</c:v>
                </c:pt>
                <c:pt idx="42">
                  <c:v>0.40948275862068995</c:v>
                </c:pt>
                <c:pt idx="43">
                  <c:v>0.48275862068965503</c:v>
                </c:pt>
                <c:pt idx="44">
                  <c:v>0.56465517241379293</c:v>
                </c:pt>
                <c:pt idx="45">
                  <c:v>0.57758620689655205</c:v>
                </c:pt>
                <c:pt idx="46">
                  <c:v>0.21120689655172398</c:v>
                </c:pt>
                <c:pt idx="47">
                  <c:v>0.46120689655172398</c:v>
                </c:pt>
                <c:pt idx="48">
                  <c:v>0.65086206896551702</c:v>
                </c:pt>
                <c:pt idx="49">
                  <c:v>0.55172413793103403</c:v>
                </c:pt>
                <c:pt idx="50">
                  <c:v>0.49137931034482796</c:v>
                </c:pt>
                <c:pt idx="51">
                  <c:v>0.85775862068965503</c:v>
                </c:pt>
                <c:pt idx="52">
                  <c:v>0.49137931034482796</c:v>
                </c:pt>
                <c:pt idx="53">
                  <c:v>0.50431034482758608</c:v>
                </c:pt>
                <c:pt idx="54">
                  <c:v>0.13362068965517204</c:v>
                </c:pt>
                <c:pt idx="55">
                  <c:v>0.21982758620689602</c:v>
                </c:pt>
                <c:pt idx="56">
                  <c:v>0.74568965517241392</c:v>
                </c:pt>
                <c:pt idx="57">
                  <c:v>0.82758620689655205</c:v>
                </c:pt>
                <c:pt idx="58">
                  <c:v>0.61637931034482807</c:v>
                </c:pt>
                <c:pt idx="59">
                  <c:v>0.49137931034482796</c:v>
                </c:pt>
                <c:pt idx="60">
                  <c:v>0.38793103448275901</c:v>
                </c:pt>
                <c:pt idx="61">
                  <c:v>0.96551724137931028</c:v>
                </c:pt>
                <c:pt idx="62">
                  <c:v>0.93534482758620685</c:v>
                </c:pt>
                <c:pt idx="63">
                  <c:v>0.78017241379310298</c:v>
                </c:pt>
                <c:pt idx="64">
                  <c:v>0.62931034482758608</c:v>
                </c:pt>
                <c:pt idx="65">
                  <c:v>0.68534482758620707</c:v>
                </c:pt>
                <c:pt idx="66">
                  <c:v>0.96120689655172409</c:v>
                </c:pt>
                <c:pt idx="67">
                  <c:v>0.22413793103448298</c:v>
                </c:pt>
                <c:pt idx="68">
                  <c:v>0.34051724137931005</c:v>
                </c:pt>
                <c:pt idx="69">
                  <c:v>0.66379310344827602</c:v>
                </c:pt>
                <c:pt idx="70">
                  <c:v>0.45258620689655205</c:v>
                </c:pt>
                <c:pt idx="71">
                  <c:v>0.29741379310344795</c:v>
                </c:pt>
                <c:pt idx="72">
                  <c:v>0.52586206896551702</c:v>
                </c:pt>
                <c:pt idx="73">
                  <c:v>0.70258620689655205</c:v>
                </c:pt>
                <c:pt idx="74">
                  <c:v>0.681034482758621</c:v>
                </c:pt>
                <c:pt idx="75">
                  <c:v>3.0172413793102981E-2</c:v>
                </c:pt>
                <c:pt idx="76">
                  <c:v>4.7413793103447954E-2</c:v>
                </c:pt>
                <c:pt idx="77">
                  <c:v>0.70258620689655205</c:v>
                </c:pt>
                <c:pt idx="78">
                  <c:v>0.48706896551724099</c:v>
                </c:pt>
                <c:pt idx="79">
                  <c:v>0.88793103448275901</c:v>
                </c:pt>
                <c:pt idx="80">
                  <c:v>0.96551724137931028</c:v>
                </c:pt>
                <c:pt idx="81">
                  <c:v>0.72844827586206895</c:v>
                </c:pt>
                <c:pt idx="82">
                  <c:v>0.58620689655172398</c:v>
                </c:pt>
                <c:pt idx="83">
                  <c:v>5.1724137931034031E-2</c:v>
                </c:pt>
                <c:pt idx="84">
                  <c:v>0.10775862068965503</c:v>
                </c:pt>
                <c:pt idx="85">
                  <c:v>0.18534482758620696</c:v>
                </c:pt>
                <c:pt idx="86">
                  <c:v>6.8965517241379004E-2</c:v>
                </c:pt>
                <c:pt idx="87">
                  <c:v>0.125</c:v>
                </c:pt>
                <c:pt idx="88">
                  <c:v>0.49568965517241403</c:v>
                </c:pt>
                <c:pt idx="89">
                  <c:v>0.11206896551724099</c:v>
                </c:pt>
                <c:pt idx="90">
                  <c:v>0.70689655172413801</c:v>
                </c:pt>
                <c:pt idx="91">
                  <c:v>0.96982758620689657</c:v>
                </c:pt>
                <c:pt idx="92">
                  <c:v>0.98706896551724144</c:v>
                </c:pt>
                <c:pt idx="93">
                  <c:v>0.5</c:v>
                </c:pt>
                <c:pt idx="94">
                  <c:v>0.568965517241379</c:v>
                </c:pt>
                <c:pt idx="95">
                  <c:v>0.48275862068965503</c:v>
                </c:pt>
                <c:pt idx="96">
                  <c:v>0.97844827586206895</c:v>
                </c:pt>
                <c:pt idx="97">
                  <c:v>0.74568965517241392</c:v>
                </c:pt>
                <c:pt idx="98">
                  <c:v>0.90517241379310343</c:v>
                </c:pt>
                <c:pt idx="99">
                  <c:v>0.87931034482758597</c:v>
                </c:pt>
                <c:pt idx="100">
                  <c:v>0.11206896551724099</c:v>
                </c:pt>
                <c:pt idx="101">
                  <c:v>0.70258620689655205</c:v>
                </c:pt>
                <c:pt idx="102">
                  <c:v>0.61206896551724099</c:v>
                </c:pt>
                <c:pt idx="103">
                  <c:v>8.6206896551723977E-2</c:v>
                </c:pt>
                <c:pt idx="104">
                  <c:v>6.4655172413793038E-2</c:v>
                </c:pt>
                <c:pt idx="105">
                  <c:v>0.125</c:v>
                </c:pt>
                <c:pt idx="106">
                  <c:v>3.4482758620689946E-2</c:v>
                </c:pt>
                <c:pt idx="107">
                  <c:v>0.14655172413793105</c:v>
                </c:pt>
                <c:pt idx="108">
                  <c:v>3.8793103448276023E-2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C-416B-B67F-FC897032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Interception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(Local)'!$A$311</c:f>
              <c:strCache>
                <c:ptCount val="1"/>
                <c:pt idx="0">
                  <c:v>Interception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(Local)'!$F$313:$F$406</c:f>
              <c:numCache>
                <c:formatCode>General</c:formatCode>
                <c:ptCount val="94"/>
                <c:pt idx="0">
                  <c:v>0.316137566137566</c:v>
                </c:pt>
                <c:pt idx="1">
                  <c:v>0.37698412698412698</c:v>
                </c:pt>
                <c:pt idx="2">
                  <c:v>0.456349206349206</c:v>
                </c:pt>
                <c:pt idx="3">
                  <c:v>0.615079365079365</c:v>
                </c:pt>
                <c:pt idx="4">
                  <c:v>0.73677248677248697</c:v>
                </c:pt>
                <c:pt idx="5">
                  <c:v>0.26058201058201103</c:v>
                </c:pt>
                <c:pt idx="6">
                  <c:v>0.41137566137566101</c:v>
                </c:pt>
                <c:pt idx="7">
                  <c:v>0.39285714285714302</c:v>
                </c:pt>
                <c:pt idx="8">
                  <c:v>0.72354497354497305</c:v>
                </c:pt>
                <c:pt idx="9">
                  <c:v>0.55687830687830697</c:v>
                </c:pt>
                <c:pt idx="10">
                  <c:v>0.342592592592593</c:v>
                </c:pt>
                <c:pt idx="11">
                  <c:v>0.26587301587301598</c:v>
                </c:pt>
                <c:pt idx="12">
                  <c:v>0.12830687830687801</c:v>
                </c:pt>
                <c:pt idx="13">
                  <c:v>0.30820105820105798</c:v>
                </c:pt>
                <c:pt idx="14">
                  <c:v>5.95238095238095E-2</c:v>
                </c:pt>
                <c:pt idx="15">
                  <c:v>0.363756613756614</c:v>
                </c:pt>
                <c:pt idx="16">
                  <c:v>0.39021164021164001</c:v>
                </c:pt>
                <c:pt idx="17">
                  <c:v>0.239417989417989</c:v>
                </c:pt>
                <c:pt idx="18">
                  <c:v>0.316137566137566</c:v>
                </c:pt>
                <c:pt idx="19">
                  <c:v>0.183862433862434</c:v>
                </c:pt>
                <c:pt idx="20">
                  <c:v>0.40608465608465599</c:v>
                </c:pt>
                <c:pt idx="21">
                  <c:v>0.41402116402116401</c:v>
                </c:pt>
                <c:pt idx="22">
                  <c:v>0.239417989417989</c:v>
                </c:pt>
                <c:pt idx="23">
                  <c:v>0.62566137566137603</c:v>
                </c:pt>
                <c:pt idx="24">
                  <c:v>0.236772486772487</c:v>
                </c:pt>
                <c:pt idx="25">
                  <c:v>0.44576719576719598</c:v>
                </c:pt>
                <c:pt idx="26">
                  <c:v>2.51322751322751E-2</c:v>
                </c:pt>
                <c:pt idx="27">
                  <c:v>0.30820105820105798</c:v>
                </c:pt>
                <c:pt idx="28">
                  <c:v>0.41666666666666702</c:v>
                </c:pt>
                <c:pt idx="29">
                  <c:v>0.215608465608466</c:v>
                </c:pt>
                <c:pt idx="30">
                  <c:v>0.236772486772487</c:v>
                </c:pt>
                <c:pt idx="31">
                  <c:v>0.67328042328042303</c:v>
                </c:pt>
                <c:pt idx="32">
                  <c:v>0.44047619047619002</c:v>
                </c:pt>
                <c:pt idx="33">
                  <c:v>0.35582010582010598</c:v>
                </c:pt>
                <c:pt idx="34">
                  <c:v>0.35317460317460297</c:v>
                </c:pt>
                <c:pt idx="35">
                  <c:v>0.125661375661376</c:v>
                </c:pt>
                <c:pt idx="36">
                  <c:v>4.6296296296296301E-2</c:v>
                </c:pt>
                <c:pt idx="37">
                  <c:v>0.498677248677249</c:v>
                </c:pt>
                <c:pt idx="38">
                  <c:v>0.54100529100529104</c:v>
                </c:pt>
                <c:pt idx="39">
                  <c:v>0.34523809523809501</c:v>
                </c:pt>
                <c:pt idx="40">
                  <c:v>0.183862433862434</c:v>
                </c:pt>
                <c:pt idx="41">
                  <c:v>9.6560846560846597E-2</c:v>
                </c:pt>
                <c:pt idx="42">
                  <c:v>0.12830687830687801</c:v>
                </c:pt>
                <c:pt idx="43">
                  <c:v>0.67592592592592604</c:v>
                </c:pt>
                <c:pt idx="44">
                  <c:v>0.87169312169312196</c:v>
                </c:pt>
                <c:pt idx="45">
                  <c:v>0.57010582010582</c:v>
                </c:pt>
                <c:pt idx="46">
                  <c:v>0.55952380952380998</c:v>
                </c:pt>
                <c:pt idx="47">
                  <c:v>0.54365079365079405</c:v>
                </c:pt>
                <c:pt idx="48">
                  <c:v>0.32671957671957702</c:v>
                </c:pt>
                <c:pt idx="49">
                  <c:v>0.25</c:v>
                </c:pt>
                <c:pt idx="50">
                  <c:v>0.408730158730159</c:v>
                </c:pt>
                <c:pt idx="51">
                  <c:v>0.40608465608465599</c:v>
                </c:pt>
                <c:pt idx="52">
                  <c:v>0.55687830687830697</c:v>
                </c:pt>
                <c:pt idx="53">
                  <c:v>0.23412698412698399</c:v>
                </c:pt>
                <c:pt idx="54">
                  <c:v>0.17592592592592601</c:v>
                </c:pt>
                <c:pt idx="55">
                  <c:v>0.136243386243386</c:v>
                </c:pt>
                <c:pt idx="56">
                  <c:v>0.46957671957671998</c:v>
                </c:pt>
                <c:pt idx="57">
                  <c:v>0.69179894179894197</c:v>
                </c:pt>
                <c:pt idx="58">
                  <c:v>0.76587301587301604</c:v>
                </c:pt>
                <c:pt idx="59">
                  <c:v>0.183862433862434</c:v>
                </c:pt>
                <c:pt idx="60">
                  <c:v>0.19973544973544999</c:v>
                </c:pt>
                <c:pt idx="61">
                  <c:v>0.28968253968253999</c:v>
                </c:pt>
                <c:pt idx="62">
                  <c:v>0.80820105820105803</c:v>
                </c:pt>
                <c:pt idx="63">
                  <c:v>0.83994708994709</c:v>
                </c:pt>
                <c:pt idx="64">
                  <c:v>0.42195767195767198</c:v>
                </c:pt>
                <c:pt idx="65">
                  <c:v>0.54629629629629595</c:v>
                </c:pt>
                <c:pt idx="66">
                  <c:v>0.59126984126984095</c:v>
                </c:pt>
                <c:pt idx="67">
                  <c:v>0.59391534391534395</c:v>
                </c:pt>
                <c:pt idx="68">
                  <c:v>0.35317460317460297</c:v>
                </c:pt>
                <c:pt idx="69">
                  <c:v>0.53835978835978804</c:v>
                </c:pt>
                <c:pt idx="70">
                  <c:v>0.35317460317460297</c:v>
                </c:pt>
                <c:pt idx="71">
                  <c:v>0.112433862433862</c:v>
                </c:pt>
                <c:pt idx="72">
                  <c:v>0.67592592592592604</c:v>
                </c:pt>
                <c:pt idx="73">
                  <c:v>0.32407407407407401</c:v>
                </c:pt>
                <c:pt idx="74">
                  <c:v>0.18650793650793601</c:v>
                </c:pt>
                <c:pt idx="75">
                  <c:v>0.64417989417989396</c:v>
                </c:pt>
                <c:pt idx="76">
                  <c:v>0.14417989417989399</c:v>
                </c:pt>
                <c:pt idx="77">
                  <c:v>0.87962962962962998</c:v>
                </c:pt>
                <c:pt idx="78">
                  <c:v>0.55158730158730196</c:v>
                </c:pt>
                <c:pt idx="79">
                  <c:v>0.41402116402116401</c:v>
                </c:pt>
                <c:pt idx="80">
                  <c:v>0.170634920634921</c:v>
                </c:pt>
                <c:pt idx="81">
                  <c:v>0.83201058201058198</c:v>
                </c:pt>
                <c:pt idx="82">
                  <c:v>0.60714285714285698</c:v>
                </c:pt>
                <c:pt idx="83">
                  <c:v>0.702380952380952</c:v>
                </c:pt>
                <c:pt idx="84">
                  <c:v>0.59656084656084696</c:v>
                </c:pt>
                <c:pt idx="85">
                  <c:v>0.342592592592593</c:v>
                </c:pt>
                <c:pt idx="86">
                  <c:v>0.42195767195767198</c:v>
                </c:pt>
                <c:pt idx="87">
                  <c:v>0.18650793650793601</c:v>
                </c:pt>
                <c:pt idx="88">
                  <c:v>0.456349206349206</c:v>
                </c:pt>
                <c:pt idx="89">
                  <c:v>0.61772486772486801</c:v>
                </c:pt>
                <c:pt idx="90">
                  <c:v>9.6560846560846597E-2</c:v>
                </c:pt>
                <c:pt idx="91">
                  <c:v>0.40343915343915299</c:v>
                </c:pt>
                <c:pt idx="92">
                  <c:v>0.34523809523809501</c:v>
                </c:pt>
                <c:pt idx="93">
                  <c:v>0.54365079365079405</c:v>
                </c:pt>
              </c:numCache>
            </c:numRef>
          </c:xVal>
          <c:yVal>
            <c:numRef>
              <c:f>'stm (Local)'!$G$313:$G$406</c:f>
              <c:numCache>
                <c:formatCode>General</c:formatCode>
                <c:ptCount val="94"/>
                <c:pt idx="0">
                  <c:v>0.28925619834710703</c:v>
                </c:pt>
                <c:pt idx="1">
                  <c:v>0.12396694214876003</c:v>
                </c:pt>
                <c:pt idx="2">
                  <c:v>0.38016528925619797</c:v>
                </c:pt>
                <c:pt idx="3">
                  <c:v>0.30165289256198302</c:v>
                </c:pt>
                <c:pt idx="4">
                  <c:v>0.46694214876033102</c:v>
                </c:pt>
                <c:pt idx="5">
                  <c:v>0.21900826446280997</c:v>
                </c:pt>
                <c:pt idx="6">
                  <c:v>0.39669421487603296</c:v>
                </c:pt>
                <c:pt idx="7">
                  <c:v>0.64049586776859502</c:v>
                </c:pt>
                <c:pt idx="8">
                  <c:v>0.93801652892561982</c:v>
                </c:pt>
                <c:pt idx="9">
                  <c:v>0.70247933884297498</c:v>
                </c:pt>
                <c:pt idx="10">
                  <c:v>0.76446280991735494</c:v>
                </c:pt>
                <c:pt idx="11">
                  <c:v>8.2644628099173945E-2</c:v>
                </c:pt>
                <c:pt idx="12">
                  <c:v>0.14049586776859502</c:v>
                </c:pt>
                <c:pt idx="13">
                  <c:v>0.42975206611570205</c:v>
                </c:pt>
                <c:pt idx="14">
                  <c:v>0.54545454545454497</c:v>
                </c:pt>
                <c:pt idx="15">
                  <c:v>0.47520661157024802</c:v>
                </c:pt>
                <c:pt idx="16">
                  <c:v>0.70661157024793397</c:v>
                </c:pt>
                <c:pt idx="17">
                  <c:v>0.20247933884297498</c:v>
                </c:pt>
                <c:pt idx="18">
                  <c:v>0.42975206611570205</c:v>
                </c:pt>
                <c:pt idx="19">
                  <c:v>0.70661157024793397</c:v>
                </c:pt>
                <c:pt idx="20">
                  <c:v>0.77272727272727304</c:v>
                </c:pt>
                <c:pt idx="21">
                  <c:v>0.665289256198347</c:v>
                </c:pt>
                <c:pt idx="22">
                  <c:v>0.29338842975206603</c:v>
                </c:pt>
                <c:pt idx="23">
                  <c:v>0.95041322314049592</c:v>
                </c:pt>
                <c:pt idx="24">
                  <c:v>0.92975206611570249</c:v>
                </c:pt>
                <c:pt idx="25">
                  <c:v>3.3057851239668978E-2</c:v>
                </c:pt>
                <c:pt idx="26">
                  <c:v>0.76446280991735494</c:v>
                </c:pt>
                <c:pt idx="27">
                  <c:v>0.63223140495867802</c:v>
                </c:pt>
                <c:pt idx="28">
                  <c:v>0.73553719008264506</c:v>
                </c:pt>
                <c:pt idx="29">
                  <c:v>0.23140495867768596</c:v>
                </c:pt>
                <c:pt idx="30">
                  <c:v>9.5041322314050047E-2</c:v>
                </c:pt>
                <c:pt idx="31">
                  <c:v>0.28925619834710703</c:v>
                </c:pt>
                <c:pt idx="32">
                  <c:v>0.9049586776859504</c:v>
                </c:pt>
                <c:pt idx="33">
                  <c:v>0.89669421487603296</c:v>
                </c:pt>
                <c:pt idx="34">
                  <c:v>0.76859504132231393</c:v>
                </c:pt>
                <c:pt idx="35">
                  <c:v>0.14876033057851201</c:v>
                </c:pt>
                <c:pt idx="36">
                  <c:v>0.21487603305785097</c:v>
                </c:pt>
                <c:pt idx="37">
                  <c:v>0.84297520661156999</c:v>
                </c:pt>
                <c:pt idx="38">
                  <c:v>0.834710743801653</c:v>
                </c:pt>
                <c:pt idx="39">
                  <c:v>0.12809917355371903</c:v>
                </c:pt>
                <c:pt idx="40">
                  <c:v>0.90082644628099173</c:v>
                </c:pt>
                <c:pt idx="41">
                  <c:v>0.92561983471074383</c:v>
                </c:pt>
                <c:pt idx="42">
                  <c:v>0.86363636363636398</c:v>
                </c:pt>
                <c:pt idx="43">
                  <c:v>7.4380165289255951E-2</c:v>
                </c:pt>
                <c:pt idx="44">
                  <c:v>0.661157024793388</c:v>
                </c:pt>
                <c:pt idx="45">
                  <c:v>0.39256198347107396</c:v>
                </c:pt>
                <c:pt idx="46">
                  <c:v>0.85950413223140498</c:v>
                </c:pt>
                <c:pt idx="47">
                  <c:v>0.90082644628099173</c:v>
                </c:pt>
                <c:pt idx="48">
                  <c:v>0.95867768595041325</c:v>
                </c:pt>
                <c:pt idx="49">
                  <c:v>0.97107438016528935</c:v>
                </c:pt>
                <c:pt idx="50">
                  <c:v>0.79752066115702502</c:v>
                </c:pt>
                <c:pt idx="51">
                  <c:v>0.78099173553719003</c:v>
                </c:pt>
                <c:pt idx="52">
                  <c:v>0.97933884297520657</c:v>
                </c:pt>
                <c:pt idx="53">
                  <c:v>0.98347107438016534</c:v>
                </c:pt>
                <c:pt idx="54">
                  <c:v>0.95454545454545447</c:v>
                </c:pt>
                <c:pt idx="55">
                  <c:v>0.97107438016528935</c:v>
                </c:pt>
                <c:pt idx="56">
                  <c:v>0.82231404958677701</c:v>
                </c:pt>
                <c:pt idx="57">
                  <c:v>0.89256198347107396</c:v>
                </c:pt>
                <c:pt idx="58">
                  <c:v>0.62809917355371903</c:v>
                </c:pt>
                <c:pt idx="59">
                  <c:v>5.7851239669420962E-2</c:v>
                </c:pt>
                <c:pt idx="60">
                  <c:v>0.23553719008264495</c:v>
                </c:pt>
                <c:pt idx="61">
                  <c:v>0.96280991735537191</c:v>
                </c:pt>
                <c:pt idx="62">
                  <c:v>0.495867768595041</c:v>
                </c:pt>
                <c:pt idx="63">
                  <c:v>9.9173553719008045E-2</c:v>
                </c:pt>
                <c:pt idx="64">
                  <c:v>0.69834710743801698</c:v>
                </c:pt>
                <c:pt idx="65">
                  <c:v>0.64876033057851201</c:v>
                </c:pt>
                <c:pt idx="66">
                  <c:v>0.58677685950413205</c:v>
                </c:pt>
                <c:pt idx="67">
                  <c:v>0.56611570247933907</c:v>
                </c:pt>
                <c:pt idx="68">
                  <c:v>0.13223140495867802</c:v>
                </c:pt>
                <c:pt idx="69">
                  <c:v>0.81404958677686001</c:v>
                </c:pt>
                <c:pt idx="70">
                  <c:v>0.85123966942148799</c:v>
                </c:pt>
                <c:pt idx="71">
                  <c:v>0.64876033057851201</c:v>
                </c:pt>
                <c:pt idx="72">
                  <c:v>0.5</c:v>
                </c:pt>
                <c:pt idx="73">
                  <c:v>0.74793388429752095</c:v>
                </c:pt>
                <c:pt idx="74">
                  <c:v>0.85950413223140498</c:v>
                </c:pt>
                <c:pt idx="75">
                  <c:v>0.73966942148760295</c:v>
                </c:pt>
                <c:pt idx="76">
                  <c:v>0.38429752066115697</c:v>
                </c:pt>
                <c:pt idx="77">
                  <c:v>0.95867768595041325</c:v>
                </c:pt>
                <c:pt idx="78">
                  <c:v>0.669421487603306</c:v>
                </c:pt>
                <c:pt idx="79">
                  <c:v>0.9049586776859504</c:v>
                </c:pt>
                <c:pt idx="80">
                  <c:v>0.64876033057851201</c:v>
                </c:pt>
                <c:pt idx="81">
                  <c:v>0.89669421487603296</c:v>
                </c:pt>
                <c:pt idx="82">
                  <c:v>0.27685950413223104</c:v>
                </c:pt>
                <c:pt idx="83">
                  <c:v>0.26446280991735505</c:v>
                </c:pt>
                <c:pt idx="84">
                  <c:v>0.35537190082644599</c:v>
                </c:pt>
                <c:pt idx="85">
                  <c:v>0.54132231404958697</c:v>
                </c:pt>
                <c:pt idx="86">
                  <c:v>0.97107438016528935</c:v>
                </c:pt>
                <c:pt idx="87">
                  <c:v>0.88429752066115697</c:v>
                </c:pt>
                <c:pt idx="88">
                  <c:v>0.54958677685950397</c:v>
                </c:pt>
                <c:pt idx="89">
                  <c:v>0.42561983471074405</c:v>
                </c:pt>
                <c:pt idx="90">
                  <c:v>0.67768595041322299</c:v>
                </c:pt>
                <c:pt idx="91">
                  <c:v>0.91735537190082639</c:v>
                </c:pt>
                <c:pt idx="92">
                  <c:v>0.74380165289256195</c:v>
                </c:pt>
                <c:pt idx="93">
                  <c:v>0.96280991735537191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2-4616-B5B0-F72D146E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(Local)'!$A$408</c:f>
              <c:strCache>
                <c:ptCount val="1"/>
                <c:pt idx="0">
                  <c:v>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(Local)'!$G$410:$G$508</c:f>
              <c:numCache>
                <c:formatCode>General</c:formatCode>
                <c:ptCount val="99"/>
                <c:pt idx="0">
                  <c:v>0.14226519337016599</c:v>
                </c:pt>
                <c:pt idx="1">
                  <c:v>0.64226519337016597</c:v>
                </c:pt>
                <c:pt idx="2">
                  <c:v>0.59254143646408797</c:v>
                </c:pt>
                <c:pt idx="3">
                  <c:v>0.88812154696132595</c:v>
                </c:pt>
                <c:pt idx="4">
                  <c:v>0.68646408839779005</c:v>
                </c:pt>
                <c:pt idx="5">
                  <c:v>0.34392265193370197</c:v>
                </c:pt>
                <c:pt idx="6">
                  <c:v>0.399171270718232</c:v>
                </c:pt>
                <c:pt idx="7">
                  <c:v>0.125690607734807</c:v>
                </c:pt>
                <c:pt idx="8">
                  <c:v>0.16436464088397801</c:v>
                </c:pt>
                <c:pt idx="9">
                  <c:v>0.19475138121547</c:v>
                </c:pt>
                <c:pt idx="10">
                  <c:v>0.41574585635359101</c:v>
                </c:pt>
                <c:pt idx="11">
                  <c:v>0.45994475138121499</c:v>
                </c:pt>
                <c:pt idx="12">
                  <c:v>0.33563535911602199</c:v>
                </c:pt>
                <c:pt idx="13">
                  <c:v>0.109116022099448</c:v>
                </c:pt>
                <c:pt idx="14">
                  <c:v>0.388121546961326</c:v>
                </c:pt>
                <c:pt idx="15">
                  <c:v>0.37983425414364602</c:v>
                </c:pt>
                <c:pt idx="16">
                  <c:v>0.27762430939226501</c:v>
                </c:pt>
                <c:pt idx="17">
                  <c:v>8.7016574585635401E-2</c:v>
                </c:pt>
                <c:pt idx="18">
                  <c:v>0.32734806629834301</c:v>
                </c:pt>
                <c:pt idx="19">
                  <c:v>0.22237569060773499</c:v>
                </c:pt>
                <c:pt idx="20">
                  <c:v>0.48204419889502798</c:v>
                </c:pt>
                <c:pt idx="21">
                  <c:v>0.67265193370165699</c:v>
                </c:pt>
                <c:pt idx="22">
                  <c:v>0.38535911602209899</c:v>
                </c:pt>
                <c:pt idx="23">
                  <c:v>0.22237569060773499</c:v>
                </c:pt>
                <c:pt idx="24">
                  <c:v>0.109116022099448</c:v>
                </c:pt>
                <c:pt idx="25">
                  <c:v>0.74447513812154698</c:v>
                </c:pt>
                <c:pt idx="26">
                  <c:v>0.205801104972376</c:v>
                </c:pt>
                <c:pt idx="27">
                  <c:v>3.7292817679557999E-2</c:v>
                </c:pt>
                <c:pt idx="28">
                  <c:v>0.41850828729281803</c:v>
                </c:pt>
                <c:pt idx="29">
                  <c:v>0.31629834254143602</c:v>
                </c:pt>
                <c:pt idx="30">
                  <c:v>0.200276243093923</c:v>
                </c:pt>
                <c:pt idx="31">
                  <c:v>0.225138121546961</c:v>
                </c:pt>
                <c:pt idx="32">
                  <c:v>0.64779005524861899</c:v>
                </c:pt>
                <c:pt idx="33">
                  <c:v>0.24723756906077299</c:v>
                </c:pt>
                <c:pt idx="34">
                  <c:v>5.6629834254143599E-2</c:v>
                </c:pt>
                <c:pt idx="35">
                  <c:v>3.7292817679557999E-2</c:v>
                </c:pt>
                <c:pt idx="36">
                  <c:v>0.363259668508287</c:v>
                </c:pt>
                <c:pt idx="37">
                  <c:v>4.8342541436464097E-2</c:v>
                </c:pt>
                <c:pt idx="38">
                  <c:v>0.31077348066298299</c:v>
                </c:pt>
                <c:pt idx="39">
                  <c:v>0.60635359116022103</c:v>
                </c:pt>
                <c:pt idx="40">
                  <c:v>0.175414364640884</c:v>
                </c:pt>
                <c:pt idx="41">
                  <c:v>0.114640883977901</c:v>
                </c:pt>
                <c:pt idx="42">
                  <c:v>3.7292817679557999E-2</c:v>
                </c:pt>
                <c:pt idx="43">
                  <c:v>4.5580110497237598E-2</c:v>
                </c:pt>
                <c:pt idx="44">
                  <c:v>0.70580110497237603</c:v>
                </c:pt>
                <c:pt idx="45">
                  <c:v>0.73342541436464104</c:v>
                </c:pt>
                <c:pt idx="46">
                  <c:v>0.45994475138121499</c:v>
                </c:pt>
                <c:pt idx="47">
                  <c:v>4.0055248618784497E-2</c:v>
                </c:pt>
                <c:pt idx="48">
                  <c:v>0.16436464088397801</c:v>
                </c:pt>
                <c:pt idx="49">
                  <c:v>0.29143646408839802</c:v>
                </c:pt>
                <c:pt idx="50">
                  <c:v>0.74447513812154698</c:v>
                </c:pt>
                <c:pt idx="51">
                  <c:v>0.156077348066298</c:v>
                </c:pt>
                <c:pt idx="52">
                  <c:v>0.18922651933701701</c:v>
                </c:pt>
                <c:pt idx="53">
                  <c:v>0.59254143646408797</c:v>
                </c:pt>
                <c:pt idx="54">
                  <c:v>0.44337016574585603</c:v>
                </c:pt>
                <c:pt idx="55">
                  <c:v>0.63950276243093895</c:v>
                </c:pt>
                <c:pt idx="56">
                  <c:v>0.57872928176795602</c:v>
                </c:pt>
                <c:pt idx="57">
                  <c:v>0.27209944751381199</c:v>
                </c:pt>
                <c:pt idx="58">
                  <c:v>0.219613259668508</c:v>
                </c:pt>
                <c:pt idx="59">
                  <c:v>0.111878453038674</c:v>
                </c:pt>
                <c:pt idx="60">
                  <c:v>0.72790055248618801</c:v>
                </c:pt>
                <c:pt idx="61">
                  <c:v>0.25276243093922701</c:v>
                </c:pt>
                <c:pt idx="62">
                  <c:v>7.0441988950276202E-2</c:v>
                </c:pt>
                <c:pt idx="63">
                  <c:v>0.39088397790055202</c:v>
                </c:pt>
                <c:pt idx="64">
                  <c:v>0.18922651933701701</c:v>
                </c:pt>
                <c:pt idx="65">
                  <c:v>0.21132596685082899</c:v>
                </c:pt>
                <c:pt idx="66">
                  <c:v>0.23895027624309401</c:v>
                </c:pt>
                <c:pt idx="67">
                  <c:v>0.27209944751381199</c:v>
                </c:pt>
                <c:pt idx="68">
                  <c:v>0.31906077348066297</c:v>
                </c:pt>
                <c:pt idx="69">
                  <c:v>0.82182320441988999</c:v>
                </c:pt>
                <c:pt idx="70">
                  <c:v>0.57872928176795602</c:v>
                </c:pt>
                <c:pt idx="71">
                  <c:v>0.61187845303867405</c:v>
                </c:pt>
                <c:pt idx="72">
                  <c:v>0.625690607734807</c:v>
                </c:pt>
                <c:pt idx="73">
                  <c:v>0.57320441988950299</c:v>
                </c:pt>
                <c:pt idx="74">
                  <c:v>0.58149171270718203</c:v>
                </c:pt>
                <c:pt idx="75">
                  <c:v>0.21685082872928199</c:v>
                </c:pt>
                <c:pt idx="76">
                  <c:v>0.41574585635359101</c:v>
                </c:pt>
                <c:pt idx="77">
                  <c:v>0.363259668508287</c:v>
                </c:pt>
                <c:pt idx="78">
                  <c:v>0.43232044198894998</c:v>
                </c:pt>
                <c:pt idx="79">
                  <c:v>0.49585635359115998</c:v>
                </c:pt>
                <c:pt idx="80">
                  <c:v>0.50414364640884002</c:v>
                </c:pt>
                <c:pt idx="81">
                  <c:v>0.67265193370165699</c:v>
                </c:pt>
                <c:pt idx="82">
                  <c:v>0.85497237569060802</c:v>
                </c:pt>
                <c:pt idx="83">
                  <c:v>0.41574585635359101</c:v>
                </c:pt>
                <c:pt idx="84">
                  <c:v>7.8729281767955794E-2</c:v>
                </c:pt>
                <c:pt idx="85">
                  <c:v>5.1104972375690602E-2</c:v>
                </c:pt>
                <c:pt idx="86">
                  <c:v>0.85220994475138101</c:v>
                </c:pt>
                <c:pt idx="87">
                  <c:v>0.70580110497237603</c:v>
                </c:pt>
                <c:pt idx="88">
                  <c:v>0.66712707182320397</c:v>
                </c:pt>
                <c:pt idx="89">
                  <c:v>0.274861878453039</c:v>
                </c:pt>
                <c:pt idx="90">
                  <c:v>8.7016574585635401E-2</c:v>
                </c:pt>
                <c:pt idx="91">
                  <c:v>0.80524861878453002</c:v>
                </c:pt>
                <c:pt idx="92">
                  <c:v>0.16988950276243101</c:v>
                </c:pt>
                <c:pt idx="93">
                  <c:v>0.374309392265193</c:v>
                </c:pt>
                <c:pt idx="94">
                  <c:v>3.4530386740331501E-2</c:v>
                </c:pt>
                <c:pt idx="95">
                  <c:v>0.12845303867403299</c:v>
                </c:pt>
                <c:pt idx="96">
                  <c:v>0.54281767955801097</c:v>
                </c:pt>
                <c:pt idx="97">
                  <c:v>0.37707182320442001</c:v>
                </c:pt>
                <c:pt idx="98">
                  <c:v>0.58977900552486195</c:v>
                </c:pt>
              </c:numCache>
            </c:numRef>
          </c:xVal>
          <c:yVal>
            <c:numRef>
              <c:f>'stm (Local)'!$H$410:$H$508</c:f>
              <c:numCache>
                <c:formatCode>General</c:formatCode>
                <c:ptCount val="99"/>
                <c:pt idx="0">
                  <c:v>0.48275862068965503</c:v>
                </c:pt>
                <c:pt idx="1">
                  <c:v>0.24137931034482796</c:v>
                </c:pt>
                <c:pt idx="2">
                  <c:v>4.3103448275861989E-2</c:v>
                </c:pt>
                <c:pt idx="3">
                  <c:v>0.37931034482758597</c:v>
                </c:pt>
                <c:pt idx="4">
                  <c:v>0.59051724137931005</c:v>
                </c:pt>
                <c:pt idx="5">
                  <c:v>0.57327586206896597</c:v>
                </c:pt>
                <c:pt idx="6">
                  <c:v>0.12931034482758597</c:v>
                </c:pt>
                <c:pt idx="7">
                  <c:v>0.13793103448275901</c:v>
                </c:pt>
                <c:pt idx="8">
                  <c:v>8.1896551724138011E-2</c:v>
                </c:pt>
                <c:pt idx="9">
                  <c:v>0.13362068965517204</c:v>
                </c:pt>
                <c:pt idx="10">
                  <c:v>0.29741379310344795</c:v>
                </c:pt>
                <c:pt idx="11">
                  <c:v>0.49137931034482796</c:v>
                </c:pt>
                <c:pt idx="12">
                  <c:v>0.193965517241379</c:v>
                </c:pt>
                <c:pt idx="13">
                  <c:v>0.10775862068965503</c:v>
                </c:pt>
                <c:pt idx="14">
                  <c:v>0.74137931034482807</c:v>
                </c:pt>
                <c:pt idx="15">
                  <c:v>0.88793103448275901</c:v>
                </c:pt>
                <c:pt idx="16">
                  <c:v>0.96982758620689657</c:v>
                </c:pt>
                <c:pt idx="17">
                  <c:v>0.80172413793103403</c:v>
                </c:pt>
                <c:pt idx="18">
                  <c:v>0.96982758620689657</c:v>
                </c:pt>
                <c:pt idx="19">
                  <c:v>0.97844827586206895</c:v>
                </c:pt>
                <c:pt idx="20">
                  <c:v>0.54741379310344795</c:v>
                </c:pt>
                <c:pt idx="21">
                  <c:v>0.71120689655172398</c:v>
                </c:pt>
                <c:pt idx="22">
                  <c:v>0.29310344827586199</c:v>
                </c:pt>
                <c:pt idx="23">
                  <c:v>0.30172413793103403</c:v>
                </c:pt>
                <c:pt idx="24">
                  <c:v>0.13362068965517204</c:v>
                </c:pt>
                <c:pt idx="25">
                  <c:v>5.6034482758620996E-2</c:v>
                </c:pt>
                <c:pt idx="26">
                  <c:v>0.93965517241379315</c:v>
                </c:pt>
                <c:pt idx="27">
                  <c:v>0.82327586206896497</c:v>
                </c:pt>
                <c:pt idx="28">
                  <c:v>0.73275862068965503</c:v>
                </c:pt>
                <c:pt idx="29">
                  <c:v>7.3275862068965969E-2</c:v>
                </c:pt>
                <c:pt idx="30">
                  <c:v>9.482758620689602E-2</c:v>
                </c:pt>
                <c:pt idx="31">
                  <c:v>0.193965517241379</c:v>
                </c:pt>
                <c:pt idx="32">
                  <c:v>0.31465517241379304</c:v>
                </c:pt>
                <c:pt idx="33">
                  <c:v>0.92672413793103448</c:v>
                </c:pt>
                <c:pt idx="34">
                  <c:v>0.81034482758620696</c:v>
                </c:pt>
                <c:pt idx="35">
                  <c:v>0.65517241379310298</c:v>
                </c:pt>
                <c:pt idx="36">
                  <c:v>0.5</c:v>
                </c:pt>
                <c:pt idx="37">
                  <c:v>0.85344827586206895</c:v>
                </c:pt>
                <c:pt idx="38">
                  <c:v>0.84482758620689702</c:v>
                </c:pt>
                <c:pt idx="39">
                  <c:v>0.17672413793103403</c:v>
                </c:pt>
                <c:pt idx="40">
                  <c:v>0.37931034482758597</c:v>
                </c:pt>
                <c:pt idx="41">
                  <c:v>0.14224137931034497</c:v>
                </c:pt>
                <c:pt idx="42">
                  <c:v>3.4482758620689946E-2</c:v>
                </c:pt>
                <c:pt idx="43">
                  <c:v>0.19827586206896597</c:v>
                </c:pt>
                <c:pt idx="44">
                  <c:v>0.22413793103448298</c:v>
                </c:pt>
                <c:pt idx="45">
                  <c:v>0.81034482758620696</c:v>
                </c:pt>
                <c:pt idx="46">
                  <c:v>0.84051724137931005</c:v>
                </c:pt>
                <c:pt idx="47">
                  <c:v>0.90948275862068972</c:v>
                </c:pt>
                <c:pt idx="48">
                  <c:v>0.61206896551724099</c:v>
                </c:pt>
                <c:pt idx="49">
                  <c:v>0.16379310344827602</c:v>
                </c:pt>
                <c:pt idx="50">
                  <c:v>3.4482758620689946E-2</c:v>
                </c:pt>
                <c:pt idx="51">
                  <c:v>0.83620689655172398</c:v>
                </c:pt>
                <c:pt idx="52">
                  <c:v>0.64655172413793105</c:v>
                </c:pt>
                <c:pt idx="53">
                  <c:v>0.81034482758620696</c:v>
                </c:pt>
                <c:pt idx="54">
                  <c:v>0.75</c:v>
                </c:pt>
                <c:pt idx="55">
                  <c:v>0.89224137931034497</c:v>
                </c:pt>
                <c:pt idx="56">
                  <c:v>0.9568965517241379</c:v>
                </c:pt>
                <c:pt idx="57">
                  <c:v>0.64655172413793105</c:v>
                </c:pt>
                <c:pt idx="58">
                  <c:v>0.94827586206896552</c:v>
                </c:pt>
                <c:pt idx="59">
                  <c:v>0.96551724137931028</c:v>
                </c:pt>
                <c:pt idx="60">
                  <c:v>0.85344827586206895</c:v>
                </c:pt>
                <c:pt idx="61">
                  <c:v>3.0172413793102981E-2</c:v>
                </c:pt>
                <c:pt idx="62">
                  <c:v>2.155172413793105E-2</c:v>
                </c:pt>
                <c:pt idx="63">
                  <c:v>0.12068965517241403</c:v>
                </c:pt>
                <c:pt idx="64">
                  <c:v>7.3275862068965969E-2</c:v>
                </c:pt>
                <c:pt idx="65">
                  <c:v>0.25431034482758597</c:v>
                </c:pt>
                <c:pt idx="66">
                  <c:v>0.96982758620689657</c:v>
                </c:pt>
                <c:pt idx="67">
                  <c:v>0.9568965517241379</c:v>
                </c:pt>
                <c:pt idx="68">
                  <c:v>0.96982758620689657</c:v>
                </c:pt>
                <c:pt idx="69">
                  <c:v>0.34913793103448298</c:v>
                </c:pt>
                <c:pt idx="70">
                  <c:v>0.69827586206896597</c:v>
                </c:pt>
                <c:pt idx="71">
                  <c:v>0.59051724137931005</c:v>
                </c:pt>
                <c:pt idx="72">
                  <c:v>0.82758620689655205</c:v>
                </c:pt>
                <c:pt idx="73">
                  <c:v>0.93965517241379315</c:v>
                </c:pt>
                <c:pt idx="74">
                  <c:v>0.82327586206896497</c:v>
                </c:pt>
                <c:pt idx="75">
                  <c:v>0.68534482758620707</c:v>
                </c:pt>
                <c:pt idx="76">
                  <c:v>0.88793103448275901</c:v>
                </c:pt>
                <c:pt idx="77">
                  <c:v>4.7413793103447954E-2</c:v>
                </c:pt>
                <c:pt idx="78">
                  <c:v>4.7413793103447954E-2</c:v>
                </c:pt>
                <c:pt idx="79">
                  <c:v>3.0172413793102981E-2</c:v>
                </c:pt>
                <c:pt idx="80">
                  <c:v>0.49568965517241403</c:v>
                </c:pt>
                <c:pt idx="81">
                  <c:v>0.193965517241379</c:v>
                </c:pt>
                <c:pt idx="82">
                  <c:v>0.92241379310344829</c:v>
                </c:pt>
                <c:pt idx="83">
                  <c:v>0.74137931034482807</c:v>
                </c:pt>
                <c:pt idx="84">
                  <c:v>0.90086206896551724</c:v>
                </c:pt>
                <c:pt idx="85">
                  <c:v>0.806034482758621</c:v>
                </c:pt>
                <c:pt idx="86">
                  <c:v>0.61637931034482807</c:v>
                </c:pt>
                <c:pt idx="87">
                  <c:v>0.25862068965517204</c:v>
                </c:pt>
                <c:pt idx="88">
                  <c:v>0.24137931034482796</c:v>
                </c:pt>
                <c:pt idx="89">
                  <c:v>0.806034482758621</c:v>
                </c:pt>
                <c:pt idx="90">
                  <c:v>0.54310344827586199</c:v>
                </c:pt>
                <c:pt idx="91">
                  <c:v>3.0172413793102981E-2</c:v>
                </c:pt>
                <c:pt idx="92">
                  <c:v>0.94396551724137934</c:v>
                </c:pt>
                <c:pt idx="93">
                  <c:v>7.7586206896552046E-2</c:v>
                </c:pt>
                <c:pt idx="94">
                  <c:v>0.875</c:v>
                </c:pt>
                <c:pt idx="95">
                  <c:v>0.78879310344827602</c:v>
                </c:pt>
                <c:pt idx="96">
                  <c:v>0.98706896551724144</c:v>
                </c:pt>
                <c:pt idx="97">
                  <c:v>0.93965517241379315</c:v>
                </c:pt>
                <c:pt idx="98">
                  <c:v>0.806034482758621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A-4DB5-BC0B-0EC04FC7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Aerial 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(Local)'!$A$510</c:f>
              <c:strCache>
                <c:ptCount val="1"/>
                <c:pt idx="0">
                  <c:v>Aerial 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(Local)'!$G$512:$G$536</c:f>
              <c:numCache>
                <c:formatCode>General</c:formatCode>
                <c:ptCount val="25"/>
                <c:pt idx="0">
                  <c:v>3.7292817679557999E-2</c:v>
                </c:pt>
                <c:pt idx="1">
                  <c:v>0.55386740331491702</c:v>
                </c:pt>
                <c:pt idx="2">
                  <c:v>0.46546961325966901</c:v>
                </c:pt>
                <c:pt idx="3">
                  <c:v>4.28176795580111E-2</c:v>
                </c:pt>
                <c:pt idx="4">
                  <c:v>0.56767955801104997</c:v>
                </c:pt>
                <c:pt idx="5">
                  <c:v>0.14502762430939201</c:v>
                </c:pt>
                <c:pt idx="6">
                  <c:v>0.46823204419889503</c:v>
                </c:pt>
                <c:pt idx="7">
                  <c:v>0.219613259668508</c:v>
                </c:pt>
                <c:pt idx="8">
                  <c:v>0.16436464088397801</c:v>
                </c:pt>
                <c:pt idx="9">
                  <c:v>0.62845303867403302</c:v>
                </c:pt>
                <c:pt idx="10">
                  <c:v>7.0441988950276202E-2</c:v>
                </c:pt>
                <c:pt idx="11">
                  <c:v>4.5580110497237598E-2</c:v>
                </c:pt>
                <c:pt idx="12">
                  <c:v>7.5966850828729296E-2</c:v>
                </c:pt>
                <c:pt idx="13">
                  <c:v>0.59254143646408797</c:v>
                </c:pt>
                <c:pt idx="14">
                  <c:v>0.551104972375691</c:v>
                </c:pt>
                <c:pt idx="15">
                  <c:v>4.28176795580111E-2</c:v>
                </c:pt>
                <c:pt idx="16">
                  <c:v>0.51519337016574596</c:v>
                </c:pt>
                <c:pt idx="17">
                  <c:v>0.65607734806629803</c:v>
                </c:pt>
                <c:pt idx="18">
                  <c:v>0.77209944751381199</c:v>
                </c:pt>
                <c:pt idx="19">
                  <c:v>0.600828729281768</c:v>
                </c:pt>
                <c:pt idx="20">
                  <c:v>0.28867403314917101</c:v>
                </c:pt>
                <c:pt idx="21">
                  <c:v>0.61464088397790095</c:v>
                </c:pt>
                <c:pt idx="22">
                  <c:v>0.41574585635359101</c:v>
                </c:pt>
                <c:pt idx="23">
                  <c:v>0.44613259668508298</c:v>
                </c:pt>
                <c:pt idx="24">
                  <c:v>0.55662983425414403</c:v>
                </c:pt>
              </c:numCache>
            </c:numRef>
          </c:xVal>
          <c:yVal>
            <c:numRef>
              <c:f>'stm (Local)'!$H$512:$H$536</c:f>
              <c:numCache>
                <c:formatCode>General</c:formatCode>
                <c:ptCount val="25"/>
                <c:pt idx="0">
                  <c:v>0.49568965517241403</c:v>
                </c:pt>
                <c:pt idx="1">
                  <c:v>0.79741379310344795</c:v>
                </c:pt>
                <c:pt idx="2">
                  <c:v>0.42241379310344795</c:v>
                </c:pt>
                <c:pt idx="3">
                  <c:v>0.625</c:v>
                </c:pt>
                <c:pt idx="4">
                  <c:v>0.72413793103448298</c:v>
                </c:pt>
                <c:pt idx="5">
                  <c:v>0.39655172413793105</c:v>
                </c:pt>
                <c:pt idx="6">
                  <c:v>0.556034482758621</c:v>
                </c:pt>
                <c:pt idx="7">
                  <c:v>0.67241379310344795</c:v>
                </c:pt>
                <c:pt idx="8">
                  <c:v>3.8793103448276023E-2</c:v>
                </c:pt>
                <c:pt idx="9">
                  <c:v>0.75862068965517193</c:v>
                </c:pt>
                <c:pt idx="10">
                  <c:v>0.39224137931034497</c:v>
                </c:pt>
                <c:pt idx="11">
                  <c:v>0.58189655172413801</c:v>
                </c:pt>
                <c:pt idx="12">
                  <c:v>0.35344827586206895</c:v>
                </c:pt>
                <c:pt idx="13">
                  <c:v>0.48706896551724099</c:v>
                </c:pt>
                <c:pt idx="14">
                  <c:v>0.79741379310344795</c:v>
                </c:pt>
                <c:pt idx="15">
                  <c:v>0.443965517241379</c:v>
                </c:pt>
                <c:pt idx="16">
                  <c:v>0.39655172413793105</c:v>
                </c:pt>
                <c:pt idx="17">
                  <c:v>7.3275862068965969E-2</c:v>
                </c:pt>
                <c:pt idx="18">
                  <c:v>0.57758620689655205</c:v>
                </c:pt>
                <c:pt idx="19">
                  <c:v>0.36637931034482796</c:v>
                </c:pt>
                <c:pt idx="20">
                  <c:v>0.193965517241379</c:v>
                </c:pt>
                <c:pt idx="21">
                  <c:v>0.21120689655172398</c:v>
                </c:pt>
                <c:pt idx="22">
                  <c:v>0.88362068965517204</c:v>
                </c:pt>
                <c:pt idx="23">
                  <c:v>0.71551724137931005</c:v>
                </c:pt>
                <c:pt idx="24">
                  <c:v>0.35775862068965503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8-4964-8395-49BB7121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Cross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(Local)'!$A$538</c:f>
              <c:strCache>
                <c:ptCount val="1"/>
                <c:pt idx="0">
                  <c:v>Cross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(Local)'!$G$540:$G$559</c:f>
              <c:numCache>
                <c:formatCode>General</c:formatCode>
                <c:ptCount val="20"/>
                <c:pt idx="0">
                  <c:v>0.88535911602209905</c:v>
                </c:pt>
                <c:pt idx="1">
                  <c:v>0.91850828729281797</c:v>
                </c:pt>
                <c:pt idx="2">
                  <c:v>0.76657458563535896</c:v>
                </c:pt>
                <c:pt idx="3">
                  <c:v>0.76381215469613295</c:v>
                </c:pt>
                <c:pt idx="4">
                  <c:v>0.99309392265193397</c:v>
                </c:pt>
                <c:pt idx="5">
                  <c:v>0.97099447513812198</c:v>
                </c:pt>
                <c:pt idx="6">
                  <c:v>0.98756906077348094</c:v>
                </c:pt>
                <c:pt idx="7">
                  <c:v>0.89640883977900498</c:v>
                </c:pt>
                <c:pt idx="8">
                  <c:v>0.88812154696132595</c:v>
                </c:pt>
                <c:pt idx="9">
                  <c:v>0.93784530386740295</c:v>
                </c:pt>
                <c:pt idx="10">
                  <c:v>0.99033149171270696</c:v>
                </c:pt>
                <c:pt idx="11">
                  <c:v>0.82734806629834201</c:v>
                </c:pt>
                <c:pt idx="12">
                  <c:v>0.91574585635359096</c:v>
                </c:pt>
                <c:pt idx="13">
                  <c:v>0.94060773480662996</c:v>
                </c:pt>
                <c:pt idx="14">
                  <c:v>0.99309392265193397</c:v>
                </c:pt>
                <c:pt idx="15">
                  <c:v>0.82182320441988999</c:v>
                </c:pt>
                <c:pt idx="16">
                  <c:v>0.91022099447513805</c:v>
                </c:pt>
                <c:pt idx="17">
                  <c:v>0.99309392265193397</c:v>
                </c:pt>
                <c:pt idx="18">
                  <c:v>0.97099447513812198</c:v>
                </c:pt>
                <c:pt idx="19">
                  <c:v>0.70580110497237603</c:v>
                </c:pt>
              </c:numCache>
            </c:numRef>
          </c:xVal>
          <c:yVal>
            <c:numRef>
              <c:f>'stm (Local)'!$H$540:$H$559</c:f>
              <c:numCache>
                <c:formatCode>General</c:formatCode>
                <c:ptCount val="20"/>
                <c:pt idx="0">
                  <c:v>0.125</c:v>
                </c:pt>
                <c:pt idx="1">
                  <c:v>0.81034482758620696</c:v>
                </c:pt>
                <c:pt idx="2">
                  <c:v>3.0172413793102981E-2</c:v>
                </c:pt>
                <c:pt idx="3">
                  <c:v>3.4482758620689946E-2</c:v>
                </c:pt>
                <c:pt idx="4">
                  <c:v>8.6206896551720424E-3</c:v>
                </c:pt>
                <c:pt idx="5">
                  <c:v>0.88793103448275901</c:v>
                </c:pt>
                <c:pt idx="6">
                  <c:v>0.99137931034482762</c:v>
                </c:pt>
                <c:pt idx="7">
                  <c:v>0.21120689655172398</c:v>
                </c:pt>
                <c:pt idx="8">
                  <c:v>0.93965517241379315</c:v>
                </c:pt>
                <c:pt idx="9">
                  <c:v>0.9181034482758621</c:v>
                </c:pt>
                <c:pt idx="10">
                  <c:v>0.99568965517241381</c:v>
                </c:pt>
                <c:pt idx="11">
                  <c:v>6.8965517241379004E-2</c:v>
                </c:pt>
                <c:pt idx="12">
                  <c:v>0.9568965517241379</c:v>
                </c:pt>
                <c:pt idx="13">
                  <c:v>6.4655172413793038E-2</c:v>
                </c:pt>
                <c:pt idx="14">
                  <c:v>2.155172413793105E-2</c:v>
                </c:pt>
                <c:pt idx="15">
                  <c:v>0.875</c:v>
                </c:pt>
                <c:pt idx="16">
                  <c:v>0.83620689655172398</c:v>
                </c:pt>
                <c:pt idx="17">
                  <c:v>1.2931034482759007E-2</c:v>
                </c:pt>
                <c:pt idx="18">
                  <c:v>0.73706896551724099</c:v>
                </c:pt>
                <c:pt idx="19">
                  <c:v>0.818965517241379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1-4ECE-B65A-5A68A9F8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Clearance/block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(Local)'!$A$561</c:f>
              <c:strCache>
                <c:ptCount val="1"/>
                <c:pt idx="0">
                  <c:v>Clearance/block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(Local)'!$F$563:$F$591</c:f>
              <c:numCache>
                <c:formatCode>General</c:formatCode>
                <c:ptCount val="29"/>
                <c:pt idx="0">
                  <c:v>0.26058201058201103</c:v>
                </c:pt>
                <c:pt idx="1">
                  <c:v>2.2486772486772499E-2</c:v>
                </c:pt>
                <c:pt idx="2">
                  <c:v>0.226190476190476</c:v>
                </c:pt>
                <c:pt idx="3">
                  <c:v>0.17328042328042301</c:v>
                </c:pt>
                <c:pt idx="4">
                  <c:v>0.24470899470899499</c:v>
                </c:pt>
                <c:pt idx="5">
                  <c:v>0.191798941798942</c:v>
                </c:pt>
                <c:pt idx="6">
                  <c:v>0.16005291005291</c:v>
                </c:pt>
                <c:pt idx="7">
                  <c:v>0.194444444444444</c:v>
                </c:pt>
                <c:pt idx="8">
                  <c:v>0.19973544973544999</c:v>
                </c:pt>
                <c:pt idx="9">
                  <c:v>0.41402116402116401</c:v>
                </c:pt>
                <c:pt idx="10">
                  <c:v>0.181216931216931</c:v>
                </c:pt>
                <c:pt idx="11">
                  <c:v>4.1005291005291003E-2</c:v>
                </c:pt>
                <c:pt idx="12">
                  <c:v>0.23412698412698399</c:v>
                </c:pt>
                <c:pt idx="13">
                  <c:v>4.1005291005291003E-2</c:v>
                </c:pt>
                <c:pt idx="14">
                  <c:v>4.36507936507936E-2</c:v>
                </c:pt>
                <c:pt idx="15">
                  <c:v>0.23148148148148101</c:v>
                </c:pt>
                <c:pt idx="16">
                  <c:v>3.3068783068783102E-2</c:v>
                </c:pt>
                <c:pt idx="17">
                  <c:v>0.170634920634921</c:v>
                </c:pt>
                <c:pt idx="18">
                  <c:v>0.194444444444444</c:v>
                </c:pt>
                <c:pt idx="19">
                  <c:v>5.6878306878306903E-2</c:v>
                </c:pt>
                <c:pt idx="20">
                  <c:v>0.25</c:v>
                </c:pt>
                <c:pt idx="21">
                  <c:v>9.1269841269841306E-2</c:v>
                </c:pt>
                <c:pt idx="22">
                  <c:v>0.157407407407407</c:v>
                </c:pt>
                <c:pt idx="23">
                  <c:v>0.25</c:v>
                </c:pt>
                <c:pt idx="24">
                  <c:v>8.8624338624338606E-2</c:v>
                </c:pt>
                <c:pt idx="25">
                  <c:v>4.36507936507936E-2</c:v>
                </c:pt>
                <c:pt idx="26">
                  <c:v>5.6878306878306903E-2</c:v>
                </c:pt>
                <c:pt idx="27">
                  <c:v>0.15476190476190499</c:v>
                </c:pt>
                <c:pt idx="28">
                  <c:v>6.7460317460317498E-2</c:v>
                </c:pt>
              </c:numCache>
            </c:numRef>
          </c:xVal>
          <c:yVal>
            <c:numRef>
              <c:f>'stm (Local)'!$G$563:$G$591</c:f>
              <c:numCache>
                <c:formatCode>General</c:formatCode>
                <c:ptCount val="29"/>
                <c:pt idx="0">
                  <c:v>0.77685950413223104</c:v>
                </c:pt>
                <c:pt idx="1">
                  <c:v>0.26859504132231404</c:v>
                </c:pt>
                <c:pt idx="2">
                  <c:v>0.30578512396694202</c:v>
                </c:pt>
                <c:pt idx="3">
                  <c:v>0.495867768595041</c:v>
                </c:pt>
                <c:pt idx="4">
                  <c:v>0.669421487603306</c:v>
                </c:pt>
                <c:pt idx="5">
                  <c:v>0.95867768595041325</c:v>
                </c:pt>
                <c:pt idx="6">
                  <c:v>0.57438016528925595</c:v>
                </c:pt>
                <c:pt idx="7">
                  <c:v>0.69421487603305798</c:v>
                </c:pt>
                <c:pt idx="8">
                  <c:v>8.6776859504132053E-2</c:v>
                </c:pt>
                <c:pt idx="9">
                  <c:v>0.47107438016528902</c:v>
                </c:pt>
                <c:pt idx="10">
                  <c:v>0.64876033057851201</c:v>
                </c:pt>
                <c:pt idx="11">
                  <c:v>0.62396694214875992</c:v>
                </c:pt>
                <c:pt idx="12">
                  <c:v>0.84297520661156999</c:v>
                </c:pt>
                <c:pt idx="13">
                  <c:v>0.53305785123966898</c:v>
                </c:pt>
                <c:pt idx="14">
                  <c:v>0.52479338842975198</c:v>
                </c:pt>
                <c:pt idx="15">
                  <c:v>0.69834710743801698</c:v>
                </c:pt>
                <c:pt idx="16">
                  <c:v>0.48760330578512401</c:v>
                </c:pt>
                <c:pt idx="17">
                  <c:v>0.64462809917355401</c:v>
                </c:pt>
                <c:pt idx="18">
                  <c:v>0.61983471074380203</c:v>
                </c:pt>
                <c:pt idx="19">
                  <c:v>0.64049586776859502</c:v>
                </c:pt>
                <c:pt idx="20">
                  <c:v>0.673553719008264</c:v>
                </c:pt>
                <c:pt idx="21">
                  <c:v>0.61983471074380203</c:v>
                </c:pt>
                <c:pt idx="22">
                  <c:v>0.58264462809917394</c:v>
                </c:pt>
                <c:pt idx="23">
                  <c:v>0.42561983471074405</c:v>
                </c:pt>
                <c:pt idx="24">
                  <c:v>0.69834710743801698</c:v>
                </c:pt>
                <c:pt idx="25">
                  <c:v>0.48760330578512401</c:v>
                </c:pt>
                <c:pt idx="26">
                  <c:v>0.661157024793388</c:v>
                </c:pt>
                <c:pt idx="27">
                  <c:v>0.69008264462809898</c:v>
                </c:pt>
                <c:pt idx="28">
                  <c:v>0.48347107438016501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1-4319-BBD7-11D4F5897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Goal attempt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(Local)'!$A$593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(Local)'!$G$595:$G$613</c:f>
              <c:numCache>
                <c:formatCode>General</c:formatCode>
                <c:ptCount val="19"/>
                <c:pt idx="0">
                  <c:v>0.899171270718232</c:v>
                </c:pt>
                <c:pt idx="1">
                  <c:v>0.90469613259668502</c:v>
                </c:pt>
                <c:pt idx="2">
                  <c:v>0.94337016574585597</c:v>
                </c:pt>
                <c:pt idx="3">
                  <c:v>0.81077348066298305</c:v>
                </c:pt>
                <c:pt idx="4">
                  <c:v>0.89640883977900498</c:v>
                </c:pt>
                <c:pt idx="5">
                  <c:v>0.95441988950276202</c:v>
                </c:pt>
                <c:pt idx="6">
                  <c:v>0.80801104972375704</c:v>
                </c:pt>
                <c:pt idx="7">
                  <c:v>0.93232044198895003</c:v>
                </c:pt>
                <c:pt idx="8">
                  <c:v>0.80248618784530401</c:v>
                </c:pt>
                <c:pt idx="9">
                  <c:v>0.76933701657458597</c:v>
                </c:pt>
                <c:pt idx="10">
                  <c:v>0.22</c:v>
                </c:pt>
                <c:pt idx="11">
                  <c:v>0.91574585635359096</c:v>
                </c:pt>
                <c:pt idx="12">
                  <c:v>0.84392265193370197</c:v>
                </c:pt>
                <c:pt idx="13">
                  <c:v>0.78591160220994505</c:v>
                </c:pt>
                <c:pt idx="14">
                  <c:v>0.79419889502762397</c:v>
                </c:pt>
                <c:pt idx="15">
                  <c:v>0.924033149171271</c:v>
                </c:pt>
                <c:pt idx="16">
                  <c:v>0.90745856353591203</c:v>
                </c:pt>
                <c:pt idx="17">
                  <c:v>0.90469613259668502</c:v>
                </c:pt>
                <c:pt idx="18">
                  <c:v>0.82734806629834201</c:v>
                </c:pt>
              </c:numCache>
            </c:numRef>
          </c:xVal>
          <c:yVal>
            <c:numRef>
              <c:f>'stm (Local)'!$H$595:$H$613</c:f>
              <c:numCache>
                <c:formatCode>General</c:formatCode>
                <c:ptCount val="19"/>
                <c:pt idx="0">
                  <c:v>0.30172413793103403</c:v>
                </c:pt>
                <c:pt idx="1">
                  <c:v>0.39224137931034497</c:v>
                </c:pt>
                <c:pt idx="2">
                  <c:v>0.70258620689655205</c:v>
                </c:pt>
                <c:pt idx="3">
                  <c:v>0.60344827586206895</c:v>
                </c:pt>
                <c:pt idx="4">
                  <c:v>0.64224137931034497</c:v>
                </c:pt>
                <c:pt idx="5">
                  <c:v>0.63793103448275901</c:v>
                </c:pt>
                <c:pt idx="6">
                  <c:v>0.61206896551724099</c:v>
                </c:pt>
                <c:pt idx="7">
                  <c:v>0.61206896551724099</c:v>
                </c:pt>
                <c:pt idx="8">
                  <c:v>0.59051724137931005</c:v>
                </c:pt>
                <c:pt idx="9">
                  <c:v>0.61637931034482807</c:v>
                </c:pt>
                <c:pt idx="10">
                  <c:v>0.53879310344827602</c:v>
                </c:pt>
                <c:pt idx="11">
                  <c:v>0.42672413793103403</c:v>
                </c:pt>
                <c:pt idx="12">
                  <c:v>0.63362068965517193</c:v>
                </c:pt>
                <c:pt idx="13">
                  <c:v>0.34051724137931005</c:v>
                </c:pt>
                <c:pt idx="14">
                  <c:v>0.45689655172413801</c:v>
                </c:pt>
                <c:pt idx="15">
                  <c:v>0.49137931034482796</c:v>
                </c:pt>
                <c:pt idx="16">
                  <c:v>0.375</c:v>
                </c:pt>
                <c:pt idx="17">
                  <c:v>0.39224137931034497</c:v>
                </c:pt>
                <c:pt idx="18">
                  <c:v>0.45258620689655205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E-45A5-BBAF-92A58BF4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Goal attempt (Goal)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(Local)'!$A$593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(Local)'!$I$595:$I$613</c:f>
              <c:numCache>
                <c:formatCode>General</c:formatCode>
                <c:ptCount val="19"/>
                <c:pt idx="4">
                  <c:v>0.76736842105263203</c:v>
                </c:pt>
                <c:pt idx="5">
                  <c:v>0.46</c:v>
                </c:pt>
                <c:pt idx="8">
                  <c:v>0.5</c:v>
                </c:pt>
              </c:numCache>
            </c:numRef>
          </c:xVal>
          <c:yVal>
            <c:numRef>
              <c:f>'stm (Local)'!$J$595:$J$613</c:f>
              <c:numCache>
                <c:formatCode>General</c:formatCode>
                <c:ptCount val="19"/>
                <c:pt idx="4">
                  <c:v>8.6206896551723977E-2</c:v>
                </c:pt>
                <c:pt idx="5">
                  <c:v>4.3103448275861989E-2</c:v>
                </c:pt>
                <c:pt idx="8">
                  <c:v>0.11637931034482796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D-4FE3-A204-7CA85149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Foul committed (Field)</a:t>
            </a:r>
          </a:p>
        </c:rich>
      </c:tx>
      <c:layout>
        <c:manualLayout>
          <c:xMode val="edge"/>
          <c:yMode val="edge"/>
          <c:x val="0.27584883691472561"/>
          <c:y val="0.351644540794534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(Local)'!$A$615</c:f>
              <c:strCache>
                <c:ptCount val="1"/>
                <c:pt idx="0">
                  <c:v>Foul committed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(Local)'!$F$617:$F$629</c:f>
              <c:numCache>
                <c:formatCode>General</c:formatCode>
                <c:ptCount val="13"/>
                <c:pt idx="0">
                  <c:v>0.30820105820105798</c:v>
                </c:pt>
                <c:pt idx="1">
                  <c:v>0.73941798941798897</c:v>
                </c:pt>
                <c:pt idx="2">
                  <c:v>0.32407407407407401</c:v>
                </c:pt>
                <c:pt idx="3">
                  <c:v>0.33465608465608498</c:v>
                </c:pt>
                <c:pt idx="4">
                  <c:v>0.66005291005291</c:v>
                </c:pt>
                <c:pt idx="5">
                  <c:v>1.7195767195767198E-2</c:v>
                </c:pt>
                <c:pt idx="6">
                  <c:v>0.273809523809524</c:v>
                </c:pt>
                <c:pt idx="7">
                  <c:v>0.72354497354497305</c:v>
                </c:pt>
                <c:pt idx="8">
                  <c:v>7.8042328042327996E-2</c:v>
                </c:pt>
                <c:pt idx="9">
                  <c:v>0.55952380952380998</c:v>
                </c:pt>
                <c:pt idx="10">
                  <c:v>0.62037037037037002</c:v>
                </c:pt>
                <c:pt idx="11">
                  <c:v>0.49329758713136701</c:v>
                </c:pt>
                <c:pt idx="12">
                  <c:v>0.54365079365079405</c:v>
                </c:pt>
              </c:numCache>
            </c:numRef>
          </c:xVal>
          <c:yVal>
            <c:numRef>
              <c:f>'stm (Local)'!$G$617:$G$629</c:f>
              <c:numCache>
                <c:formatCode>General</c:formatCode>
                <c:ptCount val="13"/>
                <c:pt idx="0">
                  <c:v>0.50826446280991699</c:v>
                </c:pt>
                <c:pt idx="1">
                  <c:v>0.59917355371900793</c:v>
                </c:pt>
                <c:pt idx="2">
                  <c:v>0.95041322314049592</c:v>
                </c:pt>
                <c:pt idx="3">
                  <c:v>0.669421487603306</c:v>
                </c:pt>
                <c:pt idx="4">
                  <c:v>0.15289256198347101</c:v>
                </c:pt>
                <c:pt idx="5">
                  <c:v>0.28099173553719003</c:v>
                </c:pt>
                <c:pt idx="6">
                  <c:v>0.38842975206611596</c:v>
                </c:pt>
                <c:pt idx="7">
                  <c:v>0.98347107438016534</c:v>
                </c:pt>
                <c:pt idx="8">
                  <c:v>0.46694214876033102</c:v>
                </c:pt>
                <c:pt idx="9">
                  <c:v>0.64049586776859502</c:v>
                </c:pt>
                <c:pt idx="10">
                  <c:v>0.98760330578512401</c:v>
                </c:pt>
                <c:pt idx="11">
                  <c:v>0.59832635983263605</c:v>
                </c:pt>
                <c:pt idx="12">
                  <c:v>0.97107438016528935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A-41C6-9739-E3D4B693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Foul committed (HalfField)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(Local)'!$A$615</c:f>
              <c:strCache>
                <c:ptCount val="1"/>
                <c:pt idx="0">
                  <c:v>Foul committed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(Local)'!$H$617:$H$629</c:f>
              <c:numCache>
                <c:formatCode>General</c:formatCode>
                <c:ptCount val="13"/>
              </c:numCache>
            </c:numRef>
          </c:xVal>
          <c:yVal>
            <c:numRef>
              <c:f>'stm (Local)'!$I$617:$I$629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B-4A79-A3C2-24C17465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statistics'!$A$373</c:f>
              <c:strCache>
                <c:ptCount val="1"/>
                <c:pt idx="0">
                  <c:v>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statistics'!$H$375:$H$478</c:f>
              <c:numCache>
                <c:formatCode>General</c:formatCode>
                <c:ptCount val="104"/>
                <c:pt idx="0">
                  <c:v>0.14226519337016599</c:v>
                </c:pt>
                <c:pt idx="1">
                  <c:v>0.64226519337016597</c:v>
                </c:pt>
                <c:pt idx="2">
                  <c:v>0.59254143646408797</c:v>
                </c:pt>
                <c:pt idx="3">
                  <c:v>0.88812154696132595</c:v>
                </c:pt>
                <c:pt idx="4">
                  <c:v>0.68646408839779005</c:v>
                </c:pt>
                <c:pt idx="5">
                  <c:v>0.34392265193370197</c:v>
                </c:pt>
                <c:pt idx="6">
                  <c:v>0.399171270718232</c:v>
                </c:pt>
                <c:pt idx="7">
                  <c:v>0.125690607734807</c:v>
                </c:pt>
                <c:pt idx="8">
                  <c:v>0.16436464088397801</c:v>
                </c:pt>
                <c:pt idx="9">
                  <c:v>0.19475138121547</c:v>
                </c:pt>
                <c:pt idx="10">
                  <c:v>0.41574585635359101</c:v>
                </c:pt>
                <c:pt idx="11">
                  <c:v>0.45994475138121499</c:v>
                </c:pt>
                <c:pt idx="12">
                  <c:v>0.33563535911602199</c:v>
                </c:pt>
                <c:pt idx="13">
                  <c:v>0.109116022099448</c:v>
                </c:pt>
                <c:pt idx="14">
                  <c:v>0.388121546961326</c:v>
                </c:pt>
                <c:pt idx="15">
                  <c:v>0.37983425414364602</c:v>
                </c:pt>
                <c:pt idx="16">
                  <c:v>0.35773480662983398</c:v>
                </c:pt>
                <c:pt idx="17">
                  <c:v>0.27762430939226501</c:v>
                </c:pt>
                <c:pt idx="18">
                  <c:v>8.7016574585635401E-2</c:v>
                </c:pt>
                <c:pt idx="19">
                  <c:v>0.32734806629834301</c:v>
                </c:pt>
                <c:pt idx="20">
                  <c:v>0.22237569060773499</c:v>
                </c:pt>
                <c:pt idx="21">
                  <c:v>0.48204419889502798</c:v>
                </c:pt>
                <c:pt idx="22">
                  <c:v>0.67265193370165699</c:v>
                </c:pt>
                <c:pt idx="23">
                  <c:v>0.73342541436464104</c:v>
                </c:pt>
                <c:pt idx="24">
                  <c:v>0.70580110497237603</c:v>
                </c:pt>
                <c:pt idx="25">
                  <c:v>0.38535911602209899</c:v>
                </c:pt>
                <c:pt idx="26">
                  <c:v>0.22237569060773499</c:v>
                </c:pt>
                <c:pt idx="27">
                  <c:v>0.109116022099448</c:v>
                </c:pt>
                <c:pt idx="28">
                  <c:v>0.74447513812154698</c:v>
                </c:pt>
                <c:pt idx="29">
                  <c:v>0.205801104972376</c:v>
                </c:pt>
                <c:pt idx="30">
                  <c:v>3.7292817679557999E-2</c:v>
                </c:pt>
                <c:pt idx="31">
                  <c:v>0.41850828729281803</c:v>
                </c:pt>
                <c:pt idx="32">
                  <c:v>0.31629834254143602</c:v>
                </c:pt>
                <c:pt idx="33">
                  <c:v>0.200276243093923</c:v>
                </c:pt>
                <c:pt idx="34">
                  <c:v>0.225138121546961</c:v>
                </c:pt>
                <c:pt idx="35">
                  <c:v>0.64779005524861899</c:v>
                </c:pt>
                <c:pt idx="36">
                  <c:v>0.24723756906077299</c:v>
                </c:pt>
                <c:pt idx="37">
                  <c:v>5.6629834254143599E-2</c:v>
                </c:pt>
                <c:pt idx="38">
                  <c:v>3.7292817679557999E-2</c:v>
                </c:pt>
                <c:pt idx="39">
                  <c:v>0.363259668508287</c:v>
                </c:pt>
                <c:pt idx="40">
                  <c:v>4.8342541436464097E-2</c:v>
                </c:pt>
                <c:pt idx="41">
                  <c:v>0.31077348066298299</c:v>
                </c:pt>
                <c:pt idx="42">
                  <c:v>0.60635359116022103</c:v>
                </c:pt>
                <c:pt idx="43">
                  <c:v>0.175414364640884</c:v>
                </c:pt>
                <c:pt idx="44">
                  <c:v>0.114640883977901</c:v>
                </c:pt>
                <c:pt idx="45">
                  <c:v>3.7292817679557999E-2</c:v>
                </c:pt>
                <c:pt idx="46">
                  <c:v>4.5580110497237598E-2</c:v>
                </c:pt>
                <c:pt idx="47">
                  <c:v>0.70580110497237603</c:v>
                </c:pt>
                <c:pt idx="48">
                  <c:v>0.73342541436464104</c:v>
                </c:pt>
                <c:pt idx="49">
                  <c:v>0.45994475138121499</c:v>
                </c:pt>
                <c:pt idx="50">
                  <c:v>4.0055248618784497E-2</c:v>
                </c:pt>
                <c:pt idx="51">
                  <c:v>0.16436464088397801</c:v>
                </c:pt>
                <c:pt idx="52">
                  <c:v>0.29143646408839802</c:v>
                </c:pt>
                <c:pt idx="53">
                  <c:v>0.74447513812154698</c:v>
                </c:pt>
                <c:pt idx="54">
                  <c:v>0.156077348066298</c:v>
                </c:pt>
                <c:pt idx="55">
                  <c:v>0.18922651933701701</c:v>
                </c:pt>
                <c:pt idx="56">
                  <c:v>0.59254143646408797</c:v>
                </c:pt>
                <c:pt idx="57">
                  <c:v>0.44337016574585603</c:v>
                </c:pt>
                <c:pt idx="58">
                  <c:v>0.437845303867403</c:v>
                </c:pt>
                <c:pt idx="59">
                  <c:v>0.63950276243093895</c:v>
                </c:pt>
                <c:pt idx="60">
                  <c:v>0.57872928176795602</c:v>
                </c:pt>
                <c:pt idx="61">
                  <c:v>0.27209944751381199</c:v>
                </c:pt>
                <c:pt idx="62">
                  <c:v>0.219613259668508</c:v>
                </c:pt>
                <c:pt idx="63">
                  <c:v>0.111878453038674</c:v>
                </c:pt>
                <c:pt idx="64">
                  <c:v>0.72790055248618801</c:v>
                </c:pt>
                <c:pt idx="65">
                  <c:v>0.25276243093922701</c:v>
                </c:pt>
                <c:pt idx="66">
                  <c:v>7.0441988950276202E-2</c:v>
                </c:pt>
                <c:pt idx="67">
                  <c:v>0.39088397790055202</c:v>
                </c:pt>
                <c:pt idx="68">
                  <c:v>0.18922651933701701</c:v>
                </c:pt>
                <c:pt idx="69">
                  <c:v>0.21132596685082899</c:v>
                </c:pt>
                <c:pt idx="70">
                  <c:v>0.23895027624309401</c:v>
                </c:pt>
                <c:pt idx="71">
                  <c:v>0.27209944751381199</c:v>
                </c:pt>
                <c:pt idx="72">
                  <c:v>0.31906077348066297</c:v>
                </c:pt>
                <c:pt idx="73">
                  <c:v>0.82182320441988999</c:v>
                </c:pt>
                <c:pt idx="74">
                  <c:v>0.57872928176795602</c:v>
                </c:pt>
                <c:pt idx="75">
                  <c:v>0.61187845303867405</c:v>
                </c:pt>
                <c:pt idx="76">
                  <c:v>0.625690607734807</c:v>
                </c:pt>
                <c:pt idx="77">
                  <c:v>0.57320441988950299</c:v>
                </c:pt>
                <c:pt idx="78">
                  <c:v>0.58149171270718203</c:v>
                </c:pt>
                <c:pt idx="79">
                  <c:v>0.21685082872928199</c:v>
                </c:pt>
                <c:pt idx="80">
                  <c:v>0.41574585635359101</c:v>
                </c:pt>
                <c:pt idx="81">
                  <c:v>0.363259668508287</c:v>
                </c:pt>
                <c:pt idx="82">
                  <c:v>0.43232044198894998</c:v>
                </c:pt>
                <c:pt idx="83">
                  <c:v>0.49585635359115998</c:v>
                </c:pt>
                <c:pt idx="84">
                  <c:v>0.50414364640884002</c:v>
                </c:pt>
                <c:pt idx="85">
                  <c:v>0.67265193370165699</c:v>
                </c:pt>
                <c:pt idx="86">
                  <c:v>0.85497237569060802</c:v>
                </c:pt>
                <c:pt idx="87">
                  <c:v>0.87707182320442001</c:v>
                </c:pt>
                <c:pt idx="88">
                  <c:v>0.41574585635359101</c:v>
                </c:pt>
                <c:pt idx="89">
                  <c:v>7.8729281767955794E-2</c:v>
                </c:pt>
                <c:pt idx="90">
                  <c:v>5.1104972375690602E-2</c:v>
                </c:pt>
                <c:pt idx="91">
                  <c:v>0.85220994475138101</c:v>
                </c:pt>
                <c:pt idx="92">
                  <c:v>0.70580110497237603</c:v>
                </c:pt>
                <c:pt idx="93">
                  <c:v>0.66712707182320397</c:v>
                </c:pt>
                <c:pt idx="94">
                  <c:v>0.274861878453039</c:v>
                </c:pt>
                <c:pt idx="95">
                  <c:v>8.7016574585635401E-2</c:v>
                </c:pt>
                <c:pt idx="96">
                  <c:v>0.80524861878453002</c:v>
                </c:pt>
                <c:pt idx="97">
                  <c:v>0.16988950276243101</c:v>
                </c:pt>
                <c:pt idx="98">
                  <c:v>0.374309392265193</c:v>
                </c:pt>
                <c:pt idx="99">
                  <c:v>3.4530386740331501E-2</c:v>
                </c:pt>
                <c:pt idx="100">
                  <c:v>0.12845303867403299</c:v>
                </c:pt>
                <c:pt idx="101">
                  <c:v>0.54281767955801097</c:v>
                </c:pt>
                <c:pt idx="102">
                  <c:v>0.37707182320442001</c:v>
                </c:pt>
                <c:pt idx="103">
                  <c:v>0.58977900552486195</c:v>
                </c:pt>
              </c:numCache>
            </c:numRef>
          </c:xVal>
          <c:yVal>
            <c:numRef>
              <c:f>'Project statistics'!$I$375:$I$478</c:f>
              <c:numCache>
                <c:formatCode>General</c:formatCode>
                <c:ptCount val="104"/>
                <c:pt idx="0">
                  <c:v>0.48275862068965503</c:v>
                </c:pt>
                <c:pt idx="1">
                  <c:v>0.24137931034482796</c:v>
                </c:pt>
                <c:pt idx="2">
                  <c:v>4.3103448275861989E-2</c:v>
                </c:pt>
                <c:pt idx="3">
                  <c:v>0.37931034482758597</c:v>
                </c:pt>
                <c:pt idx="4">
                  <c:v>0.59051724137931005</c:v>
                </c:pt>
                <c:pt idx="5">
                  <c:v>0.57327586206896597</c:v>
                </c:pt>
                <c:pt idx="6">
                  <c:v>0.12931034482758597</c:v>
                </c:pt>
                <c:pt idx="7">
                  <c:v>0.13793103448275901</c:v>
                </c:pt>
                <c:pt idx="8">
                  <c:v>8.1896551724138011E-2</c:v>
                </c:pt>
                <c:pt idx="9">
                  <c:v>0.13362068965517204</c:v>
                </c:pt>
                <c:pt idx="10">
                  <c:v>0.29741379310344795</c:v>
                </c:pt>
                <c:pt idx="11">
                  <c:v>0.49137931034482796</c:v>
                </c:pt>
                <c:pt idx="12">
                  <c:v>0.193965517241379</c:v>
                </c:pt>
                <c:pt idx="13">
                  <c:v>0.10775862068965503</c:v>
                </c:pt>
                <c:pt idx="14">
                  <c:v>0.74137931034482807</c:v>
                </c:pt>
                <c:pt idx="15">
                  <c:v>0.88793103448275901</c:v>
                </c:pt>
                <c:pt idx="16">
                  <c:v>0.38362068965517204</c:v>
                </c:pt>
                <c:pt idx="17">
                  <c:v>0.96982758620689657</c:v>
                </c:pt>
                <c:pt idx="18">
                  <c:v>0.80172413793103403</c:v>
                </c:pt>
                <c:pt idx="19">
                  <c:v>0.96982758620689657</c:v>
                </c:pt>
                <c:pt idx="20">
                  <c:v>0.97844827586206895</c:v>
                </c:pt>
                <c:pt idx="21">
                  <c:v>0.54741379310344795</c:v>
                </c:pt>
                <c:pt idx="22">
                  <c:v>0.71120689655172398</c:v>
                </c:pt>
                <c:pt idx="23">
                  <c:v>0.94827586206896552</c:v>
                </c:pt>
                <c:pt idx="24">
                  <c:v>0.9568965517241379</c:v>
                </c:pt>
                <c:pt idx="25">
                  <c:v>0.29310344827586199</c:v>
                </c:pt>
                <c:pt idx="26">
                  <c:v>0.30172413793103403</c:v>
                </c:pt>
                <c:pt idx="27">
                  <c:v>0.13362068965517204</c:v>
                </c:pt>
                <c:pt idx="28">
                  <c:v>5.6034482758620996E-2</c:v>
                </c:pt>
                <c:pt idx="29">
                  <c:v>0.93965517241379315</c:v>
                </c:pt>
                <c:pt idx="30">
                  <c:v>0.82327586206896497</c:v>
                </c:pt>
                <c:pt idx="31">
                  <c:v>0.73275862068965503</c:v>
                </c:pt>
                <c:pt idx="32">
                  <c:v>7.3275862068965969E-2</c:v>
                </c:pt>
                <c:pt idx="33">
                  <c:v>9.482758620689602E-2</c:v>
                </c:pt>
                <c:pt idx="34">
                  <c:v>0.193965517241379</c:v>
                </c:pt>
                <c:pt idx="35">
                  <c:v>0.31465517241379304</c:v>
                </c:pt>
                <c:pt idx="36">
                  <c:v>0.92672413793103448</c:v>
                </c:pt>
                <c:pt idx="37">
                  <c:v>0.81034482758620696</c:v>
                </c:pt>
                <c:pt idx="38">
                  <c:v>0.65517241379310298</c:v>
                </c:pt>
                <c:pt idx="39">
                  <c:v>0.5</c:v>
                </c:pt>
                <c:pt idx="40">
                  <c:v>0.85344827586206895</c:v>
                </c:pt>
                <c:pt idx="41">
                  <c:v>0.84482758620689702</c:v>
                </c:pt>
                <c:pt idx="42">
                  <c:v>0.17672413793103403</c:v>
                </c:pt>
                <c:pt idx="43">
                  <c:v>0.37931034482758597</c:v>
                </c:pt>
                <c:pt idx="44">
                  <c:v>0.14224137931034497</c:v>
                </c:pt>
                <c:pt idx="45">
                  <c:v>3.4482758620689946E-2</c:v>
                </c:pt>
                <c:pt idx="46">
                  <c:v>0.19827586206896597</c:v>
                </c:pt>
                <c:pt idx="47">
                  <c:v>0.22413793103448298</c:v>
                </c:pt>
                <c:pt idx="48">
                  <c:v>0.81034482758620696</c:v>
                </c:pt>
                <c:pt idx="49">
                  <c:v>0.84051724137931005</c:v>
                </c:pt>
                <c:pt idx="50">
                  <c:v>0.90948275862068972</c:v>
                </c:pt>
                <c:pt idx="51">
                  <c:v>0.61206896551724099</c:v>
                </c:pt>
                <c:pt idx="52">
                  <c:v>0.16379310344827602</c:v>
                </c:pt>
                <c:pt idx="53">
                  <c:v>3.4482758620689946E-2</c:v>
                </c:pt>
                <c:pt idx="54">
                  <c:v>0.83620689655172398</c:v>
                </c:pt>
                <c:pt idx="55">
                  <c:v>0.64655172413793105</c:v>
                </c:pt>
                <c:pt idx="56">
                  <c:v>0.81034482758620696</c:v>
                </c:pt>
                <c:pt idx="57">
                  <c:v>0.75</c:v>
                </c:pt>
                <c:pt idx="58">
                  <c:v>0.693965517241379</c:v>
                </c:pt>
                <c:pt idx="59">
                  <c:v>0.89224137931034497</c:v>
                </c:pt>
                <c:pt idx="60">
                  <c:v>0.9568965517241379</c:v>
                </c:pt>
                <c:pt idx="61">
                  <c:v>0.64655172413793105</c:v>
                </c:pt>
                <c:pt idx="62">
                  <c:v>0.94827586206896552</c:v>
                </c:pt>
                <c:pt idx="63">
                  <c:v>0.96551724137931028</c:v>
                </c:pt>
                <c:pt idx="64">
                  <c:v>0.85344827586206895</c:v>
                </c:pt>
                <c:pt idx="65">
                  <c:v>3.0172413793102981E-2</c:v>
                </c:pt>
                <c:pt idx="66">
                  <c:v>2.155172413793105E-2</c:v>
                </c:pt>
                <c:pt idx="67">
                  <c:v>0.12068965517241403</c:v>
                </c:pt>
                <c:pt idx="68">
                  <c:v>7.3275862068965969E-2</c:v>
                </c:pt>
                <c:pt idx="69">
                  <c:v>0.25431034482758597</c:v>
                </c:pt>
                <c:pt idx="70">
                  <c:v>0.96982758620689657</c:v>
                </c:pt>
                <c:pt idx="71">
                  <c:v>0.9568965517241379</c:v>
                </c:pt>
                <c:pt idx="72">
                  <c:v>0.96982758620689657</c:v>
                </c:pt>
                <c:pt idx="73">
                  <c:v>0.34913793103448298</c:v>
                </c:pt>
                <c:pt idx="74">
                  <c:v>0.69827586206896597</c:v>
                </c:pt>
                <c:pt idx="75">
                  <c:v>0.59051724137931005</c:v>
                </c:pt>
                <c:pt idx="76">
                  <c:v>0.82758620689655205</c:v>
                </c:pt>
                <c:pt idx="77">
                  <c:v>0.93965517241379315</c:v>
                </c:pt>
                <c:pt idx="78">
                  <c:v>0.82327586206896497</c:v>
                </c:pt>
                <c:pt idx="79">
                  <c:v>0.68534482758620707</c:v>
                </c:pt>
                <c:pt idx="80">
                  <c:v>0.88793103448275901</c:v>
                </c:pt>
                <c:pt idx="81">
                  <c:v>4.7413793103447954E-2</c:v>
                </c:pt>
                <c:pt idx="82">
                  <c:v>4.7413793103447954E-2</c:v>
                </c:pt>
                <c:pt idx="83">
                  <c:v>3.0172413793102981E-2</c:v>
                </c:pt>
                <c:pt idx="84">
                  <c:v>0.49568965517241403</c:v>
                </c:pt>
                <c:pt idx="85">
                  <c:v>0.193965517241379</c:v>
                </c:pt>
                <c:pt idx="86">
                  <c:v>0.92241379310344829</c:v>
                </c:pt>
                <c:pt idx="87">
                  <c:v>0.96120689655172409</c:v>
                </c:pt>
                <c:pt idx="88">
                  <c:v>0.74137931034482807</c:v>
                </c:pt>
                <c:pt idx="89">
                  <c:v>0.90086206896551724</c:v>
                </c:pt>
                <c:pt idx="90">
                  <c:v>0.806034482758621</c:v>
                </c:pt>
                <c:pt idx="91">
                  <c:v>0.61637931034482807</c:v>
                </c:pt>
                <c:pt idx="92">
                  <c:v>0.25862068965517204</c:v>
                </c:pt>
                <c:pt idx="93">
                  <c:v>0.24137931034482796</c:v>
                </c:pt>
                <c:pt idx="94">
                  <c:v>0.806034482758621</c:v>
                </c:pt>
                <c:pt idx="95">
                  <c:v>0.54310344827586199</c:v>
                </c:pt>
                <c:pt idx="96">
                  <c:v>3.0172413793102981E-2</c:v>
                </c:pt>
                <c:pt idx="97">
                  <c:v>0.94396551724137934</c:v>
                </c:pt>
                <c:pt idx="98">
                  <c:v>7.7586206896552046E-2</c:v>
                </c:pt>
                <c:pt idx="99">
                  <c:v>0.875</c:v>
                </c:pt>
                <c:pt idx="100">
                  <c:v>0.78879310344827602</c:v>
                </c:pt>
                <c:pt idx="101">
                  <c:v>0.98706896551724144</c:v>
                </c:pt>
                <c:pt idx="102">
                  <c:v>0.93965517241379315</c:v>
                </c:pt>
                <c:pt idx="103">
                  <c:v>0.806034482758621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A-4711-96E3-E19D30D91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Long ball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(Local)'!$A$631</c:f>
              <c:strCache>
                <c:ptCount val="1"/>
                <c:pt idx="0">
                  <c:v>Long 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(Local)'!$G$633:$G$707</c:f>
              <c:numCache>
                <c:formatCode>General</c:formatCode>
                <c:ptCount val="75"/>
                <c:pt idx="0">
                  <c:v>6.4917127071823205E-2</c:v>
                </c:pt>
                <c:pt idx="1">
                  <c:v>0.114640883977901</c:v>
                </c:pt>
                <c:pt idx="2">
                  <c:v>0.59806629834254099</c:v>
                </c:pt>
                <c:pt idx="3">
                  <c:v>0.600828729281768</c:v>
                </c:pt>
                <c:pt idx="4">
                  <c:v>0.66988950276243098</c:v>
                </c:pt>
                <c:pt idx="5">
                  <c:v>0.54005524861878496</c:v>
                </c:pt>
                <c:pt idx="6">
                  <c:v>0.103591160220994</c:v>
                </c:pt>
                <c:pt idx="7">
                  <c:v>0.40193370165745901</c:v>
                </c:pt>
                <c:pt idx="8">
                  <c:v>0.68370165745856404</c:v>
                </c:pt>
                <c:pt idx="9">
                  <c:v>0.69751381215469599</c:v>
                </c:pt>
                <c:pt idx="10">
                  <c:v>0.25276243093922701</c:v>
                </c:pt>
                <c:pt idx="11">
                  <c:v>0.136740331491713</c:v>
                </c:pt>
                <c:pt idx="12">
                  <c:v>5.1104972375690602E-2</c:v>
                </c:pt>
                <c:pt idx="13">
                  <c:v>4.8342541436464097E-2</c:v>
                </c:pt>
                <c:pt idx="14">
                  <c:v>0.225138121546961</c:v>
                </c:pt>
                <c:pt idx="15">
                  <c:v>0.32734806629834301</c:v>
                </c:pt>
                <c:pt idx="16">
                  <c:v>0.324585635359116</c:v>
                </c:pt>
                <c:pt idx="17">
                  <c:v>0.37983425414364602</c:v>
                </c:pt>
                <c:pt idx="18">
                  <c:v>0.205801104972376</c:v>
                </c:pt>
                <c:pt idx="19">
                  <c:v>0.40745856353591198</c:v>
                </c:pt>
                <c:pt idx="20">
                  <c:v>0.374309392265193</c:v>
                </c:pt>
                <c:pt idx="21">
                  <c:v>0.14779005524861899</c:v>
                </c:pt>
                <c:pt idx="22">
                  <c:v>0.45994475138121499</c:v>
                </c:pt>
                <c:pt idx="23">
                  <c:v>0.25</c:v>
                </c:pt>
                <c:pt idx="24">
                  <c:v>0.106353591160221</c:v>
                </c:pt>
                <c:pt idx="25">
                  <c:v>5.6629834254143599E-2</c:v>
                </c:pt>
                <c:pt idx="26">
                  <c:v>0.388121546961326</c:v>
                </c:pt>
                <c:pt idx="27">
                  <c:v>0.29696132596685099</c:v>
                </c:pt>
                <c:pt idx="28">
                  <c:v>0.19751381215469599</c:v>
                </c:pt>
                <c:pt idx="29">
                  <c:v>0.44613259668508298</c:v>
                </c:pt>
                <c:pt idx="30">
                  <c:v>0.125690607734807</c:v>
                </c:pt>
                <c:pt idx="31">
                  <c:v>0.363259668508287</c:v>
                </c:pt>
                <c:pt idx="32">
                  <c:v>0.57320441988950299</c:v>
                </c:pt>
                <c:pt idx="33">
                  <c:v>0.650552486187845</c:v>
                </c:pt>
                <c:pt idx="34">
                  <c:v>5.3867403314917101E-2</c:v>
                </c:pt>
                <c:pt idx="35">
                  <c:v>3.7292817679557999E-2</c:v>
                </c:pt>
                <c:pt idx="36">
                  <c:v>0.103591160220994</c:v>
                </c:pt>
                <c:pt idx="37">
                  <c:v>0.11740331491712699</c:v>
                </c:pt>
                <c:pt idx="38">
                  <c:v>4.5580110497237598E-2</c:v>
                </c:pt>
                <c:pt idx="39">
                  <c:v>0.27209944751381199</c:v>
                </c:pt>
                <c:pt idx="40">
                  <c:v>0.42955801104972402</c:v>
                </c:pt>
                <c:pt idx="41">
                  <c:v>0.21132596685082899</c:v>
                </c:pt>
                <c:pt idx="42">
                  <c:v>8.4254143646408805E-2</c:v>
                </c:pt>
                <c:pt idx="43">
                  <c:v>0.349447513812155</c:v>
                </c:pt>
                <c:pt idx="44">
                  <c:v>0.412983425414365</c:v>
                </c:pt>
                <c:pt idx="45">
                  <c:v>0.12845303867403299</c:v>
                </c:pt>
                <c:pt idx="46">
                  <c:v>0.48204419889502798</c:v>
                </c:pt>
                <c:pt idx="47">
                  <c:v>0.25552486187845302</c:v>
                </c:pt>
                <c:pt idx="48">
                  <c:v>0.136740331491713</c:v>
                </c:pt>
                <c:pt idx="49">
                  <c:v>0.29143646408839802</c:v>
                </c:pt>
                <c:pt idx="50">
                  <c:v>0.34392265193370197</c:v>
                </c:pt>
                <c:pt idx="51">
                  <c:v>0.27762430939226501</c:v>
                </c:pt>
                <c:pt idx="52">
                  <c:v>0.448895027624309</c:v>
                </c:pt>
                <c:pt idx="53">
                  <c:v>0.462707182320442</c:v>
                </c:pt>
                <c:pt idx="54">
                  <c:v>0.45165745856353601</c:v>
                </c:pt>
                <c:pt idx="55">
                  <c:v>0.74171270718231996</c:v>
                </c:pt>
                <c:pt idx="56">
                  <c:v>0.86049723756906105</c:v>
                </c:pt>
                <c:pt idx="57">
                  <c:v>4.0055248618784497E-2</c:v>
                </c:pt>
                <c:pt idx="58">
                  <c:v>0.16712707182320399</c:v>
                </c:pt>
                <c:pt idx="59">
                  <c:v>0.63121546961326003</c:v>
                </c:pt>
                <c:pt idx="60">
                  <c:v>0.44060773480663001</c:v>
                </c:pt>
                <c:pt idx="61">
                  <c:v>0.56491712707182296</c:v>
                </c:pt>
                <c:pt idx="62">
                  <c:v>0.700276243093923</c:v>
                </c:pt>
                <c:pt idx="63">
                  <c:v>0.22790055248618801</c:v>
                </c:pt>
                <c:pt idx="64">
                  <c:v>0.338397790055249</c:v>
                </c:pt>
                <c:pt idx="65">
                  <c:v>0.114640883977901</c:v>
                </c:pt>
                <c:pt idx="66">
                  <c:v>0.44060773480663001</c:v>
                </c:pt>
                <c:pt idx="67">
                  <c:v>0.64779005524861899</c:v>
                </c:pt>
                <c:pt idx="68">
                  <c:v>0.55386740331491702</c:v>
                </c:pt>
                <c:pt idx="69">
                  <c:v>0.23895027624309401</c:v>
                </c:pt>
                <c:pt idx="70">
                  <c:v>0.42955801104972402</c:v>
                </c:pt>
                <c:pt idx="71">
                  <c:v>0.41574585635359101</c:v>
                </c:pt>
                <c:pt idx="72">
                  <c:v>0.39364640883977903</c:v>
                </c:pt>
                <c:pt idx="73">
                  <c:v>0.45994475138121499</c:v>
                </c:pt>
                <c:pt idx="74">
                  <c:v>0.35497237569060802</c:v>
                </c:pt>
              </c:numCache>
            </c:numRef>
          </c:xVal>
          <c:yVal>
            <c:numRef>
              <c:f>'stm (Local)'!$H$633:$H$707</c:f>
              <c:numCache>
                <c:formatCode>General</c:formatCode>
                <c:ptCount val="75"/>
                <c:pt idx="0">
                  <c:v>0.47844827586206895</c:v>
                </c:pt>
                <c:pt idx="1">
                  <c:v>4.7413793103447954E-2</c:v>
                </c:pt>
                <c:pt idx="2">
                  <c:v>0.10775862068965503</c:v>
                </c:pt>
                <c:pt idx="3">
                  <c:v>4.3103448275861989E-2</c:v>
                </c:pt>
                <c:pt idx="4">
                  <c:v>5.1724137931034031E-2</c:v>
                </c:pt>
                <c:pt idx="5">
                  <c:v>0.49568965517241403</c:v>
                </c:pt>
                <c:pt idx="6">
                  <c:v>0.568965517241379</c:v>
                </c:pt>
                <c:pt idx="7">
                  <c:v>0.71551724137931005</c:v>
                </c:pt>
                <c:pt idx="8">
                  <c:v>0.76724137931034497</c:v>
                </c:pt>
                <c:pt idx="9">
                  <c:v>0.77586206896551702</c:v>
                </c:pt>
                <c:pt idx="10">
                  <c:v>0.37068965517241403</c:v>
                </c:pt>
                <c:pt idx="11">
                  <c:v>0.431034482758621</c:v>
                </c:pt>
                <c:pt idx="12">
                  <c:v>0.56465517241379293</c:v>
                </c:pt>
                <c:pt idx="13">
                  <c:v>0.51293103448275901</c:v>
                </c:pt>
                <c:pt idx="14">
                  <c:v>0.58189655172413801</c:v>
                </c:pt>
                <c:pt idx="15">
                  <c:v>0.556034482758621</c:v>
                </c:pt>
                <c:pt idx="16">
                  <c:v>0.48706896551724099</c:v>
                </c:pt>
                <c:pt idx="17">
                  <c:v>0.39655172413793105</c:v>
                </c:pt>
                <c:pt idx="18">
                  <c:v>0.66379310344827602</c:v>
                </c:pt>
                <c:pt idx="19">
                  <c:v>0.57327586206896597</c:v>
                </c:pt>
                <c:pt idx="20">
                  <c:v>0.71120689655172398</c:v>
                </c:pt>
                <c:pt idx="21">
                  <c:v>0.59913793103448298</c:v>
                </c:pt>
                <c:pt idx="22">
                  <c:v>0.84051724137931005</c:v>
                </c:pt>
                <c:pt idx="23">
                  <c:v>3.0172413793102981E-2</c:v>
                </c:pt>
                <c:pt idx="24">
                  <c:v>0.50431034482758608</c:v>
                </c:pt>
                <c:pt idx="25">
                  <c:v>0.47844827586206895</c:v>
                </c:pt>
                <c:pt idx="26">
                  <c:v>0.48706896551724099</c:v>
                </c:pt>
                <c:pt idx="27">
                  <c:v>0.64655172413793105</c:v>
                </c:pt>
                <c:pt idx="28">
                  <c:v>0.14224137931034497</c:v>
                </c:pt>
                <c:pt idx="29">
                  <c:v>0.10344827586206895</c:v>
                </c:pt>
                <c:pt idx="30">
                  <c:v>3.4482758620689946E-2</c:v>
                </c:pt>
                <c:pt idx="31">
                  <c:v>0.59913793103448298</c:v>
                </c:pt>
                <c:pt idx="32">
                  <c:v>9.482758620689602E-2</c:v>
                </c:pt>
                <c:pt idx="33">
                  <c:v>0.25</c:v>
                </c:pt>
                <c:pt idx="34">
                  <c:v>0.48275862068965503</c:v>
                </c:pt>
                <c:pt idx="35">
                  <c:v>0.83620689655172398</c:v>
                </c:pt>
                <c:pt idx="36">
                  <c:v>0.98275862068965525</c:v>
                </c:pt>
                <c:pt idx="37">
                  <c:v>0.92241379310344829</c:v>
                </c:pt>
                <c:pt idx="38">
                  <c:v>0.53448275862068995</c:v>
                </c:pt>
                <c:pt idx="39">
                  <c:v>0.96551724137931028</c:v>
                </c:pt>
                <c:pt idx="40">
                  <c:v>0.62931034482758608</c:v>
                </c:pt>
                <c:pt idx="41">
                  <c:v>1.7241379310344973E-2</c:v>
                </c:pt>
                <c:pt idx="42">
                  <c:v>9.9137931034482984E-2</c:v>
                </c:pt>
                <c:pt idx="43">
                  <c:v>0.56465517241379293</c:v>
                </c:pt>
                <c:pt idx="44">
                  <c:v>0.443965517241379</c:v>
                </c:pt>
                <c:pt idx="45">
                  <c:v>0.39224137931034497</c:v>
                </c:pt>
                <c:pt idx="46">
                  <c:v>0.90517241379310343</c:v>
                </c:pt>
                <c:pt idx="47">
                  <c:v>6.4655172413793038E-2</c:v>
                </c:pt>
                <c:pt idx="48">
                  <c:v>0.76293103448275901</c:v>
                </c:pt>
                <c:pt idx="49">
                  <c:v>3.4482758620689946E-2</c:v>
                </c:pt>
                <c:pt idx="50">
                  <c:v>0.96551724137931028</c:v>
                </c:pt>
                <c:pt idx="51">
                  <c:v>0.98275862068965525</c:v>
                </c:pt>
                <c:pt idx="52">
                  <c:v>0.75</c:v>
                </c:pt>
                <c:pt idx="53">
                  <c:v>0.90948275862068972</c:v>
                </c:pt>
                <c:pt idx="54">
                  <c:v>0.69827586206896597</c:v>
                </c:pt>
                <c:pt idx="55">
                  <c:v>0.818965517241379</c:v>
                </c:pt>
                <c:pt idx="56">
                  <c:v>0.32758620689655205</c:v>
                </c:pt>
                <c:pt idx="57">
                  <c:v>0.24568965517241403</c:v>
                </c:pt>
                <c:pt idx="58">
                  <c:v>3.0172413793102981E-2</c:v>
                </c:pt>
                <c:pt idx="59">
                  <c:v>0.45689655172413801</c:v>
                </c:pt>
                <c:pt idx="60">
                  <c:v>0.443965517241379</c:v>
                </c:pt>
                <c:pt idx="61">
                  <c:v>0.81034482758620696</c:v>
                </c:pt>
                <c:pt idx="62">
                  <c:v>0.36637931034482796</c:v>
                </c:pt>
                <c:pt idx="63">
                  <c:v>0.318965517241379</c:v>
                </c:pt>
                <c:pt idx="64">
                  <c:v>0.42241379310344795</c:v>
                </c:pt>
                <c:pt idx="65">
                  <c:v>0.61206896551724099</c:v>
                </c:pt>
                <c:pt idx="66">
                  <c:v>0.73706896551724099</c:v>
                </c:pt>
                <c:pt idx="67">
                  <c:v>0.306034482758621</c:v>
                </c:pt>
                <c:pt idx="68">
                  <c:v>0.46120689655172398</c:v>
                </c:pt>
                <c:pt idx="69">
                  <c:v>0.64655172413793105</c:v>
                </c:pt>
                <c:pt idx="70">
                  <c:v>0.48275862068965503</c:v>
                </c:pt>
                <c:pt idx="71">
                  <c:v>0.96120689655172409</c:v>
                </c:pt>
                <c:pt idx="72">
                  <c:v>9.482758620689602E-2</c:v>
                </c:pt>
                <c:pt idx="73">
                  <c:v>0.53017241379310298</c:v>
                </c:pt>
                <c:pt idx="74">
                  <c:v>0.75431034482758597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D-4D5E-9B4A-17818DC4A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chance created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(Local)'!$A$709</c:f>
              <c:strCache>
                <c:ptCount val="1"/>
                <c:pt idx="0">
                  <c:v>chance created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(Local)'!$G$711:$G$720</c:f>
              <c:numCache>
                <c:formatCode>General</c:formatCode>
                <c:ptCount val="10"/>
                <c:pt idx="0">
                  <c:v>0.71408839779005495</c:v>
                </c:pt>
                <c:pt idx="1">
                  <c:v>0.399171270718232</c:v>
                </c:pt>
                <c:pt idx="2">
                  <c:v>0.62016574585635398</c:v>
                </c:pt>
                <c:pt idx="3">
                  <c:v>0.399171270718232</c:v>
                </c:pt>
                <c:pt idx="4">
                  <c:v>0.76104972375690605</c:v>
                </c:pt>
                <c:pt idx="5">
                  <c:v>0.412983425414365</c:v>
                </c:pt>
                <c:pt idx="6">
                  <c:v>0.85773480662983403</c:v>
                </c:pt>
                <c:pt idx="7">
                  <c:v>0.88812154696132595</c:v>
                </c:pt>
                <c:pt idx="8">
                  <c:v>0.90193370165745856</c:v>
                </c:pt>
                <c:pt idx="9">
                  <c:v>0.61464088397790095</c:v>
                </c:pt>
              </c:numCache>
            </c:numRef>
          </c:xVal>
          <c:yVal>
            <c:numRef>
              <c:f>'stm (Local)'!$H$711:$H$720</c:f>
              <c:numCache>
                <c:formatCode>General</c:formatCode>
                <c:ptCount val="10"/>
                <c:pt idx="0">
                  <c:v>0.29741379310344795</c:v>
                </c:pt>
                <c:pt idx="1">
                  <c:v>0.57758620689655205</c:v>
                </c:pt>
                <c:pt idx="2">
                  <c:v>0.63362068965517193</c:v>
                </c:pt>
                <c:pt idx="3">
                  <c:v>0.39224137931034497</c:v>
                </c:pt>
                <c:pt idx="4">
                  <c:v>0.73706896551724099</c:v>
                </c:pt>
                <c:pt idx="5">
                  <c:v>0.181034482758621</c:v>
                </c:pt>
                <c:pt idx="6">
                  <c:v>0.68965517241379293</c:v>
                </c:pt>
                <c:pt idx="7">
                  <c:v>0.21120689655172409</c:v>
                </c:pt>
                <c:pt idx="8">
                  <c:v>0.82758620689655171</c:v>
                </c:pt>
                <c:pt idx="9">
                  <c:v>0.46120689655172398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9-4AD5-9177-5D67BDEC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Foul against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(Local)'!$A$725</c:f>
              <c:strCache>
                <c:ptCount val="1"/>
                <c:pt idx="0">
                  <c:v>Foul 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(Local)'!$F$727:$F$740</c:f>
              <c:numCache>
                <c:formatCode>General</c:formatCode>
                <c:ptCount val="14"/>
                <c:pt idx="0">
                  <c:v>0.58862433862433905</c:v>
                </c:pt>
                <c:pt idx="1">
                  <c:v>0.316137566137566</c:v>
                </c:pt>
                <c:pt idx="2">
                  <c:v>0.42460317460317498</c:v>
                </c:pt>
                <c:pt idx="3">
                  <c:v>0.59656084656084696</c:v>
                </c:pt>
                <c:pt idx="4">
                  <c:v>0.66534391534391502</c:v>
                </c:pt>
                <c:pt idx="5">
                  <c:v>4.8941798941798897E-2</c:v>
                </c:pt>
                <c:pt idx="6">
                  <c:v>0.15476190476190499</c:v>
                </c:pt>
                <c:pt idx="7">
                  <c:v>0.30555555555555602</c:v>
                </c:pt>
                <c:pt idx="8">
                  <c:v>0.453703703703704</c:v>
                </c:pt>
                <c:pt idx="9">
                  <c:v>0.39021164021164001</c:v>
                </c:pt>
                <c:pt idx="10">
                  <c:v>0.60714285714285698</c:v>
                </c:pt>
                <c:pt idx="11">
                  <c:v>0.498677248677249</c:v>
                </c:pt>
                <c:pt idx="12">
                  <c:v>0.36111111111111099</c:v>
                </c:pt>
                <c:pt idx="13">
                  <c:v>0.705026455026455</c:v>
                </c:pt>
              </c:numCache>
            </c:numRef>
          </c:xVal>
          <c:yVal>
            <c:numRef>
              <c:f>'stm (Local)'!$G$727:$G$740</c:f>
              <c:numCache>
                <c:formatCode>General</c:formatCode>
                <c:ptCount val="14"/>
                <c:pt idx="0">
                  <c:v>0.12396694214876003</c:v>
                </c:pt>
                <c:pt idx="1">
                  <c:v>0.48760330578512401</c:v>
                </c:pt>
                <c:pt idx="2">
                  <c:v>0.86776859504132198</c:v>
                </c:pt>
                <c:pt idx="3">
                  <c:v>0.11983471074380203</c:v>
                </c:pt>
                <c:pt idx="4">
                  <c:v>0.30578512396694202</c:v>
                </c:pt>
                <c:pt idx="5">
                  <c:v>0.85950413223140498</c:v>
                </c:pt>
                <c:pt idx="6">
                  <c:v>0.97107438016528935</c:v>
                </c:pt>
                <c:pt idx="7">
                  <c:v>2.4793388429751984E-2</c:v>
                </c:pt>
                <c:pt idx="8">
                  <c:v>0.669421487603306</c:v>
                </c:pt>
                <c:pt idx="9">
                  <c:v>0.17768595041322299</c:v>
                </c:pt>
                <c:pt idx="10">
                  <c:v>0.45041322314049603</c:v>
                </c:pt>
                <c:pt idx="11">
                  <c:v>0.53719008264462798</c:v>
                </c:pt>
                <c:pt idx="12">
                  <c:v>9.090909090909105E-2</c:v>
                </c:pt>
                <c:pt idx="13">
                  <c:v>0.80991735537190102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F-4E61-A6E9-19C32EC9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against (HalfField)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(Local)'!$A$725</c:f>
              <c:strCache>
                <c:ptCount val="1"/>
                <c:pt idx="0">
                  <c:v>Foul 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(Local)'!$H$727:$H$740</c:f>
              <c:numCache>
                <c:formatCode>General</c:formatCode>
                <c:ptCount val="14"/>
              </c:numCache>
            </c:numRef>
          </c:xVal>
          <c:yVal>
            <c:numRef>
              <c:f>'stm (Local)'!$I$727:$I$740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B-4AD9-B3C4-60237F4B1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Save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(Local)'!$A$742</c:f>
              <c:strCache>
                <c:ptCount val="1"/>
                <c:pt idx="0">
                  <c:v>Save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(Local)'!$F$744:$F$748</c:f>
              <c:numCache>
                <c:formatCode>General</c:formatCode>
                <c:ptCount val="5"/>
                <c:pt idx="0">
                  <c:v>1.4550264550264499E-2</c:v>
                </c:pt>
                <c:pt idx="1">
                  <c:v>1.1904761904761901E-2</c:v>
                </c:pt>
                <c:pt idx="2">
                  <c:v>3.9682539682539698E-3</c:v>
                </c:pt>
                <c:pt idx="3">
                  <c:v>3.5714285714285698E-2</c:v>
                </c:pt>
                <c:pt idx="4">
                  <c:v>3.0423280423280401E-2</c:v>
                </c:pt>
              </c:numCache>
            </c:numRef>
          </c:xVal>
          <c:yVal>
            <c:numRef>
              <c:f>'stm (Local)'!$G$744:$G$748</c:f>
              <c:numCache>
                <c:formatCode>General</c:formatCode>
                <c:ptCount val="5"/>
                <c:pt idx="0">
                  <c:v>0.49173553719008301</c:v>
                </c:pt>
                <c:pt idx="1">
                  <c:v>0.495867768595041</c:v>
                </c:pt>
                <c:pt idx="2">
                  <c:v>0.44214876033057804</c:v>
                </c:pt>
                <c:pt idx="3">
                  <c:v>0.52479338842975198</c:v>
                </c:pt>
                <c:pt idx="4">
                  <c:v>0.39256198347107396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D-4977-B1A0-167042C7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Throw in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(Local)'!$A$758</c:f>
              <c:strCache>
                <c:ptCount val="1"/>
                <c:pt idx="0">
                  <c:v>Throw in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(Local)'!$G$760:$G$801</c:f>
              <c:numCache>
                <c:formatCode>General</c:formatCode>
                <c:ptCount val="42"/>
                <c:pt idx="0">
                  <c:v>0.45994475138121499</c:v>
                </c:pt>
                <c:pt idx="1">
                  <c:v>0.448895027624309</c:v>
                </c:pt>
                <c:pt idx="2">
                  <c:v>0.58149171270718203</c:v>
                </c:pt>
                <c:pt idx="3">
                  <c:v>0.79696132596685099</c:v>
                </c:pt>
                <c:pt idx="4">
                  <c:v>0.725138121546961</c:v>
                </c:pt>
                <c:pt idx="5">
                  <c:v>0.14779005524861899</c:v>
                </c:pt>
                <c:pt idx="6">
                  <c:v>0.23618784530386699</c:v>
                </c:pt>
                <c:pt idx="7">
                  <c:v>0.58425414364640904</c:v>
                </c:pt>
                <c:pt idx="8">
                  <c:v>0.41574585635359101</c:v>
                </c:pt>
                <c:pt idx="9">
                  <c:v>0.59254143646408797</c:v>
                </c:pt>
                <c:pt idx="10">
                  <c:v>0.70303867403314901</c:v>
                </c:pt>
                <c:pt idx="11">
                  <c:v>0.424033149171271</c:v>
                </c:pt>
                <c:pt idx="12">
                  <c:v>0.75276243093922701</c:v>
                </c:pt>
                <c:pt idx="13">
                  <c:v>0.75276243093922701</c:v>
                </c:pt>
                <c:pt idx="14">
                  <c:v>0.230662983425414</c:v>
                </c:pt>
                <c:pt idx="15">
                  <c:v>0.28314917127071798</c:v>
                </c:pt>
                <c:pt idx="16">
                  <c:v>0.81906077348066297</c:v>
                </c:pt>
                <c:pt idx="17">
                  <c:v>0.38535911602209899</c:v>
                </c:pt>
                <c:pt idx="18">
                  <c:v>0.26933701657458597</c:v>
                </c:pt>
                <c:pt idx="19">
                  <c:v>0.49585635359115998</c:v>
                </c:pt>
                <c:pt idx="20">
                  <c:v>0.19198895027624299</c:v>
                </c:pt>
                <c:pt idx="21">
                  <c:v>0.12016574585635401</c:v>
                </c:pt>
                <c:pt idx="22">
                  <c:v>0.36602209944751402</c:v>
                </c:pt>
                <c:pt idx="23">
                  <c:v>0.136740331491713</c:v>
                </c:pt>
                <c:pt idx="24">
                  <c:v>0.20303867403314901</c:v>
                </c:pt>
                <c:pt idx="25">
                  <c:v>0.13397790055248601</c:v>
                </c:pt>
                <c:pt idx="26">
                  <c:v>0.26657458563535902</c:v>
                </c:pt>
                <c:pt idx="27">
                  <c:v>0.68093922651933703</c:v>
                </c:pt>
                <c:pt idx="28">
                  <c:v>0.55662983425414403</c:v>
                </c:pt>
                <c:pt idx="29">
                  <c:v>0.80524861878453002</c:v>
                </c:pt>
                <c:pt idx="30">
                  <c:v>0.81629834254143696</c:v>
                </c:pt>
                <c:pt idx="31">
                  <c:v>0.79419889502762397</c:v>
                </c:pt>
                <c:pt idx="32">
                  <c:v>0.79419889502762397</c:v>
                </c:pt>
                <c:pt idx="33">
                  <c:v>0.79419889502762397</c:v>
                </c:pt>
                <c:pt idx="34">
                  <c:v>0.62292817679557999</c:v>
                </c:pt>
                <c:pt idx="35">
                  <c:v>0.66160220994475105</c:v>
                </c:pt>
                <c:pt idx="36">
                  <c:v>0.19475138121547</c:v>
                </c:pt>
                <c:pt idx="37">
                  <c:v>0.25552486187845302</c:v>
                </c:pt>
                <c:pt idx="38">
                  <c:v>0.37983425414364602</c:v>
                </c:pt>
                <c:pt idx="39">
                  <c:v>0.60911602209944704</c:v>
                </c:pt>
                <c:pt idx="40">
                  <c:v>0.62016574585635398</c:v>
                </c:pt>
                <c:pt idx="41">
                  <c:v>0.62845303867403302</c:v>
                </c:pt>
              </c:numCache>
            </c:numRef>
          </c:xVal>
          <c:yVal>
            <c:numRef>
              <c:f>'stm (Local)'!$H$760:$H$801</c:f>
              <c:numCache>
                <c:formatCode>General</c:formatCode>
                <c:ptCount val="42"/>
                <c:pt idx="0">
                  <c:v>1.7241379310344973E-2</c:v>
                </c:pt>
                <c:pt idx="1">
                  <c:v>1.7241379310344973E-2</c:v>
                </c:pt>
                <c:pt idx="2">
                  <c:v>1.7241379310344973E-2</c:v>
                </c:pt>
                <c:pt idx="3">
                  <c:v>0.98275862068965525</c:v>
                </c:pt>
                <c:pt idx="4">
                  <c:v>0.99568965517241381</c:v>
                </c:pt>
                <c:pt idx="5">
                  <c:v>1.2931034482759007E-2</c:v>
                </c:pt>
                <c:pt idx="6">
                  <c:v>0.98706896551724144</c:v>
                </c:pt>
                <c:pt idx="7">
                  <c:v>1.2931034482759007E-2</c:v>
                </c:pt>
                <c:pt idx="8">
                  <c:v>1.2931034482759007E-2</c:v>
                </c:pt>
                <c:pt idx="9">
                  <c:v>1.7241379310344973E-2</c:v>
                </c:pt>
                <c:pt idx="10">
                  <c:v>1.2931034482759007E-2</c:v>
                </c:pt>
                <c:pt idx="11">
                  <c:v>1.7241379310344973E-2</c:v>
                </c:pt>
                <c:pt idx="12">
                  <c:v>4.3103448275859657E-3</c:v>
                </c:pt>
                <c:pt idx="13">
                  <c:v>0.99137931034482762</c:v>
                </c:pt>
                <c:pt idx="14">
                  <c:v>1.2931034482759007E-2</c:v>
                </c:pt>
                <c:pt idx="15">
                  <c:v>1.2931034482759007E-2</c:v>
                </c:pt>
                <c:pt idx="16">
                  <c:v>0.99137931034482762</c:v>
                </c:pt>
                <c:pt idx="17">
                  <c:v>0.99568965517241381</c:v>
                </c:pt>
                <c:pt idx="18">
                  <c:v>0.99137931034482762</c:v>
                </c:pt>
                <c:pt idx="19">
                  <c:v>0.99568965517241381</c:v>
                </c:pt>
                <c:pt idx="20">
                  <c:v>0.97844827586206895</c:v>
                </c:pt>
                <c:pt idx="21">
                  <c:v>0.99137931034482762</c:v>
                </c:pt>
                <c:pt idx="22">
                  <c:v>0.98706896551724144</c:v>
                </c:pt>
                <c:pt idx="23">
                  <c:v>8.6206896551720424E-3</c:v>
                </c:pt>
                <c:pt idx="24">
                  <c:v>1.7241379310344973E-2</c:v>
                </c:pt>
                <c:pt idx="25">
                  <c:v>0.99137931034482762</c:v>
                </c:pt>
                <c:pt idx="26">
                  <c:v>0.99137931034482762</c:v>
                </c:pt>
                <c:pt idx="27">
                  <c:v>1.2931034482759007E-2</c:v>
                </c:pt>
                <c:pt idx="28">
                  <c:v>0.99568965517241381</c:v>
                </c:pt>
                <c:pt idx="29">
                  <c:v>1</c:v>
                </c:pt>
                <c:pt idx="30">
                  <c:v>0.98275862068965525</c:v>
                </c:pt>
                <c:pt idx="31">
                  <c:v>0.99568965517241381</c:v>
                </c:pt>
                <c:pt idx="32">
                  <c:v>0.99137931034482762</c:v>
                </c:pt>
                <c:pt idx="33">
                  <c:v>0.98275862068965525</c:v>
                </c:pt>
                <c:pt idx="34">
                  <c:v>8.6206896551720424E-3</c:v>
                </c:pt>
                <c:pt idx="35">
                  <c:v>1.7241379310344973E-2</c:v>
                </c:pt>
                <c:pt idx="36">
                  <c:v>0.99568965517241381</c:v>
                </c:pt>
                <c:pt idx="37">
                  <c:v>0.99137931034482762</c:v>
                </c:pt>
                <c:pt idx="38">
                  <c:v>0.97413793103448276</c:v>
                </c:pt>
                <c:pt idx="39">
                  <c:v>0.98706896551724144</c:v>
                </c:pt>
                <c:pt idx="40">
                  <c:v>0.99568965517241381</c:v>
                </c:pt>
                <c:pt idx="41">
                  <c:v>2.5862068965517016E-2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0-46F3-9258-74A7EE31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Dribble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(Local)'!$A$803</c:f>
              <c:strCache>
                <c:ptCount val="1"/>
                <c:pt idx="0">
                  <c:v>Dribble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(Local)'!$G$805:$G$838</c:f>
              <c:numCache>
                <c:formatCode>General</c:formatCode>
                <c:ptCount val="34"/>
                <c:pt idx="0">
                  <c:v>0.34116022099447502</c:v>
                </c:pt>
                <c:pt idx="1">
                  <c:v>0.15883977900552501</c:v>
                </c:pt>
                <c:pt idx="2">
                  <c:v>0.36049723756906099</c:v>
                </c:pt>
                <c:pt idx="3">
                  <c:v>0.71132596685082905</c:v>
                </c:pt>
                <c:pt idx="4">
                  <c:v>0.66712707182320397</c:v>
                </c:pt>
                <c:pt idx="5">
                  <c:v>0.31629834254143602</c:v>
                </c:pt>
                <c:pt idx="6">
                  <c:v>0.34392265193370197</c:v>
                </c:pt>
                <c:pt idx="7">
                  <c:v>0.32182320441988899</c:v>
                </c:pt>
                <c:pt idx="8">
                  <c:v>0.28591160220994499</c:v>
                </c:pt>
                <c:pt idx="9">
                  <c:v>0.58701657458563505</c:v>
                </c:pt>
                <c:pt idx="10">
                  <c:v>0.40745856353591198</c:v>
                </c:pt>
                <c:pt idx="11">
                  <c:v>0.462707182320442</c:v>
                </c:pt>
                <c:pt idx="12">
                  <c:v>0.45718232044198898</c:v>
                </c:pt>
                <c:pt idx="13">
                  <c:v>0.83287292817679603</c:v>
                </c:pt>
                <c:pt idx="14">
                  <c:v>0.88259668508287303</c:v>
                </c:pt>
                <c:pt idx="15">
                  <c:v>0.55939226519337004</c:v>
                </c:pt>
                <c:pt idx="16">
                  <c:v>0.91850828729281797</c:v>
                </c:pt>
                <c:pt idx="17">
                  <c:v>0.97099447513812198</c:v>
                </c:pt>
                <c:pt idx="18">
                  <c:v>0.96270718232044195</c:v>
                </c:pt>
                <c:pt idx="19">
                  <c:v>0.21685082872928199</c:v>
                </c:pt>
                <c:pt idx="20">
                  <c:v>0.74723756906077299</c:v>
                </c:pt>
                <c:pt idx="21">
                  <c:v>0.437845303867403</c:v>
                </c:pt>
                <c:pt idx="22">
                  <c:v>0.21132596685082899</c:v>
                </c:pt>
                <c:pt idx="23">
                  <c:v>0.21685082872928199</c:v>
                </c:pt>
                <c:pt idx="24">
                  <c:v>0.41682974559686897</c:v>
                </c:pt>
                <c:pt idx="25">
                  <c:v>0.40469613259668502</c:v>
                </c:pt>
                <c:pt idx="26">
                  <c:v>0.76933701657458597</c:v>
                </c:pt>
                <c:pt idx="27">
                  <c:v>0.81353591160220995</c:v>
                </c:pt>
                <c:pt idx="28">
                  <c:v>0.26381215469613301</c:v>
                </c:pt>
                <c:pt idx="29">
                  <c:v>0.17265193370165699</c:v>
                </c:pt>
                <c:pt idx="30">
                  <c:v>0.75828729281768004</c:v>
                </c:pt>
                <c:pt idx="31">
                  <c:v>0.68093922651933703</c:v>
                </c:pt>
                <c:pt idx="32">
                  <c:v>0.92955801104972402</c:v>
                </c:pt>
                <c:pt idx="33">
                  <c:v>0.69198895027624296</c:v>
                </c:pt>
              </c:numCache>
            </c:numRef>
          </c:xVal>
          <c:yVal>
            <c:numRef>
              <c:f>'stm (Local)'!$H$805:$H$838</c:f>
              <c:numCache>
                <c:formatCode>General</c:formatCode>
                <c:ptCount val="34"/>
                <c:pt idx="0">
                  <c:v>0.18965517241379304</c:v>
                </c:pt>
                <c:pt idx="1">
                  <c:v>6.0344827586206962E-2</c:v>
                </c:pt>
                <c:pt idx="2">
                  <c:v>0.23275862068965503</c:v>
                </c:pt>
                <c:pt idx="3">
                  <c:v>0.875</c:v>
                </c:pt>
                <c:pt idx="4">
                  <c:v>0.85344827586206895</c:v>
                </c:pt>
                <c:pt idx="5">
                  <c:v>0.556034482758621</c:v>
                </c:pt>
                <c:pt idx="6">
                  <c:v>0.26724137931034497</c:v>
                </c:pt>
                <c:pt idx="7">
                  <c:v>0.36637931034482796</c:v>
                </c:pt>
                <c:pt idx="8">
                  <c:v>0.47413793103448298</c:v>
                </c:pt>
                <c:pt idx="9">
                  <c:v>0.14224137931034497</c:v>
                </c:pt>
                <c:pt idx="10">
                  <c:v>0.99568965517241381</c:v>
                </c:pt>
                <c:pt idx="11">
                  <c:v>0.65086206896551702</c:v>
                </c:pt>
                <c:pt idx="12">
                  <c:v>0.65948275862068995</c:v>
                </c:pt>
                <c:pt idx="13">
                  <c:v>0.556034482758621</c:v>
                </c:pt>
                <c:pt idx="14">
                  <c:v>0.71982758620689702</c:v>
                </c:pt>
                <c:pt idx="15">
                  <c:v>0.80172413793103403</c:v>
                </c:pt>
                <c:pt idx="16">
                  <c:v>0.70689655172413801</c:v>
                </c:pt>
                <c:pt idx="17">
                  <c:v>0.68534482758620707</c:v>
                </c:pt>
                <c:pt idx="18">
                  <c:v>0.66810344827586199</c:v>
                </c:pt>
                <c:pt idx="19">
                  <c:v>5.6034482758620996E-2</c:v>
                </c:pt>
                <c:pt idx="20">
                  <c:v>0.59051724137931005</c:v>
                </c:pt>
                <c:pt idx="21">
                  <c:v>0.62068965517241392</c:v>
                </c:pt>
                <c:pt idx="22">
                  <c:v>0.21120689655172398</c:v>
                </c:pt>
                <c:pt idx="23">
                  <c:v>8.6206896551723977E-2</c:v>
                </c:pt>
                <c:pt idx="24">
                  <c:v>0.94189602446483178</c:v>
                </c:pt>
                <c:pt idx="25">
                  <c:v>0.72413793103448298</c:v>
                </c:pt>
                <c:pt idx="26">
                  <c:v>0.86206896551724099</c:v>
                </c:pt>
                <c:pt idx="27">
                  <c:v>2.5862068965517016E-2</c:v>
                </c:pt>
                <c:pt idx="28">
                  <c:v>0.76724137931034497</c:v>
                </c:pt>
                <c:pt idx="29">
                  <c:v>0.875</c:v>
                </c:pt>
                <c:pt idx="30">
                  <c:v>0.93534482758620685</c:v>
                </c:pt>
                <c:pt idx="31">
                  <c:v>0.93534482758620685</c:v>
                </c:pt>
                <c:pt idx="32">
                  <c:v>0.86637931034482807</c:v>
                </c:pt>
                <c:pt idx="33">
                  <c:v>0.25431034482758597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0-4761-8FFE-BEB2C89A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other ball loss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(Local)'!$A$872</c:f>
              <c:strCache>
                <c:ptCount val="1"/>
                <c:pt idx="0">
                  <c:v>other ball loss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(Local)'!$F$874:$F$889</c:f>
              <c:numCache>
                <c:formatCode>General</c:formatCode>
                <c:ptCount val="16"/>
                <c:pt idx="0">
                  <c:v>0.54629629629629595</c:v>
                </c:pt>
                <c:pt idx="1">
                  <c:v>0.81084656084656104</c:v>
                </c:pt>
                <c:pt idx="2">
                  <c:v>0.40343915343915299</c:v>
                </c:pt>
                <c:pt idx="3">
                  <c:v>0.66798941798941802</c:v>
                </c:pt>
                <c:pt idx="4">
                  <c:v>0.32407407407407401</c:v>
                </c:pt>
                <c:pt idx="5">
                  <c:v>0.28703703703703698</c:v>
                </c:pt>
                <c:pt idx="6">
                  <c:v>8.3333333333333301E-2</c:v>
                </c:pt>
                <c:pt idx="7">
                  <c:v>0.35582010582010598</c:v>
                </c:pt>
                <c:pt idx="8">
                  <c:v>0.72089947089947104</c:v>
                </c:pt>
                <c:pt idx="9">
                  <c:v>0.26851851851851799</c:v>
                </c:pt>
                <c:pt idx="10">
                  <c:v>0.42724867724867699</c:v>
                </c:pt>
                <c:pt idx="11">
                  <c:v>0.30026455026455001</c:v>
                </c:pt>
                <c:pt idx="12">
                  <c:v>0.82671957671957697</c:v>
                </c:pt>
                <c:pt idx="13">
                  <c:v>0.70767195767195801</c:v>
                </c:pt>
                <c:pt idx="14">
                  <c:v>0.29232804232804199</c:v>
                </c:pt>
                <c:pt idx="15">
                  <c:v>0.78174603174603197</c:v>
                </c:pt>
              </c:numCache>
            </c:numRef>
          </c:xVal>
          <c:yVal>
            <c:numRef>
              <c:f>'stm (Local)'!$G$874:$G$889</c:f>
              <c:numCache>
                <c:formatCode>General</c:formatCode>
                <c:ptCount val="16"/>
                <c:pt idx="0">
                  <c:v>0.26033057851239705</c:v>
                </c:pt>
                <c:pt idx="1">
                  <c:v>0.73966942148760295</c:v>
                </c:pt>
                <c:pt idx="2">
                  <c:v>0.27685950413223104</c:v>
                </c:pt>
                <c:pt idx="3">
                  <c:v>0.55371900826446296</c:v>
                </c:pt>
                <c:pt idx="4">
                  <c:v>0.91322314049586784</c:v>
                </c:pt>
                <c:pt idx="5">
                  <c:v>0.26859504132231404</c:v>
                </c:pt>
                <c:pt idx="6">
                  <c:v>0.58264462809917394</c:v>
                </c:pt>
                <c:pt idx="7">
                  <c:v>8.2644628099169948E-3</c:v>
                </c:pt>
                <c:pt idx="8">
                  <c:v>0.99173553719008267</c:v>
                </c:pt>
                <c:pt idx="9">
                  <c:v>0.97933884297520657</c:v>
                </c:pt>
                <c:pt idx="10">
                  <c:v>6.6115702479338956E-2</c:v>
                </c:pt>
                <c:pt idx="11">
                  <c:v>0.60743801652892593</c:v>
                </c:pt>
                <c:pt idx="12">
                  <c:v>0.93801652892561982</c:v>
                </c:pt>
                <c:pt idx="13">
                  <c:v>0.70661157024793397</c:v>
                </c:pt>
                <c:pt idx="14">
                  <c:v>0.87190082644628097</c:v>
                </c:pt>
                <c:pt idx="15">
                  <c:v>0.53305785123966898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7-4A15-B5F5-7858FDB88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lang="hu-HU" sz="1000"/>
              <a:t>offside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'stm (Local)'!$A$891</c:f>
              <c:strCache>
                <c:ptCount val="1"/>
                <c:pt idx="0">
                  <c:v>offside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'stm (Local)'!$F$893:$F$894</c:f>
              <c:numCache>
                <c:formatCode>General</c:formatCode>
                <c:ptCount val="2"/>
                <c:pt idx="0">
                  <c:v>0.54894179894179895</c:v>
                </c:pt>
                <c:pt idx="1">
                  <c:v>0.794973544973545</c:v>
                </c:pt>
              </c:numCache>
            </c:numRef>
          </c:xVal>
          <c:yVal>
            <c:numRef>
              <c:f>'stm (Local)'!$G$893:$G$894</c:f>
              <c:numCache>
                <c:formatCode>General</c:formatCode>
                <c:ptCount val="2"/>
                <c:pt idx="0">
                  <c:v>0.80991735537190102</c:v>
                </c:pt>
                <c:pt idx="1">
                  <c:v>0.68181818181818199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D-4010-BDAA-8B2FFCC31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Aerial challenge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statistics'!$A$480</c:f>
              <c:strCache>
                <c:ptCount val="1"/>
                <c:pt idx="0">
                  <c:v>Aerial challenge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statistics'!$H$482:$H$507</c:f>
              <c:numCache>
                <c:formatCode>General</c:formatCode>
                <c:ptCount val="26"/>
                <c:pt idx="0">
                  <c:v>3.7292817679557999E-2</c:v>
                </c:pt>
                <c:pt idx="1">
                  <c:v>0.55386740331491702</c:v>
                </c:pt>
                <c:pt idx="2">
                  <c:v>0.46546961325966901</c:v>
                </c:pt>
                <c:pt idx="3">
                  <c:v>4.28176795580111E-2</c:v>
                </c:pt>
                <c:pt idx="4">
                  <c:v>0.56767955801104997</c:v>
                </c:pt>
                <c:pt idx="5">
                  <c:v>0.14502762430939201</c:v>
                </c:pt>
                <c:pt idx="6">
                  <c:v>0.46823204419889503</c:v>
                </c:pt>
                <c:pt idx="7">
                  <c:v>0.219613259668508</c:v>
                </c:pt>
                <c:pt idx="8">
                  <c:v>0.16436464088397801</c:v>
                </c:pt>
                <c:pt idx="9">
                  <c:v>0.66988950276243098</c:v>
                </c:pt>
                <c:pt idx="10">
                  <c:v>0.62845303867403302</c:v>
                </c:pt>
                <c:pt idx="11">
                  <c:v>7.0441988950276202E-2</c:v>
                </c:pt>
                <c:pt idx="12">
                  <c:v>4.5580110497237598E-2</c:v>
                </c:pt>
                <c:pt idx="13">
                  <c:v>7.5966850828729296E-2</c:v>
                </c:pt>
                <c:pt idx="14">
                  <c:v>0.59254143646408797</c:v>
                </c:pt>
                <c:pt idx="15">
                  <c:v>0.551104972375691</c:v>
                </c:pt>
                <c:pt idx="16">
                  <c:v>4.28176795580111E-2</c:v>
                </c:pt>
                <c:pt idx="17">
                  <c:v>0.51519337016574596</c:v>
                </c:pt>
                <c:pt idx="18">
                  <c:v>0.65607734806629803</c:v>
                </c:pt>
                <c:pt idx="19">
                  <c:v>0.77209944751381199</c:v>
                </c:pt>
                <c:pt idx="20">
                  <c:v>0.600828729281768</c:v>
                </c:pt>
                <c:pt idx="21">
                  <c:v>0.28867403314917101</c:v>
                </c:pt>
                <c:pt idx="22">
                  <c:v>0.61464088397790095</c:v>
                </c:pt>
                <c:pt idx="23">
                  <c:v>0.41574585635359101</c:v>
                </c:pt>
                <c:pt idx="24">
                  <c:v>0.44613259668508298</c:v>
                </c:pt>
                <c:pt idx="25">
                  <c:v>0.55662983425414403</c:v>
                </c:pt>
              </c:numCache>
            </c:numRef>
          </c:xVal>
          <c:yVal>
            <c:numRef>
              <c:f>'Project statistics'!$I$482:$I$507</c:f>
              <c:numCache>
                <c:formatCode>General</c:formatCode>
                <c:ptCount val="26"/>
                <c:pt idx="0">
                  <c:v>0.49568965517241403</c:v>
                </c:pt>
                <c:pt idx="1">
                  <c:v>0.79741379310344795</c:v>
                </c:pt>
                <c:pt idx="2">
                  <c:v>0.42241379310344795</c:v>
                </c:pt>
                <c:pt idx="3">
                  <c:v>0.625</c:v>
                </c:pt>
                <c:pt idx="4">
                  <c:v>0.72413793103448298</c:v>
                </c:pt>
                <c:pt idx="5">
                  <c:v>0.39655172413793105</c:v>
                </c:pt>
                <c:pt idx="6">
                  <c:v>0.556034482758621</c:v>
                </c:pt>
                <c:pt idx="7">
                  <c:v>0.67241379310344795</c:v>
                </c:pt>
                <c:pt idx="8">
                  <c:v>3.8793103448276023E-2</c:v>
                </c:pt>
                <c:pt idx="9">
                  <c:v>0.27586206896551702</c:v>
                </c:pt>
                <c:pt idx="10">
                  <c:v>0.75862068965517193</c:v>
                </c:pt>
                <c:pt idx="11">
                  <c:v>0.39224137931034497</c:v>
                </c:pt>
                <c:pt idx="12">
                  <c:v>0.58189655172413801</c:v>
                </c:pt>
                <c:pt idx="13">
                  <c:v>0.35344827586206895</c:v>
                </c:pt>
                <c:pt idx="14">
                  <c:v>0.48706896551724099</c:v>
                </c:pt>
                <c:pt idx="15">
                  <c:v>0.79741379310344795</c:v>
                </c:pt>
                <c:pt idx="16">
                  <c:v>0.443965517241379</c:v>
                </c:pt>
                <c:pt idx="17">
                  <c:v>0.39655172413793105</c:v>
                </c:pt>
                <c:pt idx="18">
                  <c:v>7.3275862068965969E-2</c:v>
                </c:pt>
                <c:pt idx="19">
                  <c:v>0.57758620689655205</c:v>
                </c:pt>
                <c:pt idx="20">
                  <c:v>0.36637931034482796</c:v>
                </c:pt>
                <c:pt idx="21">
                  <c:v>0.193965517241379</c:v>
                </c:pt>
                <c:pt idx="22">
                  <c:v>0.21120689655172398</c:v>
                </c:pt>
                <c:pt idx="23">
                  <c:v>0.88362068965517204</c:v>
                </c:pt>
                <c:pt idx="24">
                  <c:v>0.71551724137931005</c:v>
                </c:pt>
                <c:pt idx="25">
                  <c:v>0.35775862068965503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C-4228-B638-BCA39256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Cross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statistics'!$A$509</c:f>
              <c:strCache>
                <c:ptCount val="1"/>
                <c:pt idx="0">
                  <c:v>Cross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statistics'!$H$511:$H$530</c:f>
              <c:numCache>
                <c:formatCode>General</c:formatCode>
                <c:ptCount val="20"/>
                <c:pt idx="0">
                  <c:v>0.88535911602209905</c:v>
                </c:pt>
                <c:pt idx="1">
                  <c:v>0.91850828729281797</c:v>
                </c:pt>
                <c:pt idx="2">
                  <c:v>0.76657458563535896</c:v>
                </c:pt>
                <c:pt idx="3">
                  <c:v>0.76381215469613295</c:v>
                </c:pt>
                <c:pt idx="4">
                  <c:v>0.99309392265193397</c:v>
                </c:pt>
                <c:pt idx="5">
                  <c:v>0.97099447513812198</c:v>
                </c:pt>
                <c:pt idx="6">
                  <c:v>0.98756906077348094</c:v>
                </c:pt>
                <c:pt idx="7">
                  <c:v>0.89640883977900498</c:v>
                </c:pt>
                <c:pt idx="8">
                  <c:v>0.88812154696132595</c:v>
                </c:pt>
                <c:pt idx="9">
                  <c:v>0.93784530386740295</c:v>
                </c:pt>
                <c:pt idx="10">
                  <c:v>0.99033149171270696</c:v>
                </c:pt>
                <c:pt idx="11">
                  <c:v>0.82734806629834201</c:v>
                </c:pt>
                <c:pt idx="12">
                  <c:v>0.91574585635359096</c:v>
                </c:pt>
                <c:pt idx="13">
                  <c:v>0.94060773480662996</c:v>
                </c:pt>
                <c:pt idx="14">
                  <c:v>0.99309392265193397</c:v>
                </c:pt>
                <c:pt idx="15">
                  <c:v>0.82182320441988999</c:v>
                </c:pt>
                <c:pt idx="16">
                  <c:v>0.91022099447513805</c:v>
                </c:pt>
                <c:pt idx="17">
                  <c:v>0.99309392265193397</c:v>
                </c:pt>
                <c:pt idx="18">
                  <c:v>0.97099447513812198</c:v>
                </c:pt>
                <c:pt idx="19">
                  <c:v>0.70580110497237603</c:v>
                </c:pt>
              </c:numCache>
            </c:numRef>
          </c:xVal>
          <c:yVal>
            <c:numRef>
              <c:f>'Project statistics'!$I$511:$I$530</c:f>
              <c:numCache>
                <c:formatCode>General</c:formatCode>
                <c:ptCount val="20"/>
                <c:pt idx="0">
                  <c:v>0.125</c:v>
                </c:pt>
                <c:pt idx="1">
                  <c:v>0.81034482758620696</c:v>
                </c:pt>
                <c:pt idx="2">
                  <c:v>3.0172413793102981E-2</c:v>
                </c:pt>
                <c:pt idx="3">
                  <c:v>3.4482758620689946E-2</c:v>
                </c:pt>
                <c:pt idx="4">
                  <c:v>8.6206896551720424E-3</c:v>
                </c:pt>
                <c:pt idx="5">
                  <c:v>0.88793103448275901</c:v>
                </c:pt>
                <c:pt idx="6">
                  <c:v>0.99137931034482762</c:v>
                </c:pt>
                <c:pt idx="7">
                  <c:v>0.21120689655172398</c:v>
                </c:pt>
                <c:pt idx="8">
                  <c:v>0.93965517241379315</c:v>
                </c:pt>
                <c:pt idx="9">
                  <c:v>0.9181034482758621</c:v>
                </c:pt>
                <c:pt idx="10">
                  <c:v>0.99568965517241381</c:v>
                </c:pt>
                <c:pt idx="11">
                  <c:v>6.8965517241379004E-2</c:v>
                </c:pt>
                <c:pt idx="12">
                  <c:v>0.9568965517241379</c:v>
                </c:pt>
                <c:pt idx="13">
                  <c:v>6.4655172413793038E-2</c:v>
                </c:pt>
                <c:pt idx="14">
                  <c:v>2.155172413793105E-2</c:v>
                </c:pt>
                <c:pt idx="15">
                  <c:v>0.875</c:v>
                </c:pt>
                <c:pt idx="16">
                  <c:v>0.83620689655172398</c:v>
                </c:pt>
                <c:pt idx="17">
                  <c:v>1.2931034482759007E-2</c:v>
                </c:pt>
                <c:pt idx="18">
                  <c:v>0.73706896551724099</c:v>
                </c:pt>
                <c:pt idx="19">
                  <c:v>0.818965517241379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B-4574-ACE6-79CD5D14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Clearance/block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statistics'!$A$532</c:f>
              <c:strCache>
                <c:ptCount val="1"/>
                <c:pt idx="0">
                  <c:v>Clearance/block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statistics'!$G$534:$G$562</c:f>
              <c:numCache>
                <c:formatCode>General</c:formatCode>
                <c:ptCount val="29"/>
                <c:pt idx="0">
                  <c:v>0.26058201058201103</c:v>
                </c:pt>
                <c:pt idx="1">
                  <c:v>2.2486772486772499E-2</c:v>
                </c:pt>
                <c:pt idx="2">
                  <c:v>0.226190476190476</c:v>
                </c:pt>
                <c:pt idx="3">
                  <c:v>0.17328042328042301</c:v>
                </c:pt>
                <c:pt idx="4">
                  <c:v>0.24470899470899499</c:v>
                </c:pt>
                <c:pt idx="5">
                  <c:v>0.191798941798942</c:v>
                </c:pt>
                <c:pt idx="6">
                  <c:v>0.16005291005291</c:v>
                </c:pt>
                <c:pt idx="7">
                  <c:v>0.194444444444444</c:v>
                </c:pt>
                <c:pt idx="8">
                  <c:v>0.19973544973544999</c:v>
                </c:pt>
                <c:pt idx="9">
                  <c:v>0.41402116402116401</c:v>
                </c:pt>
                <c:pt idx="10">
                  <c:v>0.181216931216931</c:v>
                </c:pt>
                <c:pt idx="11">
                  <c:v>4.1005291005291003E-2</c:v>
                </c:pt>
                <c:pt idx="12">
                  <c:v>0.23412698412698399</c:v>
                </c:pt>
                <c:pt idx="13">
                  <c:v>4.1005291005291003E-2</c:v>
                </c:pt>
                <c:pt idx="14">
                  <c:v>4.36507936507936E-2</c:v>
                </c:pt>
                <c:pt idx="15">
                  <c:v>0.23148148148148101</c:v>
                </c:pt>
                <c:pt idx="16">
                  <c:v>3.3068783068783102E-2</c:v>
                </c:pt>
                <c:pt idx="17">
                  <c:v>0.170634920634921</c:v>
                </c:pt>
                <c:pt idx="18">
                  <c:v>0.194444444444444</c:v>
                </c:pt>
                <c:pt idx="19">
                  <c:v>5.6878306878306903E-2</c:v>
                </c:pt>
                <c:pt idx="20">
                  <c:v>0.25</c:v>
                </c:pt>
                <c:pt idx="21">
                  <c:v>9.1269841269841306E-2</c:v>
                </c:pt>
                <c:pt idx="22">
                  <c:v>0.157407407407407</c:v>
                </c:pt>
                <c:pt idx="23">
                  <c:v>0.25</c:v>
                </c:pt>
                <c:pt idx="24">
                  <c:v>8.8624338624338606E-2</c:v>
                </c:pt>
                <c:pt idx="25">
                  <c:v>4.36507936507936E-2</c:v>
                </c:pt>
                <c:pt idx="26">
                  <c:v>5.6878306878306903E-2</c:v>
                </c:pt>
                <c:pt idx="27">
                  <c:v>0.15476190476190499</c:v>
                </c:pt>
                <c:pt idx="28">
                  <c:v>6.7460317460317498E-2</c:v>
                </c:pt>
              </c:numCache>
            </c:numRef>
          </c:xVal>
          <c:yVal>
            <c:numRef>
              <c:f>'Project statistics'!$H$534:$H$562</c:f>
              <c:numCache>
                <c:formatCode>General</c:formatCode>
                <c:ptCount val="29"/>
                <c:pt idx="0">
                  <c:v>0.77685950413223104</c:v>
                </c:pt>
                <c:pt idx="1">
                  <c:v>0.26859504132231404</c:v>
                </c:pt>
                <c:pt idx="2">
                  <c:v>0.30578512396694202</c:v>
                </c:pt>
                <c:pt idx="3">
                  <c:v>0.495867768595041</c:v>
                </c:pt>
                <c:pt idx="4">
                  <c:v>0.669421487603306</c:v>
                </c:pt>
                <c:pt idx="5">
                  <c:v>0.95867768595041325</c:v>
                </c:pt>
                <c:pt idx="6">
                  <c:v>0.57438016528925595</c:v>
                </c:pt>
                <c:pt idx="7">
                  <c:v>0.69421487603305798</c:v>
                </c:pt>
                <c:pt idx="8">
                  <c:v>8.6776859504132053E-2</c:v>
                </c:pt>
                <c:pt idx="9">
                  <c:v>0.47107438016528902</c:v>
                </c:pt>
                <c:pt idx="10">
                  <c:v>0.64876033057851201</c:v>
                </c:pt>
                <c:pt idx="11">
                  <c:v>0.62396694214875992</c:v>
                </c:pt>
                <c:pt idx="12">
                  <c:v>0.84297520661156999</c:v>
                </c:pt>
                <c:pt idx="13">
                  <c:v>0.53305785123966898</c:v>
                </c:pt>
                <c:pt idx="14">
                  <c:v>0.52479338842975198</c:v>
                </c:pt>
                <c:pt idx="15">
                  <c:v>0.69834710743801698</c:v>
                </c:pt>
                <c:pt idx="16">
                  <c:v>0.48760330578512401</c:v>
                </c:pt>
                <c:pt idx="17">
                  <c:v>0.64462809917355401</c:v>
                </c:pt>
                <c:pt idx="18">
                  <c:v>0.61983471074380203</c:v>
                </c:pt>
                <c:pt idx="19">
                  <c:v>0.64049586776859502</c:v>
                </c:pt>
                <c:pt idx="20">
                  <c:v>0.673553719008264</c:v>
                </c:pt>
                <c:pt idx="21">
                  <c:v>0.61983471074380203</c:v>
                </c:pt>
                <c:pt idx="22">
                  <c:v>0.58264462809917394</c:v>
                </c:pt>
                <c:pt idx="23">
                  <c:v>0.42561983471074405</c:v>
                </c:pt>
                <c:pt idx="24">
                  <c:v>0.69834710743801698</c:v>
                </c:pt>
                <c:pt idx="25">
                  <c:v>0.48760330578512401</c:v>
                </c:pt>
                <c:pt idx="26">
                  <c:v>0.661157024793388</c:v>
                </c:pt>
                <c:pt idx="27">
                  <c:v>0.69008264462809898</c:v>
                </c:pt>
                <c:pt idx="28">
                  <c:v>0.48347107438016501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5-439D-9823-E72B8778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Goal attempt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statistics'!$A$564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statistics'!$H$566:$H$585</c:f>
              <c:numCache>
                <c:formatCode>General</c:formatCode>
                <c:ptCount val="20"/>
                <c:pt idx="0">
                  <c:v>0.899171270718232</c:v>
                </c:pt>
                <c:pt idx="1">
                  <c:v>0.90469613259668502</c:v>
                </c:pt>
                <c:pt idx="2">
                  <c:v>0.94337016574585597</c:v>
                </c:pt>
                <c:pt idx="3">
                  <c:v>0.81077348066298305</c:v>
                </c:pt>
                <c:pt idx="4">
                  <c:v>0.89640883977900498</c:v>
                </c:pt>
                <c:pt idx="5">
                  <c:v>0.95441988950276202</c:v>
                </c:pt>
                <c:pt idx="6">
                  <c:v>0.80801104972375704</c:v>
                </c:pt>
                <c:pt idx="7">
                  <c:v>0.93232044198895003</c:v>
                </c:pt>
                <c:pt idx="8">
                  <c:v>0.80248618784530401</c:v>
                </c:pt>
                <c:pt idx="9">
                  <c:v>0.76933701657458597</c:v>
                </c:pt>
                <c:pt idx="10">
                  <c:v>0.75</c:v>
                </c:pt>
                <c:pt idx="11">
                  <c:v>0.22</c:v>
                </c:pt>
                <c:pt idx="12">
                  <c:v>0.91574585635359096</c:v>
                </c:pt>
                <c:pt idx="13">
                  <c:v>0.84392265193370197</c:v>
                </c:pt>
                <c:pt idx="14">
                  <c:v>0.78591160220994505</c:v>
                </c:pt>
                <c:pt idx="15">
                  <c:v>0.79419889502762397</c:v>
                </c:pt>
                <c:pt idx="16">
                  <c:v>0.924033149171271</c:v>
                </c:pt>
                <c:pt idx="17">
                  <c:v>0.90745856353591203</c:v>
                </c:pt>
                <c:pt idx="18">
                  <c:v>0.90469613259668502</c:v>
                </c:pt>
                <c:pt idx="19">
                  <c:v>0.82734806629834201</c:v>
                </c:pt>
              </c:numCache>
            </c:numRef>
          </c:xVal>
          <c:yVal>
            <c:numRef>
              <c:f>'Project statistics'!$I$566:$I$585</c:f>
              <c:numCache>
                <c:formatCode>General</c:formatCode>
                <c:ptCount val="20"/>
                <c:pt idx="0">
                  <c:v>0.30172413793103403</c:v>
                </c:pt>
                <c:pt idx="1">
                  <c:v>0.39224137931034497</c:v>
                </c:pt>
                <c:pt idx="2">
                  <c:v>0.70258620689655205</c:v>
                </c:pt>
                <c:pt idx="3">
                  <c:v>0.60344827586206895</c:v>
                </c:pt>
                <c:pt idx="4">
                  <c:v>0.64224137931034497</c:v>
                </c:pt>
                <c:pt idx="5">
                  <c:v>0.63793103448275901</c:v>
                </c:pt>
                <c:pt idx="6">
                  <c:v>0.61206896551724099</c:v>
                </c:pt>
                <c:pt idx="7">
                  <c:v>0.61206896551724099</c:v>
                </c:pt>
                <c:pt idx="8">
                  <c:v>0.59051724137931005</c:v>
                </c:pt>
                <c:pt idx="9">
                  <c:v>0.61637931034482807</c:v>
                </c:pt>
                <c:pt idx="10">
                  <c:v>0.54310344827586199</c:v>
                </c:pt>
                <c:pt idx="11">
                  <c:v>0.53879310344827602</c:v>
                </c:pt>
                <c:pt idx="12">
                  <c:v>0.42672413793103403</c:v>
                </c:pt>
                <c:pt idx="13">
                  <c:v>0.63362068965517193</c:v>
                </c:pt>
                <c:pt idx="14">
                  <c:v>0.34051724137931005</c:v>
                </c:pt>
                <c:pt idx="15">
                  <c:v>0.45689655172413801</c:v>
                </c:pt>
                <c:pt idx="16">
                  <c:v>0.49137931034482796</c:v>
                </c:pt>
                <c:pt idx="17">
                  <c:v>0.375</c:v>
                </c:pt>
                <c:pt idx="18">
                  <c:v>0.39224137931034497</c:v>
                </c:pt>
                <c:pt idx="19">
                  <c:v>0.45258620689655205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3-4E7C-9362-1A024718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Goal attempt (Goal)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statistics'!$A$564</c:f>
              <c:strCache>
                <c:ptCount val="1"/>
                <c:pt idx="0">
                  <c:v>Goal attempt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statistics'!$J$566:$J$585</c:f>
              <c:numCache>
                <c:formatCode>General</c:formatCode>
                <c:ptCount val="20"/>
                <c:pt idx="4">
                  <c:v>0.76736842105263203</c:v>
                </c:pt>
                <c:pt idx="5">
                  <c:v>0.46</c:v>
                </c:pt>
                <c:pt idx="8">
                  <c:v>0.5</c:v>
                </c:pt>
              </c:numCache>
            </c:numRef>
          </c:xVal>
          <c:yVal>
            <c:numRef>
              <c:f>'Project statistics'!$K$566:$K$585</c:f>
              <c:numCache>
                <c:formatCode>General</c:formatCode>
                <c:ptCount val="20"/>
                <c:pt idx="4">
                  <c:v>8.6206896551723977E-2</c:v>
                </c:pt>
                <c:pt idx="5">
                  <c:v>4.3103448275861989E-2</c:v>
                </c:pt>
                <c:pt idx="8">
                  <c:v>0.11637931034482796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3-43A7-A5B3-936DCE2B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800" b="0"/>
            </a:pPr>
            <a:r>
              <a:rPr sz="1000"/>
              <a:t>Foul committed (Field)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'Project statistics'!$A$587</c:f>
              <c:strCache>
                <c:ptCount val="1"/>
                <c:pt idx="0">
                  <c:v>Foul committed</c:v>
                </c:pt>
              </c:strCache>
            </c:strRef>
          </c:tx>
          <c:spPr>
            <a:ln w="28575">
              <a:noFill/>
            </a:ln>
          </c:spPr>
          <c:xVal>
            <c:numRef>
              <c:f>'Project statistics'!$G$589:$G$602</c:f>
              <c:numCache>
                <c:formatCode>General</c:formatCode>
                <c:ptCount val="14"/>
                <c:pt idx="0">
                  <c:v>0.30820105820105798</c:v>
                </c:pt>
                <c:pt idx="1">
                  <c:v>0.73941798941798897</c:v>
                </c:pt>
                <c:pt idx="2">
                  <c:v>0.32407407407407401</c:v>
                </c:pt>
                <c:pt idx="3">
                  <c:v>0.33465608465608498</c:v>
                </c:pt>
                <c:pt idx="4">
                  <c:v>0.66005291005291</c:v>
                </c:pt>
                <c:pt idx="5">
                  <c:v>1.7195767195767198E-2</c:v>
                </c:pt>
                <c:pt idx="6">
                  <c:v>0.273809523809524</c:v>
                </c:pt>
                <c:pt idx="7">
                  <c:v>0.72354497354497305</c:v>
                </c:pt>
                <c:pt idx="8">
                  <c:v>7.8042328042327996E-2</c:v>
                </c:pt>
                <c:pt idx="9">
                  <c:v>0.55952380952380998</c:v>
                </c:pt>
                <c:pt idx="10">
                  <c:v>0.62037037037037002</c:v>
                </c:pt>
                <c:pt idx="11">
                  <c:v>0.49329758713136701</c:v>
                </c:pt>
                <c:pt idx="12">
                  <c:v>0.30291005291005302</c:v>
                </c:pt>
                <c:pt idx="13">
                  <c:v>0.54365079365079405</c:v>
                </c:pt>
              </c:numCache>
            </c:numRef>
          </c:xVal>
          <c:yVal>
            <c:numRef>
              <c:f>'Project statistics'!$H$589:$H$602</c:f>
              <c:numCache>
                <c:formatCode>General</c:formatCode>
                <c:ptCount val="14"/>
                <c:pt idx="0">
                  <c:v>0.50826446280991699</c:v>
                </c:pt>
                <c:pt idx="1">
                  <c:v>0.59917355371900793</c:v>
                </c:pt>
                <c:pt idx="2">
                  <c:v>0.95041322314049592</c:v>
                </c:pt>
                <c:pt idx="3">
                  <c:v>0.669421487603306</c:v>
                </c:pt>
                <c:pt idx="4">
                  <c:v>0.15289256198347101</c:v>
                </c:pt>
                <c:pt idx="5">
                  <c:v>0.28099173553719003</c:v>
                </c:pt>
                <c:pt idx="6">
                  <c:v>0.38842975206611596</c:v>
                </c:pt>
                <c:pt idx="7">
                  <c:v>0.98347107438016534</c:v>
                </c:pt>
                <c:pt idx="8">
                  <c:v>0.46694214876033102</c:v>
                </c:pt>
                <c:pt idx="9">
                  <c:v>0.64049586776859502</c:v>
                </c:pt>
                <c:pt idx="10">
                  <c:v>0.98760330578512401</c:v>
                </c:pt>
                <c:pt idx="11">
                  <c:v>0.59832635983263605</c:v>
                </c:pt>
                <c:pt idx="12">
                  <c:v>0.68595041322313999</c:v>
                </c:pt>
                <c:pt idx="13">
                  <c:v>0.97107438016528935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F-4DB3-90F5-A4AD66F4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3" Type="http://schemas.openxmlformats.org/officeDocument/2006/relationships/chart" Target="../charts/chart2.xml"/><Relationship Id="rId21" Type="http://schemas.openxmlformats.org/officeDocument/2006/relationships/chart" Target="../charts/chart18.xml"/><Relationship Id="rId7" Type="http://schemas.openxmlformats.org/officeDocument/2006/relationships/chart" Target="../charts/chart6.xml"/><Relationship Id="rId12" Type="http://schemas.openxmlformats.org/officeDocument/2006/relationships/image" Target="../media/image3.jpg"/><Relationship Id="rId17" Type="http://schemas.openxmlformats.org/officeDocument/2006/relationships/chart" Target="../charts/chart14.xml"/><Relationship Id="rId2" Type="http://schemas.openxmlformats.org/officeDocument/2006/relationships/chart" Target="../charts/chart1.xml"/><Relationship Id="rId16" Type="http://schemas.openxmlformats.org/officeDocument/2006/relationships/chart" Target="../charts/chart13.xml"/><Relationship Id="rId20" Type="http://schemas.openxmlformats.org/officeDocument/2006/relationships/chart" Target="../charts/chart17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chart" Target="../charts/chart8.xml"/><Relationship Id="rId19" Type="http://schemas.openxmlformats.org/officeDocument/2006/relationships/chart" Target="../charts/chart16.xml"/><Relationship Id="rId4" Type="http://schemas.openxmlformats.org/officeDocument/2006/relationships/chart" Target="../charts/chart3.xml"/><Relationship Id="rId9" Type="http://schemas.openxmlformats.org/officeDocument/2006/relationships/image" Target="../media/image2.jpg"/><Relationship Id="rId14" Type="http://schemas.openxmlformats.org/officeDocument/2006/relationships/chart" Target="../charts/chart11.xml"/><Relationship Id="rId22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21.xml"/><Relationship Id="rId21" Type="http://schemas.openxmlformats.org/officeDocument/2006/relationships/chart" Target="../charts/chart37.xml"/><Relationship Id="rId7" Type="http://schemas.openxmlformats.org/officeDocument/2006/relationships/chart" Target="../charts/chart25.xml"/><Relationship Id="rId12" Type="http://schemas.openxmlformats.org/officeDocument/2006/relationships/image" Target="../media/image3.jpg"/><Relationship Id="rId17" Type="http://schemas.openxmlformats.org/officeDocument/2006/relationships/chart" Target="../charts/chart33.xml"/><Relationship Id="rId2" Type="http://schemas.openxmlformats.org/officeDocument/2006/relationships/chart" Target="../charts/chart20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image" Target="../media/image1.jpg"/><Relationship Id="rId6" Type="http://schemas.openxmlformats.org/officeDocument/2006/relationships/chart" Target="../charts/chart24.xml"/><Relationship Id="rId11" Type="http://schemas.openxmlformats.org/officeDocument/2006/relationships/chart" Target="../charts/chart28.xml"/><Relationship Id="rId5" Type="http://schemas.openxmlformats.org/officeDocument/2006/relationships/chart" Target="../charts/chart23.xml"/><Relationship Id="rId15" Type="http://schemas.openxmlformats.org/officeDocument/2006/relationships/chart" Target="../charts/chart31.xml"/><Relationship Id="rId10" Type="http://schemas.openxmlformats.org/officeDocument/2006/relationships/chart" Target="../charts/chart27.xml"/><Relationship Id="rId19" Type="http://schemas.openxmlformats.org/officeDocument/2006/relationships/chart" Target="../charts/chart35.xml"/><Relationship Id="rId4" Type="http://schemas.openxmlformats.org/officeDocument/2006/relationships/chart" Target="../charts/chart22.xml"/><Relationship Id="rId9" Type="http://schemas.openxmlformats.org/officeDocument/2006/relationships/image" Target="../media/image2.jpg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</xdr:colOff>
      <xdr:row>9</xdr:row>
      <xdr:rowOff>85725</xdr:rowOff>
    </xdr:from>
    <xdr:to>
      <xdr:col>20</xdr:col>
      <xdr:colOff>495300</xdr:colOff>
      <xdr:row>33</xdr:row>
      <xdr:rowOff>171450</xdr:rowOff>
    </xdr:to>
    <xdr:pic>
      <xdr:nvPicPr>
        <xdr:cNvPr id="2" name="background_Tableda34c751_3c79_47e7_b7a5_791a85b0e429_1_Fiel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9</xdr:row>
      <xdr:rowOff>85725</xdr:rowOff>
    </xdr:from>
    <xdr:to>
      <xdr:col>20</xdr:col>
      <xdr:colOff>495300</xdr:colOff>
      <xdr:row>33</xdr:row>
      <xdr:rowOff>171450</xdr:rowOff>
    </xdr:to>
    <xdr:graphicFrame macro="">
      <xdr:nvGraphicFramePr>
        <xdr:cNvPr id="3" name="Tableda34c751_3c79_47e7_b7a5_791a85b0e429_1_Fiel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38100</xdr:colOff>
      <xdr:row>272</xdr:row>
      <xdr:rowOff>171450</xdr:rowOff>
    </xdr:from>
    <xdr:to>
      <xdr:col>19</xdr:col>
      <xdr:colOff>485775</xdr:colOff>
      <xdr:row>297</xdr:row>
      <xdr:rowOff>66675</xdr:rowOff>
    </xdr:to>
    <xdr:pic>
      <xdr:nvPicPr>
        <xdr:cNvPr id="4" name="background_Tabled398149f_c829_4b40_bdf6_4d4b1881f6d6_1_Field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272</xdr:row>
      <xdr:rowOff>171450</xdr:rowOff>
    </xdr:from>
    <xdr:to>
      <xdr:col>19</xdr:col>
      <xdr:colOff>485775</xdr:colOff>
      <xdr:row>297</xdr:row>
      <xdr:rowOff>66675</xdr:rowOff>
    </xdr:to>
    <xdr:graphicFrame macro="">
      <xdr:nvGraphicFramePr>
        <xdr:cNvPr id="5" name="Tabled398149f_c829_4b40_bdf6_4d4b1881f6d6_1_Fiel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47625</xdr:colOff>
      <xdr:row>371</xdr:row>
      <xdr:rowOff>66675</xdr:rowOff>
    </xdr:from>
    <xdr:to>
      <xdr:col>20</xdr:col>
      <xdr:colOff>495300</xdr:colOff>
      <xdr:row>395</xdr:row>
      <xdr:rowOff>152400</xdr:rowOff>
    </xdr:to>
    <xdr:pic>
      <xdr:nvPicPr>
        <xdr:cNvPr id="6" name="background_Table84a4c27d_488c_4fa7_ad51_50cb6cc99cc5_1_Fiel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371</xdr:row>
      <xdr:rowOff>66675</xdr:rowOff>
    </xdr:from>
    <xdr:to>
      <xdr:col>20</xdr:col>
      <xdr:colOff>495300</xdr:colOff>
      <xdr:row>395</xdr:row>
      <xdr:rowOff>152400</xdr:rowOff>
    </xdr:to>
    <xdr:graphicFrame macro="">
      <xdr:nvGraphicFramePr>
        <xdr:cNvPr id="7" name="Table84a4c27d_488c_4fa7_ad51_50cb6cc99cc5_1_Field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47625</xdr:colOff>
      <xdr:row>477</xdr:row>
      <xdr:rowOff>152400</xdr:rowOff>
    </xdr:from>
    <xdr:to>
      <xdr:col>20</xdr:col>
      <xdr:colOff>495300</xdr:colOff>
      <xdr:row>502</xdr:row>
      <xdr:rowOff>47625</xdr:rowOff>
    </xdr:to>
    <xdr:pic>
      <xdr:nvPicPr>
        <xdr:cNvPr id="8" name="background_Table361694ab_fb6a_4cb9_a3a4_92c356bab0a4_1_Field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477</xdr:row>
      <xdr:rowOff>152400</xdr:rowOff>
    </xdr:from>
    <xdr:to>
      <xdr:col>20</xdr:col>
      <xdr:colOff>495300</xdr:colOff>
      <xdr:row>502</xdr:row>
      <xdr:rowOff>47625</xdr:rowOff>
    </xdr:to>
    <xdr:graphicFrame macro="">
      <xdr:nvGraphicFramePr>
        <xdr:cNvPr id="9" name="Table361694ab_fb6a_4cb9_a3a4_92c356bab0a4_1_Field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47625</xdr:colOff>
      <xdr:row>506</xdr:row>
      <xdr:rowOff>47625</xdr:rowOff>
    </xdr:from>
    <xdr:to>
      <xdr:col>19</xdr:col>
      <xdr:colOff>304800</xdr:colOff>
      <xdr:row>526</xdr:row>
      <xdr:rowOff>133350</xdr:rowOff>
    </xdr:to>
    <xdr:pic>
      <xdr:nvPicPr>
        <xdr:cNvPr id="10" name="background_Table589a5f54_bbfd_4af0_b954_b4ee5c29f01b_1_Fiel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506</xdr:row>
      <xdr:rowOff>47625</xdr:rowOff>
    </xdr:from>
    <xdr:to>
      <xdr:col>19</xdr:col>
      <xdr:colOff>304800</xdr:colOff>
      <xdr:row>526</xdr:row>
      <xdr:rowOff>133350</xdr:rowOff>
    </xdr:to>
    <xdr:graphicFrame macro="">
      <xdr:nvGraphicFramePr>
        <xdr:cNvPr id="11" name="Table589a5f54_bbfd_4af0_b954_b4ee5c29f01b_1_Field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38100</xdr:colOff>
      <xdr:row>528</xdr:row>
      <xdr:rowOff>133350</xdr:rowOff>
    </xdr:from>
    <xdr:to>
      <xdr:col>19</xdr:col>
      <xdr:colOff>485775</xdr:colOff>
      <xdr:row>553</xdr:row>
      <xdr:rowOff>28575</xdr:rowOff>
    </xdr:to>
    <xdr:pic>
      <xdr:nvPicPr>
        <xdr:cNvPr id="12" name="background_Tableb6582a76_2a12_446f_a06e_43d53b982cad_1_Field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528</xdr:row>
      <xdr:rowOff>133350</xdr:rowOff>
    </xdr:from>
    <xdr:to>
      <xdr:col>19</xdr:col>
      <xdr:colOff>485775</xdr:colOff>
      <xdr:row>553</xdr:row>
      <xdr:rowOff>28575</xdr:rowOff>
    </xdr:to>
    <xdr:graphicFrame macro="">
      <xdr:nvGraphicFramePr>
        <xdr:cNvPr id="13" name="Tableb6582a76_2a12_446f_a06e_43d53b982cad_1_Field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57150</xdr:colOff>
      <xdr:row>560</xdr:row>
      <xdr:rowOff>28575</xdr:rowOff>
    </xdr:from>
    <xdr:to>
      <xdr:col>21</xdr:col>
      <xdr:colOff>314325</xdr:colOff>
      <xdr:row>580</xdr:row>
      <xdr:rowOff>114300</xdr:rowOff>
    </xdr:to>
    <xdr:pic>
      <xdr:nvPicPr>
        <xdr:cNvPr id="14" name="background_Table895bb942_24c4_487e_98b1_b3ff3b1ae971_1_Field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15</xdr:col>
      <xdr:colOff>57150</xdr:colOff>
      <xdr:row>560</xdr:row>
      <xdr:rowOff>28575</xdr:rowOff>
    </xdr:from>
    <xdr:to>
      <xdr:col>21</xdr:col>
      <xdr:colOff>314325</xdr:colOff>
      <xdr:row>580</xdr:row>
      <xdr:rowOff>114300</xdr:rowOff>
    </xdr:to>
    <xdr:graphicFrame macro="">
      <xdr:nvGraphicFramePr>
        <xdr:cNvPr id="15" name="Table895bb942_24c4_487e_98b1_b3ff3b1ae971_1_Field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95250</xdr:colOff>
      <xdr:row>560</xdr:row>
      <xdr:rowOff>28575</xdr:rowOff>
    </xdr:from>
    <xdr:to>
      <xdr:col>33</xdr:col>
      <xdr:colOff>285750</xdr:colOff>
      <xdr:row>580</xdr:row>
      <xdr:rowOff>114300</xdr:rowOff>
    </xdr:to>
    <xdr:pic>
      <xdr:nvPicPr>
        <xdr:cNvPr id="16" name="background_Table895bb942_24c4_487e_98b1_b3ff3b1ae971_1_Goal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25</xdr:col>
      <xdr:colOff>95250</xdr:colOff>
      <xdr:row>560</xdr:row>
      <xdr:rowOff>28575</xdr:rowOff>
    </xdr:from>
    <xdr:to>
      <xdr:col>33</xdr:col>
      <xdr:colOff>285750</xdr:colOff>
      <xdr:row>580</xdr:row>
      <xdr:rowOff>114300</xdr:rowOff>
    </xdr:to>
    <xdr:graphicFrame macro="">
      <xdr:nvGraphicFramePr>
        <xdr:cNvPr id="17" name="Table895bb942_24c4_487e_98b1_b3ff3b1ae971_1_Goal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47625</xdr:colOff>
      <xdr:row>582</xdr:row>
      <xdr:rowOff>114300</xdr:rowOff>
    </xdr:from>
    <xdr:to>
      <xdr:col>18</xdr:col>
      <xdr:colOff>514350</xdr:colOff>
      <xdr:row>597</xdr:row>
      <xdr:rowOff>9525</xdr:rowOff>
    </xdr:to>
    <xdr:pic>
      <xdr:nvPicPr>
        <xdr:cNvPr id="18" name="background_Table61a4fab7_73b8_4116_89ab_20b1c0c132c3_1_Field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14</xdr:col>
      <xdr:colOff>47625</xdr:colOff>
      <xdr:row>582</xdr:row>
      <xdr:rowOff>114300</xdr:rowOff>
    </xdr:from>
    <xdr:to>
      <xdr:col>18</xdr:col>
      <xdr:colOff>514350</xdr:colOff>
      <xdr:row>597</xdr:row>
      <xdr:rowOff>9525</xdr:rowOff>
    </xdr:to>
    <xdr:graphicFrame macro="">
      <xdr:nvGraphicFramePr>
        <xdr:cNvPr id="19" name="Table61a4fab7_73b8_4116_89ab_20b1c0c132c3_1_Field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22</xdr:col>
      <xdr:colOff>85725</xdr:colOff>
      <xdr:row>582</xdr:row>
      <xdr:rowOff>114300</xdr:rowOff>
    </xdr:from>
    <xdr:to>
      <xdr:col>25</xdr:col>
      <xdr:colOff>676275</xdr:colOff>
      <xdr:row>597</xdr:row>
      <xdr:rowOff>9525</xdr:rowOff>
    </xdr:to>
    <xdr:pic>
      <xdr:nvPicPr>
        <xdr:cNvPr id="20" name="background_Table61a4fab7_73b8_4116_89ab_20b1c0c132c3_1_HalfField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22</xdr:col>
      <xdr:colOff>85725</xdr:colOff>
      <xdr:row>582</xdr:row>
      <xdr:rowOff>114300</xdr:rowOff>
    </xdr:from>
    <xdr:to>
      <xdr:col>25</xdr:col>
      <xdr:colOff>676275</xdr:colOff>
      <xdr:row>597</xdr:row>
      <xdr:rowOff>9525</xdr:rowOff>
    </xdr:to>
    <xdr:graphicFrame macro="">
      <xdr:nvGraphicFramePr>
        <xdr:cNvPr id="21" name="Table61a4fab7_73b8_4116_89ab_20b1c0c132c3_1_HalfField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13</xdr:col>
      <xdr:colOff>47625</xdr:colOff>
      <xdr:row>599</xdr:row>
      <xdr:rowOff>9525</xdr:rowOff>
    </xdr:from>
    <xdr:to>
      <xdr:col>20</xdr:col>
      <xdr:colOff>495300</xdr:colOff>
      <xdr:row>623</xdr:row>
      <xdr:rowOff>95250</xdr:rowOff>
    </xdr:to>
    <xdr:pic>
      <xdr:nvPicPr>
        <xdr:cNvPr id="22" name="background_Table585aa822_e5b9_4c71_8d4b_1b38a2893b5a_1_Field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599</xdr:row>
      <xdr:rowOff>9525</xdr:rowOff>
    </xdr:from>
    <xdr:to>
      <xdr:col>20</xdr:col>
      <xdr:colOff>495300</xdr:colOff>
      <xdr:row>623</xdr:row>
      <xdr:rowOff>95250</xdr:rowOff>
    </xdr:to>
    <xdr:graphicFrame macro="">
      <xdr:nvGraphicFramePr>
        <xdr:cNvPr id="23" name="Table585aa822_e5b9_4c71_8d4b_1b38a2893b5a_1_Field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47625</xdr:colOff>
      <xdr:row>678</xdr:row>
      <xdr:rowOff>95250</xdr:rowOff>
    </xdr:from>
    <xdr:to>
      <xdr:col>16</xdr:col>
      <xdr:colOff>323850</xdr:colOff>
      <xdr:row>688</xdr:row>
      <xdr:rowOff>180975</xdr:rowOff>
    </xdr:to>
    <xdr:pic>
      <xdr:nvPicPr>
        <xdr:cNvPr id="24" name="background_Tablec5683f71_6c87_493e_848b_9ce3ab05f9c2_1_Field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678</xdr:row>
      <xdr:rowOff>95250</xdr:rowOff>
    </xdr:from>
    <xdr:to>
      <xdr:col>16</xdr:col>
      <xdr:colOff>323850</xdr:colOff>
      <xdr:row>688</xdr:row>
      <xdr:rowOff>180975</xdr:rowOff>
    </xdr:to>
    <xdr:graphicFrame macro="">
      <xdr:nvGraphicFramePr>
        <xdr:cNvPr id="25" name="Tablec5683f71_6c87_493e_848b_9ce3ab05f9c2_1_Field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14</xdr:col>
      <xdr:colOff>47625</xdr:colOff>
      <xdr:row>693</xdr:row>
      <xdr:rowOff>180975</xdr:rowOff>
    </xdr:from>
    <xdr:to>
      <xdr:col>18</xdr:col>
      <xdr:colOff>514350</xdr:colOff>
      <xdr:row>708</xdr:row>
      <xdr:rowOff>76200</xdr:rowOff>
    </xdr:to>
    <xdr:pic>
      <xdr:nvPicPr>
        <xdr:cNvPr id="26" name="background_Tableb64dd8be_98bb_4cd6_a2f4_1d11ff3bf4ed_1_Field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14</xdr:col>
      <xdr:colOff>47625</xdr:colOff>
      <xdr:row>693</xdr:row>
      <xdr:rowOff>180975</xdr:rowOff>
    </xdr:from>
    <xdr:to>
      <xdr:col>18</xdr:col>
      <xdr:colOff>514350</xdr:colOff>
      <xdr:row>708</xdr:row>
      <xdr:rowOff>76200</xdr:rowOff>
    </xdr:to>
    <xdr:graphicFrame macro="">
      <xdr:nvGraphicFramePr>
        <xdr:cNvPr id="27" name="Tableb64dd8be_98bb_4cd6_a2f4_1d11ff3bf4ed_1_Field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22</xdr:col>
      <xdr:colOff>85725</xdr:colOff>
      <xdr:row>693</xdr:row>
      <xdr:rowOff>180975</xdr:rowOff>
    </xdr:from>
    <xdr:to>
      <xdr:col>25</xdr:col>
      <xdr:colOff>676275</xdr:colOff>
      <xdr:row>708</xdr:row>
      <xdr:rowOff>76200</xdr:rowOff>
    </xdr:to>
    <xdr:pic>
      <xdr:nvPicPr>
        <xdr:cNvPr id="28" name="background_Tableb64dd8be_98bb_4cd6_a2f4_1d11ff3bf4ed_1_HalfField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22</xdr:col>
      <xdr:colOff>85725</xdr:colOff>
      <xdr:row>693</xdr:row>
      <xdr:rowOff>180975</xdr:rowOff>
    </xdr:from>
    <xdr:to>
      <xdr:col>25</xdr:col>
      <xdr:colOff>676275</xdr:colOff>
      <xdr:row>708</xdr:row>
      <xdr:rowOff>76200</xdr:rowOff>
    </xdr:to>
    <xdr:graphicFrame macro="">
      <xdr:nvGraphicFramePr>
        <xdr:cNvPr id="29" name="Tableb64dd8be_98bb_4cd6_a2f4_1d11ff3bf4ed_1_HalfField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38100</xdr:colOff>
      <xdr:row>710</xdr:row>
      <xdr:rowOff>76200</xdr:rowOff>
    </xdr:from>
    <xdr:to>
      <xdr:col>13</xdr:col>
      <xdr:colOff>819150</xdr:colOff>
      <xdr:row>716</xdr:row>
      <xdr:rowOff>76200</xdr:rowOff>
    </xdr:to>
    <xdr:pic>
      <xdr:nvPicPr>
        <xdr:cNvPr id="30" name="background_Tableb73d4628_0fcf_4ab6_9c2e_5cc80e5a1775_1_Field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710</xdr:row>
      <xdr:rowOff>76200</xdr:rowOff>
    </xdr:from>
    <xdr:to>
      <xdr:col>13</xdr:col>
      <xdr:colOff>819150</xdr:colOff>
      <xdr:row>716</xdr:row>
      <xdr:rowOff>76200</xdr:rowOff>
    </xdr:to>
    <xdr:graphicFrame macro="">
      <xdr:nvGraphicFramePr>
        <xdr:cNvPr id="31" name="Tableb73d4628_0fcf_4ab6_9c2e_5cc80e5a1775_1_Field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47625</xdr:colOff>
      <xdr:row>725</xdr:row>
      <xdr:rowOff>161925</xdr:rowOff>
    </xdr:from>
    <xdr:to>
      <xdr:col>20</xdr:col>
      <xdr:colOff>495300</xdr:colOff>
      <xdr:row>750</xdr:row>
      <xdr:rowOff>57150</xdr:rowOff>
    </xdr:to>
    <xdr:pic>
      <xdr:nvPicPr>
        <xdr:cNvPr id="32" name="background_Table578f4f9c_5cc8_4a47_acaa_01ddd27af172_1_Field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725</xdr:row>
      <xdr:rowOff>161925</xdr:rowOff>
    </xdr:from>
    <xdr:to>
      <xdr:col>20</xdr:col>
      <xdr:colOff>495300</xdr:colOff>
      <xdr:row>750</xdr:row>
      <xdr:rowOff>57150</xdr:rowOff>
    </xdr:to>
    <xdr:graphicFrame macro="">
      <xdr:nvGraphicFramePr>
        <xdr:cNvPr id="33" name="Table578f4f9c_5cc8_4a47_acaa_01ddd27af172_1_Field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13</xdr:col>
      <xdr:colOff>47625</xdr:colOff>
      <xdr:row>770</xdr:row>
      <xdr:rowOff>57150</xdr:rowOff>
    </xdr:from>
    <xdr:to>
      <xdr:col>20</xdr:col>
      <xdr:colOff>495300</xdr:colOff>
      <xdr:row>794</xdr:row>
      <xdr:rowOff>142875</xdr:rowOff>
    </xdr:to>
    <xdr:pic>
      <xdr:nvPicPr>
        <xdr:cNvPr id="34" name="background_Table94a1bf78_bf9c_4e98_9c15_26d640b90420_1_Field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770</xdr:row>
      <xdr:rowOff>57150</xdr:rowOff>
    </xdr:from>
    <xdr:to>
      <xdr:col>20</xdr:col>
      <xdr:colOff>495300</xdr:colOff>
      <xdr:row>794</xdr:row>
      <xdr:rowOff>142875</xdr:rowOff>
    </xdr:to>
    <xdr:graphicFrame macro="">
      <xdr:nvGraphicFramePr>
        <xdr:cNvPr id="35" name="Table94a1bf78_bf9c_4e98_9c15_26d640b90420_1_Field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12</xdr:col>
      <xdr:colOff>38100</xdr:colOff>
      <xdr:row>837</xdr:row>
      <xdr:rowOff>123825</xdr:rowOff>
    </xdr:from>
    <xdr:to>
      <xdr:col>17</xdr:col>
      <xdr:colOff>95250</xdr:colOff>
      <xdr:row>854</xdr:row>
      <xdr:rowOff>19050</xdr:rowOff>
    </xdr:to>
    <xdr:pic>
      <xdr:nvPicPr>
        <xdr:cNvPr id="36" name="background_Tablefb531703_7efd_4582_949f_b033c3b75f39_1_Field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837</xdr:row>
      <xdr:rowOff>123825</xdr:rowOff>
    </xdr:from>
    <xdr:to>
      <xdr:col>17</xdr:col>
      <xdr:colOff>95250</xdr:colOff>
      <xdr:row>854</xdr:row>
      <xdr:rowOff>19050</xdr:rowOff>
    </xdr:to>
    <xdr:graphicFrame macro="">
      <xdr:nvGraphicFramePr>
        <xdr:cNvPr id="37" name="Tablefb531703_7efd_4582_949f_b033c3b75f39_1_Field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12</xdr:col>
      <xdr:colOff>38100</xdr:colOff>
      <xdr:row>856</xdr:row>
      <xdr:rowOff>19050</xdr:rowOff>
    </xdr:from>
    <xdr:to>
      <xdr:col>12</xdr:col>
      <xdr:colOff>923925</xdr:colOff>
      <xdr:row>859</xdr:row>
      <xdr:rowOff>19050</xdr:rowOff>
    </xdr:to>
    <xdr:pic>
      <xdr:nvPicPr>
        <xdr:cNvPr id="38" name="background_Table7492f3d1_99c8_4b87_8944_e6bc9a4ba3d3_1_Field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856</xdr:row>
      <xdr:rowOff>19050</xdr:rowOff>
    </xdr:from>
    <xdr:to>
      <xdr:col>12</xdr:col>
      <xdr:colOff>923925</xdr:colOff>
      <xdr:row>859</xdr:row>
      <xdr:rowOff>19050</xdr:rowOff>
    </xdr:to>
    <xdr:graphicFrame macro="">
      <xdr:nvGraphicFramePr>
        <xdr:cNvPr id="39" name="Table7492f3d1_99c8_4b87_8944_e6bc9a4ba3d3_1_Field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47</xdr:row>
      <xdr:rowOff>190500</xdr:rowOff>
    </xdr:from>
    <xdr:to>
      <xdr:col>20</xdr:col>
      <xdr:colOff>58955</xdr:colOff>
      <xdr:row>76</xdr:row>
      <xdr:rowOff>85726</xdr:rowOff>
    </xdr:to>
    <xdr:pic>
      <xdr:nvPicPr>
        <xdr:cNvPr id="38" name="background_Tableda34c751_3c79_47e7_b7a5_791a85b0e429_2_Field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47</xdr:row>
      <xdr:rowOff>190500</xdr:rowOff>
    </xdr:from>
    <xdr:to>
      <xdr:col>19</xdr:col>
      <xdr:colOff>485775</xdr:colOff>
      <xdr:row>72</xdr:row>
      <xdr:rowOff>85725</xdr:rowOff>
    </xdr:to>
    <xdr:graphicFrame macro="">
      <xdr:nvGraphicFramePr>
        <xdr:cNvPr id="39" name="Tableda34c751_3c79_47e7_b7a5_791a85b0e429_2_Field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38100</xdr:colOff>
      <xdr:row>310</xdr:row>
      <xdr:rowOff>85725</xdr:rowOff>
    </xdr:from>
    <xdr:to>
      <xdr:col>19</xdr:col>
      <xdr:colOff>397621</xdr:colOff>
      <xdr:row>334</xdr:row>
      <xdr:rowOff>171450</xdr:rowOff>
    </xdr:to>
    <xdr:pic>
      <xdr:nvPicPr>
        <xdr:cNvPr id="40" name="background_Tabled398149f_c829_4b40_bdf6_4d4b1881f6d6_2_Field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310</xdr:row>
      <xdr:rowOff>85725</xdr:rowOff>
    </xdr:from>
    <xdr:to>
      <xdr:col>18</xdr:col>
      <xdr:colOff>485775</xdr:colOff>
      <xdr:row>334</xdr:row>
      <xdr:rowOff>171450</xdr:rowOff>
    </xdr:to>
    <xdr:graphicFrame macro="">
      <xdr:nvGraphicFramePr>
        <xdr:cNvPr id="41" name="Tabled398149f_c829_4b40_bdf6_4d4b1881f6d6_2_Field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38100</xdr:colOff>
      <xdr:row>406</xdr:row>
      <xdr:rowOff>171450</xdr:rowOff>
    </xdr:from>
    <xdr:to>
      <xdr:col>20</xdr:col>
      <xdr:colOff>58955</xdr:colOff>
      <xdr:row>431</xdr:row>
      <xdr:rowOff>66675</xdr:rowOff>
    </xdr:to>
    <xdr:pic>
      <xdr:nvPicPr>
        <xdr:cNvPr id="42" name="background_Table84a4c27d_488c_4fa7_ad51_50cb6cc99cc5_2_Field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406</xdr:row>
      <xdr:rowOff>171450</xdr:rowOff>
    </xdr:from>
    <xdr:to>
      <xdr:col>19</xdr:col>
      <xdr:colOff>485775</xdr:colOff>
      <xdr:row>431</xdr:row>
      <xdr:rowOff>66675</xdr:rowOff>
    </xdr:to>
    <xdr:graphicFrame macro="">
      <xdr:nvGraphicFramePr>
        <xdr:cNvPr id="43" name="Table84a4c27d_488c_4fa7_ad51_50cb6cc99cc5_2_Field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38100</xdr:colOff>
      <xdr:row>508</xdr:row>
      <xdr:rowOff>66675</xdr:rowOff>
    </xdr:from>
    <xdr:to>
      <xdr:col>20</xdr:col>
      <xdr:colOff>58955</xdr:colOff>
      <xdr:row>532</xdr:row>
      <xdr:rowOff>152399</xdr:rowOff>
    </xdr:to>
    <xdr:pic>
      <xdr:nvPicPr>
        <xdr:cNvPr id="44" name="background_Table361694ab_fb6a_4cb9_a3a4_92c356bab0a4_2_Field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508</xdr:row>
      <xdr:rowOff>66675</xdr:rowOff>
    </xdr:from>
    <xdr:to>
      <xdr:col>19</xdr:col>
      <xdr:colOff>485775</xdr:colOff>
      <xdr:row>532</xdr:row>
      <xdr:rowOff>152400</xdr:rowOff>
    </xdr:to>
    <xdr:graphicFrame macro="">
      <xdr:nvGraphicFramePr>
        <xdr:cNvPr id="45" name="Table361694ab_fb6a_4cb9_a3a4_92c356bab0a4_2_Field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38100</xdr:colOff>
      <xdr:row>535</xdr:row>
      <xdr:rowOff>152400</xdr:rowOff>
    </xdr:from>
    <xdr:to>
      <xdr:col>18</xdr:col>
      <xdr:colOff>901389</xdr:colOff>
      <xdr:row>556</xdr:row>
      <xdr:rowOff>47625</xdr:rowOff>
    </xdr:to>
    <xdr:pic>
      <xdr:nvPicPr>
        <xdr:cNvPr id="46" name="background_Table589a5f54_bbfd_4af0_b954_b4ee5c29f01b_2_Field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535</xdr:row>
      <xdr:rowOff>152400</xdr:rowOff>
    </xdr:from>
    <xdr:to>
      <xdr:col>18</xdr:col>
      <xdr:colOff>295275</xdr:colOff>
      <xdr:row>556</xdr:row>
      <xdr:rowOff>47625</xdr:rowOff>
    </xdr:to>
    <xdr:graphicFrame macro="">
      <xdr:nvGraphicFramePr>
        <xdr:cNvPr id="47" name="Table589a5f54_bbfd_4af0_b954_b4ee5c29f01b_2_Field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38100</xdr:colOff>
      <xdr:row>558</xdr:row>
      <xdr:rowOff>47625</xdr:rowOff>
    </xdr:from>
    <xdr:to>
      <xdr:col>19</xdr:col>
      <xdr:colOff>397621</xdr:colOff>
      <xdr:row>582</xdr:row>
      <xdr:rowOff>133350</xdr:rowOff>
    </xdr:to>
    <xdr:pic>
      <xdr:nvPicPr>
        <xdr:cNvPr id="48" name="background_Tableb6582a76_2a12_446f_a06e_43d53b982cad_2_Field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558</xdr:row>
      <xdr:rowOff>47625</xdr:rowOff>
    </xdr:from>
    <xdr:to>
      <xdr:col>18</xdr:col>
      <xdr:colOff>485775</xdr:colOff>
      <xdr:row>582</xdr:row>
      <xdr:rowOff>133350</xdr:rowOff>
    </xdr:to>
    <xdr:graphicFrame macro="">
      <xdr:nvGraphicFramePr>
        <xdr:cNvPr id="49" name="Tableb6582a76_2a12_446f_a06e_43d53b982cad_2_Field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47625</xdr:colOff>
      <xdr:row>589</xdr:row>
      <xdr:rowOff>133350</xdr:rowOff>
    </xdr:from>
    <xdr:to>
      <xdr:col>19</xdr:col>
      <xdr:colOff>961713</xdr:colOff>
      <xdr:row>609</xdr:row>
      <xdr:rowOff>28574</xdr:rowOff>
    </xdr:to>
    <xdr:pic>
      <xdr:nvPicPr>
        <xdr:cNvPr id="50" name="background_Table895bb942_24c4_487e_98b1_b3ff3b1ae971_2_Field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14</xdr:col>
      <xdr:colOff>47625</xdr:colOff>
      <xdr:row>589</xdr:row>
      <xdr:rowOff>133350</xdr:rowOff>
    </xdr:from>
    <xdr:to>
      <xdr:col>20</xdr:col>
      <xdr:colOff>0</xdr:colOff>
      <xdr:row>609</xdr:row>
      <xdr:rowOff>28575</xdr:rowOff>
    </xdr:to>
    <xdr:graphicFrame macro="">
      <xdr:nvGraphicFramePr>
        <xdr:cNvPr id="51" name="Table895bb942_24c4_487e_98b1_b3ff3b1ae971_2_Field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85725</xdr:colOff>
      <xdr:row>589</xdr:row>
      <xdr:rowOff>133350</xdr:rowOff>
    </xdr:from>
    <xdr:to>
      <xdr:col>30</xdr:col>
      <xdr:colOff>885825</xdr:colOff>
      <xdr:row>609</xdr:row>
      <xdr:rowOff>28574</xdr:rowOff>
    </xdr:to>
    <xdr:pic>
      <xdr:nvPicPr>
        <xdr:cNvPr id="52" name="background_Table895bb942_24c4_487e_98b1_b3ff3b1ae971_2_Goal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23</xdr:col>
      <xdr:colOff>85725</xdr:colOff>
      <xdr:row>589</xdr:row>
      <xdr:rowOff>133350</xdr:rowOff>
    </xdr:from>
    <xdr:to>
      <xdr:col>30</xdr:col>
      <xdr:colOff>885825</xdr:colOff>
      <xdr:row>609</xdr:row>
      <xdr:rowOff>28575</xdr:rowOff>
    </xdr:to>
    <xdr:graphicFrame macro="">
      <xdr:nvGraphicFramePr>
        <xdr:cNvPr id="53" name="Table895bb942_24c4_487e_98b1_b3ff3b1ae971_2_Goal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47625</xdr:colOff>
      <xdr:row>611</xdr:row>
      <xdr:rowOff>28575</xdr:rowOff>
    </xdr:from>
    <xdr:to>
      <xdr:col>17</xdr:col>
      <xdr:colOff>486523</xdr:colOff>
      <xdr:row>624</xdr:row>
      <xdr:rowOff>114300</xdr:rowOff>
    </xdr:to>
    <xdr:pic>
      <xdr:nvPicPr>
        <xdr:cNvPr id="54" name="background_Table61a4fab7_73b8_4116_89ab_20b1c0c132c3_2_Field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611</xdr:row>
      <xdr:rowOff>28575</xdr:rowOff>
    </xdr:from>
    <xdr:to>
      <xdr:col>17</xdr:col>
      <xdr:colOff>219075</xdr:colOff>
      <xdr:row>624</xdr:row>
      <xdr:rowOff>114300</xdr:rowOff>
    </xdr:to>
    <xdr:graphicFrame macro="">
      <xdr:nvGraphicFramePr>
        <xdr:cNvPr id="55" name="Table61a4fab7_73b8_4116_89ab_20b1c0c132c3_2_Field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21</xdr:col>
      <xdr:colOff>76200</xdr:colOff>
      <xdr:row>611</xdr:row>
      <xdr:rowOff>28575</xdr:rowOff>
    </xdr:from>
    <xdr:to>
      <xdr:col>24</xdr:col>
      <xdr:colOff>419100</xdr:colOff>
      <xdr:row>624</xdr:row>
      <xdr:rowOff>114300</xdr:rowOff>
    </xdr:to>
    <xdr:pic>
      <xdr:nvPicPr>
        <xdr:cNvPr id="56" name="background_Table61a4fab7_73b8_4116_89ab_20b1c0c132c3_2_HalfField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611</xdr:row>
      <xdr:rowOff>28575</xdr:rowOff>
    </xdr:from>
    <xdr:to>
      <xdr:col>24</xdr:col>
      <xdr:colOff>419100</xdr:colOff>
      <xdr:row>624</xdr:row>
      <xdr:rowOff>114300</xdr:rowOff>
    </xdr:to>
    <xdr:graphicFrame macro="">
      <xdr:nvGraphicFramePr>
        <xdr:cNvPr id="57" name="Table61a4fab7_73b8_4116_89ab_20b1c0c132c3_2_HalfField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38100</xdr:colOff>
      <xdr:row>626</xdr:row>
      <xdr:rowOff>114300</xdr:rowOff>
    </xdr:from>
    <xdr:to>
      <xdr:col>20</xdr:col>
      <xdr:colOff>58955</xdr:colOff>
      <xdr:row>651</xdr:row>
      <xdr:rowOff>9525</xdr:rowOff>
    </xdr:to>
    <xdr:pic>
      <xdr:nvPicPr>
        <xdr:cNvPr id="58" name="background_Table585aa822_e5b9_4c71_8d4b_1b38a2893b5a_2_Field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626</xdr:row>
      <xdr:rowOff>114300</xdr:rowOff>
    </xdr:from>
    <xdr:to>
      <xdr:col>19</xdr:col>
      <xdr:colOff>485775</xdr:colOff>
      <xdr:row>651</xdr:row>
      <xdr:rowOff>9525</xdr:rowOff>
    </xdr:to>
    <xdr:graphicFrame macro="">
      <xdr:nvGraphicFramePr>
        <xdr:cNvPr id="59" name="Table585aa822_e5b9_4c71_8d4b_1b38a2893b5a_2_Field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</xdr:col>
      <xdr:colOff>38100</xdr:colOff>
      <xdr:row>704</xdr:row>
      <xdr:rowOff>9525</xdr:rowOff>
    </xdr:from>
    <xdr:to>
      <xdr:col>15</xdr:col>
      <xdr:colOff>1330325</xdr:colOff>
      <xdr:row>714</xdr:row>
      <xdr:rowOff>95251</xdr:rowOff>
    </xdr:to>
    <xdr:pic>
      <xdr:nvPicPr>
        <xdr:cNvPr id="60" name="background_Tablec5683f71_6c87_493e_848b_9ce3ab05f9c2_2_Field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704</xdr:row>
      <xdr:rowOff>9525</xdr:rowOff>
    </xdr:from>
    <xdr:to>
      <xdr:col>15</xdr:col>
      <xdr:colOff>314325</xdr:colOff>
      <xdr:row>714</xdr:row>
      <xdr:rowOff>95250</xdr:rowOff>
    </xdr:to>
    <xdr:graphicFrame macro="">
      <xdr:nvGraphicFramePr>
        <xdr:cNvPr id="61" name="Tablec5683f71_6c87_493e_848b_9ce3ab05f9c2_2_Field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13</xdr:col>
      <xdr:colOff>47625</xdr:colOff>
      <xdr:row>719</xdr:row>
      <xdr:rowOff>95250</xdr:rowOff>
    </xdr:from>
    <xdr:to>
      <xdr:col>17</xdr:col>
      <xdr:colOff>781798</xdr:colOff>
      <xdr:row>734</xdr:row>
      <xdr:rowOff>1681</xdr:rowOff>
    </xdr:to>
    <xdr:pic>
      <xdr:nvPicPr>
        <xdr:cNvPr id="62" name="background_Tableb64dd8be_98bb_4cd6_a2f4_1d11ff3bf4ed_2_Field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13</xdr:col>
      <xdr:colOff>47625</xdr:colOff>
      <xdr:row>719</xdr:row>
      <xdr:rowOff>95250</xdr:rowOff>
    </xdr:from>
    <xdr:to>
      <xdr:col>17</xdr:col>
      <xdr:colOff>514350</xdr:colOff>
      <xdr:row>733</xdr:row>
      <xdr:rowOff>180975</xdr:rowOff>
    </xdr:to>
    <xdr:graphicFrame macro="">
      <xdr:nvGraphicFramePr>
        <xdr:cNvPr id="63" name="Tableb64dd8be_98bb_4cd6_a2f4_1d11ff3bf4ed_2_Field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21</xdr:col>
      <xdr:colOff>76200</xdr:colOff>
      <xdr:row>719</xdr:row>
      <xdr:rowOff>95250</xdr:rowOff>
    </xdr:from>
    <xdr:to>
      <xdr:col>24</xdr:col>
      <xdr:colOff>666750</xdr:colOff>
      <xdr:row>734</xdr:row>
      <xdr:rowOff>1681</xdr:rowOff>
    </xdr:to>
    <xdr:pic>
      <xdr:nvPicPr>
        <xdr:cNvPr id="64" name="background_Tableb64dd8be_98bb_4cd6_a2f4_1d11ff3bf4ed_2_HalfField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719</xdr:row>
      <xdr:rowOff>95250</xdr:rowOff>
    </xdr:from>
    <xdr:to>
      <xdr:col>24</xdr:col>
      <xdr:colOff>666750</xdr:colOff>
      <xdr:row>733</xdr:row>
      <xdr:rowOff>180975</xdr:rowOff>
    </xdr:to>
    <xdr:graphicFrame macro="">
      <xdr:nvGraphicFramePr>
        <xdr:cNvPr id="65" name="Tableb64dd8be_98bb_4cd6_a2f4_1d11ff3bf4ed_2_HalfField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38100</xdr:colOff>
      <xdr:row>735</xdr:row>
      <xdr:rowOff>180975</xdr:rowOff>
    </xdr:from>
    <xdr:to>
      <xdr:col>13</xdr:col>
      <xdr:colOff>463549</xdr:colOff>
      <xdr:row>741</xdr:row>
      <xdr:rowOff>180975</xdr:rowOff>
    </xdr:to>
    <xdr:pic>
      <xdr:nvPicPr>
        <xdr:cNvPr id="66" name="background_Tableb73d4628_0fcf_4ab6_9c2e_5cc80e5a1775_2_Field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735</xdr:row>
      <xdr:rowOff>180975</xdr:rowOff>
    </xdr:from>
    <xdr:to>
      <xdr:col>12</xdr:col>
      <xdr:colOff>819150</xdr:colOff>
      <xdr:row>741</xdr:row>
      <xdr:rowOff>180975</xdr:rowOff>
    </xdr:to>
    <xdr:graphicFrame macro="">
      <xdr:nvGraphicFramePr>
        <xdr:cNvPr id="67" name="Tableb73d4628_0fcf_4ab6_9c2e_5cc80e5a1775_2_Field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12</xdr:col>
      <xdr:colOff>38100</xdr:colOff>
      <xdr:row>751</xdr:row>
      <xdr:rowOff>76200</xdr:rowOff>
    </xdr:from>
    <xdr:to>
      <xdr:col>20</xdr:col>
      <xdr:colOff>58955</xdr:colOff>
      <xdr:row>775</xdr:row>
      <xdr:rowOff>161924</xdr:rowOff>
    </xdr:to>
    <xdr:pic>
      <xdr:nvPicPr>
        <xdr:cNvPr id="68" name="background_Table578f4f9c_5cc8_4a47_acaa_01ddd27af172_2_Field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751</xdr:row>
      <xdr:rowOff>76200</xdr:rowOff>
    </xdr:from>
    <xdr:to>
      <xdr:col>19</xdr:col>
      <xdr:colOff>485775</xdr:colOff>
      <xdr:row>775</xdr:row>
      <xdr:rowOff>161925</xdr:rowOff>
    </xdr:to>
    <xdr:graphicFrame macro="">
      <xdr:nvGraphicFramePr>
        <xdr:cNvPr id="69" name="Table578f4f9c_5cc8_4a47_acaa_01ddd27af172_2_Field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12</xdr:col>
      <xdr:colOff>38100</xdr:colOff>
      <xdr:row>795</xdr:row>
      <xdr:rowOff>161925</xdr:rowOff>
    </xdr:from>
    <xdr:to>
      <xdr:col>20</xdr:col>
      <xdr:colOff>58955</xdr:colOff>
      <xdr:row>820</xdr:row>
      <xdr:rowOff>57148</xdr:rowOff>
    </xdr:to>
    <xdr:pic>
      <xdr:nvPicPr>
        <xdr:cNvPr id="70" name="background_Table94a1bf78_bf9c_4e98_9c15_26d640b90420_2_Field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795</xdr:row>
      <xdr:rowOff>161925</xdr:rowOff>
    </xdr:from>
    <xdr:to>
      <xdr:col>19</xdr:col>
      <xdr:colOff>485775</xdr:colOff>
      <xdr:row>820</xdr:row>
      <xdr:rowOff>57150</xdr:rowOff>
    </xdr:to>
    <xdr:graphicFrame macro="">
      <xdr:nvGraphicFramePr>
        <xdr:cNvPr id="71" name="Table94a1bf78_bf9c_4e98_9c15_26d640b90420_2_Field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11</xdr:col>
      <xdr:colOff>38100</xdr:colOff>
      <xdr:row>863</xdr:row>
      <xdr:rowOff>38100</xdr:rowOff>
    </xdr:from>
    <xdr:to>
      <xdr:col>17</xdr:col>
      <xdr:colOff>7096</xdr:colOff>
      <xdr:row>879</xdr:row>
      <xdr:rowOff>123825</xdr:rowOff>
    </xdr:to>
    <xdr:pic>
      <xdr:nvPicPr>
        <xdr:cNvPr id="72" name="background_Tablefb531703_7efd_4582_949f_b033c3b75f39_2_Field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863</xdr:row>
      <xdr:rowOff>38100</xdr:rowOff>
    </xdr:from>
    <xdr:to>
      <xdr:col>16</xdr:col>
      <xdr:colOff>95250</xdr:colOff>
      <xdr:row>879</xdr:row>
      <xdr:rowOff>123825</xdr:rowOff>
    </xdr:to>
    <xdr:graphicFrame macro="">
      <xdr:nvGraphicFramePr>
        <xdr:cNvPr id="73" name="Tablefb531703_7efd_4582_949f_b033c3b75f39_2_Field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38100</xdr:colOff>
      <xdr:row>881</xdr:row>
      <xdr:rowOff>123825</xdr:rowOff>
    </xdr:from>
    <xdr:to>
      <xdr:col>12</xdr:col>
      <xdr:colOff>229658</xdr:colOff>
      <xdr:row>884</xdr:row>
      <xdr:rowOff>123824</xdr:rowOff>
    </xdr:to>
    <xdr:pic>
      <xdr:nvPicPr>
        <xdr:cNvPr id="74" name="background_Table7492f3d1_99c8_4b87_8944_e6bc9a4ba3d3_2_Field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11</xdr:col>
      <xdr:colOff>38100</xdr:colOff>
      <xdr:row>881</xdr:row>
      <xdr:rowOff>123825</xdr:rowOff>
    </xdr:from>
    <xdr:to>
      <xdr:col>11</xdr:col>
      <xdr:colOff>923925</xdr:colOff>
      <xdr:row>884</xdr:row>
      <xdr:rowOff>123825</xdr:rowOff>
    </xdr:to>
    <xdr:graphicFrame macro="">
      <xdr:nvGraphicFramePr>
        <xdr:cNvPr id="75" name="Table7492f3d1_99c8_4b87_8944_e6bc9a4ba3d3_2_Field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da34c751_3c79_47e7_b7a5_791a85b0e429_1" displayName="Tableda34c751_3c79_47e7_b7a5_791a85b0e429_1" ref="A11:I272">
  <autoFilter ref="A11:I272" xr:uid="{00000000-0009-0000-0100-000001000000}"/>
  <tableColumns count="9">
    <tableColumn id="1" xr3:uid="{00000000-0010-0000-0000-000001000000}" name="Event"/>
    <tableColumn id="2" xr3:uid="{00000000-0010-0000-0000-000002000000}" name="Time"/>
    <tableColumn id="3" xr3:uid="{00000000-0010-0000-0000-000003000000}" name="Start"/>
    <tableColumn id="4" xr3:uid="{00000000-0010-0000-0000-000004000000}" name="Stop"/>
    <tableColumn id="5" xr3:uid="{00000000-0010-0000-0000-000005000000}" name="Team"/>
    <tableColumn id="6" xr3:uid="{00000000-0010-0000-0000-000006000000}" name="Players"/>
    <tableColumn id="7" xr3:uid="{00000000-0010-0000-0000-000007000000}" name="Outcome"/>
    <tableColumn id="8" xr3:uid="{00000000-0010-0000-0000-000008000000}" name="FieldX"/>
    <tableColumn id="9" xr3:uid="{00000000-0010-0000-0000-000009000000}" name="FieldY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c5683f71_6c87_493e_848b_9ce3ab05f9c2_1" displayName="Tablec5683f71_6c87_493e_848b_9ce3ab05f9c2_1" ref="A685:I695">
  <autoFilter ref="A685:I695" xr:uid="{00000000-0009-0000-0100-00000A000000}"/>
  <tableColumns count="9">
    <tableColumn id="1" xr3:uid="{00000000-0010-0000-0900-000001000000}" name="Event"/>
    <tableColumn id="2" xr3:uid="{00000000-0010-0000-0900-000002000000}" name="Time"/>
    <tableColumn id="3" xr3:uid="{00000000-0010-0000-0900-000003000000}" name="Start"/>
    <tableColumn id="4" xr3:uid="{00000000-0010-0000-0900-000004000000}" name="Stop"/>
    <tableColumn id="5" xr3:uid="{00000000-0010-0000-0900-000005000000}" name="Team"/>
    <tableColumn id="6" xr3:uid="{00000000-0010-0000-0900-000006000000}" name="Players"/>
    <tableColumn id="7" xr3:uid="{00000000-0010-0000-0900-000007000000}" name="New subcategory 1"/>
    <tableColumn id="8" xr3:uid="{00000000-0010-0000-0900-000008000000}" name="FieldX"/>
    <tableColumn id="9" xr3:uid="{00000000-0010-0000-0900-000009000000}" name="Field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b64dd8be_98bb_4cd6_a2f4_1d11ff3bf4ed_1" displayName="Tableb64dd8be_98bb_4cd6_a2f4_1d11ff3bf4ed_1" ref="A701:J715">
  <autoFilter ref="A701:J715" xr:uid="{00000000-0009-0000-0100-00000B000000}"/>
  <tableColumns count="10">
    <tableColumn id="1" xr3:uid="{00000000-0010-0000-0A00-000001000000}" name="Event"/>
    <tableColumn id="2" xr3:uid="{00000000-0010-0000-0A00-000002000000}" name="Time"/>
    <tableColumn id="3" xr3:uid="{00000000-0010-0000-0A00-000003000000}" name="Start"/>
    <tableColumn id="4" xr3:uid="{00000000-0010-0000-0A00-000004000000}" name="Stop"/>
    <tableColumn id="5" xr3:uid="{00000000-0010-0000-0A00-000005000000}" name="Team"/>
    <tableColumn id="6" xr3:uid="{00000000-0010-0000-0A00-000006000000}" name="Players"/>
    <tableColumn id="7" xr3:uid="{00000000-0010-0000-0A00-000007000000}" name="FieldX"/>
    <tableColumn id="8" xr3:uid="{00000000-0010-0000-0A00-000008000000}" name="FieldY"/>
    <tableColumn id="9" xr3:uid="{00000000-0010-0000-0A00-000009000000}" name="HalfFieldX"/>
    <tableColumn id="10" xr3:uid="{00000000-0010-0000-0A00-00000A000000}" name="HalfField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b73d4628_0fcf_4ab6_9c2e_5cc80e5a1775_1" displayName="Tableb73d4628_0fcf_4ab6_9c2e_5cc80e5a1775_1" ref="A718:H723">
  <autoFilter ref="A718:H723" xr:uid="{00000000-0009-0000-0100-00000C000000}"/>
  <tableColumns count="8">
    <tableColumn id="1" xr3:uid="{00000000-0010-0000-0B00-000001000000}" name="Event"/>
    <tableColumn id="2" xr3:uid="{00000000-0010-0000-0B00-000002000000}" name="Time"/>
    <tableColumn id="3" xr3:uid="{00000000-0010-0000-0B00-000003000000}" name="Start"/>
    <tableColumn id="4" xr3:uid="{00000000-0010-0000-0B00-000004000000}" name="Stop"/>
    <tableColumn id="5" xr3:uid="{00000000-0010-0000-0B00-000005000000}" name="Team"/>
    <tableColumn id="6" xr3:uid="{00000000-0010-0000-0B00-000006000000}" name="Players"/>
    <tableColumn id="7" xr3:uid="{00000000-0010-0000-0B00-000007000000}" name="FieldX"/>
    <tableColumn id="8" xr3:uid="{00000000-0010-0000-0B00-000008000000}" name="FieldY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578f4f9c_5cc8_4a47_acaa_01ddd27af172_1" displayName="Table578f4f9c_5cc8_4a47_acaa_01ddd27af172_1" ref="A734:I776">
  <autoFilter ref="A734:I776" xr:uid="{00000000-0009-0000-0100-00000D000000}"/>
  <tableColumns count="9">
    <tableColumn id="1" xr3:uid="{00000000-0010-0000-0C00-000001000000}" name="Event"/>
    <tableColumn id="2" xr3:uid="{00000000-0010-0000-0C00-000002000000}" name="Time"/>
    <tableColumn id="3" xr3:uid="{00000000-0010-0000-0C00-000003000000}" name="Start"/>
    <tableColumn id="4" xr3:uid="{00000000-0010-0000-0C00-000004000000}" name="Stop"/>
    <tableColumn id="5" xr3:uid="{00000000-0010-0000-0C00-000005000000}" name="Team"/>
    <tableColumn id="6" xr3:uid="{00000000-0010-0000-0C00-000006000000}" name="Players"/>
    <tableColumn id="7" xr3:uid="{00000000-0010-0000-0C00-000007000000}" name="Outcome"/>
    <tableColumn id="8" xr3:uid="{00000000-0010-0000-0C00-000008000000}" name="FieldX"/>
    <tableColumn id="9" xr3:uid="{00000000-0010-0000-0C00-000009000000}" name="FieldY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94a1bf78_bf9c_4e98_9c15_26d640b90420_1" displayName="Table94a1bf78_bf9c_4e98_9c15_26d640b90420_1" ref="A779:I813">
  <autoFilter ref="A779:I813" xr:uid="{00000000-0009-0000-0100-00000E000000}"/>
  <tableColumns count="9">
    <tableColumn id="1" xr3:uid="{00000000-0010-0000-0D00-000001000000}" name="Event"/>
    <tableColumn id="2" xr3:uid="{00000000-0010-0000-0D00-000002000000}" name="Time"/>
    <tableColumn id="3" xr3:uid="{00000000-0010-0000-0D00-000003000000}" name="Start"/>
    <tableColumn id="4" xr3:uid="{00000000-0010-0000-0D00-000004000000}" name="Stop"/>
    <tableColumn id="5" xr3:uid="{00000000-0010-0000-0D00-000005000000}" name="Team"/>
    <tableColumn id="6" xr3:uid="{00000000-0010-0000-0D00-000006000000}" name="Players"/>
    <tableColumn id="7" xr3:uid="{00000000-0010-0000-0D00-000007000000}" name="Outcome"/>
    <tableColumn id="8" xr3:uid="{00000000-0010-0000-0D00-000008000000}" name="FieldX"/>
    <tableColumn id="9" xr3:uid="{00000000-0010-0000-0D00-000009000000}" name="FieldY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5d373c79_e070_4c8d_9d7c_6724f41e8719_1" displayName="Table5d373c79_e070_4c8d_9d7c_6724f41e8719_1" ref="A816:G821">
  <autoFilter ref="A816:G821" xr:uid="{00000000-0009-0000-0100-00000F000000}"/>
  <tableColumns count="7">
    <tableColumn id="1" xr3:uid="{00000000-0010-0000-0E00-000001000000}" name="Event"/>
    <tableColumn id="2" xr3:uid="{00000000-0010-0000-0E00-000002000000}" name="Time"/>
    <tableColumn id="3" xr3:uid="{00000000-0010-0000-0E00-000003000000}" name="Start"/>
    <tableColumn id="4" xr3:uid="{00000000-0010-0000-0E00-000004000000}" name="Stop"/>
    <tableColumn id="5" xr3:uid="{00000000-0010-0000-0E00-000005000000}" name="Team"/>
    <tableColumn id="6" xr3:uid="{00000000-0010-0000-0E00-000006000000}" name="Players"/>
    <tableColumn id="7" xr3:uid="{00000000-0010-0000-0E00-000007000000}" name="Score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db4df338_3392_11e4_be8d_0811963e3880_1" displayName="Tabledb4df338_3392_11e4_be8d_0811963e3880_1" ref="A832:F838">
  <autoFilter ref="A832:F838" xr:uid="{00000000-0009-0000-0100-000010000000}"/>
  <tableColumns count="6">
    <tableColumn id="1" xr3:uid="{00000000-0010-0000-0F00-000001000000}" name="Event"/>
    <tableColumn id="2" xr3:uid="{00000000-0010-0000-0F00-000002000000}" name="Time"/>
    <tableColumn id="3" xr3:uid="{00000000-0010-0000-0F00-000003000000}" name="Start"/>
    <tableColumn id="4" xr3:uid="{00000000-0010-0000-0F00-000004000000}" name="Stop"/>
    <tableColumn id="5" xr3:uid="{00000000-0010-0000-0F00-000005000000}" name="Team"/>
    <tableColumn id="6" xr3:uid="{00000000-0010-0000-0F00-000006000000}" name="Players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fb531703_7efd_4582_949f_b033c3b75f39_1" displayName="Tablefb531703_7efd_4582_949f_b033c3b75f39_1" ref="A848:H864">
  <autoFilter ref="A848:H864" xr:uid="{00000000-0009-0000-0100-000011000000}"/>
  <tableColumns count="8">
    <tableColumn id="1" xr3:uid="{00000000-0010-0000-1000-000001000000}" name="Event"/>
    <tableColumn id="2" xr3:uid="{00000000-0010-0000-1000-000002000000}" name="Time"/>
    <tableColumn id="3" xr3:uid="{00000000-0010-0000-1000-000003000000}" name="Start"/>
    <tableColumn id="4" xr3:uid="{00000000-0010-0000-1000-000004000000}" name="Stop"/>
    <tableColumn id="5" xr3:uid="{00000000-0010-0000-1000-000005000000}" name="Team"/>
    <tableColumn id="6" xr3:uid="{00000000-0010-0000-1000-000006000000}" name="Players"/>
    <tableColumn id="7" xr3:uid="{00000000-0010-0000-1000-000007000000}" name="FieldX"/>
    <tableColumn id="8" xr3:uid="{00000000-0010-0000-1000-000008000000}" name="FieldY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7492f3d1_99c8_4b87_8944_e6bc9a4ba3d3_1" displayName="Table7492f3d1_99c8_4b87_8944_e6bc9a4ba3d3_1" ref="A867:H869">
  <autoFilter ref="A867:H869" xr:uid="{00000000-0009-0000-0100-000012000000}"/>
  <tableColumns count="8">
    <tableColumn id="1" xr3:uid="{00000000-0010-0000-1100-000001000000}" name="Event"/>
    <tableColumn id="2" xr3:uid="{00000000-0010-0000-1100-000002000000}" name="Time"/>
    <tableColumn id="3" xr3:uid="{00000000-0010-0000-1100-000003000000}" name="Start"/>
    <tableColumn id="4" xr3:uid="{00000000-0010-0000-1100-000004000000}" name="Stop"/>
    <tableColumn id="5" xr3:uid="{00000000-0010-0000-1100-000005000000}" name="Team"/>
    <tableColumn id="6" xr3:uid="{00000000-0010-0000-1100-000006000000}" name="Players"/>
    <tableColumn id="7" xr3:uid="{00000000-0010-0000-1100-000007000000}" name="FieldX"/>
    <tableColumn id="8" xr3:uid="{00000000-0010-0000-1100-000008000000}" name="FieldY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da34c751_3c79_47e7_b7a5_791a85b0e429_2" displayName="Tableda34c751_3c79_47e7_b7a5_791a85b0e429_2" ref="A49:H309">
  <autoFilter ref="A49:H309" xr:uid="{00000000-0009-0000-0100-000013000000}">
    <filterColumn colId="1">
      <customFilters>
        <customFilter operator="lessThan" val="3.4722222222222224E-2"/>
      </customFilters>
    </filterColumn>
    <filterColumn colId="2">
      <customFilters>
        <customFilter operator="lessThan" val="2.0833333333333335"/>
      </customFilters>
    </filterColumn>
    <filterColumn colId="5">
      <filters>
        <filter val="Success"/>
      </filters>
    </filterColumn>
  </autoFilter>
  <tableColumns count="8">
    <tableColumn id="1" xr3:uid="{00000000-0010-0000-1200-000001000000}" name="Event"/>
    <tableColumn id="2" xr3:uid="{00000000-0010-0000-1200-000002000000}" name="Time"/>
    <tableColumn id="3" xr3:uid="{00000000-0010-0000-1200-000003000000}" name="Start"/>
    <tableColumn id="4" xr3:uid="{00000000-0010-0000-1200-000004000000}" name="Stop"/>
    <tableColumn id="5" xr3:uid="{00000000-0010-0000-1200-000005000000}" name="Players"/>
    <tableColumn id="6" xr3:uid="{00000000-0010-0000-1200-000006000000}" name="Outcome"/>
    <tableColumn id="7" xr3:uid="{00000000-0010-0000-1200-000007000000}" name="FieldX"/>
    <tableColumn id="8" xr3:uid="{00000000-0010-0000-1200-000008000000}" name="Field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d398149f_c829_4b40_bdf6_4d4b1881f6d6_1" displayName="Tabled398149f_c829_4b40_bdf6_4d4b1881f6d6_1" ref="A275:H371">
  <autoFilter ref="A275:H371" xr:uid="{00000000-0009-0000-0100-000002000000}"/>
  <tableColumns count="8">
    <tableColumn id="1" xr3:uid="{00000000-0010-0000-0100-000001000000}" name="Event"/>
    <tableColumn id="2" xr3:uid="{00000000-0010-0000-0100-000002000000}" name="Time"/>
    <tableColumn id="3" xr3:uid="{00000000-0010-0000-0100-000003000000}" name="Start"/>
    <tableColumn id="4" xr3:uid="{00000000-0010-0000-0100-000004000000}" name="Stop"/>
    <tableColumn id="5" xr3:uid="{00000000-0010-0000-0100-000005000000}" name="Team"/>
    <tableColumn id="6" xr3:uid="{00000000-0010-0000-0100-000006000000}" name="Players"/>
    <tableColumn id="7" xr3:uid="{00000000-0010-0000-0100-000007000000}" name="FieldX"/>
    <tableColumn id="8" xr3:uid="{00000000-0010-0000-0100-000008000000}" name="FieldY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d398149f_c829_4b40_bdf6_4d4b1881f6d6_2" displayName="Tabled398149f_c829_4b40_bdf6_4d4b1881f6d6_2" ref="A312:G406">
  <autoFilter ref="A312:G406" xr:uid="{00000000-0009-0000-0100-000014000000}"/>
  <tableColumns count="7">
    <tableColumn id="1" xr3:uid="{00000000-0010-0000-1300-000001000000}" name="Event"/>
    <tableColumn id="2" xr3:uid="{00000000-0010-0000-1300-000002000000}" name="Time"/>
    <tableColumn id="3" xr3:uid="{00000000-0010-0000-1300-000003000000}" name="Start"/>
    <tableColumn id="4" xr3:uid="{00000000-0010-0000-1300-000004000000}" name="Stop"/>
    <tableColumn id="5" xr3:uid="{00000000-0010-0000-1300-000005000000}" name="Players"/>
    <tableColumn id="6" xr3:uid="{00000000-0010-0000-1300-000006000000}" name="FieldX"/>
    <tableColumn id="7" xr3:uid="{00000000-0010-0000-1300-000007000000}" name="FieldY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84a4c27d_488c_4fa7_ad51_50cb6cc99cc5_2" displayName="Table84a4c27d_488c_4fa7_ad51_50cb6cc99cc5_2" ref="A409:H508">
  <autoFilter ref="A409:H508" xr:uid="{00000000-0009-0000-0100-000015000000}"/>
  <tableColumns count="8">
    <tableColumn id="1" xr3:uid="{00000000-0010-0000-1400-000001000000}" name="Event"/>
    <tableColumn id="2" xr3:uid="{00000000-0010-0000-1400-000002000000}" name="Time"/>
    <tableColumn id="3" xr3:uid="{00000000-0010-0000-1400-000003000000}" name="Start"/>
    <tableColumn id="4" xr3:uid="{00000000-0010-0000-1400-000004000000}" name="Stop"/>
    <tableColumn id="5" xr3:uid="{00000000-0010-0000-1400-000005000000}" name="Players"/>
    <tableColumn id="6" xr3:uid="{00000000-0010-0000-1400-000006000000}" name="Outcome"/>
    <tableColumn id="7" xr3:uid="{00000000-0010-0000-1400-000007000000}" name="FieldX"/>
    <tableColumn id="8" xr3:uid="{00000000-0010-0000-1400-000008000000}" name="FieldY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61694ab_fb6a_4cb9_a3a4_92c356bab0a4_2" displayName="Table361694ab_fb6a_4cb9_a3a4_92c356bab0a4_2" ref="A511:H536">
  <autoFilter ref="A511:H536" xr:uid="{00000000-0009-0000-0100-000016000000}"/>
  <tableColumns count="8">
    <tableColumn id="1" xr3:uid="{00000000-0010-0000-1500-000001000000}" name="Event"/>
    <tableColumn id="2" xr3:uid="{00000000-0010-0000-1500-000002000000}" name="Time"/>
    <tableColumn id="3" xr3:uid="{00000000-0010-0000-1500-000003000000}" name="Start"/>
    <tableColumn id="4" xr3:uid="{00000000-0010-0000-1500-000004000000}" name="Stop"/>
    <tableColumn id="5" xr3:uid="{00000000-0010-0000-1500-000005000000}" name="Players"/>
    <tableColumn id="6" xr3:uid="{00000000-0010-0000-1500-000006000000}" name="Outcome"/>
    <tableColumn id="7" xr3:uid="{00000000-0010-0000-1500-000007000000}" name="FieldX"/>
    <tableColumn id="8" xr3:uid="{00000000-0010-0000-1500-000008000000}" name="FieldY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589a5f54_bbfd_4af0_b954_b4ee5c29f01b_2" displayName="Table589a5f54_bbfd_4af0_b954_b4ee5c29f01b_2" ref="A539:H559">
  <autoFilter ref="A539:H559" xr:uid="{00000000-0009-0000-0100-000017000000}"/>
  <tableColumns count="8">
    <tableColumn id="1" xr3:uid="{00000000-0010-0000-1600-000001000000}" name="Event"/>
    <tableColumn id="2" xr3:uid="{00000000-0010-0000-1600-000002000000}" name="Time"/>
    <tableColumn id="3" xr3:uid="{00000000-0010-0000-1600-000003000000}" name="Start"/>
    <tableColumn id="4" xr3:uid="{00000000-0010-0000-1600-000004000000}" name="Stop"/>
    <tableColumn id="5" xr3:uid="{00000000-0010-0000-1600-000005000000}" name="Players"/>
    <tableColumn id="6" xr3:uid="{00000000-0010-0000-1600-000006000000}" name="Outcome"/>
    <tableColumn id="7" xr3:uid="{00000000-0010-0000-1600-000007000000}" name="FieldX"/>
    <tableColumn id="8" xr3:uid="{00000000-0010-0000-1600-000008000000}" name="FieldY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b6582a76_2a12_446f_a06e_43d53b982cad_2" displayName="Tableb6582a76_2a12_446f_a06e_43d53b982cad_2" ref="A562:G591">
  <autoFilter ref="A562:G591" xr:uid="{00000000-0009-0000-0100-000018000000}"/>
  <tableColumns count="7">
    <tableColumn id="1" xr3:uid="{00000000-0010-0000-1700-000001000000}" name="Event"/>
    <tableColumn id="2" xr3:uid="{00000000-0010-0000-1700-000002000000}" name="Time"/>
    <tableColumn id="3" xr3:uid="{00000000-0010-0000-1700-000003000000}" name="Start"/>
    <tableColumn id="4" xr3:uid="{00000000-0010-0000-1700-000004000000}" name="Stop"/>
    <tableColumn id="5" xr3:uid="{00000000-0010-0000-1700-000005000000}" name="Players"/>
    <tableColumn id="6" xr3:uid="{00000000-0010-0000-1700-000006000000}" name="FieldX"/>
    <tableColumn id="7" xr3:uid="{00000000-0010-0000-1700-000007000000}" name="FieldY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895bb942_24c4_487e_98b1_b3ff3b1ae971_2" displayName="Table895bb942_24c4_487e_98b1_b3ff3b1ae971_2" ref="A594:J613">
  <autoFilter ref="A594:J613" xr:uid="{00000000-0009-0000-0100-000019000000}"/>
  <tableColumns count="10">
    <tableColumn id="1" xr3:uid="{00000000-0010-0000-1800-000001000000}" name="Event"/>
    <tableColumn id="2" xr3:uid="{00000000-0010-0000-1800-000002000000}" name="Time"/>
    <tableColumn id="3" xr3:uid="{00000000-0010-0000-1800-000003000000}" name="Start"/>
    <tableColumn id="4" xr3:uid="{00000000-0010-0000-1800-000004000000}" name="Stop"/>
    <tableColumn id="5" xr3:uid="{00000000-0010-0000-1800-000005000000}" name="Players"/>
    <tableColumn id="6" xr3:uid="{00000000-0010-0000-1800-000006000000}" name="Outcome"/>
    <tableColumn id="7" xr3:uid="{00000000-0010-0000-1800-000007000000}" name="FieldX"/>
    <tableColumn id="8" xr3:uid="{00000000-0010-0000-1800-000008000000}" name="FieldY"/>
    <tableColumn id="9" xr3:uid="{00000000-0010-0000-1800-000009000000}" name="GoalX"/>
    <tableColumn id="10" xr3:uid="{00000000-0010-0000-1800-00000A000000}" name="GoalY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61a4fab7_73b8_4116_89ab_20b1c0c132c3_2" displayName="Table61a4fab7_73b8_4116_89ab_20b1c0c132c3_2" ref="A616:I629">
  <autoFilter ref="A616:I629" xr:uid="{00000000-0009-0000-0100-00001A000000}"/>
  <tableColumns count="9">
    <tableColumn id="1" xr3:uid="{00000000-0010-0000-1900-000001000000}" name="Event"/>
    <tableColumn id="2" xr3:uid="{00000000-0010-0000-1900-000002000000}" name="Time"/>
    <tableColumn id="3" xr3:uid="{00000000-0010-0000-1900-000003000000}" name="Start"/>
    <tableColumn id="4" xr3:uid="{00000000-0010-0000-1900-000004000000}" name="Stop"/>
    <tableColumn id="5" xr3:uid="{00000000-0010-0000-1900-000005000000}" name="Players"/>
    <tableColumn id="6" xr3:uid="{00000000-0010-0000-1900-000006000000}" name="FieldX"/>
    <tableColumn id="7" xr3:uid="{00000000-0010-0000-1900-000007000000}" name="FieldY"/>
    <tableColumn id="8" xr3:uid="{00000000-0010-0000-1900-000008000000}" name="HalfFieldX"/>
    <tableColumn id="9" xr3:uid="{00000000-0010-0000-1900-000009000000}" name="HalfFieldY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585aa822_e5b9_4c71_8d4b_1b38a2893b5a_2" displayName="Table585aa822_e5b9_4c71_8d4b_1b38a2893b5a_2" ref="A632:H707">
  <autoFilter ref="A632:H707" xr:uid="{00000000-0009-0000-0100-00001B000000}"/>
  <tableColumns count="8">
    <tableColumn id="1" xr3:uid="{00000000-0010-0000-1A00-000001000000}" name="Event"/>
    <tableColumn id="2" xr3:uid="{00000000-0010-0000-1A00-000002000000}" name="Time"/>
    <tableColumn id="3" xr3:uid="{00000000-0010-0000-1A00-000003000000}" name="Start"/>
    <tableColumn id="4" xr3:uid="{00000000-0010-0000-1A00-000004000000}" name="Stop"/>
    <tableColumn id="5" xr3:uid="{00000000-0010-0000-1A00-000005000000}" name="Players"/>
    <tableColumn id="6" xr3:uid="{00000000-0010-0000-1A00-000006000000}" name="Outcome"/>
    <tableColumn id="7" xr3:uid="{00000000-0010-0000-1A00-000007000000}" name="FieldX"/>
    <tableColumn id="8" xr3:uid="{00000000-0010-0000-1A00-000008000000}" name="FieldY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c5683f71_6c87_493e_848b_9ce3ab05f9c2_2" displayName="Tablec5683f71_6c87_493e_848b_9ce3ab05f9c2_2" ref="A710:H720">
  <autoFilter ref="A710:H720" xr:uid="{00000000-0009-0000-0100-00001C000000}"/>
  <tableColumns count="8">
    <tableColumn id="1" xr3:uid="{00000000-0010-0000-1B00-000001000000}" name="Event"/>
    <tableColumn id="2" xr3:uid="{00000000-0010-0000-1B00-000002000000}" name="Time"/>
    <tableColumn id="3" xr3:uid="{00000000-0010-0000-1B00-000003000000}" name="Start"/>
    <tableColumn id="4" xr3:uid="{00000000-0010-0000-1B00-000004000000}" name="Stop"/>
    <tableColumn id="5" xr3:uid="{00000000-0010-0000-1B00-000005000000}" name="Players"/>
    <tableColumn id="6" xr3:uid="{00000000-0010-0000-1B00-000006000000}" name="New subcategory 1"/>
    <tableColumn id="7" xr3:uid="{00000000-0010-0000-1B00-000007000000}" name="FieldX"/>
    <tableColumn id="8" xr3:uid="{00000000-0010-0000-1B00-000008000000}" name="FieldY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b64dd8be_98bb_4cd6_a2f4_1d11ff3bf4ed_2" displayName="Tableb64dd8be_98bb_4cd6_a2f4_1d11ff3bf4ed_2" ref="A726:I740">
  <autoFilter ref="A726:I740" xr:uid="{00000000-0009-0000-0100-00001D000000}"/>
  <tableColumns count="9">
    <tableColumn id="1" xr3:uid="{00000000-0010-0000-1C00-000001000000}" name="Event"/>
    <tableColumn id="2" xr3:uid="{00000000-0010-0000-1C00-000002000000}" name="Time"/>
    <tableColumn id="3" xr3:uid="{00000000-0010-0000-1C00-000003000000}" name="Start"/>
    <tableColumn id="4" xr3:uid="{00000000-0010-0000-1C00-000004000000}" name="Stop"/>
    <tableColumn id="5" xr3:uid="{00000000-0010-0000-1C00-000005000000}" name="Players"/>
    <tableColumn id="6" xr3:uid="{00000000-0010-0000-1C00-000006000000}" name="FieldX"/>
    <tableColumn id="7" xr3:uid="{00000000-0010-0000-1C00-000007000000}" name="FieldY"/>
    <tableColumn id="8" xr3:uid="{00000000-0010-0000-1C00-000008000000}" name="HalfFieldX"/>
    <tableColumn id="9" xr3:uid="{00000000-0010-0000-1C00-000009000000}" name="HalfField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84a4c27d_488c_4fa7_ad51_50cb6cc99cc5_1" displayName="Table84a4c27d_488c_4fa7_ad51_50cb6cc99cc5_1" ref="A374:I478">
  <autoFilter ref="A374:I478" xr:uid="{00000000-0009-0000-0100-000003000000}"/>
  <tableColumns count="9">
    <tableColumn id="1" xr3:uid="{00000000-0010-0000-0200-000001000000}" name="Event"/>
    <tableColumn id="2" xr3:uid="{00000000-0010-0000-0200-000002000000}" name="Time"/>
    <tableColumn id="3" xr3:uid="{00000000-0010-0000-0200-000003000000}" name="Start"/>
    <tableColumn id="4" xr3:uid="{00000000-0010-0000-0200-000004000000}" name="Stop"/>
    <tableColumn id="5" xr3:uid="{00000000-0010-0000-0200-000005000000}" name="Team"/>
    <tableColumn id="6" xr3:uid="{00000000-0010-0000-0200-000006000000}" name="Players"/>
    <tableColumn id="7" xr3:uid="{00000000-0010-0000-0200-000007000000}" name="Outcome"/>
    <tableColumn id="8" xr3:uid="{00000000-0010-0000-0200-000008000000}" name="FieldX"/>
    <tableColumn id="9" xr3:uid="{00000000-0010-0000-0200-000009000000}" name="FieldY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b73d4628_0fcf_4ab6_9c2e_5cc80e5a1775_2" displayName="Tableb73d4628_0fcf_4ab6_9c2e_5cc80e5a1775_2" ref="A743:G748">
  <autoFilter ref="A743:G748" xr:uid="{00000000-0009-0000-0100-00001E000000}"/>
  <tableColumns count="7">
    <tableColumn id="1" xr3:uid="{00000000-0010-0000-1D00-000001000000}" name="Event"/>
    <tableColumn id="2" xr3:uid="{00000000-0010-0000-1D00-000002000000}" name="Time"/>
    <tableColumn id="3" xr3:uid="{00000000-0010-0000-1D00-000003000000}" name="Start"/>
    <tableColumn id="4" xr3:uid="{00000000-0010-0000-1D00-000004000000}" name="Stop"/>
    <tableColumn id="5" xr3:uid="{00000000-0010-0000-1D00-000005000000}" name="Players"/>
    <tableColumn id="6" xr3:uid="{00000000-0010-0000-1D00-000006000000}" name="FieldX"/>
    <tableColumn id="7" xr3:uid="{00000000-0010-0000-1D00-000007000000}" name="FieldY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578f4f9c_5cc8_4a47_acaa_01ddd27af172_2" displayName="Table578f4f9c_5cc8_4a47_acaa_01ddd27af172_2" ref="A759:H801">
  <autoFilter ref="A759:H801" xr:uid="{00000000-0009-0000-0100-00001F000000}"/>
  <tableColumns count="8">
    <tableColumn id="1" xr3:uid="{00000000-0010-0000-1E00-000001000000}" name="Event"/>
    <tableColumn id="2" xr3:uid="{00000000-0010-0000-1E00-000002000000}" name="Time"/>
    <tableColumn id="3" xr3:uid="{00000000-0010-0000-1E00-000003000000}" name="Start"/>
    <tableColumn id="4" xr3:uid="{00000000-0010-0000-1E00-000004000000}" name="Stop"/>
    <tableColumn id="5" xr3:uid="{00000000-0010-0000-1E00-000005000000}" name="Players"/>
    <tableColumn id="6" xr3:uid="{00000000-0010-0000-1E00-000006000000}" name="Outcome"/>
    <tableColumn id="7" xr3:uid="{00000000-0010-0000-1E00-000007000000}" name="FieldX"/>
    <tableColumn id="8" xr3:uid="{00000000-0010-0000-1E00-000008000000}" name="FieldY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94a1bf78_bf9c_4e98_9c15_26d640b90420_2" displayName="Table94a1bf78_bf9c_4e98_9c15_26d640b90420_2" ref="A804:H838">
  <autoFilter ref="A804:H838" xr:uid="{00000000-0009-0000-0100-000020000000}"/>
  <tableColumns count="8">
    <tableColumn id="1" xr3:uid="{00000000-0010-0000-1F00-000001000000}" name="Event"/>
    <tableColumn id="2" xr3:uid="{00000000-0010-0000-1F00-000002000000}" name="Time"/>
    <tableColumn id="3" xr3:uid="{00000000-0010-0000-1F00-000003000000}" name="Start"/>
    <tableColumn id="4" xr3:uid="{00000000-0010-0000-1F00-000004000000}" name="Stop"/>
    <tableColumn id="5" xr3:uid="{00000000-0010-0000-1F00-000005000000}" name="Players"/>
    <tableColumn id="6" xr3:uid="{00000000-0010-0000-1F00-000006000000}" name="Outcome"/>
    <tableColumn id="7" xr3:uid="{00000000-0010-0000-1F00-000007000000}" name="FieldX"/>
    <tableColumn id="8" xr3:uid="{00000000-0010-0000-1F00-000008000000}" name="FieldY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5d373c79_e070_4c8d_9d7c_6724f41e8719_2" displayName="Table5d373c79_e070_4c8d_9d7c_6724f41e8719_2" ref="A841:F843">
  <autoFilter ref="A841:F843" xr:uid="{00000000-0009-0000-0100-000021000000}"/>
  <tableColumns count="6">
    <tableColumn id="1" xr3:uid="{00000000-0010-0000-2000-000001000000}" name="Event"/>
    <tableColumn id="2" xr3:uid="{00000000-0010-0000-2000-000002000000}" name="Time"/>
    <tableColumn id="3" xr3:uid="{00000000-0010-0000-2000-000003000000}" name="Start"/>
    <tableColumn id="4" xr3:uid="{00000000-0010-0000-2000-000004000000}" name="Stop"/>
    <tableColumn id="5" xr3:uid="{00000000-0010-0000-2000-000005000000}" name="Players"/>
    <tableColumn id="6" xr3:uid="{00000000-0010-0000-2000-000006000000}" name="Score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db4df338_3392_11e4_be8d_0811963e3880_2" displayName="Tabledb4df338_3392_11e4_be8d_0811963e3880_2" ref="A857:E862">
  <autoFilter ref="A857:E862" xr:uid="{00000000-0009-0000-0100-000022000000}"/>
  <tableColumns count="5">
    <tableColumn id="1" xr3:uid="{00000000-0010-0000-2100-000001000000}" name="Event"/>
    <tableColumn id="2" xr3:uid="{00000000-0010-0000-2100-000002000000}" name="Time"/>
    <tableColumn id="3" xr3:uid="{00000000-0010-0000-2100-000003000000}" name="Start"/>
    <tableColumn id="4" xr3:uid="{00000000-0010-0000-2100-000004000000}" name="Stop"/>
    <tableColumn id="5" xr3:uid="{00000000-0010-0000-2100-000005000000}" name="Players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fb531703_7efd_4582_949f_b033c3b75f39_2" displayName="Tablefb531703_7efd_4582_949f_b033c3b75f39_2" ref="A873:G889">
  <autoFilter ref="A873:G889" xr:uid="{00000000-0009-0000-0100-000023000000}"/>
  <tableColumns count="7">
    <tableColumn id="1" xr3:uid="{00000000-0010-0000-2200-000001000000}" name="Event"/>
    <tableColumn id="2" xr3:uid="{00000000-0010-0000-2200-000002000000}" name="Time"/>
    <tableColumn id="3" xr3:uid="{00000000-0010-0000-2200-000003000000}" name="Start"/>
    <tableColumn id="4" xr3:uid="{00000000-0010-0000-2200-000004000000}" name="Stop"/>
    <tableColumn id="5" xr3:uid="{00000000-0010-0000-2200-000005000000}" name="Players"/>
    <tableColumn id="6" xr3:uid="{00000000-0010-0000-2200-000006000000}" name="FieldX"/>
    <tableColumn id="7" xr3:uid="{00000000-0010-0000-2200-000007000000}" name="FieldY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7492f3d1_99c8_4b87_8944_e6bc9a4ba3d3_2" displayName="Table7492f3d1_99c8_4b87_8944_e6bc9a4ba3d3_2" ref="A892:G894">
  <autoFilter ref="A892:G894" xr:uid="{00000000-0009-0000-0100-000024000000}"/>
  <tableColumns count="7">
    <tableColumn id="1" xr3:uid="{00000000-0010-0000-2300-000001000000}" name="Event"/>
    <tableColumn id="2" xr3:uid="{00000000-0010-0000-2300-000002000000}" name="Time"/>
    <tableColumn id="3" xr3:uid="{00000000-0010-0000-2300-000003000000}" name="Start"/>
    <tableColumn id="4" xr3:uid="{00000000-0010-0000-2300-000004000000}" name="Stop"/>
    <tableColumn id="5" xr3:uid="{00000000-0010-0000-2300-000005000000}" name="Players"/>
    <tableColumn id="6" xr3:uid="{00000000-0010-0000-2300-000006000000}" name="FieldX"/>
    <tableColumn id="7" xr3:uid="{00000000-0010-0000-2300-000007000000}" name="FieldY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7CEA148-6AB0-4F6B-ADEE-E360CB5F74C8}" name="Táblázat37" displayName="Táblázat37" ref="A1:P43" totalsRowShown="0" headerRowDxfId="3">
  <autoFilter ref="A1:P43" xr:uid="{27CEA148-6AB0-4F6B-ADEE-E360CB5F74C8}"/>
  <tableColumns count="16">
    <tableColumn id="1" xr3:uid="{5D514FE9-EF40-4A31-9C13-AB4A6D23F6F3}" name="Name" dataDxfId="2"/>
    <tableColumn id="2" xr3:uid="{93FCCEBA-DE70-4557-AF8B-20AF9D7AFC52}" name="Zsani"/>
    <tableColumn id="3" xr3:uid="{D5B828FA-3786-47BC-9E29-398D00E2754F}" name="Peo"/>
    <tableColumn id="4" xr3:uid="{E4C10B34-8971-4437-A0CF-C097D6120533}" name="Betty"/>
    <tableColumn id="5" xr3:uid="{0D201CCB-4F43-467C-8E96-ABEE8935B5A9}" name="Kriszti"/>
    <tableColumn id="6" xr3:uid="{FBE1169C-94C1-4E61-97B7-7752E307D040}" name="Nina"/>
    <tableColumn id="7" xr3:uid="{4A3DA35F-CCD2-43D3-9F6E-498E2A4486B9}" name="Slaki"/>
    <tableColumn id="8" xr3:uid="{1B1B46B4-372C-4A13-BEBB-9D0732897740}" name="Sanda"/>
    <tableColumn id="9" xr3:uid="{1425BF22-BB5A-42DD-9797-5C4EF71B3629}" name="Szidi"/>
    <tableColumn id="10" xr3:uid="{DF88C6C6-DEAC-4155-84E7-EBEEF1DAD60C}" name="Milana"/>
    <tableColumn id="11" xr3:uid="{E7A8294D-1299-4B53-A449-C8F921B4C5A5}" name="Kicsi"/>
    <tableColumn id="12" xr3:uid="{CA23E566-D3DA-4803-A3E8-97C562172CEB}" name="Ivana"/>
    <tableColumn id="13" xr3:uid="{B3FA7C96-1FB8-4708-942E-AD84D519EDC6}" name="Puffi"/>
    <tableColumn id="14" xr3:uid="{524D79C0-9F80-4C0A-A615-E7F5BE429E3D}" name="Dorka"/>
    <tableColumn id="15" xr3:uid="{8F50C59C-3395-4C30-818B-42FE76B7B789}" name="All" dataDxfId="1">
      <calculatedColumnFormula>SUM(Táblázat37[[#This Row],[Zsani]:[Dorka]])</calculatedColumnFormula>
    </tableColumn>
    <tableColumn id="16" xr3:uid="{5487F239-3377-4F29-A936-B79318A16995}" name="Oszlop1" dataDxfId="0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61694ab_fb6a_4cb9_a3a4_92c356bab0a4_1" displayName="Table361694ab_fb6a_4cb9_a3a4_92c356bab0a4_1" ref="A481:I507">
  <autoFilter ref="A481:I507" xr:uid="{00000000-0009-0000-0100-000004000000}"/>
  <tableColumns count="9">
    <tableColumn id="1" xr3:uid="{00000000-0010-0000-0300-000001000000}" name="Event"/>
    <tableColumn id="2" xr3:uid="{00000000-0010-0000-0300-000002000000}" name="Time"/>
    <tableColumn id="3" xr3:uid="{00000000-0010-0000-0300-000003000000}" name="Start"/>
    <tableColumn id="4" xr3:uid="{00000000-0010-0000-0300-000004000000}" name="Stop"/>
    <tableColumn id="5" xr3:uid="{00000000-0010-0000-0300-000005000000}" name="Team"/>
    <tableColumn id="6" xr3:uid="{00000000-0010-0000-0300-000006000000}" name="Players"/>
    <tableColumn id="7" xr3:uid="{00000000-0010-0000-0300-000007000000}" name="Outcome"/>
    <tableColumn id="8" xr3:uid="{00000000-0010-0000-0300-000008000000}" name="FieldX"/>
    <tableColumn id="9" xr3:uid="{00000000-0010-0000-0300-000009000000}" name="Field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89a5f54_bbfd_4af0_b954_b4ee5c29f01b_1" displayName="Table589a5f54_bbfd_4af0_b954_b4ee5c29f01b_1" ref="A510:I530">
  <autoFilter ref="A510:I530" xr:uid="{00000000-0009-0000-0100-000005000000}"/>
  <tableColumns count="9">
    <tableColumn id="1" xr3:uid="{00000000-0010-0000-0400-000001000000}" name="Event"/>
    <tableColumn id="2" xr3:uid="{00000000-0010-0000-0400-000002000000}" name="Time"/>
    <tableColumn id="3" xr3:uid="{00000000-0010-0000-0400-000003000000}" name="Start"/>
    <tableColumn id="4" xr3:uid="{00000000-0010-0000-0400-000004000000}" name="Stop"/>
    <tableColumn id="5" xr3:uid="{00000000-0010-0000-0400-000005000000}" name="Team"/>
    <tableColumn id="6" xr3:uid="{00000000-0010-0000-0400-000006000000}" name="Players"/>
    <tableColumn id="7" xr3:uid="{00000000-0010-0000-0400-000007000000}" name="Outcome"/>
    <tableColumn id="8" xr3:uid="{00000000-0010-0000-0400-000008000000}" name="FieldX"/>
    <tableColumn id="9" xr3:uid="{00000000-0010-0000-0400-000009000000}" name="Field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6582a76_2a12_446f_a06e_43d53b982cad_1" displayName="Tableb6582a76_2a12_446f_a06e_43d53b982cad_1" ref="A533:H562">
  <autoFilter ref="A533:H562" xr:uid="{00000000-0009-0000-0100-000006000000}"/>
  <tableColumns count="8">
    <tableColumn id="1" xr3:uid="{00000000-0010-0000-0500-000001000000}" name="Event"/>
    <tableColumn id="2" xr3:uid="{00000000-0010-0000-0500-000002000000}" name="Time"/>
    <tableColumn id="3" xr3:uid="{00000000-0010-0000-0500-000003000000}" name="Start"/>
    <tableColumn id="4" xr3:uid="{00000000-0010-0000-0500-000004000000}" name="Stop"/>
    <tableColumn id="5" xr3:uid="{00000000-0010-0000-0500-000005000000}" name="Team"/>
    <tableColumn id="6" xr3:uid="{00000000-0010-0000-0500-000006000000}" name="Players"/>
    <tableColumn id="7" xr3:uid="{00000000-0010-0000-0500-000007000000}" name="FieldX"/>
    <tableColumn id="8" xr3:uid="{00000000-0010-0000-0500-000008000000}" name="Field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895bb942_24c4_487e_98b1_b3ff3b1ae971_1" displayName="Table895bb942_24c4_487e_98b1_b3ff3b1ae971_1" ref="A565:K585">
  <autoFilter ref="A565:K585" xr:uid="{00000000-0009-0000-0100-000007000000}"/>
  <tableColumns count="11">
    <tableColumn id="1" xr3:uid="{00000000-0010-0000-0600-000001000000}" name="Event"/>
    <tableColumn id="2" xr3:uid="{00000000-0010-0000-0600-000002000000}" name="Time"/>
    <tableColumn id="3" xr3:uid="{00000000-0010-0000-0600-000003000000}" name="Start"/>
    <tableColumn id="4" xr3:uid="{00000000-0010-0000-0600-000004000000}" name="Stop"/>
    <tableColumn id="5" xr3:uid="{00000000-0010-0000-0600-000005000000}" name="Team"/>
    <tableColumn id="6" xr3:uid="{00000000-0010-0000-0600-000006000000}" name="Players"/>
    <tableColumn id="7" xr3:uid="{00000000-0010-0000-0600-000007000000}" name="Outcome"/>
    <tableColumn id="8" xr3:uid="{00000000-0010-0000-0600-000008000000}" name="FieldX"/>
    <tableColumn id="9" xr3:uid="{00000000-0010-0000-0600-000009000000}" name="FieldY"/>
    <tableColumn id="10" xr3:uid="{00000000-0010-0000-0600-00000A000000}" name="GoalX"/>
    <tableColumn id="11" xr3:uid="{00000000-0010-0000-0600-00000B000000}" name="Goal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61a4fab7_73b8_4116_89ab_20b1c0c132c3_1" displayName="Table61a4fab7_73b8_4116_89ab_20b1c0c132c3_1" ref="A588:J602">
  <autoFilter ref="A588:J602" xr:uid="{00000000-0009-0000-0100-000008000000}"/>
  <tableColumns count="10">
    <tableColumn id="1" xr3:uid="{00000000-0010-0000-0700-000001000000}" name="Event"/>
    <tableColumn id="2" xr3:uid="{00000000-0010-0000-0700-000002000000}" name="Time"/>
    <tableColumn id="3" xr3:uid="{00000000-0010-0000-0700-000003000000}" name="Start"/>
    <tableColumn id="4" xr3:uid="{00000000-0010-0000-0700-000004000000}" name="Stop"/>
    <tableColumn id="5" xr3:uid="{00000000-0010-0000-0700-000005000000}" name="Team"/>
    <tableColumn id="6" xr3:uid="{00000000-0010-0000-0700-000006000000}" name="Players"/>
    <tableColumn id="7" xr3:uid="{00000000-0010-0000-0700-000007000000}" name="FieldX"/>
    <tableColumn id="8" xr3:uid="{00000000-0010-0000-0700-000008000000}" name="FieldY"/>
    <tableColumn id="9" xr3:uid="{00000000-0010-0000-0700-000009000000}" name="HalfFieldX"/>
    <tableColumn id="10" xr3:uid="{00000000-0010-0000-0700-00000A000000}" name="HalfField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585aa822_e5b9_4c71_8d4b_1b38a2893b5a_1" displayName="Table585aa822_e5b9_4c71_8d4b_1b38a2893b5a_1" ref="A605:I682">
  <autoFilter ref="A605:I682" xr:uid="{00000000-0009-0000-0100-000009000000}"/>
  <tableColumns count="9">
    <tableColumn id="1" xr3:uid="{00000000-0010-0000-0800-000001000000}" name="Event"/>
    <tableColumn id="2" xr3:uid="{00000000-0010-0000-0800-000002000000}" name="Time"/>
    <tableColumn id="3" xr3:uid="{00000000-0010-0000-0800-000003000000}" name="Start"/>
    <tableColumn id="4" xr3:uid="{00000000-0010-0000-0800-000004000000}" name="Stop"/>
    <tableColumn id="5" xr3:uid="{00000000-0010-0000-0800-000005000000}" name="Team"/>
    <tableColumn id="6" xr3:uid="{00000000-0010-0000-0800-000006000000}" name="Players"/>
    <tableColumn id="7" xr3:uid="{00000000-0010-0000-0800-000007000000}" name="Outcome"/>
    <tableColumn id="8" xr3:uid="{00000000-0010-0000-0800-000008000000}" name="FieldX"/>
    <tableColumn id="9" xr3:uid="{00000000-0010-0000-0800-000009000000}" name="Field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18" Type="http://schemas.openxmlformats.org/officeDocument/2006/relationships/table" Target="../tables/table35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17" Type="http://schemas.openxmlformats.org/officeDocument/2006/relationships/table" Target="../tables/table34.xml"/><Relationship Id="rId2" Type="http://schemas.openxmlformats.org/officeDocument/2006/relationships/table" Target="../tables/table19.xml"/><Relationship Id="rId16" Type="http://schemas.openxmlformats.org/officeDocument/2006/relationships/table" Target="../tables/table33.xml"/><Relationship Id="rId20" Type="http://schemas.openxmlformats.org/officeDocument/2006/relationships/table" Target="../tables/table37.xml"/><Relationship Id="rId1" Type="http://schemas.openxmlformats.org/officeDocument/2006/relationships/drawing" Target="../drawings/drawing2.xml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19" Type="http://schemas.openxmlformats.org/officeDocument/2006/relationships/table" Target="../tables/table36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1"/>
  <sheetViews>
    <sheetView workbookViewId="0">
      <selection sqref="A1:D1"/>
    </sheetView>
  </sheetViews>
  <sheetFormatPr defaultRowHeight="14.4" x14ac:dyDescent="0.3"/>
  <cols>
    <col min="1" max="49" width="15" customWidth="1"/>
  </cols>
  <sheetData>
    <row r="1" spans="1:10" ht="23.4" x14ac:dyDescent="0.45">
      <c r="A1" s="43" t="s">
        <v>0</v>
      </c>
      <c r="B1" s="44"/>
      <c r="C1" s="44"/>
      <c r="D1" s="44"/>
    </row>
    <row r="2" spans="1:10" x14ac:dyDescent="0.3">
      <c r="A2" t="s">
        <v>1</v>
      </c>
      <c r="B2" s="44" t="s">
        <v>2</v>
      </c>
      <c r="C2" s="44"/>
      <c r="D2" s="44"/>
      <c r="E2" s="44"/>
      <c r="F2" s="44"/>
    </row>
    <row r="3" spans="1:10" x14ac:dyDescent="0.3">
      <c r="A3" t="s">
        <v>3</v>
      </c>
      <c r="B3" s="46">
        <v>45017</v>
      </c>
      <c r="C3" s="44"/>
      <c r="D3" s="44"/>
      <c r="E3" s="44"/>
      <c r="F3" s="44"/>
    </row>
    <row r="4" spans="1:10" x14ac:dyDescent="0.3">
      <c r="A4" t="s">
        <v>4</v>
      </c>
      <c r="B4" s="44" t="s">
        <v>5</v>
      </c>
      <c r="C4" s="44"/>
      <c r="D4" s="44"/>
      <c r="E4" s="44"/>
      <c r="F4" s="44"/>
    </row>
    <row r="5" spans="1:10" x14ac:dyDescent="0.3">
      <c r="A5" t="s">
        <v>6</v>
      </c>
      <c r="B5" s="44" t="s">
        <v>7</v>
      </c>
      <c r="C5" s="44"/>
      <c r="D5" s="44"/>
      <c r="E5" s="44"/>
      <c r="F5" s="44"/>
    </row>
    <row r="6" spans="1:10" x14ac:dyDescent="0.3">
      <c r="A6" t="s">
        <v>8</v>
      </c>
      <c r="B6" s="44" t="s">
        <v>9</v>
      </c>
      <c r="C6" s="44"/>
      <c r="D6" s="44"/>
      <c r="E6" s="44"/>
      <c r="F6" s="44"/>
    </row>
    <row r="7" spans="1:10" x14ac:dyDescent="0.3">
      <c r="A7" t="s">
        <v>10</v>
      </c>
      <c r="B7" s="44" t="s">
        <v>11</v>
      </c>
      <c r="C7" s="44"/>
      <c r="D7" s="44"/>
      <c r="E7" s="44"/>
      <c r="F7" s="44"/>
    </row>
    <row r="8" spans="1:10" x14ac:dyDescent="0.3">
      <c r="A8" t="s">
        <v>12</v>
      </c>
      <c r="B8" s="44" t="s">
        <v>13</v>
      </c>
      <c r="C8" s="44"/>
      <c r="D8" s="44"/>
      <c r="E8" s="44"/>
      <c r="F8" s="44"/>
    </row>
    <row r="10" spans="1:10" ht="23.4" x14ac:dyDescent="0.45">
      <c r="A10" s="43" t="s">
        <v>14</v>
      </c>
      <c r="B10" s="44"/>
      <c r="C10" s="44"/>
      <c r="D10" s="44"/>
      <c r="H10" s="45" t="s">
        <v>15</v>
      </c>
      <c r="I10" s="45" t="s">
        <v>15</v>
      </c>
    </row>
    <row r="11" spans="1:10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/>
    </row>
    <row r="12" spans="1:10" x14ac:dyDescent="0.3">
      <c r="A12" t="s">
        <v>25</v>
      </c>
      <c r="B12" s="2">
        <v>9.5834490740740743E-4</v>
      </c>
      <c r="C12" s="2">
        <v>9.4677083333333332E-4</v>
      </c>
      <c r="D12" s="2">
        <v>9.5834490740740743E-4</v>
      </c>
      <c r="E12" t="s">
        <v>26</v>
      </c>
      <c r="F12" t="s">
        <v>27</v>
      </c>
      <c r="G12" t="s">
        <v>28</v>
      </c>
      <c r="H12">
        <v>5.3867403314917101E-2</v>
      </c>
      <c r="I12">
        <v>0.48706896551724099</v>
      </c>
    </row>
    <row r="13" spans="1:10" x14ac:dyDescent="0.3">
      <c r="A13" t="s">
        <v>29</v>
      </c>
      <c r="B13" s="2">
        <v>1.0318055555555556E-3</v>
      </c>
      <c r="C13" s="2">
        <v>1.0202314814814816E-3</v>
      </c>
      <c r="D13" s="2">
        <v>1.0318055555555556E-3</v>
      </c>
      <c r="E13" t="s">
        <v>26</v>
      </c>
      <c r="F13" t="s">
        <v>30</v>
      </c>
      <c r="G13" t="s">
        <v>28</v>
      </c>
      <c r="H13">
        <v>0.26657458563535902</v>
      </c>
      <c r="I13">
        <v>0.28017241379310298</v>
      </c>
    </row>
    <row r="14" spans="1:10" x14ac:dyDescent="0.3">
      <c r="A14" t="s">
        <v>31</v>
      </c>
      <c r="B14" s="2">
        <v>1.0478356481481482E-3</v>
      </c>
      <c r="C14" s="2">
        <v>1.036261574074074E-3</v>
      </c>
      <c r="D14" s="2">
        <v>1.0478356481481482E-3</v>
      </c>
      <c r="E14" t="s">
        <v>26</v>
      </c>
      <c r="F14" t="s">
        <v>32</v>
      </c>
      <c r="G14" t="s">
        <v>28</v>
      </c>
      <c r="H14">
        <v>0.34392265193370197</v>
      </c>
      <c r="I14">
        <v>0.38793103448275901</v>
      </c>
    </row>
    <row r="15" spans="1:10" x14ac:dyDescent="0.3">
      <c r="A15" t="s">
        <v>33</v>
      </c>
      <c r="B15" s="2">
        <v>1.5379050925925927E-3</v>
      </c>
      <c r="C15" s="2">
        <v>1.5263310185185184E-3</v>
      </c>
      <c r="D15" s="2">
        <v>1.5379050925925927E-3</v>
      </c>
      <c r="E15" t="s">
        <v>26</v>
      </c>
      <c r="F15" t="s">
        <v>30</v>
      </c>
      <c r="G15" t="s">
        <v>34</v>
      </c>
      <c r="H15">
        <v>0.299723756906077</v>
      </c>
      <c r="I15">
        <v>0.14224137931034497</v>
      </c>
    </row>
    <row r="16" spans="1:10" x14ac:dyDescent="0.3">
      <c r="A16" t="s">
        <v>35</v>
      </c>
      <c r="B16" s="2">
        <v>2.1729513888888888E-3</v>
      </c>
      <c r="C16" s="2">
        <v>2.1613773148148148E-3</v>
      </c>
      <c r="D16" s="2">
        <v>2.1729513888888888E-3</v>
      </c>
      <c r="E16" t="s">
        <v>26</v>
      </c>
      <c r="F16" t="s">
        <v>27</v>
      </c>
      <c r="G16" t="s">
        <v>28</v>
      </c>
      <c r="H16">
        <v>5.3867403314917101E-2</v>
      </c>
      <c r="I16">
        <v>0.50431034482758608</v>
      </c>
    </row>
    <row r="17" spans="1:9" x14ac:dyDescent="0.3">
      <c r="A17" t="s">
        <v>36</v>
      </c>
      <c r="B17" s="2">
        <v>2.4531828703703703E-3</v>
      </c>
      <c r="C17" s="2">
        <v>2.4416087962962963E-3</v>
      </c>
      <c r="D17" s="2">
        <v>2.4531828703703703E-3</v>
      </c>
      <c r="E17" t="s">
        <v>26</v>
      </c>
      <c r="F17" t="s">
        <v>30</v>
      </c>
      <c r="G17" t="s">
        <v>28</v>
      </c>
      <c r="H17">
        <v>0.31077348066298299</v>
      </c>
      <c r="I17">
        <v>0.15517241379310298</v>
      </c>
    </row>
    <row r="18" spans="1:9" x14ac:dyDescent="0.3">
      <c r="A18" t="s">
        <v>37</v>
      </c>
      <c r="B18" s="2">
        <v>2.4828587962962964E-3</v>
      </c>
      <c r="C18" s="2">
        <v>2.4712847222222224E-3</v>
      </c>
      <c r="D18" s="2">
        <v>2.4828587962962964E-3</v>
      </c>
      <c r="E18" t="s">
        <v>26</v>
      </c>
      <c r="F18" t="s">
        <v>38</v>
      </c>
      <c r="G18" t="s">
        <v>34</v>
      </c>
      <c r="H18">
        <v>0.37707182320442001</v>
      </c>
      <c r="I18">
        <v>0.26724137931034497</v>
      </c>
    </row>
    <row r="19" spans="1:9" x14ac:dyDescent="0.3">
      <c r="A19" t="s">
        <v>39</v>
      </c>
      <c r="B19" s="2">
        <v>2.5761342592592593E-3</v>
      </c>
      <c r="C19" s="2">
        <v>2.5645601851851853E-3</v>
      </c>
      <c r="D19" s="2">
        <v>2.5761342592592593E-3</v>
      </c>
      <c r="E19" t="s">
        <v>26</v>
      </c>
      <c r="F19" t="s">
        <v>40</v>
      </c>
      <c r="G19" t="s">
        <v>28</v>
      </c>
      <c r="H19">
        <v>0.48480662983425399</v>
      </c>
      <c r="I19">
        <v>0.37068965517241403</v>
      </c>
    </row>
    <row r="20" spans="1:9" x14ac:dyDescent="0.3">
      <c r="A20" t="s">
        <v>41</v>
      </c>
      <c r="B20" s="2">
        <v>3.0899421296296295E-3</v>
      </c>
      <c r="C20" s="2">
        <v>3.0783680555555555E-3</v>
      </c>
      <c r="D20" s="2">
        <v>3.0899421296296295E-3</v>
      </c>
      <c r="E20" t="s">
        <v>26</v>
      </c>
      <c r="F20" t="s">
        <v>42</v>
      </c>
      <c r="G20" t="s">
        <v>28</v>
      </c>
      <c r="H20">
        <v>0.98756906077348094</v>
      </c>
      <c r="I20">
        <v>1.2931034482759007E-2</v>
      </c>
    </row>
    <row r="21" spans="1:9" x14ac:dyDescent="0.3">
      <c r="A21" t="s">
        <v>43</v>
      </c>
      <c r="B21" s="2">
        <v>3.1015046296296298E-3</v>
      </c>
      <c r="C21" s="2">
        <v>3.0899305555555554E-3</v>
      </c>
      <c r="D21" s="2">
        <v>3.1015046296296298E-3</v>
      </c>
      <c r="E21" t="s">
        <v>26</v>
      </c>
      <c r="F21" t="s">
        <v>44</v>
      </c>
      <c r="G21" t="s">
        <v>28</v>
      </c>
      <c r="H21">
        <v>0.94613259668508298</v>
      </c>
      <c r="I21">
        <v>0.25</v>
      </c>
    </row>
    <row r="22" spans="1:9" x14ac:dyDescent="0.3">
      <c r="A22" t="s">
        <v>45</v>
      </c>
      <c r="B22" s="2">
        <v>3.3177430555555555E-3</v>
      </c>
      <c r="C22" s="2">
        <v>3.3061689814814815E-3</v>
      </c>
      <c r="D22" s="2">
        <v>3.3177430555555555E-3</v>
      </c>
      <c r="E22" t="s">
        <v>26</v>
      </c>
      <c r="F22" t="s">
        <v>46</v>
      </c>
      <c r="G22" t="s">
        <v>28</v>
      </c>
      <c r="H22">
        <v>0.399171270718232</v>
      </c>
      <c r="I22">
        <v>7.7586206896552046E-2</v>
      </c>
    </row>
    <row r="23" spans="1:9" x14ac:dyDescent="0.3">
      <c r="A23" t="s">
        <v>47</v>
      </c>
      <c r="B23" s="2">
        <v>3.3404976851851851E-3</v>
      </c>
      <c r="C23" s="2">
        <v>3.3289236111111111E-3</v>
      </c>
      <c r="D23" s="2">
        <v>3.3404976851851851E-3</v>
      </c>
      <c r="E23" t="s">
        <v>26</v>
      </c>
      <c r="F23" t="s">
        <v>42</v>
      </c>
      <c r="G23" t="s">
        <v>28</v>
      </c>
      <c r="H23">
        <v>0.42127071823204398</v>
      </c>
      <c r="I23">
        <v>0.15086206896551702</v>
      </c>
    </row>
    <row r="24" spans="1:9" x14ac:dyDescent="0.3">
      <c r="A24" t="s">
        <v>48</v>
      </c>
      <c r="B24" s="2">
        <v>3.3790162037037035E-3</v>
      </c>
      <c r="C24" s="2">
        <v>3.3674421296296295E-3</v>
      </c>
      <c r="D24" s="2">
        <v>3.3790162037037035E-3</v>
      </c>
      <c r="E24" t="s">
        <v>26</v>
      </c>
      <c r="F24" t="s">
        <v>46</v>
      </c>
      <c r="G24" t="s">
        <v>28</v>
      </c>
      <c r="H24">
        <v>0.38259668508287298</v>
      </c>
      <c r="I24">
        <v>3.4482758620689946E-2</v>
      </c>
    </row>
    <row r="25" spans="1:9" x14ac:dyDescent="0.3">
      <c r="A25" t="s">
        <v>49</v>
      </c>
      <c r="B25" s="2">
        <v>3.3836458333333331E-3</v>
      </c>
      <c r="C25" s="2">
        <v>3.3720717592592591E-3</v>
      </c>
      <c r="D25" s="2">
        <v>3.3836458333333331E-3</v>
      </c>
      <c r="E25" t="s">
        <v>26</v>
      </c>
      <c r="F25" t="s">
        <v>30</v>
      </c>
      <c r="G25" t="s">
        <v>28</v>
      </c>
      <c r="H25">
        <v>0.35497237569060802</v>
      </c>
      <c r="I25">
        <v>3.0172413793102981E-2</v>
      </c>
    </row>
    <row r="26" spans="1:9" x14ac:dyDescent="0.3">
      <c r="A26" t="s">
        <v>50</v>
      </c>
      <c r="B26" s="2">
        <v>4.0782523148148149E-3</v>
      </c>
      <c r="C26" s="2">
        <v>4.0666782407407405E-3</v>
      </c>
      <c r="D26" s="2">
        <v>4.0782523148148149E-3</v>
      </c>
      <c r="E26" t="s">
        <v>26</v>
      </c>
      <c r="F26" t="s">
        <v>51</v>
      </c>
      <c r="G26" t="s">
        <v>28</v>
      </c>
      <c r="H26">
        <v>0.73342541436464104</v>
      </c>
      <c r="I26">
        <v>0.49568965517241403</v>
      </c>
    </row>
    <row r="27" spans="1:9" x14ac:dyDescent="0.3">
      <c r="A27" t="s">
        <v>52</v>
      </c>
      <c r="B27" s="2">
        <v>4.0924884259259256E-3</v>
      </c>
      <c r="C27" s="2">
        <v>4.0809143518518521E-3</v>
      </c>
      <c r="D27" s="2">
        <v>4.0924884259259256E-3</v>
      </c>
      <c r="E27" t="s">
        <v>26</v>
      </c>
      <c r="F27" t="s">
        <v>40</v>
      </c>
      <c r="G27" t="s">
        <v>28</v>
      </c>
      <c r="H27">
        <v>0.64779005524861899</v>
      </c>
      <c r="I27">
        <v>0.47844827586206895</v>
      </c>
    </row>
    <row r="28" spans="1:9" x14ac:dyDescent="0.3">
      <c r="A28" t="s">
        <v>53</v>
      </c>
      <c r="B28" s="2">
        <v>4.3948379629629632E-3</v>
      </c>
      <c r="C28" s="2">
        <v>4.3832638888888888E-3</v>
      </c>
      <c r="D28" s="2">
        <v>4.3948379629629632E-3</v>
      </c>
      <c r="E28" t="s">
        <v>26</v>
      </c>
      <c r="F28" t="s">
        <v>30</v>
      </c>
      <c r="G28" t="s">
        <v>28</v>
      </c>
      <c r="H28">
        <v>0.27762430939226501</v>
      </c>
      <c r="I28">
        <v>0.22413793103448298</v>
      </c>
    </row>
    <row r="29" spans="1:9" x14ac:dyDescent="0.3">
      <c r="A29" t="s">
        <v>54</v>
      </c>
      <c r="B29" s="2">
        <v>4.4266782407407406E-3</v>
      </c>
      <c r="C29" s="2">
        <v>4.415104166666667E-3</v>
      </c>
      <c r="D29" s="2">
        <v>4.4266782407407406E-3</v>
      </c>
      <c r="E29" t="s">
        <v>26</v>
      </c>
      <c r="F29" t="s">
        <v>44</v>
      </c>
      <c r="G29" t="s">
        <v>28</v>
      </c>
      <c r="H29">
        <v>0.31077348066298299</v>
      </c>
      <c r="I29">
        <v>0.28879310344827602</v>
      </c>
    </row>
    <row r="30" spans="1:9" x14ac:dyDescent="0.3">
      <c r="A30" t="s">
        <v>55</v>
      </c>
      <c r="B30" s="2">
        <v>4.4787037037037035E-3</v>
      </c>
      <c r="C30" s="2">
        <v>4.4671296296296299E-3</v>
      </c>
      <c r="D30" s="2">
        <v>4.4787037037037035E-3</v>
      </c>
      <c r="E30" t="s">
        <v>26</v>
      </c>
      <c r="F30" t="s">
        <v>40</v>
      </c>
      <c r="G30" t="s">
        <v>28</v>
      </c>
      <c r="H30">
        <v>0.41574585635359101</v>
      </c>
      <c r="I30">
        <v>0.27586206896551702</v>
      </c>
    </row>
    <row r="31" spans="1:9" x14ac:dyDescent="0.3">
      <c r="A31" t="s">
        <v>56</v>
      </c>
      <c r="B31" s="2">
        <v>4.6417592592592595E-3</v>
      </c>
      <c r="C31" s="2">
        <v>4.6301851851851851E-3</v>
      </c>
      <c r="D31" s="2">
        <v>4.6417592592592595E-3</v>
      </c>
      <c r="E31" t="s">
        <v>26</v>
      </c>
      <c r="F31" t="s">
        <v>44</v>
      </c>
      <c r="G31" t="s">
        <v>28</v>
      </c>
      <c r="H31">
        <v>0.69751381215469599</v>
      </c>
      <c r="I31">
        <v>3.0172413793102981E-2</v>
      </c>
    </row>
    <row r="32" spans="1:9" x14ac:dyDescent="0.3">
      <c r="A32" t="s">
        <v>57</v>
      </c>
      <c r="B32" s="2">
        <v>4.7196180555555559E-3</v>
      </c>
      <c r="C32" s="2">
        <v>4.7080439814814815E-3</v>
      </c>
      <c r="D32" s="2">
        <v>4.7196180555555559E-3</v>
      </c>
      <c r="E32" t="s">
        <v>26</v>
      </c>
      <c r="F32" t="s">
        <v>58</v>
      </c>
      <c r="G32" t="s">
        <v>28</v>
      </c>
      <c r="H32">
        <v>0.45994475138121499</v>
      </c>
      <c r="I32">
        <v>0.43965517241379304</v>
      </c>
    </row>
    <row r="33" spans="1:9" x14ac:dyDescent="0.3">
      <c r="A33" t="s">
        <v>59</v>
      </c>
      <c r="B33" s="2">
        <v>4.7346527777777777E-3</v>
      </c>
      <c r="C33" s="2">
        <v>4.7230787037037033E-3</v>
      </c>
      <c r="D33" s="2">
        <v>4.7346527777777777E-3</v>
      </c>
      <c r="E33" t="s">
        <v>26</v>
      </c>
      <c r="F33" t="s">
        <v>38</v>
      </c>
      <c r="G33" t="s">
        <v>28</v>
      </c>
      <c r="H33">
        <v>0.56767955801104997</v>
      </c>
      <c r="I33">
        <v>0.41810344827586199</v>
      </c>
    </row>
    <row r="34" spans="1:9" x14ac:dyDescent="0.3">
      <c r="A34" t="s">
        <v>60</v>
      </c>
      <c r="B34" s="2">
        <v>4.8383217592592592E-3</v>
      </c>
      <c r="C34" s="2">
        <v>4.8267476851851848E-3</v>
      </c>
      <c r="D34" s="2">
        <v>4.8383217592592592E-3</v>
      </c>
      <c r="E34" t="s">
        <v>26</v>
      </c>
      <c r="F34" t="s">
        <v>51</v>
      </c>
      <c r="G34" t="s">
        <v>34</v>
      </c>
      <c r="H34">
        <v>0.78867403314917095</v>
      </c>
      <c r="I34">
        <v>0.57327586206896597</v>
      </c>
    </row>
    <row r="35" spans="1:9" x14ac:dyDescent="0.3">
      <c r="A35" t="s">
        <v>61</v>
      </c>
      <c r="B35" s="2">
        <v>4.947025462962963E-3</v>
      </c>
      <c r="C35" s="2">
        <v>4.9354513888888885E-3</v>
      </c>
      <c r="D35" s="2">
        <v>4.947025462962963E-3</v>
      </c>
      <c r="E35" t="s">
        <v>26</v>
      </c>
      <c r="F35" t="s">
        <v>46</v>
      </c>
      <c r="G35" t="s">
        <v>28</v>
      </c>
      <c r="H35">
        <v>0.23342541436464101</v>
      </c>
      <c r="I35">
        <v>0.72844827586206895</v>
      </c>
    </row>
    <row r="36" spans="1:9" x14ac:dyDescent="0.3">
      <c r="A36" t="s">
        <v>62</v>
      </c>
      <c r="B36" s="2">
        <v>5.3282291666666669E-3</v>
      </c>
      <c r="C36" s="2">
        <v>5.3166550925925924E-3</v>
      </c>
      <c r="D36" s="2">
        <v>5.3282291666666669E-3</v>
      </c>
      <c r="E36" t="s">
        <v>26</v>
      </c>
      <c r="F36" t="s">
        <v>51</v>
      </c>
      <c r="G36" t="s">
        <v>28</v>
      </c>
      <c r="H36">
        <v>0.72237569060773499</v>
      </c>
      <c r="I36">
        <v>0.75431034482758597</v>
      </c>
    </row>
    <row r="37" spans="1:9" x14ac:dyDescent="0.3">
      <c r="A37" t="s">
        <v>63</v>
      </c>
      <c r="B37" s="2">
        <v>5.3401851851851848E-3</v>
      </c>
      <c r="C37" s="2">
        <v>5.3286111111111112E-3</v>
      </c>
      <c r="D37" s="2">
        <v>5.3401851851851848E-3</v>
      </c>
      <c r="E37" t="s">
        <v>26</v>
      </c>
      <c r="F37" t="s">
        <v>32</v>
      </c>
      <c r="G37" t="s">
        <v>28</v>
      </c>
      <c r="H37">
        <v>0.76657458563535896</v>
      </c>
      <c r="I37">
        <v>0.59051724137931005</v>
      </c>
    </row>
    <row r="38" spans="1:9" x14ac:dyDescent="0.3">
      <c r="A38" t="s">
        <v>64</v>
      </c>
      <c r="B38" s="2">
        <v>5.6338888888888888E-3</v>
      </c>
      <c r="C38" s="2">
        <v>5.6223148148148152E-3</v>
      </c>
      <c r="D38" s="2">
        <v>5.6338888888888888E-3</v>
      </c>
      <c r="E38" t="s">
        <v>26</v>
      </c>
      <c r="F38" t="s">
        <v>32</v>
      </c>
      <c r="G38" t="s">
        <v>34</v>
      </c>
      <c r="H38">
        <v>0.76381215469613295</v>
      </c>
      <c r="I38">
        <v>0.86206896551724099</v>
      </c>
    </row>
    <row r="39" spans="1:9" x14ac:dyDescent="0.3">
      <c r="A39" t="s">
        <v>65</v>
      </c>
      <c r="B39" s="2">
        <v>5.6928703703703707E-3</v>
      </c>
      <c r="C39" s="2">
        <v>5.6812962962962963E-3</v>
      </c>
      <c r="D39" s="2">
        <v>5.6928703703703707E-3</v>
      </c>
      <c r="E39" t="s">
        <v>26</v>
      </c>
      <c r="F39" t="s">
        <v>51</v>
      </c>
      <c r="G39" t="s">
        <v>28</v>
      </c>
      <c r="H39">
        <v>0.71408839779005495</v>
      </c>
      <c r="I39">
        <v>0.97413793103448276</v>
      </c>
    </row>
    <row r="40" spans="1:9" x14ac:dyDescent="0.3">
      <c r="A40" t="s">
        <v>66</v>
      </c>
      <c r="B40" s="2">
        <v>5.7171412037037034E-3</v>
      </c>
      <c r="C40" s="2">
        <v>5.7055671296296299E-3</v>
      </c>
      <c r="D40" s="2">
        <v>5.7171412037037034E-3</v>
      </c>
      <c r="E40" t="s">
        <v>26</v>
      </c>
      <c r="F40" t="s">
        <v>67</v>
      </c>
      <c r="G40" t="s">
        <v>28</v>
      </c>
      <c r="H40">
        <v>0.65331491712707201</v>
      </c>
      <c r="I40">
        <v>0.94827586206896552</v>
      </c>
    </row>
    <row r="41" spans="1:9" x14ac:dyDescent="0.3">
      <c r="A41" t="s">
        <v>68</v>
      </c>
      <c r="B41" s="2">
        <v>5.7325694444444446E-3</v>
      </c>
      <c r="C41" s="2">
        <v>5.7209953703703702E-3</v>
      </c>
      <c r="D41" s="2">
        <v>5.7325694444444446E-3</v>
      </c>
      <c r="E41" t="s">
        <v>26</v>
      </c>
      <c r="F41" t="s">
        <v>32</v>
      </c>
      <c r="G41" t="s">
        <v>28</v>
      </c>
      <c r="H41">
        <v>0.74723756906077299</v>
      </c>
      <c r="I41">
        <v>0.87931034482758597</v>
      </c>
    </row>
    <row r="42" spans="1:9" x14ac:dyDescent="0.3">
      <c r="A42" t="s">
        <v>69</v>
      </c>
      <c r="B42" s="2">
        <v>5.8142361111111112E-3</v>
      </c>
      <c r="C42" s="2">
        <v>5.8026620370370367E-3</v>
      </c>
      <c r="D42" s="2">
        <v>5.8142361111111112E-3</v>
      </c>
      <c r="E42" t="s">
        <v>26</v>
      </c>
      <c r="F42" t="s">
        <v>58</v>
      </c>
      <c r="G42" t="s">
        <v>28</v>
      </c>
      <c r="H42">
        <v>0.675414364640884</v>
      </c>
      <c r="I42">
        <v>0.72413793103448298</v>
      </c>
    </row>
    <row r="43" spans="1:9" x14ac:dyDescent="0.3">
      <c r="A43" t="s">
        <v>70</v>
      </c>
      <c r="B43" s="2">
        <v>6.1554050925925925E-3</v>
      </c>
      <c r="C43" s="2">
        <v>6.1438310185185181E-3</v>
      </c>
      <c r="D43" s="2">
        <v>6.1554050925925925E-3</v>
      </c>
      <c r="E43" t="s">
        <v>26</v>
      </c>
      <c r="F43" t="s">
        <v>67</v>
      </c>
      <c r="G43" t="s">
        <v>28</v>
      </c>
      <c r="H43">
        <v>0.34116022099447502</v>
      </c>
      <c r="I43">
        <v>0.74568965517241392</v>
      </c>
    </row>
    <row r="44" spans="1:9" x14ac:dyDescent="0.3">
      <c r="A44" t="s">
        <v>71</v>
      </c>
      <c r="B44" s="2">
        <v>6.2355787037037041E-3</v>
      </c>
      <c r="C44" s="2">
        <v>6.2240046296296297E-3</v>
      </c>
      <c r="D44" s="2">
        <v>6.2355787037037041E-3</v>
      </c>
      <c r="E44" t="s">
        <v>26</v>
      </c>
      <c r="F44" t="s">
        <v>46</v>
      </c>
      <c r="G44" t="s">
        <v>28</v>
      </c>
      <c r="H44">
        <v>0.31906077348066297</v>
      </c>
      <c r="I44">
        <v>0.70689655172413801</v>
      </c>
    </row>
    <row r="45" spans="1:9" x14ac:dyDescent="0.3">
      <c r="A45" t="s">
        <v>72</v>
      </c>
      <c r="B45" s="2">
        <v>6.2517708333333331E-3</v>
      </c>
      <c r="C45" s="2">
        <v>6.2401967592592596E-3</v>
      </c>
      <c r="D45" s="2">
        <v>6.2517708333333331E-3</v>
      </c>
      <c r="E45" t="s">
        <v>26</v>
      </c>
      <c r="F45" t="s">
        <v>67</v>
      </c>
      <c r="G45" t="s">
        <v>28</v>
      </c>
      <c r="H45">
        <v>0.33563535911602199</v>
      </c>
      <c r="I45">
        <v>0.77586206896551702</v>
      </c>
    </row>
    <row r="46" spans="1:9" x14ac:dyDescent="0.3">
      <c r="A46" t="s">
        <v>73</v>
      </c>
      <c r="B46" s="2">
        <v>6.2930092592592595E-3</v>
      </c>
      <c r="C46" s="2">
        <v>6.281435185185185E-3</v>
      </c>
      <c r="D46" s="2">
        <v>6.2930092592592595E-3</v>
      </c>
      <c r="E46" t="s">
        <v>26</v>
      </c>
      <c r="F46" t="s">
        <v>46</v>
      </c>
      <c r="G46" t="s">
        <v>28</v>
      </c>
      <c r="H46">
        <v>0.299723756906077</v>
      </c>
      <c r="I46">
        <v>0.79741379310344795</v>
      </c>
    </row>
    <row r="47" spans="1:9" x14ac:dyDescent="0.3">
      <c r="A47" t="s">
        <v>74</v>
      </c>
      <c r="B47" s="2">
        <v>6.345439814814815E-3</v>
      </c>
      <c r="C47" s="2">
        <v>6.3338657407407406E-3</v>
      </c>
      <c r="D47" s="2">
        <v>6.345439814814815E-3</v>
      </c>
      <c r="E47" t="s">
        <v>26</v>
      </c>
      <c r="F47" t="s">
        <v>58</v>
      </c>
      <c r="G47" t="s">
        <v>28</v>
      </c>
      <c r="H47">
        <v>0.24723756906077299</v>
      </c>
      <c r="I47">
        <v>0.5</v>
      </c>
    </row>
    <row r="48" spans="1:9" x14ac:dyDescent="0.3">
      <c r="A48" t="s">
        <v>75</v>
      </c>
      <c r="B48" s="2">
        <v>6.3646990740740738E-3</v>
      </c>
      <c r="C48" s="2">
        <v>6.3531250000000003E-3</v>
      </c>
      <c r="D48" s="2">
        <v>6.3646990740740738E-3</v>
      </c>
      <c r="E48" t="s">
        <v>26</v>
      </c>
      <c r="F48" t="s">
        <v>30</v>
      </c>
      <c r="G48" t="s">
        <v>28</v>
      </c>
      <c r="H48">
        <v>0.26657458563535902</v>
      </c>
      <c r="I48">
        <v>0.24137931034482796</v>
      </c>
    </row>
    <row r="49" spans="1:9" x14ac:dyDescent="0.3">
      <c r="A49" t="s">
        <v>76</v>
      </c>
      <c r="B49" s="2">
        <v>6.637986111111111E-3</v>
      </c>
      <c r="C49" s="2">
        <v>6.6264120370370374E-3</v>
      </c>
      <c r="D49" s="2">
        <v>6.637986111111111E-3</v>
      </c>
      <c r="E49" t="s">
        <v>26</v>
      </c>
      <c r="F49" t="s">
        <v>38</v>
      </c>
      <c r="G49" t="s">
        <v>28</v>
      </c>
      <c r="H49">
        <v>0.161602209944751</v>
      </c>
      <c r="I49">
        <v>8.1896551724138011E-2</v>
      </c>
    </row>
    <row r="50" spans="1:9" x14ac:dyDescent="0.3">
      <c r="A50" t="s">
        <v>77</v>
      </c>
      <c r="B50" s="2">
        <v>6.6765393518518519E-3</v>
      </c>
      <c r="C50" s="2">
        <v>6.6649652777777775E-3</v>
      </c>
      <c r="D50" s="2">
        <v>6.6765393518518519E-3</v>
      </c>
      <c r="E50" t="s">
        <v>26</v>
      </c>
      <c r="F50" t="s">
        <v>58</v>
      </c>
      <c r="G50" t="s">
        <v>28</v>
      </c>
      <c r="H50">
        <v>5.3867403314917101E-2</v>
      </c>
      <c r="I50">
        <v>0.13793103448275901</v>
      </c>
    </row>
    <row r="51" spans="1:9" x14ac:dyDescent="0.3">
      <c r="A51" t="s">
        <v>78</v>
      </c>
      <c r="B51" s="2">
        <v>6.695034722222222E-3</v>
      </c>
      <c r="C51" s="2">
        <v>6.6834606481481484E-3</v>
      </c>
      <c r="D51" s="2">
        <v>6.695034722222222E-3</v>
      </c>
      <c r="E51" t="s">
        <v>26</v>
      </c>
      <c r="F51" t="s">
        <v>30</v>
      </c>
      <c r="G51" t="s">
        <v>28</v>
      </c>
      <c r="H51">
        <v>0.12845303867403299</v>
      </c>
      <c r="I51">
        <v>4.7413793103447954E-2</v>
      </c>
    </row>
    <row r="52" spans="1:9" x14ac:dyDescent="0.3">
      <c r="A52" t="s">
        <v>79</v>
      </c>
      <c r="B52" s="2">
        <v>6.720474537037037E-3</v>
      </c>
      <c r="C52" s="2">
        <v>6.7089004629629634E-3</v>
      </c>
      <c r="D52" s="2">
        <v>6.720474537037037E-3</v>
      </c>
      <c r="E52" t="s">
        <v>26</v>
      </c>
      <c r="F52" t="s">
        <v>42</v>
      </c>
      <c r="G52" t="s">
        <v>28</v>
      </c>
      <c r="H52">
        <v>0.31629834254143602</v>
      </c>
      <c r="I52">
        <v>0.38362068965517204</v>
      </c>
    </row>
    <row r="53" spans="1:9" x14ac:dyDescent="0.3">
      <c r="A53" t="s">
        <v>80</v>
      </c>
      <c r="B53" s="2">
        <v>6.7563194444444441E-3</v>
      </c>
      <c r="C53" s="2">
        <v>6.7447453703703706E-3</v>
      </c>
      <c r="D53" s="2">
        <v>6.7563194444444441E-3</v>
      </c>
      <c r="E53" t="s">
        <v>26</v>
      </c>
      <c r="F53" t="s">
        <v>40</v>
      </c>
      <c r="G53" t="s">
        <v>28</v>
      </c>
      <c r="H53">
        <v>0.26657458563535902</v>
      </c>
      <c r="I53">
        <v>0.37931034482758597</v>
      </c>
    </row>
    <row r="54" spans="1:9" x14ac:dyDescent="0.3">
      <c r="A54" t="s">
        <v>81</v>
      </c>
      <c r="B54" s="2">
        <v>6.7898495370370369E-3</v>
      </c>
      <c r="C54" s="2">
        <v>6.7782754629629634E-3</v>
      </c>
      <c r="D54" s="2">
        <v>6.7898495370370369E-3</v>
      </c>
      <c r="E54" t="s">
        <v>26</v>
      </c>
      <c r="F54" t="s">
        <v>38</v>
      </c>
      <c r="G54" t="s">
        <v>28</v>
      </c>
      <c r="H54">
        <v>0.29419889502762397</v>
      </c>
      <c r="I54">
        <v>0.25431034482758597</v>
      </c>
    </row>
    <row r="55" spans="1:9" x14ac:dyDescent="0.3">
      <c r="A55" t="s">
        <v>82</v>
      </c>
      <c r="B55" s="2">
        <v>6.8110532407407408E-3</v>
      </c>
      <c r="C55" s="2">
        <v>6.7994791666666663E-3</v>
      </c>
      <c r="D55" s="2">
        <v>6.8110532407407408E-3</v>
      </c>
      <c r="E55" t="s">
        <v>26</v>
      </c>
      <c r="F55" t="s">
        <v>30</v>
      </c>
      <c r="G55" t="s">
        <v>34</v>
      </c>
      <c r="H55">
        <v>0.31629834254143602</v>
      </c>
      <c r="I55">
        <v>3.8793103448276023E-2</v>
      </c>
    </row>
    <row r="56" spans="1:9" x14ac:dyDescent="0.3">
      <c r="A56" t="s">
        <v>83</v>
      </c>
      <c r="B56" s="2">
        <v>6.9124189814814812E-3</v>
      </c>
      <c r="C56" s="2">
        <v>6.9008449074074076E-3</v>
      </c>
      <c r="D56" s="2">
        <v>6.9124189814814812E-3</v>
      </c>
      <c r="E56" t="s">
        <v>26</v>
      </c>
      <c r="F56" t="s">
        <v>30</v>
      </c>
      <c r="G56" t="s">
        <v>28</v>
      </c>
      <c r="H56">
        <v>0.29143646408839802</v>
      </c>
      <c r="I56">
        <v>0.13362068965517204</v>
      </c>
    </row>
    <row r="57" spans="1:9" x14ac:dyDescent="0.3">
      <c r="A57" t="s">
        <v>84</v>
      </c>
      <c r="B57" s="2">
        <v>6.9297685185185183E-3</v>
      </c>
      <c r="C57" s="2">
        <v>6.9181944444444447E-3</v>
      </c>
      <c r="D57" s="2">
        <v>6.9297685185185183E-3</v>
      </c>
      <c r="E57" t="s">
        <v>26</v>
      </c>
      <c r="F57" t="s">
        <v>58</v>
      </c>
      <c r="G57" t="s">
        <v>28</v>
      </c>
      <c r="H57">
        <v>0.244475138121547</v>
      </c>
      <c r="I57">
        <v>0.24137931034482796</v>
      </c>
    </row>
    <row r="58" spans="1:9" x14ac:dyDescent="0.3">
      <c r="A58" t="s">
        <v>85</v>
      </c>
      <c r="B58" s="2">
        <v>7.0203587962962962E-3</v>
      </c>
      <c r="C58" s="2">
        <v>7.0087847222222218E-3</v>
      </c>
      <c r="D58" s="2">
        <v>7.0203587962962962E-3</v>
      </c>
      <c r="E58" t="s">
        <v>26</v>
      </c>
      <c r="F58" t="s">
        <v>30</v>
      </c>
      <c r="G58" t="s">
        <v>34</v>
      </c>
      <c r="H58">
        <v>8.9779005524861899E-2</v>
      </c>
      <c r="I58">
        <v>4.7413793103447954E-2</v>
      </c>
    </row>
    <row r="59" spans="1:9" x14ac:dyDescent="0.3">
      <c r="A59" t="s">
        <v>86</v>
      </c>
      <c r="B59" s="2">
        <v>7.1806944444444444E-3</v>
      </c>
      <c r="C59" s="2">
        <v>7.16912037037037E-3</v>
      </c>
      <c r="D59" s="2">
        <v>7.1806944444444444E-3</v>
      </c>
      <c r="E59" t="s">
        <v>26</v>
      </c>
      <c r="F59" t="s">
        <v>30</v>
      </c>
      <c r="G59" t="s">
        <v>34</v>
      </c>
      <c r="H59">
        <v>0.111878453038674</v>
      </c>
      <c r="I59">
        <v>0.15948275862068995</v>
      </c>
    </row>
    <row r="60" spans="1:9" x14ac:dyDescent="0.3">
      <c r="A60" t="s">
        <v>87</v>
      </c>
      <c r="B60" s="2">
        <v>7.4663194444444447E-3</v>
      </c>
      <c r="C60" s="2">
        <v>7.4547453703703703E-3</v>
      </c>
      <c r="D60" s="2">
        <v>7.4663194444444447E-3</v>
      </c>
      <c r="E60" t="s">
        <v>26</v>
      </c>
      <c r="F60" t="s">
        <v>40</v>
      </c>
      <c r="G60" t="s">
        <v>28</v>
      </c>
      <c r="H60">
        <v>0.31353591160221</v>
      </c>
      <c r="I60">
        <v>0.45689655172413801</v>
      </c>
    </row>
    <row r="61" spans="1:9" x14ac:dyDescent="0.3">
      <c r="A61" t="s">
        <v>88</v>
      </c>
      <c r="B61" s="2">
        <v>7.5202777777777776E-3</v>
      </c>
      <c r="C61" s="2">
        <v>7.5087037037037041E-3</v>
      </c>
      <c r="D61" s="2">
        <v>7.5202777777777776E-3</v>
      </c>
      <c r="E61" t="s">
        <v>26</v>
      </c>
      <c r="F61" t="s">
        <v>42</v>
      </c>
      <c r="G61" t="s">
        <v>28</v>
      </c>
      <c r="H61">
        <v>0.42679558011049701</v>
      </c>
      <c r="I61">
        <v>0.40948275862068995</v>
      </c>
    </row>
    <row r="62" spans="1:9" x14ac:dyDescent="0.3">
      <c r="A62" t="s">
        <v>89</v>
      </c>
      <c r="B62" s="2">
        <v>8.8800694444444439E-3</v>
      </c>
      <c r="C62" s="2">
        <v>8.8684953703703703E-3</v>
      </c>
      <c r="D62" s="2">
        <v>8.8800694444444439E-3</v>
      </c>
      <c r="E62" t="s">
        <v>26</v>
      </c>
      <c r="F62" t="s">
        <v>27</v>
      </c>
      <c r="G62" t="s">
        <v>28</v>
      </c>
      <c r="H62">
        <v>5.6629834254143599E-2</v>
      </c>
      <c r="I62">
        <v>0.48275862068965503</v>
      </c>
    </row>
    <row r="63" spans="1:9" x14ac:dyDescent="0.3">
      <c r="A63" t="s">
        <v>90</v>
      </c>
      <c r="B63" s="2">
        <v>8.8940740740740733E-3</v>
      </c>
      <c r="C63" s="2">
        <v>8.8824999999999998E-3</v>
      </c>
      <c r="D63" s="2">
        <v>8.8940740740740733E-3</v>
      </c>
      <c r="E63" t="s">
        <v>26</v>
      </c>
      <c r="F63" t="s">
        <v>38</v>
      </c>
      <c r="G63" t="s">
        <v>28</v>
      </c>
      <c r="H63">
        <v>0.17817679558010999</v>
      </c>
      <c r="I63">
        <v>0.56465517241379293</v>
      </c>
    </row>
    <row r="64" spans="1:9" x14ac:dyDescent="0.3">
      <c r="A64" t="s">
        <v>91</v>
      </c>
      <c r="B64" s="2">
        <v>9.0376851851851851E-3</v>
      </c>
      <c r="C64" s="2">
        <v>9.0261111111111115E-3</v>
      </c>
      <c r="D64" s="2">
        <v>9.0376851851851851E-3</v>
      </c>
      <c r="E64" t="s">
        <v>26</v>
      </c>
      <c r="F64" t="s">
        <v>42</v>
      </c>
      <c r="G64" t="s">
        <v>28</v>
      </c>
      <c r="H64">
        <v>0.29696132596685099</v>
      </c>
      <c r="I64">
        <v>0.57758620689655205</v>
      </c>
    </row>
    <row r="65" spans="1:9" x14ac:dyDescent="0.3">
      <c r="A65" t="s">
        <v>92</v>
      </c>
      <c r="B65" s="2">
        <v>9.1305092592592601E-3</v>
      </c>
      <c r="C65" s="2">
        <v>9.1189351851851848E-3</v>
      </c>
      <c r="D65" s="2">
        <v>9.1305092592592601E-3</v>
      </c>
      <c r="E65" t="s">
        <v>26</v>
      </c>
      <c r="F65" t="s">
        <v>30</v>
      </c>
      <c r="G65" t="s">
        <v>28</v>
      </c>
      <c r="H65">
        <v>0.24171270718231999</v>
      </c>
      <c r="I65">
        <v>0.21120689655172398</v>
      </c>
    </row>
    <row r="66" spans="1:9" x14ac:dyDescent="0.3">
      <c r="A66" t="s">
        <v>93</v>
      </c>
      <c r="B66" s="2">
        <v>9.2362962962962963E-3</v>
      </c>
      <c r="C66" s="2">
        <v>9.2247222222222227E-3</v>
      </c>
      <c r="D66" s="2">
        <v>9.2362962962962963E-3</v>
      </c>
      <c r="E66" t="s">
        <v>26</v>
      </c>
      <c r="F66" t="s">
        <v>40</v>
      </c>
      <c r="G66" t="s">
        <v>28</v>
      </c>
      <c r="H66">
        <v>0.30524861878453002</v>
      </c>
      <c r="I66">
        <v>0.46120689655172398</v>
      </c>
    </row>
    <row r="67" spans="1:9" x14ac:dyDescent="0.3">
      <c r="A67" t="s">
        <v>94</v>
      </c>
      <c r="B67" s="2">
        <v>9.4360185185185189E-3</v>
      </c>
      <c r="C67" s="2">
        <v>9.4244444444444436E-3</v>
      </c>
      <c r="D67" s="2">
        <v>9.4360185185185189E-3</v>
      </c>
      <c r="E67" t="s">
        <v>26</v>
      </c>
      <c r="F67" t="s">
        <v>67</v>
      </c>
      <c r="G67" t="s">
        <v>28</v>
      </c>
      <c r="H67">
        <v>0.18646408839779</v>
      </c>
      <c r="I67">
        <v>0.65086206896551702</v>
      </c>
    </row>
    <row r="68" spans="1:9" x14ac:dyDescent="0.3">
      <c r="A68" t="s">
        <v>95</v>
      </c>
      <c r="B68" s="2">
        <v>9.4472453703703697E-3</v>
      </c>
      <c r="C68" s="2">
        <v>9.4356712962962962E-3</v>
      </c>
      <c r="D68" s="2">
        <v>9.4472453703703697E-3</v>
      </c>
      <c r="E68" t="s">
        <v>26</v>
      </c>
      <c r="F68" t="s">
        <v>38</v>
      </c>
      <c r="G68" t="s">
        <v>28</v>
      </c>
      <c r="H68">
        <v>0.299723756906077</v>
      </c>
      <c r="I68">
        <v>0.55172413793103403</v>
      </c>
    </row>
    <row r="69" spans="1:9" x14ac:dyDescent="0.3">
      <c r="A69" t="s">
        <v>96</v>
      </c>
      <c r="B69" s="2">
        <v>9.4607870370370366E-3</v>
      </c>
      <c r="C69" s="2">
        <v>9.4492129629629631E-3</v>
      </c>
      <c r="D69" s="2">
        <v>9.4607870370370366E-3</v>
      </c>
      <c r="E69" t="s">
        <v>26</v>
      </c>
      <c r="F69" t="s">
        <v>40</v>
      </c>
      <c r="G69" t="s">
        <v>28</v>
      </c>
      <c r="H69">
        <v>0.21408839779005501</v>
      </c>
      <c r="I69">
        <v>0.49137931034482796</v>
      </c>
    </row>
    <row r="70" spans="1:9" x14ac:dyDescent="0.3">
      <c r="A70" t="s">
        <v>97</v>
      </c>
      <c r="B70" s="2">
        <v>1.046082175925926E-2</v>
      </c>
      <c r="C70" s="2">
        <v>1.0449247685185185E-2</v>
      </c>
      <c r="D70" s="2">
        <v>1.046082175925926E-2</v>
      </c>
      <c r="E70" t="s">
        <v>26</v>
      </c>
      <c r="F70" t="s">
        <v>67</v>
      </c>
      <c r="G70" t="s">
        <v>28</v>
      </c>
      <c r="H70">
        <v>0.205801104972376</v>
      </c>
      <c r="I70">
        <v>0.85775862068965503</v>
      </c>
    </row>
    <row r="71" spans="1:9" x14ac:dyDescent="0.3">
      <c r="A71" t="s">
        <v>98</v>
      </c>
      <c r="B71" s="2">
        <v>1.0474398148148148E-2</v>
      </c>
      <c r="C71" s="2">
        <v>1.0462824074074074E-2</v>
      </c>
      <c r="D71" s="2">
        <v>1.0474398148148148E-2</v>
      </c>
      <c r="E71" t="s">
        <v>26</v>
      </c>
      <c r="F71" t="s">
        <v>38</v>
      </c>
      <c r="G71" t="s">
        <v>34</v>
      </c>
      <c r="H71">
        <v>0.31353591160221</v>
      </c>
      <c r="I71">
        <v>0.818965517241379</v>
      </c>
    </row>
    <row r="72" spans="1:9" x14ac:dyDescent="0.3">
      <c r="A72" t="s">
        <v>99</v>
      </c>
      <c r="B72" s="2">
        <v>1.1768587962962963E-2</v>
      </c>
      <c r="C72" s="2">
        <v>1.1757013888888888E-2</v>
      </c>
      <c r="D72" s="2">
        <v>1.1768587962962963E-2</v>
      </c>
      <c r="E72" t="s">
        <v>26</v>
      </c>
      <c r="F72" t="s">
        <v>27</v>
      </c>
      <c r="G72" t="s">
        <v>28</v>
      </c>
      <c r="H72">
        <v>5.9392265193370201E-2</v>
      </c>
      <c r="I72">
        <v>0.49137931034482796</v>
      </c>
    </row>
    <row r="73" spans="1:9" x14ac:dyDescent="0.3">
      <c r="A73" t="s">
        <v>100</v>
      </c>
      <c r="B73" s="2">
        <v>1.1768680555555555E-2</v>
      </c>
      <c r="C73" s="2">
        <v>1.1757106481481481E-2</v>
      </c>
      <c r="D73" s="2">
        <v>1.1768680555555555E-2</v>
      </c>
      <c r="E73" t="s">
        <v>26</v>
      </c>
      <c r="F73" t="s">
        <v>42</v>
      </c>
      <c r="G73" t="s">
        <v>28</v>
      </c>
      <c r="H73">
        <v>5.6629834254143599E-2</v>
      </c>
      <c r="I73">
        <v>0.50431034482758608</v>
      </c>
    </row>
    <row r="74" spans="1:9" x14ac:dyDescent="0.3">
      <c r="A74" t="s">
        <v>101</v>
      </c>
      <c r="B74" s="2">
        <v>1.1909907407407407E-2</v>
      </c>
      <c r="C74" s="2">
        <v>1.1898333333333334E-2</v>
      </c>
      <c r="D74" s="2">
        <v>1.1909907407407407E-2</v>
      </c>
      <c r="E74" t="s">
        <v>26</v>
      </c>
      <c r="F74" t="s">
        <v>30</v>
      </c>
      <c r="G74" t="s">
        <v>28</v>
      </c>
      <c r="H74">
        <v>0.86602209944751396</v>
      </c>
      <c r="I74">
        <v>0.13362068965517204</v>
      </c>
    </row>
    <row r="75" spans="1:9" x14ac:dyDescent="0.3">
      <c r="A75" t="s">
        <v>102</v>
      </c>
      <c r="B75" s="2">
        <v>1.1966041666666666E-2</v>
      </c>
      <c r="C75" s="2">
        <v>1.1954467592592593E-2</v>
      </c>
      <c r="D75" s="2">
        <v>1.1966041666666666E-2</v>
      </c>
      <c r="E75" t="s">
        <v>26</v>
      </c>
      <c r="F75" t="s">
        <v>38</v>
      </c>
      <c r="G75" t="s">
        <v>28</v>
      </c>
      <c r="H75">
        <v>0.71408839779005495</v>
      </c>
      <c r="I75">
        <v>0.21982758620689602</v>
      </c>
    </row>
    <row r="76" spans="1:9" x14ac:dyDescent="0.3">
      <c r="A76" t="s">
        <v>103</v>
      </c>
      <c r="B76" s="2">
        <v>1.2341527777777778E-2</v>
      </c>
      <c r="C76" s="2">
        <v>1.2329953703703704E-2</v>
      </c>
      <c r="D76" s="2">
        <v>1.2341527777777778E-2</v>
      </c>
      <c r="E76" t="s">
        <v>26</v>
      </c>
      <c r="F76" t="s">
        <v>42</v>
      </c>
      <c r="G76" t="s">
        <v>28</v>
      </c>
      <c r="H76">
        <v>0.39640883977900598</v>
      </c>
      <c r="I76">
        <v>0.74568965517241392</v>
      </c>
    </row>
    <row r="77" spans="1:9" x14ac:dyDescent="0.3">
      <c r="A77" t="s">
        <v>104</v>
      </c>
      <c r="B77" s="2">
        <v>1.2366516203703704E-2</v>
      </c>
      <c r="C77" s="2">
        <v>1.2354942129629629E-2</v>
      </c>
      <c r="D77" s="2">
        <v>1.2366516203703704E-2</v>
      </c>
      <c r="E77" t="s">
        <v>26</v>
      </c>
      <c r="F77" t="s">
        <v>67</v>
      </c>
      <c r="G77" t="s">
        <v>28</v>
      </c>
      <c r="H77">
        <v>0.33011049723756902</v>
      </c>
      <c r="I77">
        <v>0.82758620689655205</v>
      </c>
    </row>
    <row r="78" spans="1:9" x14ac:dyDescent="0.3">
      <c r="A78" t="s">
        <v>105</v>
      </c>
      <c r="B78" s="2">
        <v>1.3008715277777777E-2</v>
      </c>
      <c r="C78" s="2">
        <v>1.2997141203703703E-2</v>
      </c>
      <c r="D78" s="2">
        <v>1.3008715277777777E-2</v>
      </c>
      <c r="E78" t="s">
        <v>26</v>
      </c>
      <c r="F78" t="s">
        <v>46</v>
      </c>
      <c r="G78" t="s">
        <v>28</v>
      </c>
      <c r="H78">
        <v>0.39640883977900598</v>
      </c>
      <c r="I78">
        <v>0.61637931034482807</v>
      </c>
    </row>
    <row r="79" spans="1:9" x14ac:dyDescent="0.3">
      <c r="A79" t="s">
        <v>106</v>
      </c>
      <c r="B79" s="2">
        <v>1.3022928240740741E-2</v>
      </c>
      <c r="C79" s="2">
        <v>1.3011354166666666E-2</v>
      </c>
      <c r="D79" s="2">
        <v>1.3022928240740741E-2</v>
      </c>
      <c r="E79" t="s">
        <v>26</v>
      </c>
      <c r="F79" t="s">
        <v>44</v>
      </c>
      <c r="G79" t="s">
        <v>28</v>
      </c>
      <c r="H79">
        <v>0.49585635359115998</v>
      </c>
      <c r="I79">
        <v>0.49137931034482796</v>
      </c>
    </row>
    <row r="80" spans="1:9" x14ac:dyDescent="0.3">
      <c r="A80" t="s">
        <v>107</v>
      </c>
      <c r="B80" s="2">
        <v>1.3520925925925926E-2</v>
      </c>
      <c r="C80" s="2">
        <v>1.3509351851851852E-2</v>
      </c>
      <c r="D80" s="2">
        <v>1.3520925925925926E-2</v>
      </c>
      <c r="E80" t="s">
        <v>26</v>
      </c>
      <c r="F80" t="s">
        <v>26</v>
      </c>
      <c r="G80" t="s">
        <v>28</v>
      </c>
      <c r="H80">
        <v>0.25276243093922701</v>
      </c>
      <c r="I80">
        <v>0.306034482758621</v>
      </c>
    </row>
    <row r="81" spans="1:9" x14ac:dyDescent="0.3">
      <c r="A81" t="s">
        <v>108</v>
      </c>
      <c r="B81" s="2">
        <v>1.3552604166666666E-2</v>
      </c>
      <c r="C81" s="2">
        <v>1.3541030092592592E-2</v>
      </c>
      <c r="D81" s="2">
        <v>1.3552604166666666E-2</v>
      </c>
      <c r="E81" t="s">
        <v>26</v>
      </c>
      <c r="F81" t="s">
        <v>40</v>
      </c>
      <c r="G81" t="s">
        <v>28</v>
      </c>
      <c r="H81">
        <v>0.338397790055249</v>
      </c>
      <c r="I81">
        <v>0.38793103448275901</v>
      </c>
    </row>
    <row r="82" spans="1:9" x14ac:dyDescent="0.3">
      <c r="A82" t="s">
        <v>109</v>
      </c>
      <c r="B82" s="2">
        <v>1.4030462962962963E-2</v>
      </c>
      <c r="C82" s="2">
        <v>1.4018888888888888E-2</v>
      </c>
      <c r="D82" s="2">
        <v>1.4030462962962963E-2</v>
      </c>
      <c r="E82" t="s">
        <v>26</v>
      </c>
      <c r="F82" t="s">
        <v>32</v>
      </c>
      <c r="G82" t="s">
        <v>34</v>
      </c>
      <c r="H82">
        <v>0.68922651933701695</v>
      </c>
      <c r="I82">
        <v>0.72844827586206895</v>
      </c>
    </row>
    <row r="83" spans="1:9" x14ac:dyDescent="0.3">
      <c r="A83" t="s">
        <v>110</v>
      </c>
      <c r="B83" s="2">
        <v>1.4140729166666666E-2</v>
      </c>
      <c r="C83" s="2">
        <v>1.4129155092592592E-2</v>
      </c>
      <c r="D83" s="2">
        <v>1.4140729166666666E-2</v>
      </c>
      <c r="E83" t="s">
        <v>26</v>
      </c>
      <c r="F83" t="s">
        <v>42</v>
      </c>
      <c r="G83" t="s">
        <v>28</v>
      </c>
      <c r="H83">
        <v>0.62016574585635398</v>
      </c>
      <c r="I83">
        <v>0.96551724137931028</v>
      </c>
    </row>
    <row r="84" spans="1:9" x14ac:dyDescent="0.3">
      <c r="A84" t="s">
        <v>111</v>
      </c>
      <c r="B84" s="2">
        <v>1.4497650462962962E-2</v>
      </c>
      <c r="C84" s="2">
        <v>1.4486076388888889E-2</v>
      </c>
      <c r="D84" s="2">
        <v>1.4497650462962962E-2</v>
      </c>
      <c r="E84" t="s">
        <v>26</v>
      </c>
      <c r="F84" t="s">
        <v>67</v>
      </c>
      <c r="G84" t="s">
        <v>28</v>
      </c>
      <c r="H84">
        <v>0.219613259668508</v>
      </c>
      <c r="I84">
        <v>0.93534482758620685</v>
      </c>
    </row>
    <row r="85" spans="1:9" x14ac:dyDescent="0.3">
      <c r="A85" t="s">
        <v>112</v>
      </c>
      <c r="B85" s="2">
        <v>1.4557789351851851E-2</v>
      </c>
      <c r="C85" s="2">
        <v>1.4546215277777778E-2</v>
      </c>
      <c r="D85" s="2">
        <v>1.4557789351851851E-2</v>
      </c>
      <c r="E85" t="s">
        <v>26</v>
      </c>
      <c r="F85" t="s">
        <v>42</v>
      </c>
      <c r="G85" t="s">
        <v>28</v>
      </c>
      <c r="H85">
        <v>0.36049723756906099</v>
      </c>
      <c r="I85">
        <v>0.78017241379310298</v>
      </c>
    </row>
    <row r="86" spans="1:9" x14ac:dyDescent="0.3">
      <c r="A86" t="s">
        <v>113</v>
      </c>
      <c r="B86" s="2">
        <v>1.4636805555555556E-2</v>
      </c>
      <c r="C86" s="2">
        <v>1.4625231481481482E-2</v>
      </c>
      <c r="D86" s="2">
        <v>1.4636805555555556E-2</v>
      </c>
      <c r="E86" t="s">
        <v>26</v>
      </c>
      <c r="F86" t="s">
        <v>32</v>
      </c>
      <c r="G86" t="s">
        <v>28</v>
      </c>
      <c r="H86">
        <v>0.71132596685082905</v>
      </c>
      <c r="I86">
        <v>0.62931034482758608</v>
      </c>
    </row>
    <row r="87" spans="1:9" x14ac:dyDescent="0.3">
      <c r="A87" t="s">
        <v>114</v>
      </c>
      <c r="B87" s="2">
        <v>1.4962118055555555E-2</v>
      </c>
      <c r="C87" s="2">
        <v>1.4950543981481481E-2</v>
      </c>
      <c r="D87" s="2">
        <v>1.4962118055555555E-2</v>
      </c>
      <c r="E87" t="s">
        <v>26</v>
      </c>
      <c r="F87" t="s">
        <v>32</v>
      </c>
      <c r="G87" t="s">
        <v>28</v>
      </c>
      <c r="H87">
        <v>0.45441988950276202</v>
      </c>
      <c r="I87">
        <v>0.68534482758620707</v>
      </c>
    </row>
    <row r="88" spans="1:9" x14ac:dyDescent="0.3">
      <c r="A88" t="s">
        <v>115</v>
      </c>
      <c r="B88" s="2">
        <v>1.4996041666666666E-2</v>
      </c>
      <c r="C88" s="2">
        <v>1.4984467592592593E-2</v>
      </c>
      <c r="D88" s="2">
        <v>1.4996041666666666E-2</v>
      </c>
      <c r="E88" t="s">
        <v>26</v>
      </c>
      <c r="F88" t="s">
        <v>51</v>
      </c>
      <c r="G88" t="s">
        <v>28</v>
      </c>
      <c r="H88">
        <v>0.42955801104972402</v>
      </c>
      <c r="I88">
        <v>0.96120689655172409</v>
      </c>
    </row>
    <row r="89" spans="1:9" x14ac:dyDescent="0.3">
      <c r="A89" t="s">
        <v>116</v>
      </c>
      <c r="B89" s="2">
        <v>1.6761307870370369E-2</v>
      </c>
      <c r="C89" s="2">
        <v>1.6749733796296296E-2</v>
      </c>
      <c r="D89" s="2">
        <v>1.6761307870370369E-2</v>
      </c>
      <c r="E89" t="s">
        <v>26</v>
      </c>
      <c r="F89" t="s">
        <v>46</v>
      </c>
      <c r="G89" t="s">
        <v>34</v>
      </c>
      <c r="H89">
        <v>0.36049723756906099</v>
      </c>
      <c r="I89">
        <v>0.32327586206896597</v>
      </c>
    </row>
    <row r="90" spans="1:9" x14ac:dyDescent="0.3">
      <c r="A90" t="s">
        <v>117</v>
      </c>
      <c r="B90" s="2">
        <v>1.6881770833333334E-2</v>
      </c>
      <c r="C90" s="2">
        <v>1.687019675925926E-2</v>
      </c>
      <c r="D90" s="2">
        <v>1.6881770833333334E-2</v>
      </c>
      <c r="E90" t="s">
        <v>26</v>
      </c>
      <c r="F90" t="s">
        <v>30</v>
      </c>
      <c r="G90" t="s">
        <v>28</v>
      </c>
      <c r="H90">
        <v>0.19198895027624299</v>
      </c>
      <c r="I90">
        <v>0.22413793103448298</v>
      </c>
    </row>
    <row r="91" spans="1:9" x14ac:dyDescent="0.3">
      <c r="A91" t="s">
        <v>118</v>
      </c>
      <c r="B91" s="2">
        <v>1.6918657407407407E-2</v>
      </c>
      <c r="C91" s="2">
        <v>1.6907083333333333E-2</v>
      </c>
      <c r="D91" s="2">
        <v>1.6918657407407407E-2</v>
      </c>
      <c r="E91" t="s">
        <v>26</v>
      </c>
      <c r="F91" t="s">
        <v>40</v>
      </c>
      <c r="G91" t="s">
        <v>28</v>
      </c>
      <c r="H91">
        <v>0.25828729281767998</v>
      </c>
      <c r="I91">
        <v>0.34051724137931005</v>
      </c>
    </row>
    <row r="92" spans="1:9" x14ac:dyDescent="0.3">
      <c r="A92" t="s">
        <v>119</v>
      </c>
      <c r="B92" s="2">
        <v>1.7221608796296296E-2</v>
      </c>
      <c r="C92" s="2">
        <v>1.7210034722222222E-2</v>
      </c>
      <c r="D92" s="2">
        <v>1.7221608796296296E-2</v>
      </c>
      <c r="E92" t="s">
        <v>26</v>
      </c>
      <c r="F92" t="s">
        <v>46</v>
      </c>
      <c r="G92" t="s">
        <v>34</v>
      </c>
      <c r="H92">
        <v>8.1491712707182307E-2</v>
      </c>
      <c r="I92">
        <v>0.13362068965517204</v>
      </c>
    </row>
    <row r="93" spans="1:9" x14ac:dyDescent="0.3">
      <c r="A93" t="s">
        <v>120</v>
      </c>
      <c r="B93" s="2">
        <v>1.7262476851851852E-2</v>
      </c>
      <c r="C93" s="2">
        <v>1.7250902777777778E-2</v>
      </c>
      <c r="D93" s="2">
        <v>1.7262476851851852E-2</v>
      </c>
      <c r="E93" t="s">
        <v>26</v>
      </c>
      <c r="F93" t="s">
        <v>46</v>
      </c>
      <c r="G93" t="s">
        <v>34</v>
      </c>
      <c r="H93">
        <v>0.15883977900552501</v>
      </c>
      <c r="I93">
        <v>7.7586206896552046E-2</v>
      </c>
    </row>
    <row r="94" spans="1:9" x14ac:dyDescent="0.3">
      <c r="A94" t="s">
        <v>121</v>
      </c>
      <c r="B94" s="2">
        <v>1.7790740740740742E-2</v>
      </c>
      <c r="C94" s="2">
        <v>1.7779166666666665E-2</v>
      </c>
      <c r="D94" s="2">
        <v>1.7790740740740742E-2</v>
      </c>
      <c r="E94" t="s">
        <v>26</v>
      </c>
      <c r="F94" t="s">
        <v>67</v>
      </c>
      <c r="G94" t="s">
        <v>28</v>
      </c>
      <c r="H94">
        <v>0.17817679558010999</v>
      </c>
      <c r="I94">
        <v>0.66379310344827602</v>
      </c>
    </row>
    <row r="95" spans="1:9" x14ac:dyDescent="0.3">
      <c r="A95" t="s">
        <v>122</v>
      </c>
      <c r="B95" s="2">
        <v>1.8368506944444446E-2</v>
      </c>
      <c r="C95" s="2">
        <v>1.8356932870370369E-2</v>
      </c>
      <c r="D95" s="2">
        <v>1.8368506944444446E-2</v>
      </c>
      <c r="E95" t="s">
        <v>26</v>
      </c>
      <c r="F95" t="s">
        <v>27</v>
      </c>
      <c r="G95" t="s">
        <v>28</v>
      </c>
      <c r="H95">
        <v>0.125690607734807</v>
      </c>
      <c r="I95">
        <v>0.45258620689655205</v>
      </c>
    </row>
    <row r="96" spans="1:9" x14ac:dyDescent="0.3">
      <c r="A96" t="s">
        <v>123</v>
      </c>
      <c r="B96" s="2">
        <v>1.8388356481481481E-2</v>
      </c>
      <c r="C96" s="2">
        <v>1.8376782407407408E-2</v>
      </c>
      <c r="D96" s="2">
        <v>1.8388356481481481E-2</v>
      </c>
      <c r="E96" t="s">
        <v>26</v>
      </c>
      <c r="F96" t="s">
        <v>46</v>
      </c>
      <c r="G96" t="s">
        <v>28</v>
      </c>
      <c r="H96">
        <v>0.14779005524861899</v>
      </c>
      <c r="I96">
        <v>0.29741379310344795</v>
      </c>
    </row>
    <row r="97" spans="1:9" x14ac:dyDescent="0.3">
      <c r="A97" t="s">
        <v>124</v>
      </c>
      <c r="B97" s="2">
        <v>1.8439467592592594E-2</v>
      </c>
      <c r="C97" s="2">
        <v>1.8427893518518517E-2</v>
      </c>
      <c r="D97" s="2">
        <v>1.8439467592592594E-2</v>
      </c>
      <c r="E97" t="s">
        <v>26</v>
      </c>
      <c r="F97" t="s">
        <v>27</v>
      </c>
      <c r="G97" t="s">
        <v>28</v>
      </c>
      <c r="H97">
        <v>0.12016574585635401</v>
      </c>
      <c r="I97">
        <v>0.52586206896551702</v>
      </c>
    </row>
    <row r="98" spans="1:9" x14ac:dyDescent="0.3">
      <c r="A98" t="s">
        <v>125</v>
      </c>
      <c r="B98" s="2">
        <v>1.845775462962963E-2</v>
      </c>
      <c r="C98" s="2">
        <v>1.8446180555555556E-2</v>
      </c>
      <c r="D98" s="2">
        <v>1.845775462962963E-2</v>
      </c>
      <c r="E98" t="s">
        <v>26</v>
      </c>
      <c r="F98" t="s">
        <v>58</v>
      </c>
      <c r="G98" t="s">
        <v>28</v>
      </c>
      <c r="H98">
        <v>0.15883977900552501</v>
      </c>
      <c r="I98">
        <v>0.70258620689655205</v>
      </c>
    </row>
    <row r="99" spans="1:9" x14ac:dyDescent="0.3">
      <c r="A99" t="s">
        <v>126</v>
      </c>
      <c r="B99" s="2">
        <v>1.848318287037037E-2</v>
      </c>
      <c r="C99" s="2">
        <v>1.8471608796296297E-2</v>
      </c>
      <c r="D99" s="2">
        <v>1.848318287037037E-2</v>
      </c>
      <c r="E99" t="s">
        <v>26</v>
      </c>
      <c r="F99" t="s">
        <v>38</v>
      </c>
      <c r="G99" t="s">
        <v>28</v>
      </c>
      <c r="H99">
        <v>0.24171270718231999</v>
      </c>
      <c r="I99">
        <v>0.681034482758621</v>
      </c>
    </row>
    <row r="100" spans="1:9" x14ac:dyDescent="0.3">
      <c r="A100" t="s">
        <v>127</v>
      </c>
      <c r="B100" s="2">
        <v>1.8551412037037036E-2</v>
      </c>
      <c r="C100" s="2">
        <v>1.8539837962962963E-2</v>
      </c>
      <c r="D100" s="2">
        <v>1.8551412037037036E-2</v>
      </c>
      <c r="E100" t="s">
        <v>26</v>
      </c>
      <c r="F100" t="s">
        <v>44</v>
      </c>
      <c r="G100" t="s">
        <v>34</v>
      </c>
      <c r="H100">
        <v>0.551104972375691</v>
      </c>
      <c r="I100">
        <v>0.44827586206896597</v>
      </c>
    </row>
    <row r="101" spans="1:9" x14ac:dyDescent="0.3">
      <c r="A101" t="s">
        <v>128</v>
      </c>
      <c r="B101" s="2">
        <v>1.908255787037037E-2</v>
      </c>
      <c r="C101" s="2">
        <v>1.9070983796296296E-2</v>
      </c>
      <c r="D101" s="2">
        <v>1.908255787037037E-2</v>
      </c>
      <c r="E101" t="s">
        <v>26</v>
      </c>
      <c r="F101" t="s">
        <v>32</v>
      </c>
      <c r="G101" t="s">
        <v>28</v>
      </c>
      <c r="H101">
        <v>0.53729281767955805</v>
      </c>
      <c r="I101">
        <v>3.0172413793102981E-2</v>
      </c>
    </row>
    <row r="102" spans="1:9" x14ac:dyDescent="0.3">
      <c r="A102" t="s">
        <v>129</v>
      </c>
      <c r="B102" s="2">
        <v>1.9102986111111112E-2</v>
      </c>
      <c r="C102" s="2">
        <v>1.9091412037037039E-2</v>
      </c>
      <c r="D102" s="2">
        <v>1.9102986111111112E-2</v>
      </c>
      <c r="E102" t="s">
        <v>26</v>
      </c>
      <c r="F102" t="s">
        <v>30</v>
      </c>
      <c r="G102" t="s">
        <v>28</v>
      </c>
      <c r="H102">
        <v>0.45441988950276202</v>
      </c>
      <c r="I102">
        <v>4.7413793103447954E-2</v>
      </c>
    </row>
    <row r="103" spans="1:9" x14ac:dyDescent="0.3">
      <c r="A103" t="s">
        <v>130</v>
      </c>
      <c r="B103" s="2">
        <v>1.9181365740740742E-2</v>
      </c>
      <c r="C103" s="2">
        <v>1.9169791666666668E-2</v>
      </c>
      <c r="D103" s="2">
        <v>1.9181365740740742E-2</v>
      </c>
      <c r="E103" t="s">
        <v>26</v>
      </c>
      <c r="F103" t="s">
        <v>44</v>
      </c>
      <c r="G103" t="s">
        <v>34</v>
      </c>
      <c r="H103">
        <v>0.57872928176795602</v>
      </c>
      <c r="I103">
        <v>0.181034482758621</v>
      </c>
    </row>
    <row r="104" spans="1:9" x14ac:dyDescent="0.3">
      <c r="A104" t="s">
        <v>131</v>
      </c>
      <c r="B104" s="2">
        <v>1.9630659722222221E-2</v>
      </c>
      <c r="C104" s="2">
        <v>1.9619085648148148E-2</v>
      </c>
      <c r="D104" s="2">
        <v>1.9630659722222221E-2</v>
      </c>
      <c r="E104" t="s">
        <v>26</v>
      </c>
      <c r="F104" t="s">
        <v>67</v>
      </c>
      <c r="G104" t="s">
        <v>28</v>
      </c>
      <c r="H104">
        <v>0.21685082872928199</v>
      </c>
      <c r="I104">
        <v>0.70258620689655205</v>
      </c>
    </row>
    <row r="105" spans="1:9" x14ac:dyDescent="0.3">
      <c r="A105" t="s">
        <v>132</v>
      </c>
      <c r="B105" s="2">
        <v>1.9872337962962963E-2</v>
      </c>
      <c r="C105" s="2">
        <v>1.986076388888889E-2</v>
      </c>
      <c r="D105" s="2">
        <v>1.9872337962962963E-2</v>
      </c>
      <c r="E105" t="s">
        <v>26</v>
      </c>
      <c r="F105" t="s">
        <v>46</v>
      </c>
      <c r="G105" t="s">
        <v>34</v>
      </c>
      <c r="H105">
        <v>9.6685082872928207E-3</v>
      </c>
      <c r="I105">
        <v>0.90948275862068972</v>
      </c>
    </row>
    <row r="106" spans="1:9" x14ac:dyDescent="0.3">
      <c r="A106" t="s">
        <v>133</v>
      </c>
      <c r="B106" s="2">
        <v>2.0265150462962962E-2</v>
      </c>
      <c r="C106" s="2">
        <v>2.0253576388888889E-2</v>
      </c>
      <c r="D106" s="2">
        <v>2.0265150462962962E-2</v>
      </c>
      <c r="E106" t="s">
        <v>26</v>
      </c>
      <c r="F106" t="s">
        <v>27</v>
      </c>
      <c r="G106" t="s">
        <v>28</v>
      </c>
      <c r="H106">
        <v>5.6629834254143599E-2</v>
      </c>
      <c r="I106">
        <v>0.48706896551724099</v>
      </c>
    </row>
    <row r="107" spans="1:9" x14ac:dyDescent="0.3">
      <c r="A107" t="s">
        <v>134</v>
      </c>
      <c r="B107" s="2">
        <v>2.0387546296296296E-2</v>
      </c>
      <c r="C107" s="2">
        <v>2.0375972222222222E-2</v>
      </c>
      <c r="D107" s="2">
        <v>2.0387546296296296E-2</v>
      </c>
      <c r="E107" t="s">
        <v>26</v>
      </c>
      <c r="F107" t="s">
        <v>51</v>
      </c>
      <c r="G107" t="s">
        <v>34</v>
      </c>
      <c r="H107">
        <v>0.72790055248618801</v>
      </c>
      <c r="I107">
        <v>0.74137931034482807</v>
      </c>
    </row>
    <row r="108" spans="1:9" x14ac:dyDescent="0.3">
      <c r="A108" t="s">
        <v>135</v>
      </c>
      <c r="B108" s="2">
        <v>2.0529155092592594E-2</v>
      </c>
      <c r="C108" s="2">
        <v>2.051758101851852E-2</v>
      </c>
      <c r="D108" s="2">
        <v>2.0529155092592594E-2</v>
      </c>
      <c r="E108" t="s">
        <v>26</v>
      </c>
      <c r="F108" t="s">
        <v>58</v>
      </c>
      <c r="G108" t="s">
        <v>28</v>
      </c>
      <c r="H108">
        <v>0.43232044198894998</v>
      </c>
      <c r="I108">
        <v>0.88793103448275901</v>
      </c>
    </row>
    <row r="109" spans="1:9" x14ac:dyDescent="0.3">
      <c r="A109" t="s">
        <v>136</v>
      </c>
      <c r="B109" s="2">
        <v>2.0559976851851854E-2</v>
      </c>
      <c r="C109" s="2">
        <v>2.0548402777777777E-2</v>
      </c>
      <c r="D109" s="2">
        <v>2.0559976851851854E-2</v>
      </c>
      <c r="E109" t="s">
        <v>26</v>
      </c>
      <c r="F109" t="s">
        <v>67</v>
      </c>
      <c r="G109" t="s">
        <v>28</v>
      </c>
      <c r="H109">
        <v>0.424033149171271</v>
      </c>
      <c r="I109">
        <v>0.96551724137931028</v>
      </c>
    </row>
    <row r="110" spans="1:9" x14ac:dyDescent="0.3">
      <c r="A110" t="s">
        <v>137</v>
      </c>
      <c r="B110" s="2">
        <v>2.0986666666666667E-2</v>
      </c>
      <c r="C110" s="2">
        <v>2.0975092592592594E-2</v>
      </c>
      <c r="D110" s="2">
        <v>2.0986666666666667E-2</v>
      </c>
      <c r="E110" t="s">
        <v>26</v>
      </c>
      <c r="F110" t="s">
        <v>42</v>
      </c>
      <c r="G110" t="s">
        <v>28</v>
      </c>
      <c r="H110">
        <v>0.424033149171271</v>
      </c>
      <c r="I110">
        <v>0.72844827586206895</v>
      </c>
    </row>
    <row r="111" spans="1:9" x14ac:dyDescent="0.3">
      <c r="A111" t="s">
        <v>138</v>
      </c>
      <c r="B111" s="2">
        <v>2.1012881944444443E-2</v>
      </c>
      <c r="C111" s="2">
        <v>2.100130787037037E-2</v>
      </c>
      <c r="D111" s="2">
        <v>2.1012881944444443E-2</v>
      </c>
      <c r="E111" t="s">
        <v>26</v>
      </c>
      <c r="F111" t="s">
        <v>32</v>
      </c>
      <c r="G111" t="s">
        <v>28</v>
      </c>
      <c r="H111">
        <v>0.60635359116022103</v>
      </c>
      <c r="I111">
        <v>0.58620689655172398</v>
      </c>
    </row>
    <row r="112" spans="1:9" x14ac:dyDescent="0.3">
      <c r="A112" t="s">
        <v>139</v>
      </c>
      <c r="B112" s="2">
        <v>2.103369212962963E-2</v>
      </c>
      <c r="C112" s="2">
        <v>2.1022118055555556E-2</v>
      </c>
      <c r="D112" s="2">
        <v>2.103369212962963E-2</v>
      </c>
      <c r="E112" t="s">
        <v>26</v>
      </c>
      <c r="F112" t="s">
        <v>38</v>
      </c>
      <c r="G112" t="s">
        <v>34</v>
      </c>
      <c r="H112">
        <v>0.66988950276243098</v>
      </c>
      <c r="I112">
        <v>0.33620689655172398</v>
      </c>
    </row>
    <row r="113" spans="1:9" x14ac:dyDescent="0.3">
      <c r="A113" t="s">
        <v>140</v>
      </c>
      <c r="B113" s="2">
        <v>2.1534780092592593E-2</v>
      </c>
      <c r="C113" s="2">
        <v>2.152320601851852E-2</v>
      </c>
      <c r="D113" s="2">
        <v>2.1534780092592593E-2</v>
      </c>
      <c r="E113" t="s">
        <v>26</v>
      </c>
      <c r="F113" t="s">
        <v>44</v>
      </c>
      <c r="G113" t="s">
        <v>34</v>
      </c>
      <c r="H113">
        <v>0.70580110497237603</v>
      </c>
      <c r="I113">
        <v>3.0172413793102981E-2</v>
      </c>
    </row>
    <row r="114" spans="1:9" x14ac:dyDescent="0.3">
      <c r="A114" t="s">
        <v>141</v>
      </c>
      <c r="B114" s="2">
        <v>2.1819618055555556E-2</v>
      </c>
      <c r="C114" s="2">
        <v>2.1808043981481482E-2</v>
      </c>
      <c r="D114" s="2">
        <v>2.1819618055555556E-2</v>
      </c>
      <c r="E114" t="s">
        <v>26</v>
      </c>
      <c r="F114" t="s">
        <v>46</v>
      </c>
      <c r="G114" t="s">
        <v>28</v>
      </c>
      <c r="H114">
        <v>0.30248618784530401</v>
      </c>
      <c r="I114">
        <v>5.1724137931034031E-2</v>
      </c>
    </row>
    <row r="115" spans="1:9" x14ac:dyDescent="0.3">
      <c r="A115" t="s">
        <v>142</v>
      </c>
      <c r="B115" s="2">
        <v>2.1875127314814814E-2</v>
      </c>
      <c r="C115" s="2">
        <v>2.1863553240740741E-2</v>
      </c>
      <c r="D115" s="2">
        <v>2.1875127314814814E-2</v>
      </c>
      <c r="E115" t="s">
        <v>26</v>
      </c>
      <c r="F115" t="s">
        <v>32</v>
      </c>
      <c r="G115" t="s">
        <v>28</v>
      </c>
      <c r="H115">
        <v>0.55386740331491702</v>
      </c>
      <c r="I115">
        <v>0.10775862068965503</v>
      </c>
    </row>
    <row r="116" spans="1:9" x14ac:dyDescent="0.3">
      <c r="A116" t="s">
        <v>143</v>
      </c>
      <c r="B116" s="2">
        <v>2.2464502314814814E-2</v>
      </c>
      <c r="C116" s="2">
        <v>2.245292824074074E-2</v>
      </c>
      <c r="D116" s="2">
        <v>2.2464502314814814E-2</v>
      </c>
      <c r="E116" t="s">
        <v>26</v>
      </c>
      <c r="F116" t="s">
        <v>32</v>
      </c>
      <c r="G116" t="s">
        <v>34</v>
      </c>
      <c r="H116">
        <v>0.36602209944751402</v>
      </c>
      <c r="I116">
        <v>0.29310344827586199</v>
      </c>
    </row>
    <row r="117" spans="1:9" x14ac:dyDescent="0.3">
      <c r="A117" t="s">
        <v>144</v>
      </c>
      <c r="B117" s="2">
        <v>2.2594305555555555E-2</v>
      </c>
      <c r="C117" s="2">
        <v>2.2582731481481481E-2</v>
      </c>
      <c r="D117" s="2">
        <v>2.2594305555555555E-2</v>
      </c>
      <c r="E117" t="s">
        <v>26</v>
      </c>
      <c r="F117" t="s">
        <v>46</v>
      </c>
      <c r="G117" t="s">
        <v>28</v>
      </c>
      <c r="H117">
        <v>0.23895027624309401</v>
      </c>
      <c r="I117">
        <v>0.18534482758620696</v>
      </c>
    </row>
    <row r="118" spans="1:9" x14ac:dyDescent="0.3">
      <c r="A118" t="s">
        <v>145</v>
      </c>
      <c r="B118" s="2">
        <v>2.2618958333333335E-2</v>
      </c>
      <c r="C118" s="2">
        <v>2.2607384259259258E-2</v>
      </c>
      <c r="D118" s="2">
        <v>2.2618958333333335E-2</v>
      </c>
      <c r="E118" t="s">
        <v>26</v>
      </c>
      <c r="F118" t="s">
        <v>44</v>
      </c>
      <c r="G118" t="s">
        <v>28</v>
      </c>
      <c r="H118">
        <v>0.24171270718231999</v>
      </c>
      <c r="I118">
        <v>6.8965517241379004E-2</v>
      </c>
    </row>
    <row r="119" spans="1:9" x14ac:dyDescent="0.3">
      <c r="A119" t="s">
        <v>146</v>
      </c>
      <c r="B119" s="2">
        <v>2.2627129629629629E-2</v>
      </c>
      <c r="C119" s="2">
        <v>2.2615555555555555E-2</v>
      </c>
      <c r="D119" s="2">
        <v>2.2627129629629629E-2</v>
      </c>
      <c r="E119" t="s">
        <v>26</v>
      </c>
      <c r="F119" t="s">
        <v>30</v>
      </c>
      <c r="G119" t="s">
        <v>28</v>
      </c>
      <c r="H119">
        <v>0.18922651933701701</v>
      </c>
      <c r="I119">
        <v>0.125</v>
      </c>
    </row>
    <row r="120" spans="1:9" x14ac:dyDescent="0.3">
      <c r="A120" t="s">
        <v>147</v>
      </c>
      <c r="B120" s="2">
        <v>2.3299409722222223E-2</v>
      </c>
      <c r="C120" s="2">
        <v>2.328783564814815E-2</v>
      </c>
      <c r="D120" s="2">
        <v>2.3299409722222223E-2</v>
      </c>
      <c r="E120" t="s">
        <v>26</v>
      </c>
      <c r="F120" t="s">
        <v>32</v>
      </c>
      <c r="G120" t="s">
        <v>28</v>
      </c>
      <c r="H120">
        <v>0.50138121546961301</v>
      </c>
      <c r="I120">
        <v>0.49568965517241403</v>
      </c>
    </row>
    <row r="121" spans="1:9" x14ac:dyDescent="0.3">
      <c r="A121" t="s">
        <v>148</v>
      </c>
      <c r="B121" s="2">
        <v>2.3534097222222224E-2</v>
      </c>
      <c r="C121" s="2">
        <v>2.3522523148148147E-2</v>
      </c>
      <c r="D121" s="2">
        <v>2.3534097222222224E-2</v>
      </c>
      <c r="E121" t="s">
        <v>26</v>
      </c>
      <c r="F121" t="s">
        <v>42</v>
      </c>
      <c r="G121" t="s">
        <v>34</v>
      </c>
      <c r="H121">
        <v>0.79419889502762397</v>
      </c>
      <c r="I121">
        <v>0.10344827586206895</v>
      </c>
    </row>
    <row r="122" spans="1:9" x14ac:dyDescent="0.3">
      <c r="A122" t="s">
        <v>149</v>
      </c>
      <c r="B122" s="2">
        <v>2.3639259259259259E-2</v>
      </c>
      <c r="C122" s="2">
        <v>2.3627685185185186E-2</v>
      </c>
      <c r="D122" s="2">
        <v>2.3639259259259259E-2</v>
      </c>
      <c r="E122" t="s">
        <v>26</v>
      </c>
      <c r="F122" t="s">
        <v>58</v>
      </c>
      <c r="G122" t="s">
        <v>28</v>
      </c>
      <c r="H122">
        <v>0.23618784530386699</v>
      </c>
      <c r="I122">
        <v>0.11206896551724099</v>
      </c>
    </row>
    <row r="123" spans="1:9" x14ac:dyDescent="0.3">
      <c r="A123" t="s">
        <v>150</v>
      </c>
      <c r="B123" s="2">
        <v>2.3861782407407408E-2</v>
      </c>
      <c r="C123" s="2">
        <v>2.3850208333333334E-2</v>
      </c>
      <c r="D123" s="2">
        <v>2.3861782407407408E-2</v>
      </c>
      <c r="E123" t="s">
        <v>26</v>
      </c>
      <c r="F123" t="s">
        <v>30</v>
      </c>
      <c r="G123" t="s">
        <v>34</v>
      </c>
      <c r="H123">
        <v>0.22790055248618801</v>
      </c>
      <c r="I123">
        <v>0.10344827586206895</v>
      </c>
    </row>
    <row r="124" spans="1:9" x14ac:dyDescent="0.3">
      <c r="A124" t="s">
        <v>151</v>
      </c>
      <c r="B124" s="2">
        <v>2.4701018518518518E-2</v>
      </c>
      <c r="C124" s="2">
        <v>2.4689444444444444E-2</v>
      </c>
      <c r="D124" s="2">
        <v>2.4701018518518518E-2</v>
      </c>
      <c r="E124" t="s">
        <v>26</v>
      </c>
      <c r="F124" t="s">
        <v>58</v>
      </c>
      <c r="G124" t="s">
        <v>28</v>
      </c>
      <c r="H124">
        <v>0.11740331491712699</v>
      </c>
      <c r="I124">
        <v>0.70689655172413801</v>
      </c>
    </row>
    <row r="125" spans="1:9" x14ac:dyDescent="0.3">
      <c r="A125" t="s">
        <v>152</v>
      </c>
      <c r="B125" s="2">
        <v>2.4719351851851853E-2</v>
      </c>
      <c r="C125" s="2">
        <v>2.4707777777777776E-2</v>
      </c>
      <c r="D125" s="2">
        <v>2.4719351851851853E-2</v>
      </c>
      <c r="E125" t="s">
        <v>26</v>
      </c>
      <c r="F125" t="s">
        <v>67</v>
      </c>
      <c r="G125" t="s">
        <v>28</v>
      </c>
      <c r="H125">
        <v>0.23342541436464101</v>
      </c>
      <c r="I125">
        <v>0.96982758620689657</v>
      </c>
    </row>
    <row r="126" spans="1:9" x14ac:dyDescent="0.3">
      <c r="A126" t="s">
        <v>153</v>
      </c>
      <c r="B126" s="2">
        <v>2.5412453703703704E-2</v>
      </c>
      <c r="C126" s="2">
        <v>2.5400879629629631E-2</v>
      </c>
      <c r="D126" s="2">
        <v>2.5412453703703704E-2</v>
      </c>
      <c r="E126" t="s">
        <v>26</v>
      </c>
      <c r="F126" t="s">
        <v>67</v>
      </c>
      <c r="G126" t="s">
        <v>28</v>
      </c>
      <c r="H126">
        <v>0.24723756906077299</v>
      </c>
      <c r="I126">
        <v>0.98706896551724144</v>
      </c>
    </row>
    <row r="127" spans="1:9" x14ac:dyDescent="0.3">
      <c r="A127" t="s">
        <v>154</v>
      </c>
      <c r="B127" s="2">
        <v>2.6522500000000001E-2</v>
      </c>
      <c r="C127" s="2">
        <v>2.6510925925925927E-2</v>
      </c>
      <c r="D127" s="2">
        <v>2.6522500000000001E-2</v>
      </c>
      <c r="E127" t="s">
        <v>26</v>
      </c>
      <c r="F127" t="s">
        <v>32</v>
      </c>
      <c r="G127" t="s">
        <v>28</v>
      </c>
      <c r="H127">
        <v>0.50138121546961301</v>
      </c>
      <c r="I127">
        <v>0.5</v>
      </c>
    </row>
    <row r="128" spans="1:9" x14ac:dyDescent="0.3">
      <c r="A128" t="s">
        <v>155</v>
      </c>
      <c r="B128" s="2">
        <v>2.6550995370370371E-2</v>
      </c>
      <c r="C128" s="2">
        <v>2.6539421296296297E-2</v>
      </c>
      <c r="D128" s="2">
        <v>2.6550995370370371E-2</v>
      </c>
      <c r="E128" t="s">
        <v>26</v>
      </c>
      <c r="F128" t="s">
        <v>42</v>
      </c>
      <c r="G128" t="s">
        <v>28</v>
      </c>
      <c r="H128">
        <v>0.324585635359116</v>
      </c>
      <c r="I128">
        <v>0.568965517241379</v>
      </c>
    </row>
    <row r="129" spans="1:9" x14ac:dyDescent="0.3">
      <c r="A129" t="s">
        <v>156</v>
      </c>
      <c r="B129" s="2">
        <v>2.6581782407407408E-2</v>
      </c>
      <c r="C129" s="2">
        <v>2.6570208333333335E-2</v>
      </c>
      <c r="D129" s="2">
        <v>2.6581782407407408E-2</v>
      </c>
      <c r="E129" t="s">
        <v>26</v>
      </c>
      <c r="F129" t="s">
        <v>46</v>
      </c>
      <c r="G129" t="s">
        <v>34</v>
      </c>
      <c r="H129">
        <v>0.23618784530386699</v>
      </c>
      <c r="I129">
        <v>0.35775862068965503</v>
      </c>
    </row>
    <row r="130" spans="1:9" x14ac:dyDescent="0.3">
      <c r="A130" t="s">
        <v>157</v>
      </c>
      <c r="B130" s="2">
        <v>2.7349270833333335E-2</v>
      </c>
      <c r="C130" s="2">
        <v>2.7337696759259258E-2</v>
      </c>
      <c r="D130" s="2">
        <v>2.7349270833333335E-2</v>
      </c>
      <c r="E130" t="s">
        <v>26</v>
      </c>
      <c r="F130" t="s">
        <v>27</v>
      </c>
      <c r="G130" t="s">
        <v>28</v>
      </c>
      <c r="H130">
        <v>5.3867403314917101E-2</v>
      </c>
      <c r="I130">
        <v>0.48275862068965503</v>
      </c>
    </row>
    <row r="131" spans="1:9" x14ac:dyDescent="0.3">
      <c r="A131" t="s">
        <v>158</v>
      </c>
      <c r="B131" s="2">
        <v>2.7438298611111109E-2</v>
      </c>
      <c r="C131" s="2">
        <v>2.7426724537037036E-2</v>
      </c>
      <c r="D131" s="2">
        <v>2.7438298611111109E-2</v>
      </c>
      <c r="E131" t="s">
        <v>26</v>
      </c>
      <c r="F131" t="s">
        <v>32</v>
      </c>
      <c r="G131" t="s">
        <v>34</v>
      </c>
      <c r="H131">
        <v>0.39088397790055202</v>
      </c>
      <c r="I131">
        <v>0.65948275862068995</v>
      </c>
    </row>
    <row r="132" spans="1:9" x14ac:dyDescent="0.3">
      <c r="A132" t="s">
        <v>159</v>
      </c>
      <c r="B132" s="2">
        <v>2.8229236111111111E-2</v>
      </c>
      <c r="C132" s="2">
        <v>2.8217662037037038E-2</v>
      </c>
      <c r="D132" s="2">
        <v>2.8229236111111111E-2</v>
      </c>
      <c r="E132" t="s">
        <v>26</v>
      </c>
      <c r="F132" t="s">
        <v>51</v>
      </c>
      <c r="G132" t="s">
        <v>28</v>
      </c>
      <c r="H132">
        <v>0.33563535911602199</v>
      </c>
      <c r="I132">
        <v>0.97844827586206895</v>
      </c>
    </row>
    <row r="133" spans="1:9" x14ac:dyDescent="0.3">
      <c r="A133" t="s">
        <v>160</v>
      </c>
      <c r="B133" s="2">
        <v>2.8512673611111112E-2</v>
      </c>
      <c r="C133" s="2">
        <v>2.8501099537037038E-2</v>
      </c>
      <c r="D133" s="2">
        <v>2.8512673611111112E-2</v>
      </c>
      <c r="E133" t="s">
        <v>26</v>
      </c>
      <c r="F133" t="s">
        <v>27</v>
      </c>
      <c r="G133" t="s">
        <v>28</v>
      </c>
      <c r="H133">
        <v>0.136740331491713</v>
      </c>
      <c r="I133">
        <v>0.74568965517241392</v>
      </c>
    </row>
    <row r="134" spans="1:9" x14ac:dyDescent="0.3">
      <c r="A134" t="s">
        <v>161</v>
      </c>
      <c r="B134" s="2">
        <v>2.8855659722222222E-2</v>
      </c>
      <c r="C134" s="2">
        <v>2.8844085648148148E-2</v>
      </c>
      <c r="D134" s="2">
        <v>2.8855659722222222E-2</v>
      </c>
      <c r="E134" t="s">
        <v>26</v>
      </c>
      <c r="F134" t="s">
        <v>40</v>
      </c>
      <c r="G134" t="s">
        <v>28</v>
      </c>
      <c r="H134">
        <v>0.37154696132596698</v>
      </c>
      <c r="I134">
        <v>0.90517241379310343</v>
      </c>
    </row>
    <row r="135" spans="1:9" x14ac:dyDescent="0.3">
      <c r="A135" t="s">
        <v>162</v>
      </c>
      <c r="B135" s="2">
        <v>2.8890729166666667E-2</v>
      </c>
      <c r="C135" s="2">
        <v>2.8879155092592593E-2</v>
      </c>
      <c r="D135" s="2">
        <v>2.8890729166666667E-2</v>
      </c>
      <c r="E135" t="s">
        <v>26</v>
      </c>
      <c r="F135" t="s">
        <v>42</v>
      </c>
      <c r="G135" t="s">
        <v>28</v>
      </c>
      <c r="H135">
        <v>0.38535911602209899</v>
      </c>
      <c r="I135">
        <v>0.87931034482758597</v>
      </c>
    </row>
    <row r="136" spans="1:9" x14ac:dyDescent="0.3">
      <c r="A136" t="s">
        <v>163</v>
      </c>
      <c r="B136" s="2">
        <v>3.0850069444444444E-2</v>
      </c>
      <c r="C136" s="2">
        <v>3.083849537037037E-2</v>
      </c>
      <c r="D136" s="2">
        <v>3.0850069444444444E-2</v>
      </c>
      <c r="E136" t="s">
        <v>26</v>
      </c>
      <c r="F136" t="s">
        <v>51</v>
      </c>
      <c r="G136" t="s">
        <v>28</v>
      </c>
      <c r="H136">
        <v>0.75276243093922701</v>
      </c>
      <c r="I136">
        <v>0.11206896551724099</v>
      </c>
    </row>
    <row r="137" spans="1:9" x14ac:dyDescent="0.3">
      <c r="A137" t="s">
        <v>164</v>
      </c>
      <c r="B137" s="2">
        <v>3.1422060185185188E-2</v>
      </c>
      <c r="C137" s="2">
        <v>3.1410486111111108E-2</v>
      </c>
      <c r="D137" s="2">
        <v>3.1422060185185188E-2</v>
      </c>
      <c r="E137" t="s">
        <v>26</v>
      </c>
      <c r="F137" t="s">
        <v>46</v>
      </c>
      <c r="G137" t="s">
        <v>28</v>
      </c>
      <c r="H137">
        <v>0.20856353591160201</v>
      </c>
      <c r="I137">
        <v>0.70258620689655205</v>
      </c>
    </row>
    <row r="138" spans="1:9" x14ac:dyDescent="0.3">
      <c r="A138" t="s">
        <v>165</v>
      </c>
      <c r="B138" s="2">
        <v>3.1657928240740742E-2</v>
      </c>
      <c r="C138" s="2">
        <v>3.1646354166666668E-2</v>
      </c>
      <c r="D138" s="2">
        <v>3.1657928240740742E-2</v>
      </c>
      <c r="E138" t="s">
        <v>26</v>
      </c>
      <c r="F138" t="s">
        <v>67</v>
      </c>
      <c r="G138" t="s">
        <v>28</v>
      </c>
      <c r="H138">
        <v>0.40469613259668502</v>
      </c>
      <c r="I138">
        <v>0.61206896551724099</v>
      </c>
    </row>
    <row r="139" spans="1:9" x14ac:dyDescent="0.3">
      <c r="A139" t="s">
        <v>166</v>
      </c>
      <c r="B139" s="2">
        <v>3.2091030092592593E-2</v>
      </c>
      <c r="C139" s="2">
        <v>3.2079456018518519E-2</v>
      </c>
      <c r="D139" s="2">
        <v>3.2091030092592593E-2</v>
      </c>
      <c r="E139" t="s">
        <v>26</v>
      </c>
      <c r="F139" t="s">
        <v>42</v>
      </c>
      <c r="G139" t="s">
        <v>28</v>
      </c>
      <c r="H139">
        <v>0.28591160220994499</v>
      </c>
      <c r="I139">
        <v>8.6206896551723977E-2</v>
      </c>
    </row>
    <row r="140" spans="1:9" x14ac:dyDescent="0.3">
      <c r="A140" t="s">
        <v>167</v>
      </c>
      <c r="B140" s="2">
        <v>3.2354756944444445E-2</v>
      </c>
      <c r="C140" s="2">
        <v>3.2343182870370371E-2</v>
      </c>
      <c r="D140" s="2">
        <v>3.2354756944444445E-2</v>
      </c>
      <c r="E140" t="s">
        <v>26</v>
      </c>
      <c r="F140" t="s">
        <v>42</v>
      </c>
      <c r="G140" t="s">
        <v>28</v>
      </c>
      <c r="H140">
        <v>0.363259668508287</v>
      </c>
      <c r="I140">
        <v>6.4655172413793038E-2</v>
      </c>
    </row>
    <row r="141" spans="1:9" x14ac:dyDescent="0.3">
      <c r="A141" t="s">
        <v>168</v>
      </c>
      <c r="B141" s="2">
        <v>3.2383680555555558E-2</v>
      </c>
      <c r="C141" s="2">
        <v>3.2372106481481484E-2</v>
      </c>
      <c r="D141" s="2">
        <v>3.2383680555555558E-2</v>
      </c>
      <c r="E141" t="s">
        <v>26</v>
      </c>
      <c r="F141" t="s">
        <v>40</v>
      </c>
      <c r="G141" t="s">
        <v>34</v>
      </c>
      <c r="H141">
        <v>0.30801104972375698</v>
      </c>
      <c r="I141">
        <v>0.11637931034482796</v>
      </c>
    </row>
    <row r="142" spans="1:9" x14ac:dyDescent="0.3">
      <c r="A142" t="s">
        <v>169</v>
      </c>
      <c r="B142" s="2">
        <v>3.2850185185185184E-2</v>
      </c>
      <c r="C142" s="2">
        <v>3.283861111111111E-2</v>
      </c>
      <c r="D142" s="2">
        <v>3.2850185185185184E-2</v>
      </c>
      <c r="E142" t="s">
        <v>26</v>
      </c>
      <c r="F142" t="s">
        <v>40</v>
      </c>
      <c r="G142" t="s">
        <v>28</v>
      </c>
      <c r="H142">
        <v>5.1104972375690602E-2</v>
      </c>
      <c r="I142">
        <v>0.125</v>
      </c>
    </row>
    <row r="143" spans="1:9" x14ac:dyDescent="0.3">
      <c r="A143" t="s">
        <v>170</v>
      </c>
      <c r="B143" s="2">
        <v>3.2860578703703701E-2</v>
      </c>
      <c r="C143" s="2">
        <v>3.2849004629629627E-2</v>
      </c>
      <c r="D143" s="2">
        <v>3.2860578703703701E-2</v>
      </c>
      <c r="E143" t="s">
        <v>26</v>
      </c>
      <c r="F143" t="s">
        <v>42</v>
      </c>
      <c r="G143" t="s">
        <v>28</v>
      </c>
      <c r="H143">
        <v>9.2541436464088397E-2</v>
      </c>
      <c r="I143">
        <v>3.4482758620689946E-2</v>
      </c>
    </row>
    <row r="144" spans="1:9" x14ac:dyDescent="0.3">
      <c r="A144" t="s">
        <v>171</v>
      </c>
      <c r="B144" s="2">
        <v>3.2874849537037037E-2</v>
      </c>
      <c r="C144" s="2">
        <v>3.2863275462962964E-2</v>
      </c>
      <c r="D144" s="2">
        <v>3.2874849537037037E-2</v>
      </c>
      <c r="E144" t="s">
        <v>26</v>
      </c>
      <c r="F144" t="s">
        <v>40</v>
      </c>
      <c r="G144" t="s">
        <v>28</v>
      </c>
      <c r="H144">
        <v>0.136740331491713</v>
      </c>
      <c r="I144">
        <v>0.14655172413793105</v>
      </c>
    </row>
    <row r="145" spans="1:9" x14ac:dyDescent="0.3">
      <c r="A145" t="s">
        <v>172</v>
      </c>
      <c r="B145" s="2">
        <v>3.2897060185185185E-2</v>
      </c>
      <c r="C145" s="2">
        <v>3.2885486111111112E-2</v>
      </c>
      <c r="D145" s="2">
        <v>3.2897060185185185E-2</v>
      </c>
      <c r="E145" t="s">
        <v>26</v>
      </c>
      <c r="F145" t="s">
        <v>42</v>
      </c>
      <c r="G145" t="s">
        <v>28</v>
      </c>
      <c r="H145">
        <v>0.18922651933701701</v>
      </c>
      <c r="I145">
        <v>3.8793103448276023E-2</v>
      </c>
    </row>
    <row r="146" spans="1:9" x14ac:dyDescent="0.3">
      <c r="A146" t="s">
        <v>173</v>
      </c>
      <c r="B146" s="2">
        <v>3.5644131944444442E-2</v>
      </c>
      <c r="C146" s="2">
        <v>3.5632557870370368E-2</v>
      </c>
      <c r="D146" s="2">
        <v>3.5644131944444442E-2</v>
      </c>
      <c r="E146" t="s">
        <v>26</v>
      </c>
      <c r="F146" t="s">
        <v>32</v>
      </c>
      <c r="G146" t="s">
        <v>28</v>
      </c>
      <c r="H146">
        <v>0.49861878453038699</v>
      </c>
      <c r="I146">
        <v>0.49568965517241403</v>
      </c>
    </row>
    <row r="147" spans="1:9" x14ac:dyDescent="0.3">
      <c r="A147" t="s">
        <v>174</v>
      </c>
      <c r="B147" s="2">
        <v>3.5730254629629629E-2</v>
      </c>
      <c r="C147" s="2">
        <v>3.5718680555555556E-2</v>
      </c>
      <c r="D147" s="2">
        <v>3.5730254629629629E-2</v>
      </c>
      <c r="E147" t="s">
        <v>26</v>
      </c>
      <c r="F147" t="s">
        <v>38</v>
      </c>
      <c r="G147" t="s">
        <v>34</v>
      </c>
      <c r="H147">
        <v>0.725138121546961</v>
      </c>
      <c r="I147">
        <v>0.31034482758620696</v>
      </c>
    </row>
    <row r="148" spans="1:9" x14ac:dyDescent="0.3">
      <c r="A148" t="s">
        <v>175</v>
      </c>
      <c r="B148" s="2">
        <v>3.5968865740740742E-2</v>
      </c>
      <c r="C148" s="2">
        <v>3.5957291666666669E-2</v>
      </c>
      <c r="D148" s="2">
        <v>3.5968865740740742E-2</v>
      </c>
      <c r="E148" t="s">
        <v>26</v>
      </c>
      <c r="F148" t="s">
        <v>32</v>
      </c>
      <c r="G148" t="s">
        <v>34</v>
      </c>
      <c r="H148">
        <v>0.84392265193370197</v>
      </c>
      <c r="I148">
        <v>0.84051724137931005</v>
      </c>
    </row>
    <row r="149" spans="1:9" x14ac:dyDescent="0.3">
      <c r="A149" t="s">
        <v>176</v>
      </c>
      <c r="B149" s="2">
        <v>3.7427291666666668E-2</v>
      </c>
      <c r="C149" s="2">
        <v>3.7415717592592594E-2</v>
      </c>
      <c r="D149" s="2">
        <v>3.7427291666666668E-2</v>
      </c>
      <c r="E149" t="s">
        <v>26</v>
      </c>
      <c r="F149" t="s">
        <v>32</v>
      </c>
      <c r="G149" t="s">
        <v>28</v>
      </c>
      <c r="H149">
        <v>0.49585635359115998</v>
      </c>
      <c r="I149">
        <v>0.5</v>
      </c>
    </row>
    <row r="150" spans="1:9" x14ac:dyDescent="0.3">
      <c r="A150" t="s">
        <v>177</v>
      </c>
      <c r="B150" s="2">
        <v>3.8495057870370372E-2</v>
      </c>
      <c r="C150" s="2">
        <v>3.8483483796296299E-2</v>
      </c>
      <c r="D150" s="2">
        <v>3.8495057870370372E-2</v>
      </c>
      <c r="E150" t="s">
        <v>26</v>
      </c>
      <c r="F150" t="s">
        <v>67</v>
      </c>
      <c r="G150" t="s">
        <v>28</v>
      </c>
      <c r="H150">
        <v>0.50414364640884002</v>
      </c>
      <c r="I150">
        <v>0.87068965517241403</v>
      </c>
    </row>
    <row r="151" spans="1:9" x14ac:dyDescent="0.3">
      <c r="A151" t="s">
        <v>178</v>
      </c>
      <c r="B151" s="2">
        <v>3.8511307870370368E-2</v>
      </c>
      <c r="C151" s="2">
        <v>3.8499733796296294E-2</v>
      </c>
      <c r="D151" s="2">
        <v>3.8511307870370368E-2</v>
      </c>
      <c r="E151" t="s">
        <v>26</v>
      </c>
      <c r="F151" t="s">
        <v>51</v>
      </c>
      <c r="G151" t="s">
        <v>34</v>
      </c>
      <c r="H151">
        <v>0.57872928176795602</v>
      </c>
      <c r="I151">
        <v>0.84913793103448298</v>
      </c>
    </row>
    <row r="152" spans="1:9" x14ac:dyDescent="0.3">
      <c r="A152" t="s">
        <v>179</v>
      </c>
      <c r="B152" s="2">
        <v>3.8898541666666668E-2</v>
      </c>
      <c r="C152" s="2">
        <v>3.8886967592592595E-2</v>
      </c>
      <c r="D152" s="2">
        <v>3.8898541666666668E-2</v>
      </c>
      <c r="E152" t="s">
        <v>26</v>
      </c>
      <c r="F152" t="s">
        <v>44</v>
      </c>
      <c r="G152" t="s">
        <v>28</v>
      </c>
      <c r="H152">
        <v>0.33287292817679598</v>
      </c>
      <c r="I152">
        <v>0.10775862068965503</v>
      </c>
    </row>
    <row r="153" spans="1:9" x14ac:dyDescent="0.3">
      <c r="A153" t="s">
        <v>180</v>
      </c>
      <c r="B153" s="2">
        <v>3.9791712962962966E-2</v>
      </c>
      <c r="C153" s="2">
        <v>3.9780138888888886E-2</v>
      </c>
      <c r="D153" s="2">
        <v>3.9791712962962966E-2</v>
      </c>
      <c r="E153" t="s">
        <v>26</v>
      </c>
      <c r="F153" t="s">
        <v>51</v>
      </c>
      <c r="G153" t="s">
        <v>28</v>
      </c>
      <c r="H153">
        <v>0.14502762430939201</v>
      </c>
      <c r="I153">
        <v>0.83620689655172398</v>
      </c>
    </row>
    <row r="154" spans="1:9" x14ac:dyDescent="0.3">
      <c r="A154" t="s">
        <v>181</v>
      </c>
      <c r="B154" s="2">
        <v>4.1024965277777777E-2</v>
      </c>
      <c r="C154" s="2">
        <v>4.1013391203703703E-2</v>
      </c>
      <c r="D154" s="2">
        <v>4.1024965277777777E-2</v>
      </c>
      <c r="E154" t="s">
        <v>26</v>
      </c>
      <c r="F154" t="s">
        <v>38</v>
      </c>
      <c r="G154" t="s">
        <v>28</v>
      </c>
      <c r="H154">
        <v>0.67817679558011001</v>
      </c>
      <c r="I154">
        <v>5.6034482758620996E-2</v>
      </c>
    </row>
    <row r="155" spans="1:9" x14ac:dyDescent="0.3">
      <c r="A155" t="s">
        <v>182</v>
      </c>
      <c r="B155" s="2">
        <v>4.1033298611111109E-2</v>
      </c>
      <c r="C155" s="2">
        <v>4.1021724537037035E-2</v>
      </c>
      <c r="D155" s="2">
        <v>4.1033298611111109E-2</v>
      </c>
      <c r="E155" t="s">
        <v>26</v>
      </c>
      <c r="F155" t="s">
        <v>58</v>
      </c>
      <c r="G155" t="s">
        <v>28</v>
      </c>
      <c r="H155">
        <v>0.58149171270718203</v>
      </c>
      <c r="I155">
        <v>5.6034482758620996E-2</v>
      </c>
    </row>
    <row r="156" spans="1:9" x14ac:dyDescent="0.3">
      <c r="A156" t="s">
        <v>183</v>
      </c>
      <c r="B156" s="2">
        <v>4.1906886574074077E-2</v>
      </c>
      <c r="C156" s="2">
        <v>4.1895312499999997E-2</v>
      </c>
      <c r="D156" s="2">
        <v>4.1906886574074077E-2</v>
      </c>
      <c r="E156" t="s">
        <v>26</v>
      </c>
      <c r="F156" t="s">
        <v>42</v>
      </c>
      <c r="G156" t="s">
        <v>28</v>
      </c>
      <c r="H156">
        <v>0.57320441988950299</v>
      </c>
      <c r="I156">
        <v>0.375</v>
      </c>
    </row>
    <row r="157" spans="1:9" x14ac:dyDescent="0.3">
      <c r="A157" t="s">
        <v>184</v>
      </c>
      <c r="B157" s="2">
        <v>4.1939050925925925E-2</v>
      </c>
      <c r="C157" s="2">
        <v>4.1927476851851851E-2</v>
      </c>
      <c r="D157" s="2">
        <v>4.1939050925925925E-2</v>
      </c>
      <c r="E157" t="s">
        <v>26</v>
      </c>
      <c r="F157" t="s">
        <v>44</v>
      </c>
      <c r="G157" t="s">
        <v>28</v>
      </c>
      <c r="H157">
        <v>0.575966850828729</v>
      </c>
      <c r="I157">
        <v>0.67241379310344795</v>
      </c>
    </row>
    <row r="158" spans="1:9" x14ac:dyDescent="0.3">
      <c r="A158" t="s">
        <v>185</v>
      </c>
      <c r="B158" s="2">
        <v>4.2226736111111114E-2</v>
      </c>
      <c r="C158" s="2">
        <v>4.2215162037037034E-2</v>
      </c>
      <c r="D158" s="2">
        <v>4.2226736111111114E-2</v>
      </c>
      <c r="E158" t="s">
        <v>26</v>
      </c>
      <c r="F158" t="s">
        <v>38</v>
      </c>
      <c r="G158" t="s">
        <v>34</v>
      </c>
      <c r="H158">
        <v>0.551104972375691</v>
      </c>
      <c r="I158">
        <v>0.82327586206896497</v>
      </c>
    </row>
    <row r="159" spans="1:9" x14ac:dyDescent="0.3">
      <c r="A159" t="s">
        <v>186</v>
      </c>
      <c r="B159" s="2">
        <v>4.2269768518518519E-2</v>
      </c>
      <c r="C159" s="2">
        <v>4.2258194444444445E-2</v>
      </c>
      <c r="D159" s="2">
        <v>4.2269768518518519E-2</v>
      </c>
      <c r="E159" t="s">
        <v>26</v>
      </c>
      <c r="F159" t="s">
        <v>67</v>
      </c>
      <c r="G159" t="s">
        <v>34</v>
      </c>
      <c r="H159">
        <v>0.57044198895027598</v>
      </c>
      <c r="I159">
        <v>0.95258620689655171</v>
      </c>
    </row>
    <row r="160" spans="1:9" x14ac:dyDescent="0.3">
      <c r="A160" t="s">
        <v>187</v>
      </c>
      <c r="B160" s="2">
        <v>4.2749606481481482E-2</v>
      </c>
      <c r="C160" s="2">
        <v>4.2738032407407409E-2</v>
      </c>
      <c r="D160" s="2">
        <v>4.2749606481481482E-2</v>
      </c>
      <c r="E160" t="s">
        <v>26</v>
      </c>
      <c r="F160" t="s">
        <v>38</v>
      </c>
      <c r="G160" t="s">
        <v>28</v>
      </c>
      <c r="H160">
        <v>0.36049723756906099</v>
      </c>
      <c r="I160">
        <v>0.95258620689655171</v>
      </c>
    </row>
    <row r="161" spans="1:9" x14ac:dyDescent="0.3">
      <c r="A161" t="s">
        <v>188</v>
      </c>
      <c r="B161" s="2">
        <v>4.282540509259259E-2</v>
      </c>
      <c r="C161" s="2">
        <v>4.2813831018518517E-2</v>
      </c>
      <c r="D161" s="2">
        <v>4.282540509259259E-2</v>
      </c>
      <c r="E161" t="s">
        <v>26</v>
      </c>
      <c r="F161" t="s">
        <v>38</v>
      </c>
      <c r="G161" t="s">
        <v>34</v>
      </c>
      <c r="H161">
        <v>0.39640883977900598</v>
      </c>
      <c r="I161">
        <v>0.78448275862068995</v>
      </c>
    </row>
    <row r="162" spans="1:9" x14ac:dyDescent="0.3">
      <c r="A162" t="s">
        <v>189</v>
      </c>
      <c r="B162" s="2">
        <v>4.3295046296296297E-2</v>
      </c>
      <c r="C162" s="2">
        <v>4.3283472222222223E-2</v>
      </c>
      <c r="D162" s="2">
        <v>4.3295046296296297E-2</v>
      </c>
      <c r="E162" t="s">
        <v>26</v>
      </c>
      <c r="F162" t="s">
        <v>67</v>
      </c>
      <c r="G162" t="s">
        <v>34</v>
      </c>
      <c r="H162">
        <v>0.64779005524861899</v>
      </c>
      <c r="I162">
        <v>0.86206896551724099</v>
      </c>
    </row>
    <row r="163" spans="1:9" x14ac:dyDescent="0.3">
      <c r="A163" t="s">
        <v>190</v>
      </c>
      <c r="B163" s="2">
        <v>4.4156909722222221E-2</v>
      </c>
      <c r="C163" s="2">
        <v>4.4145335648148147E-2</v>
      </c>
      <c r="D163" s="2">
        <v>4.4156909722222221E-2</v>
      </c>
      <c r="E163" t="s">
        <v>26</v>
      </c>
      <c r="F163" t="s">
        <v>42</v>
      </c>
      <c r="G163" t="s">
        <v>34</v>
      </c>
      <c r="H163">
        <v>0.50138121546961301</v>
      </c>
      <c r="I163">
        <v>0.44827586206896597</v>
      </c>
    </row>
    <row r="164" spans="1:9" x14ac:dyDescent="0.3">
      <c r="A164" t="s">
        <v>191</v>
      </c>
      <c r="B164" s="2">
        <v>4.449358796296296E-2</v>
      </c>
      <c r="C164" s="2">
        <v>4.4482013888888887E-2</v>
      </c>
      <c r="D164" s="2">
        <v>4.449358796296296E-2</v>
      </c>
      <c r="E164" t="s">
        <v>26</v>
      </c>
      <c r="F164" t="s">
        <v>67</v>
      </c>
      <c r="G164" t="s">
        <v>34</v>
      </c>
      <c r="H164">
        <v>0.13121546961326</v>
      </c>
      <c r="I164">
        <v>0.95258620689655171</v>
      </c>
    </row>
    <row r="165" spans="1:9" x14ac:dyDescent="0.3">
      <c r="A165" t="s">
        <v>192</v>
      </c>
      <c r="B165" s="2">
        <v>4.4698078703703702E-2</v>
      </c>
      <c r="C165" s="2">
        <v>4.4686504629629628E-2</v>
      </c>
      <c r="D165" s="2">
        <v>4.4698078703703702E-2</v>
      </c>
      <c r="E165" t="s">
        <v>26</v>
      </c>
      <c r="F165" t="s">
        <v>40</v>
      </c>
      <c r="G165" t="s">
        <v>28</v>
      </c>
      <c r="H165">
        <v>0.19751381215469599</v>
      </c>
      <c r="I165">
        <v>0.50862068965517193</v>
      </c>
    </row>
    <row r="166" spans="1:9" x14ac:dyDescent="0.3">
      <c r="A166" t="s">
        <v>193</v>
      </c>
      <c r="B166" s="2">
        <v>4.4730451388888891E-2</v>
      </c>
      <c r="C166" s="2">
        <v>4.4718877314814817E-2</v>
      </c>
      <c r="D166" s="2">
        <v>4.4730451388888891E-2</v>
      </c>
      <c r="E166" t="s">
        <v>26</v>
      </c>
      <c r="F166" t="s">
        <v>32</v>
      </c>
      <c r="G166" t="s">
        <v>28</v>
      </c>
      <c r="H166">
        <v>0.43232044198894998</v>
      </c>
      <c r="I166">
        <v>0.63362068965517193</v>
      </c>
    </row>
    <row r="167" spans="1:9" x14ac:dyDescent="0.3">
      <c r="A167" t="s">
        <v>194</v>
      </c>
      <c r="B167" s="2">
        <v>4.5566631944444443E-2</v>
      </c>
      <c r="C167" s="2">
        <v>4.5555057870370369E-2</v>
      </c>
      <c r="D167" s="2">
        <v>4.5566631944444443E-2</v>
      </c>
      <c r="E167" t="s">
        <v>26</v>
      </c>
      <c r="F167" t="s">
        <v>32</v>
      </c>
      <c r="G167" t="s">
        <v>28</v>
      </c>
      <c r="H167">
        <v>0.54281767955801097</v>
      </c>
      <c r="I167">
        <v>0.76724137931034497</v>
      </c>
    </row>
    <row r="168" spans="1:9" x14ac:dyDescent="0.3">
      <c r="A168" t="s">
        <v>195</v>
      </c>
      <c r="B168" s="2">
        <v>4.6030312499999997E-2</v>
      </c>
      <c r="C168" s="2">
        <v>4.6018738425925923E-2</v>
      </c>
      <c r="D168" s="2">
        <v>4.6030312499999997E-2</v>
      </c>
      <c r="E168" t="s">
        <v>26</v>
      </c>
      <c r="F168" t="s">
        <v>42</v>
      </c>
      <c r="G168" t="s">
        <v>34</v>
      </c>
      <c r="H168">
        <v>0.52624309392265201</v>
      </c>
      <c r="I168">
        <v>0.90086206896551724</v>
      </c>
    </row>
    <row r="169" spans="1:9" x14ac:dyDescent="0.3">
      <c r="A169" t="s">
        <v>196</v>
      </c>
      <c r="B169" s="2">
        <v>4.6166145833333332E-2</v>
      </c>
      <c r="C169" s="2">
        <v>4.6154571759259258E-2</v>
      </c>
      <c r="D169" s="2">
        <v>4.6166145833333332E-2</v>
      </c>
      <c r="E169" t="s">
        <v>26</v>
      </c>
      <c r="F169" t="s">
        <v>44</v>
      </c>
      <c r="G169" t="s">
        <v>28</v>
      </c>
      <c r="H169">
        <v>0.66712707182320397</v>
      </c>
      <c r="I169">
        <v>0.87068965517241403</v>
      </c>
    </row>
    <row r="170" spans="1:9" x14ac:dyDescent="0.3">
      <c r="A170" t="s">
        <v>197</v>
      </c>
      <c r="B170" s="2">
        <v>4.6180127314814814E-2</v>
      </c>
      <c r="C170" s="2">
        <v>4.6168553240740741E-2</v>
      </c>
      <c r="D170" s="2">
        <v>4.6180127314814814E-2</v>
      </c>
      <c r="E170" t="s">
        <v>26</v>
      </c>
      <c r="F170" t="s">
        <v>198</v>
      </c>
      <c r="G170" t="s">
        <v>28</v>
      </c>
      <c r="H170">
        <v>0.69475138121546998</v>
      </c>
      <c r="I170">
        <v>0.81465517241379304</v>
      </c>
    </row>
    <row r="171" spans="1:9" x14ac:dyDescent="0.3">
      <c r="A171" t="s">
        <v>199</v>
      </c>
      <c r="B171" s="2">
        <v>4.7055937499999999E-2</v>
      </c>
      <c r="C171" s="2">
        <v>4.7044363425925925E-2</v>
      </c>
      <c r="D171" s="2">
        <v>4.7055937499999999E-2</v>
      </c>
      <c r="E171" t="s">
        <v>26</v>
      </c>
      <c r="F171" t="s">
        <v>58</v>
      </c>
      <c r="G171" t="s">
        <v>28</v>
      </c>
      <c r="H171">
        <v>0.22790055248618801</v>
      </c>
      <c r="I171">
        <v>3.8793103448276023E-2</v>
      </c>
    </row>
    <row r="172" spans="1:9" x14ac:dyDescent="0.3">
      <c r="A172" t="s">
        <v>200</v>
      </c>
      <c r="B172" s="2">
        <v>4.7553113425925927E-2</v>
      </c>
      <c r="C172" s="2">
        <v>4.7541539351851854E-2</v>
      </c>
      <c r="D172" s="2">
        <v>4.7553113425925927E-2</v>
      </c>
      <c r="E172" t="s">
        <v>26</v>
      </c>
      <c r="F172" t="s">
        <v>38</v>
      </c>
      <c r="G172" t="s">
        <v>34</v>
      </c>
      <c r="H172">
        <v>0.15331491712707199</v>
      </c>
      <c r="I172">
        <v>2.5862068965517016E-2</v>
      </c>
    </row>
    <row r="173" spans="1:9" x14ac:dyDescent="0.3">
      <c r="A173" t="s">
        <v>201</v>
      </c>
      <c r="B173" s="2">
        <v>4.7627627314814812E-2</v>
      </c>
      <c r="C173" s="2">
        <v>4.7616053240740738E-2</v>
      </c>
      <c r="D173" s="2">
        <v>4.7627627314814812E-2</v>
      </c>
      <c r="E173" t="s">
        <v>26</v>
      </c>
      <c r="F173" t="s">
        <v>38</v>
      </c>
      <c r="G173" t="s">
        <v>28</v>
      </c>
      <c r="H173">
        <v>0.20856353591160201</v>
      </c>
      <c r="I173">
        <v>5.1724137931034031E-2</v>
      </c>
    </row>
    <row r="174" spans="1:9" x14ac:dyDescent="0.3">
      <c r="A174" t="s">
        <v>202</v>
      </c>
      <c r="B174" s="2">
        <v>4.7649351851851852E-2</v>
      </c>
      <c r="C174" s="2">
        <v>4.7637777777777779E-2</v>
      </c>
      <c r="D174" s="2">
        <v>4.7649351851851852E-2</v>
      </c>
      <c r="E174" t="s">
        <v>26</v>
      </c>
      <c r="F174" t="s">
        <v>32</v>
      </c>
      <c r="G174" t="s">
        <v>34</v>
      </c>
      <c r="H174">
        <v>0.424033149171271</v>
      </c>
      <c r="I174">
        <v>9.9137931034482984E-2</v>
      </c>
    </row>
    <row r="175" spans="1:9" x14ac:dyDescent="0.3">
      <c r="A175" t="s">
        <v>203</v>
      </c>
      <c r="B175" s="2">
        <v>4.792170138888889E-2</v>
      </c>
      <c r="C175" s="2">
        <v>4.7910127314814817E-2</v>
      </c>
      <c r="D175" s="2">
        <v>4.792170138888889E-2</v>
      </c>
      <c r="E175" t="s">
        <v>26</v>
      </c>
      <c r="F175" t="s">
        <v>51</v>
      </c>
      <c r="G175" t="s">
        <v>28</v>
      </c>
      <c r="H175">
        <v>0.25552486187845302</v>
      </c>
      <c r="I175">
        <v>3.8793103448276023E-2</v>
      </c>
    </row>
    <row r="176" spans="1:9" x14ac:dyDescent="0.3">
      <c r="A176" t="s">
        <v>204</v>
      </c>
      <c r="B176" s="2">
        <v>4.8218946759259258E-2</v>
      </c>
      <c r="C176" s="2">
        <v>4.8207372685185185E-2</v>
      </c>
      <c r="D176" s="2">
        <v>4.8218946759259258E-2</v>
      </c>
      <c r="E176" t="s">
        <v>26</v>
      </c>
      <c r="F176" t="s">
        <v>46</v>
      </c>
      <c r="G176" t="s">
        <v>28</v>
      </c>
      <c r="H176">
        <v>0.21685082872928199</v>
      </c>
      <c r="I176">
        <v>0.26293103448275901</v>
      </c>
    </row>
    <row r="177" spans="1:9" x14ac:dyDescent="0.3">
      <c r="A177" t="s">
        <v>205</v>
      </c>
      <c r="B177" s="2">
        <v>4.8250590277777776E-2</v>
      </c>
      <c r="C177" s="2">
        <v>4.8239016203703702E-2</v>
      </c>
      <c r="D177" s="2">
        <v>4.8250590277777776E-2</v>
      </c>
      <c r="E177" t="s">
        <v>26</v>
      </c>
      <c r="F177" t="s">
        <v>38</v>
      </c>
      <c r="G177" t="s">
        <v>28</v>
      </c>
      <c r="H177">
        <v>0.28314917127071798</v>
      </c>
      <c r="I177">
        <v>0.17672413793103403</v>
      </c>
    </row>
    <row r="178" spans="1:9" x14ac:dyDescent="0.3">
      <c r="A178" t="s">
        <v>206</v>
      </c>
      <c r="B178" s="2">
        <v>4.8467881944444444E-2</v>
      </c>
      <c r="C178" s="2">
        <v>4.845630787037037E-2</v>
      </c>
      <c r="D178" s="2">
        <v>4.8467881944444444E-2</v>
      </c>
      <c r="E178" t="s">
        <v>26</v>
      </c>
      <c r="F178" t="s">
        <v>40</v>
      </c>
      <c r="G178" t="s">
        <v>28</v>
      </c>
      <c r="H178">
        <v>0.39088397790055202</v>
      </c>
      <c r="I178">
        <v>0.32327586206896597</v>
      </c>
    </row>
    <row r="179" spans="1:9" x14ac:dyDescent="0.3">
      <c r="A179" t="s">
        <v>207</v>
      </c>
      <c r="B179" s="2">
        <v>4.8495532407407407E-2</v>
      </c>
      <c r="C179" s="2">
        <v>4.8483958333333334E-2</v>
      </c>
      <c r="D179" s="2">
        <v>4.8495532407407407E-2</v>
      </c>
      <c r="E179" t="s">
        <v>26</v>
      </c>
      <c r="F179" t="s">
        <v>42</v>
      </c>
      <c r="G179" t="s">
        <v>28</v>
      </c>
      <c r="H179">
        <v>0.55939226519337004</v>
      </c>
      <c r="I179">
        <v>0.38362068965517204</v>
      </c>
    </row>
    <row r="180" spans="1:9" x14ac:dyDescent="0.3">
      <c r="A180" t="s">
        <v>208</v>
      </c>
      <c r="B180" s="2">
        <v>4.8714247685185189E-2</v>
      </c>
      <c r="C180" s="2">
        <v>4.8702673611111108E-2</v>
      </c>
      <c r="D180" s="2">
        <v>4.8714247685185189E-2</v>
      </c>
      <c r="E180" t="s">
        <v>26</v>
      </c>
      <c r="F180" t="s">
        <v>42</v>
      </c>
      <c r="G180" t="s">
        <v>28</v>
      </c>
      <c r="H180">
        <v>0.63121546961326003</v>
      </c>
      <c r="I180">
        <v>0.38362068965517204</v>
      </c>
    </row>
    <row r="181" spans="1:9" x14ac:dyDescent="0.3">
      <c r="A181" t="s">
        <v>209</v>
      </c>
      <c r="B181" s="2">
        <v>4.8728020833333337E-2</v>
      </c>
      <c r="C181" s="2">
        <v>4.8716446759259256E-2</v>
      </c>
      <c r="D181" s="2">
        <v>4.8728020833333337E-2</v>
      </c>
      <c r="E181" t="s">
        <v>26</v>
      </c>
      <c r="F181" t="s">
        <v>32</v>
      </c>
      <c r="G181" t="s">
        <v>28</v>
      </c>
      <c r="H181">
        <v>0.68370165745856404</v>
      </c>
      <c r="I181">
        <v>0.46982758620689702</v>
      </c>
    </row>
    <row r="182" spans="1:9" x14ac:dyDescent="0.3">
      <c r="A182" t="s">
        <v>210</v>
      </c>
      <c r="B182" s="2">
        <v>4.9097511574074076E-2</v>
      </c>
      <c r="C182" s="2">
        <v>4.9085937500000003E-2</v>
      </c>
      <c r="D182" s="2">
        <v>4.9097511574074076E-2</v>
      </c>
      <c r="E182" t="s">
        <v>26</v>
      </c>
      <c r="F182" t="s">
        <v>67</v>
      </c>
      <c r="G182" t="s">
        <v>34</v>
      </c>
      <c r="H182">
        <v>0.24171270718231999</v>
      </c>
      <c r="I182">
        <v>0.96982758620689657</v>
      </c>
    </row>
    <row r="183" spans="1:9" x14ac:dyDescent="0.3">
      <c r="A183" t="s">
        <v>211</v>
      </c>
      <c r="B183" s="2">
        <v>4.9448819444444445E-2</v>
      </c>
      <c r="C183" s="2">
        <v>4.9437245370370371E-2</v>
      </c>
      <c r="D183" s="2">
        <v>4.9448819444444445E-2</v>
      </c>
      <c r="E183" t="s">
        <v>26</v>
      </c>
      <c r="F183" t="s">
        <v>198</v>
      </c>
      <c r="G183" t="s">
        <v>28</v>
      </c>
      <c r="H183">
        <v>0.28314917127071798</v>
      </c>
      <c r="I183">
        <v>0.90948275862068972</v>
      </c>
    </row>
    <row r="184" spans="1:9" x14ac:dyDescent="0.3">
      <c r="A184" t="s">
        <v>212</v>
      </c>
      <c r="B184" s="2">
        <v>4.9456782407407404E-2</v>
      </c>
      <c r="C184" s="2">
        <v>4.9445208333333331E-2</v>
      </c>
      <c r="D184" s="2">
        <v>4.9456782407407404E-2</v>
      </c>
      <c r="E184" t="s">
        <v>26</v>
      </c>
      <c r="F184" t="s">
        <v>67</v>
      </c>
      <c r="G184" t="s">
        <v>28</v>
      </c>
      <c r="H184">
        <v>0.219613259668508</v>
      </c>
      <c r="I184">
        <v>0.97844827586206895</v>
      </c>
    </row>
    <row r="185" spans="1:9" x14ac:dyDescent="0.3">
      <c r="A185" t="s">
        <v>213</v>
      </c>
      <c r="B185" s="2">
        <v>4.9472291666666668E-2</v>
      </c>
      <c r="C185" s="2">
        <v>4.9460717592592594E-2</v>
      </c>
      <c r="D185" s="2">
        <v>4.9472291666666668E-2</v>
      </c>
      <c r="E185" t="s">
        <v>26</v>
      </c>
      <c r="F185" t="s">
        <v>198</v>
      </c>
      <c r="G185" t="s">
        <v>28</v>
      </c>
      <c r="H185">
        <v>0.25828729281767998</v>
      </c>
      <c r="I185">
        <v>0.98706896551724144</v>
      </c>
    </row>
    <row r="186" spans="1:9" x14ac:dyDescent="0.3">
      <c r="A186" t="s">
        <v>214</v>
      </c>
      <c r="B186" s="2">
        <v>4.9484664351851851E-2</v>
      </c>
      <c r="C186" s="2">
        <v>4.9473090277777777E-2</v>
      </c>
      <c r="D186" s="2">
        <v>4.9484664351851851E-2</v>
      </c>
      <c r="E186" t="s">
        <v>26</v>
      </c>
      <c r="F186" t="s">
        <v>44</v>
      </c>
      <c r="G186" t="s">
        <v>28</v>
      </c>
      <c r="H186">
        <v>0.31906077348066297</v>
      </c>
      <c r="I186">
        <v>0.97844827586206895</v>
      </c>
    </row>
    <row r="187" spans="1:9" x14ac:dyDescent="0.3">
      <c r="A187" t="s">
        <v>215</v>
      </c>
      <c r="B187" s="2">
        <v>4.9508865740740739E-2</v>
      </c>
      <c r="C187" s="2">
        <v>4.9497291666666665E-2</v>
      </c>
      <c r="D187" s="2">
        <v>4.9508865740740739E-2</v>
      </c>
      <c r="E187" t="s">
        <v>26</v>
      </c>
      <c r="F187" t="s">
        <v>42</v>
      </c>
      <c r="G187" t="s">
        <v>28</v>
      </c>
      <c r="H187">
        <v>0.38535911602209899</v>
      </c>
      <c r="I187">
        <v>0.90948275862068972</v>
      </c>
    </row>
    <row r="188" spans="1:9" x14ac:dyDescent="0.3">
      <c r="A188" t="s">
        <v>216</v>
      </c>
      <c r="B188" s="2">
        <v>4.9554699074074074E-2</v>
      </c>
      <c r="C188" s="2">
        <v>4.9543125E-2</v>
      </c>
      <c r="D188" s="2">
        <v>4.9554699074074074E-2</v>
      </c>
      <c r="E188" t="s">
        <v>26</v>
      </c>
      <c r="F188" t="s">
        <v>44</v>
      </c>
      <c r="G188" t="s">
        <v>28</v>
      </c>
      <c r="H188">
        <v>0.68370165745856404</v>
      </c>
      <c r="I188">
        <v>0.82327586206896497</v>
      </c>
    </row>
    <row r="189" spans="1:9" x14ac:dyDescent="0.3">
      <c r="A189" t="s">
        <v>217</v>
      </c>
      <c r="B189" s="2">
        <v>4.9602407407407408E-2</v>
      </c>
      <c r="C189" s="2">
        <v>4.9590833333333334E-2</v>
      </c>
      <c r="D189" s="2">
        <v>4.9602407407407408E-2</v>
      </c>
      <c r="E189" t="s">
        <v>26</v>
      </c>
      <c r="F189" t="s">
        <v>198</v>
      </c>
      <c r="G189" t="s">
        <v>28</v>
      </c>
      <c r="H189">
        <v>0.74171270718231996</v>
      </c>
      <c r="I189">
        <v>0.72844827586206895</v>
      </c>
    </row>
    <row r="190" spans="1:9" x14ac:dyDescent="0.3">
      <c r="A190" t="s">
        <v>218</v>
      </c>
      <c r="B190" s="2">
        <v>4.9660914351851854E-2</v>
      </c>
      <c r="C190" s="2">
        <v>4.964934027777778E-2</v>
      </c>
      <c r="D190" s="2">
        <v>4.9660914351851854E-2</v>
      </c>
      <c r="E190" t="s">
        <v>26</v>
      </c>
      <c r="F190" t="s">
        <v>32</v>
      </c>
      <c r="G190" t="s">
        <v>28</v>
      </c>
      <c r="H190">
        <v>0.80801104972375704</v>
      </c>
      <c r="I190">
        <v>0.48706896551724099</v>
      </c>
    </row>
    <row r="191" spans="1:9" x14ac:dyDescent="0.3">
      <c r="A191" t="s">
        <v>219</v>
      </c>
      <c r="B191" s="2">
        <v>4.967755787037037E-2</v>
      </c>
      <c r="C191" s="2">
        <v>4.9665983796296297E-2</v>
      </c>
      <c r="D191" s="2">
        <v>4.967755787037037E-2</v>
      </c>
      <c r="E191" t="s">
        <v>26</v>
      </c>
      <c r="F191" t="s">
        <v>51</v>
      </c>
      <c r="G191" t="s">
        <v>28</v>
      </c>
      <c r="H191">
        <v>0.83839779005524895</v>
      </c>
      <c r="I191">
        <v>0.51293103448275901</v>
      </c>
    </row>
    <row r="192" spans="1:9" x14ac:dyDescent="0.3">
      <c r="A192" t="s">
        <v>220</v>
      </c>
      <c r="B192" s="2">
        <v>4.9941527777777779E-2</v>
      </c>
      <c r="C192" s="2">
        <v>4.9929953703703706E-2</v>
      </c>
      <c r="D192" s="2">
        <v>4.9941527777777779E-2</v>
      </c>
      <c r="E192" t="s">
        <v>26</v>
      </c>
      <c r="F192" t="s">
        <v>51</v>
      </c>
      <c r="G192" t="s">
        <v>34</v>
      </c>
      <c r="H192">
        <v>0.66160220994475105</v>
      </c>
      <c r="I192">
        <v>6.0344827586206962E-2</v>
      </c>
    </row>
    <row r="193" spans="1:9" x14ac:dyDescent="0.3">
      <c r="A193" t="s">
        <v>221</v>
      </c>
      <c r="B193" s="2">
        <v>5.0037708333333333E-2</v>
      </c>
      <c r="C193" s="2">
        <v>5.002613425925926E-2</v>
      </c>
      <c r="D193" s="2">
        <v>5.0037708333333333E-2</v>
      </c>
      <c r="E193" t="s">
        <v>26</v>
      </c>
      <c r="F193" t="s">
        <v>40</v>
      </c>
      <c r="G193" t="s">
        <v>28</v>
      </c>
      <c r="H193">
        <v>0.32734806629834301</v>
      </c>
      <c r="I193">
        <v>6.0344827586206962E-2</v>
      </c>
    </row>
    <row r="194" spans="1:9" x14ac:dyDescent="0.3">
      <c r="A194" t="s">
        <v>222</v>
      </c>
      <c r="B194" s="2">
        <v>5.0154131944444444E-2</v>
      </c>
      <c r="C194" s="2">
        <v>5.014255787037037E-2</v>
      </c>
      <c r="D194" s="2">
        <v>5.0154131944444444E-2</v>
      </c>
      <c r="E194" t="s">
        <v>26</v>
      </c>
      <c r="F194" t="s">
        <v>42</v>
      </c>
      <c r="G194" t="s">
        <v>28</v>
      </c>
      <c r="H194">
        <v>0.41022099447513799</v>
      </c>
      <c r="I194">
        <v>0.77586206896551702</v>
      </c>
    </row>
    <row r="195" spans="1:9" x14ac:dyDescent="0.3">
      <c r="A195" t="s">
        <v>223</v>
      </c>
      <c r="B195" s="2">
        <v>5.0177407407407407E-2</v>
      </c>
      <c r="C195" s="2">
        <v>5.0165833333333333E-2</v>
      </c>
      <c r="D195" s="2">
        <v>5.0177407407407407E-2</v>
      </c>
      <c r="E195" t="s">
        <v>26</v>
      </c>
      <c r="F195" t="s">
        <v>67</v>
      </c>
      <c r="G195" t="s">
        <v>28</v>
      </c>
      <c r="H195">
        <v>0.56767955801104997</v>
      </c>
      <c r="I195">
        <v>0.92241379310344829</v>
      </c>
    </row>
    <row r="196" spans="1:9" x14ac:dyDescent="0.3">
      <c r="A196" t="s">
        <v>224</v>
      </c>
      <c r="B196" s="2">
        <v>5.029386574074074E-2</v>
      </c>
      <c r="C196" s="2">
        <v>5.0282291666666666E-2</v>
      </c>
      <c r="D196" s="2">
        <v>5.029386574074074E-2</v>
      </c>
      <c r="E196" t="s">
        <v>26</v>
      </c>
      <c r="F196" t="s">
        <v>198</v>
      </c>
      <c r="G196" t="s">
        <v>28</v>
      </c>
      <c r="H196">
        <v>0.55662983425414403</v>
      </c>
      <c r="I196">
        <v>0.75862068965517193</v>
      </c>
    </row>
    <row r="197" spans="1:9" x14ac:dyDescent="0.3">
      <c r="A197" t="s">
        <v>225</v>
      </c>
      <c r="B197" s="2">
        <v>5.0507037037037038E-2</v>
      </c>
      <c r="C197" s="2">
        <v>5.0495462962962964E-2</v>
      </c>
      <c r="D197" s="2">
        <v>5.0507037037037038E-2</v>
      </c>
      <c r="E197" t="s">
        <v>26</v>
      </c>
      <c r="F197" t="s">
        <v>40</v>
      </c>
      <c r="G197" t="s">
        <v>28</v>
      </c>
      <c r="H197">
        <v>0.50966850828729304</v>
      </c>
      <c r="I197">
        <v>0.50862068965517193</v>
      </c>
    </row>
    <row r="198" spans="1:9" x14ac:dyDescent="0.3">
      <c r="A198" t="s">
        <v>226</v>
      </c>
      <c r="B198" s="2">
        <v>5.0607789351851853E-2</v>
      </c>
      <c r="C198" s="2">
        <v>5.059621527777778E-2</v>
      </c>
      <c r="D198" s="2">
        <v>5.0607789351851853E-2</v>
      </c>
      <c r="E198" t="s">
        <v>26</v>
      </c>
      <c r="F198" t="s">
        <v>46</v>
      </c>
      <c r="G198" t="s">
        <v>28</v>
      </c>
      <c r="H198">
        <v>0.60635359116022103</v>
      </c>
      <c r="I198">
        <v>0.56034482758620707</v>
      </c>
    </row>
    <row r="199" spans="1:9" x14ac:dyDescent="0.3">
      <c r="A199" t="s">
        <v>227</v>
      </c>
      <c r="B199" s="2">
        <v>5.0641956018518522E-2</v>
      </c>
      <c r="C199" s="2">
        <v>5.0630381944444441E-2</v>
      </c>
      <c r="D199" s="2">
        <v>5.0641956018518522E-2</v>
      </c>
      <c r="E199" t="s">
        <v>26</v>
      </c>
      <c r="F199" t="s">
        <v>44</v>
      </c>
      <c r="G199" t="s">
        <v>28</v>
      </c>
      <c r="H199">
        <v>0.68093922651933703</v>
      </c>
      <c r="I199">
        <v>0.73706896551724099</v>
      </c>
    </row>
    <row r="200" spans="1:9" x14ac:dyDescent="0.3">
      <c r="A200" t="s">
        <v>228</v>
      </c>
      <c r="B200" s="2">
        <v>5.0677812500000002E-2</v>
      </c>
      <c r="C200" s="2">
        <v>5.0666238425925929E-2</v>
      </c>
      <c r="D200" s="2">
        <v>5.0677812500000002E-2</v>
      </c>
      <c r="E200" t="s">
        <v>26</v>
      </c>
      <c r="F200" t="s">
        <v>67</v>
      </c>
      <c r="G200" t="s">
        <v>28</v>
      </c>
      <c r="H200">
        <v>0.61740331491712697</v>
      </c>
      <c r="I200">
        <v>0.87068965517241403</v>
      </c>
    </row>
    <row r="201" spans="1:9" x14ac:dyDescent="0.3">
      <c r="A201" t="s">
        <v>229</v>
      </c>
      <c r="B201" s="2">
        <v>5.0705405092592595E-2</v>
      </c>
      <c r="C201" s="2">
        <v>5.0693831018518522E-2</v>
      </c>
      <c r="D201" s="2">
        <v>5.0705405092592595E-2</v>
      </c>
      <c r="E201" t="s">
        <v>26</v>
      </c>
      <c r="F201" t="s">
        <v>198</v>
      </c>
      <c r="G201" t="s">
        <v>28</v>
      </c>
      <c r="H201">
        <v>0.66436464088397795</v>
      </c>
      <c r="I201">
        <v>0.66379310344827602</v>
      </c>
    </row>
    <row r="202" spans="1:9" x14ac:dyDescent="0.3">
      <c r="A202" t="s">
        <v>230</v>
      </c>
      <c r="B202" s="2">
        <v>5.0730150462962961E-2</v>
      </c>
      <c r="C202" s="2">
        <v>5.0718576388888888E-2</v>
      </c>
      <c r="D202" s="2">
        <v>5.0730150462962961E-2</v>
      </c>
      <c r="E202" t="s">
        <v>26</v>
      </c>
      <c r="F202" t="s">
        <v>32</v>
      </c>
      <c r="G202" t="s">
        <v>34</v>
      </c>
      <c r="H202">
        <v>0.74447513812154698</v>
      </c>
      <c r="I202">
        <v>0.54310344827586199</v>
      </c>
    </row>
    <row r="203" spans="1:9" x14ac:dyDescent="0.3">
      <c r="A203" t="s">
        <v>231</v>
      </c>
      <c r="B203" s="2">
        <v>5.0950787037037037E-2</v>
      </c>
      <c r="C203" s="2">
        <v>5.0939212962962964E-2</v>
      </c>
      <c r="D203" s="2">
        <v>5.0950787037037037E-2</v>
      </c>
      <c r="E203" t="s">
        <v>26</v>
      </c>
      <c r="F203" t="s">
        <v>58</v>
      </c>
      <c r="G203" t="s">
        <v>28</v>
      </c>
      <c r="H203">
        <v>0.363259668508287</v>
      </c>
      <c r="I203">
        <v>0.10344827586206895</v>
      </c>
    </row>
    <row r="204" spans="1:9" x14ac:dyDescent="0.3">
      <c r="A204" t="s">
        <v>232</v>
      </c>
      <c r="B204" s="2">
        <v>5.1016064814814813E-2</v>
      </c>
      <c r="C204" s="2">
        <v>5.1004490740740739E-2</v>
      </c>
      <c r="D204" s="2">
        <v>5.1016064814814813E-2</v>
      </c>
      <c r="E204" t="s">
        <v>26</v>
      </c>
      <c r="F204" t="s">
        <v>198</v>
      </c>
      <c r="G204" t="s">
        <v>34</v>
      </c>
      <c r="H204">
        <v>0.43508287292817699</v>
      </c>
      <c r="I204">
        <v>0.51293103448275901</v>
      </c>
    </row>
    <row r="205" spans="1:9" x14ac:dyDescent="0.3">
      <c r="A205" t="s">
        <v>233</v>
      </c>
      <c r="B205" s="2">
        <v>5.1232326388888888E-2</v>
      </c>
      <c r="C205" s="2">
        <v>5.1220752314814814E-2</v>
      </c>
      <c r="D205" s="2">
        <v>5.1232326388888888E-2</v>
      </c>
      <c r="E205" t="s">
        <v>26</v>
      </c>
      <c r="F205" t="s">
        <v>42</v>
      </c>
      <c r="G205" t="s">
        <v>28</v>
      </c>
      <c r="H205">
        <v>0.52348066298342499</v>
      </c>
      <c r="I205">
        <v>0.818965517241379</v>
      </c>
    </row>
    <row r="206" spans="1:9" x14ac:dyDescent="0.3">
      <c r="A206" t="s">
        <v>234</v>
      </c>
      <c r="B206" s="2">
        <v>5.1247974537037035E-2</v>
      </c>
      <c r="C206" s="2">
        <v>5.1236400462962961E-2</v>
      </c>
      <c r="D206" s="2">
        <v>5.1247974537037035E-2</v>
      </c>
      <c r="E206" t="s">
        <v>26</v>
      </c>
      <c r="F206" t="s">
        <v>198</v>
      </c>
      <c r="G206" t="s">
        <v>28</v>
      </c>
      <c r="H206">
        <v>0.50414364640884002</v>
      </c>
      <c r="I206">
        <v>0.81034482758620696</v>
      </c>
    </row>
    <row r="207" spans="1:9" x14ac:dyDescent="0.3">
      <c r="A207" t="s">
        <v>235</v>
      </c>
      <c r="B207" s="2">
        <v>5.1254502314814814E-2</v>
      </c>
      <c r="C207" s="2">
        <v>5.124292824074074E-2</v>
      </c>
      <c r="D207" s="2">
        <v>5.1254502314814814E-2</v>
      </c>
      <c r="E207" t="s">
        <v>26</v>
      </c>
      <c r="F207" t="s">
        <v>38</v>
      </c>
      <c r="G207" t="s">
        <v>34</v>
      </c>
      <c r="H207">
        <v>0.47375690607734799</v>
      </c>
      <c r="I207">
        <v>0.681034482758621</v>
      </c>
    </row>
    <row r="208" spans="1:9" x14ac:dyDescent="0.3">
      <c r="A208" t="s">
        <v>236</v>
      </c>
      <c r="B208" s="2">
        <v>5.1331608796296294E-2</v>
      </c>
      <c r="C208" s="2">
        <v>5.132003472222222E-2</v>
      </c>
      <c r="D208" s="2">
        <v>5.1331608796296294E-2</v>
      </c>
      <c r="E208" t="s">
        <v>26</v>
      </c>
      <c r="F208" t="s">
        <v>67</v>
      </c>
      <c r="G208" t="s">
        <v>34</v>
      </c>
      <c r="H208">
        <v>0.33011049723756902</v>
      </c>
      <c r="I208">
        <v>0.82327586206896497</v>
      </c>
    </row>
    <row r="209" spans="1:9" x14ac:dyDescent="0.3">
      <c r="A209" t="s">
        <v>237</v>
      </c>
      <c r="B209" s="2">
        <v>5.1433587962962962E-2</v>
      </c>
      <c r="C209" s="2">
        <v>5.1422013888888889E-2</v>
      </c>
      <c r="D209" s="2">
        <v>5.1433587962962962E-2</v>
      </c>
      <c r="E209" t="s">
        <v>26</v>
      </c>
      <c r="F209" t="s">
        <v>67</v>
      </c>
      <c r="G209" t="s">
        <v>34</v>
      </c>
      <c r="H209">
        <v>9.8066298342541394E-2</v>
      </c>
      <c r="I209">
        <v>0.69827586206896597</v>
      </c>
    </row>
    <row r="210" spans="1:9" x14ac:dyDescent="0.3">
      <c r="A210" t="s">
        <v>238</v>
      </c>
      <c r="B210" s="2">
        <v>5.1530590277777781E-2</v>
      </c>
      <c r="C210" s="2">
        <v>5.1519016203703701E-2</v>
      </c>
      <c r="D210" s="2">
        <v>5.1530590277777781E-2</v>
      </c>
      <c r="E210" t="s">
        <v>26</v>
      </c>
      <c r="F210" t="s">
        <v>42</v>
      </c>
      <c r="G210" t="s">
        <v>34</v>
      </c>
      <c r="H210">
        <v>0.650552486187845</v>
      </c>
      <c r="I210">
        <v>0.49568965517241403</v>
      </c>
    </row>
    <row r="211" spans="1:9" x14ac:dyDescent="0.3">
      <c r="A211" t="s">
        <v>239</v>
      </c>
      <c r="B211" s="2">
        <v>5.1644421296296296E-2</v>
      </c>
      <c r="C211" s="2">
        <v>5.1632847222222222E-2</v>
      </c>
      <c r="D211" s="2">
        <v>5.1644421296296296E-2</v>
      </c>
      <c r="E211" t="s">
        <v>26</v>
      </c>
      <c r="F211" t="s">
        <v>46</v>
      </c>
      <c r="G211" t="s">
        <v>28</v>
      </c>
      <c r="H211">
        <v>0.26933701657458597</v>
      </c>
      <c r="I211">
        <v>0.76293103448275901</v>
      </c>
    </row>
    <row r="212" spans="1:9" x14ac:dyDescent="0.3">
      <c r="A212" t="s">
        <v>240</v>
      </c>
      <c r="B212" s="2">
        <v>5.1710729166666664E-2</v>
      </c>
      <c r="C212" s="2">
        <v>5.169915509259259E-2</v>
      </c>
      <c r="D212" s="2">
        <v>5.1710729166666664E-2</v>
      </c>
      <c r="E212" t="s">
        <v>26</v>
      </c>
      <c r="F212" t="s">
        <v>44</v>
      </c>
      <c r="G212" t="s">
        <v>34</v>
      </c>
      <c r="H212">
        <v>0.48480662983425399</v>
      </c>
      <c r="I212">
        <v>0.82758620689655205</v>
      </c>
    </row>
    <row r="213" spans="1:9" x14ac:dyDescent="0.3">
      <c r="A213" t="s">
        <v>241</v>
      </c>
      <c r="B213" s="2">
        <v>5.2225451388888885E-2</v>
      </c>
      <c r="C213" s="2">
        <v>5.2213877314814812E-2</v>
      </c>
      <c r="D213" s="2">
        <v>5.2225451388888885E-2</v>
      </c>
      <c r="E213" t="s">
        <v>26</v>
      </c>
      <c r="F213" t="s">
        <v>67</v>
      </c>
      <c r="G213" t="s">
        <v>28</v>
      </c>
      <c r="H213">
        <v>0.205801104972376</v>
      </c>
      <c r="I213">
        <v>0.84482758620689702</v>
      </c>
    </row>
    <row r="214" spans="1:9" x14ac:dyDescent="0.3">
      <c r="A214" t="s">
        <v>242</v>
      </c>
      <c r="B214" s="2">
        <v>5.2254976851851855E-2</v>
      </c>
      <c r="C214" s="2">
        <v>5.2243402777777781E-2</v>
      </c>
      <c r="D214" s="2">
        <v>5.2254976851851855E-2</v>
      </c>
      <c r="E214" t="s">
        <v>26</v>
      </c>
      <c r="F214" t="s">
        <v>198</v>
      </c>
      <c r="G214" t="s">
        <v>28</v>
      </c>
      <c r="H214">
        <v>0.23342541436464101</v>
      </c>
      <c r="I214">
        <v>0.68965517241379293</v>
      </c>
    </row>
    <row r="215" spans="1:9" x14ac:dyDescent="0.3">
      <c r="A215" t="s">
        <v>243</v>
      </c>
      <c r="B215" s="2">
        <v>5.2396828703703706E-2</v>
      </c>
      <c r="C215" s="2">
        <v>5.2385254629629632E-2</v>
      </c>
      <c r="D215" s="2">
        <v>5.2396828703703706E-2</v>
      </c>
      <c r="E215" t="s">
        <v>26</v>
      </c>
      <c r="F215" t="s">
        <v>32</v>
      </c>
      <c r="G215" t="s">
        <v>28</v>
      </c>
      <c r="H215">
        <v>0.76104972375690605</v>
      </c>
      <c r="I215">
        <v>0.53879310344827602</v>
      </c>
    </row>
    <row r="216" spans="1:9" x14ac:dyDescent="0.3">
      <c r="A216" t="s">
        <v>244</v>
      </c>
      <c r="B216" s="2">
        <v>5.2418738425925926E-2</v>
      </c>
      <c r="C216" s="2">
        <v>5.2407164351851852E-2</v>
      </c>
      <c r="D216" s="2">
        <v>5.2418738425925926E-2</v>
      </c>
      <c r="E216" t="s">
        <v>26</v>
      </c>
      <c r="F216" t="s">
        <v>198</v>
      </c>
      <c r="G216" t="s">
        <v>28</v>
      </c>
      <c r="H216">
        <v>0.68646408839779005</v>
      </c>
      <c r="I216">
        <v>0.34482758620689602</v>
      </c>
    </row>
    <row r="217" spans="1:9" x14ac:dyDescent="0.3">
      <c r="A217" t="s">
        <v>245</v>
      </c>
      <c r="B217" s="2">
        <v>5.2476504629629626E-2</v>
      </c>
      <c r="C217" s="2">
        <v>5.2464930555555553E-2</v>
      </c>
      <c r="D217" s="2">
        <v>5.2476504629629626E-2</v>
      </c>
      <c r="E217" t="s">
        <v>26</v>
      </c>
      <c r="F217" t="s">
        <v>58</v>
      </c>
      <c r="G217" t="s">
        <v>28</v>
      </c>
      <c r="H217">
        <v>0.87983425414364602</v>
      </c>
      <c r="I217">
        <v>5.1724137931034031E-2</v>
      </c>
    </row>
    <row r="218" spans="1:9" x14ac:dyDescent="0.3">
      <c r="A218" t="s">
        <v>246</v>
      </c>
      <c r="B218" s="2">
        <v>5.2514583333333337E-2</v>
      </c>
      <c r="C218" s="2">
        <v>5.2503009259259256E-2</v>
      </c>
      <c r="D218" s="2">
        <v>5.2514583333333337E-2</v>
      </c>
      <c r="E218" t="s">
        <v>26</v>
      </c>
      <c r="F218" t="s">
        <v>51</v>
      </c>
      <c r="G218" t="s">
        <v>28</v>
      </c>
      <c r="H218">
        <v>0.78038674033149202</v>
      </c>
      <c r="I218">
        <v>3.4482758620689946E-2</v>
      </c>
    </row>
    <row r="219" spans="1:9" x14ac:dyDescent="0.3">
      <c r="A219" t="s">
        <v>247</v>
      </c>
      <c r="B219" s="2">
        <v>5.2543668981481481E-2</v>
      </c>
      <c r="C219" s="2">
        <v>5.2532094907407408E-2</v>
      </c>
      <c r="D219" s="2">
        <v>5.2543668981481481E-2</v>
      </c>
      <c r="E219" t="s">
        <v>26</v>
      </c>
      <c r="F219" t="s">
        <v>38</v>
      </c>
      <c r="G219" t="s">
        <v>28</v>
      </c>
      <c r="H219">
        <v>0.67817679558011001</v>
      </c>
      <c r="I219">
        <v>0.12931034482758597</v>
      </c>
    </row>
    <row r="220" spans="1:9" x14ac:dyDescent="0.3">
      <c r="A220" t="s">
        <v>248</v>
      </c>
      <c r="B220" s="2">
        <v>5.2557627314814816E-2</v>
      </c>
      <c r="C220" s="2">
        <v>5.2546053240740742E-2</v>
      </c>
      <c r="D220" s="2">
        <v>5.2557627314814816E-2</v>
      </c>
      <c r="E220" t="s">
        <v>26</v>
      </c>
      <c r="F220" t="s">
        <v>58</v>
      </c>
      <c r="G220" t="s">
        <v>28</v>
      </c>
      <c r="H220">
        <v>0.84116022099447496</v>
      </c>
      <c r="I220">
        <v>2.155172413793105E-2</v>
      </c>
    </row>
    <row r="221" spans="1:9" x14ac:dyDescent="0.3">
      <c r="A221" t="s">
        <v>249</v>
      </c>
      <c r="B221" s="2">
        <v>5.2572326388888889E-2</v>
      </c>
      <c r="C221" s="2">
        <v>5.2560752314814815E-2</v>
      </c>
      <c r="D221" s="2">
        <v>5.2572326388888889E-2</v>
      </c>
      <c r="E221" t="s">
        <v>26</v>
      </c>
      <c r="F221" t="s">
        <v>38</v>
      </c>
      <c r="G221" t="s">
        <v>28</v>
      </c>
      <c r="H221">
        <v>0.77209944751381199</v>
      </c>
      <c r="I221">
        <v>0.22844827586206895</v>
      </c>
    </row>
    <row r="222" spans="1:9" x14ac:dyDescent="0.3">
      <c r="A222" t="s">
        <v>250</v>
      </c>
      <c r="B222" s="2">
        <v>5.2580925925925927E-2</v>
      </c>
      <c r="C222" s="2">
        <v>5.2569351851851853E-2</v>
      </c>
      <c r="D222" s="2">
        <v>5.2580925925925927E-2</v>
      </c>
      <c r="E222" t="s">
        <v>26</v>
      </c>
      <c r="F222" t="s">
        <v>42</v>
      </c>
      <c r="G222" t="s">
        <v>28</v>
      </c>
      <c r="H222">
        <v>0.83287292817679603</v>
      </c>
      <c r="I222">
        <v>0.26724137931034497</v>
      </c>
    </row>
    <row r="223" spans="1:9" x14ac:dyDescent="0.3">
      <c r="A223" t="s">
        <v>251</v>
      </c>
      <c r="B223" s="2">
        <v>5.2601111111111112E-2</v>
      </c>
      <c r="C223" s="2">
        <v>5.2589537037037039E-2</v>
      </c>
      <c r="D223" s="2">
        <v>5.2601111111111112E-2</v>
      </c>
      <c r="E223" t="s">
        <v>26</v>
      </c>
      <c r="F223" t="s">
        <v>38</v>
      </c>
      <c r="G223" t="s">
        <v>28</v>
      </c>
      <c r="H223">
        <v>0.76933701657458597</v>
      </c>
      <c r="I223">
        <v>0.34913793103448298</v>
      </c>
    </row>
    <row r="224" spans="1:9" x14ac:dyDescent="0.3">
      <c r="A224" t="s">
        <v>252</v>
      </c>
      <c r="B224" s="2">
        <v>5.2621666666666664E-2</v>
      </c>
      <c r="C224" s="2">
        <v>5.261009259259259E-2</v>
      </c>
      <c r="D224" s="2">
        <v>5.2621666666666664E-2</v>
      </c>
      <c r="E224" t="s">
        <v>26</v>
      </c>
      <c r="F224" t="s">
        <v>44</v>
      </c>
      <c r="G224" t="s">
        <v>34</v>
      </c>
      <c r="H224">
        <v>0.78038674033149202</v>
      </c>
      <c r="I224">
        <v>0.61637931034482807</v>
      </c>
    </row>
    <row r="225" spans="1:9" x14ac:dyDescent="0.3">
      <c r="A225" t="s">
        <v>253</v>
      </c>
      <c r="B225" s="2">
        <v>5.2703680555555556E-2</v>
      </c>
      <c r="C225" s="2">
        <v>5.2692106481481482E-2</v>
      </c>
      <c r="D225" s="2">
        <v>5.2703680555555556E-2</v>
      </c>
      <c r="E225" t="s">
        <v>26</v>
      </c>
      <c r="F225" t="s">
        <v>46</v>
      </c>
      <c r="G225" t="s">
        <v>28</v>
      </c>
      <c r="H225">
        <v>0.64779005524861899</v>
      </c>
      <c r="I225">
        <v>0.73706896551724099</v>
      </c>
    </row>
    <row r="226" spans="1:9" x14ac:dyDescent="0.3">
      <c r="A226" t="s">
        <v>254</v>
      </c>
      <c r="B226" s="2">
        <v>5.2713310185185186E-2</v>
      </c>
      <c r="C226" s="2">
        <v>5.2701736111111112E-2</v>
      </c>
      <c r="D226" s="2">
        <v>5.2713310185185186E-2</v>
      </c>
      <c r="E226" t="s">
        <v>26</v>
      </c>
      <c r="F226" t="s">
        <v>67</v>
      </c>
      <c r="G226" t="s">
        <v>34</v>
      </c>
      <c r="H226">
        <v>0.78314917127071804</v>
      </c>
      <c r="I226">
        <v>0.86637931034482807</v>
      </c>
    </row>
    <row r="227" spans="1:9" x14ac:dyDescent="0.3">
      <c r="A227" t="s">
        <v>255</v>
      </c>
      <c r="B227" s="2">
        <v>5.2863773148148149E-2</v>
      </c>
      <c r="C227" s="2">
        <v>5.2852199074074076E-2</v>
      </c>
      <c r="D227" s="2">
        <v>5.2863773148148149E-2</v>
      </c>
      <c r="E227" t="s">
        <v>26</v>
      </c>
      <c r="F227" t="s">
        <v>40</v>
      </c>
      <c r="G227" t="s">
        <v>28</v>
      </c>
      <c r="H227">
        <v>0.45718232044198898</v>
      </c>
      <c r="I227">
        <v>0.82327586206896497</v>
      </c>
    </row>
    <row r="228" spans="1:9" x14ac:dyDescent="0.3">
      <c r="A228" t="s">
        <v>256</v>
      </c>
      <c r="B228" s="2">
        <v>5.3322037037037036E-2</v>
      </c>
      <c r="C228" s="2">
        <v>5.3310462962962962E-2</v>
      </c>
      <c r="D228" s="2">
        <v>5.3322037037037036E-2</v>
      </c>
      <c r="E228" t="s">
        <v>26</v>
      </c>
      <c r="F228" t="s">
        <v>51</v>
      </c>
      <c r="G228" t="s">
        <v>34</v>
      </c>
      <c r="H228">
        <v>0.32182320441988899</v>
      </c>
      <c r="I228">
        <v>0.34482758620689602</v>
      </c>
    </row>
    <row r="229" spans="1:9" x14ac:dyDescent="0.3">
      <c r="A229" t="s">
        <v>257</v>
      </c>
      <c r="B229" s="2">
        <v>5.4130567129629631E-2</v>
      </c>
      <c r="C229" s="2">
        <v>5.4118993055555557E-2</v>
      </c>
      <c r="D229" s="2">
        <v>5.4130567129629631E-2</v>
      </c>
      <c r="E229" t="s">
        <v>26</v>
      </c>
      <c r="F229" t="s">
        <v>58</v>
      </c>
      <c r="G229" t="s">
        <v>34</v>
      </c>
      <c r="H229">
        <v>0.27762430939226501</v>
      </c>
      <c r="I229">
        <v>8.6206896551720424E-3</v>
      </c>
    </row>
    <row r="230" spans="1:9" x14ac:dyDescent="0.3">
      <c r="A230" t="s">
        <v>258</v>
      </c>
      <c r="B230" s="2">
        <v>5.4621956018518519E-2</v>
      </c>
      <c r="C230" s="2">
        <v>5.4610381944444446E-2</v>
      </c>
      <c r="D230" s="2">
        <v>5.4621956018518519E-2</v>
      </c>
      <c r="E230" t="s">
        <v>26</v>
      </c>
      <c r="F230" t="s">
        <v>51</v>
      </c>
      <c r="G230" t="s">
        <v>28</v>
      </c>
      <c r="H230">
        <v>0.78867403314917095</v>
      </c>
      <c r="I230">
        <v>4.7413793103447954E-2</v>
      </c>
    </row>
    <row r="231" spans="1:9" x14ac:dyDescent="0.3">
      <c r="A231" t="s">
        <v>259</v>
      </c>
      <c r="B231" s="2">
        <v>5.6309039351851851E-2</v>
      </c>
      <c r="C231" s="2">
        <v>5.6297465277777778E-2</v>
      </c>
      <c r="D231" s="2">
        <v>5.6309039351851851E-2</v>
      </c>
      <c r="E231" t="s">
        <v>26</v>
      </c>
      <c r="F231" t="s">
        <v>198</v>
      </c>
      <c r="G231" t="s">
        <v>34</v>
      </c>
      <c r="H231">
        <v>0.55662983425414403</v>
      </c>
      <c r="I231">
        <v>0.71551724137931005</v>
      </c>
    </row>
    <row r="232" spans="1:9" x14ac:dyDescent="0.3">
      <c r="A232" t="s">
        <v>260</v>
      </c>
      <c r="B232" s="2">
        <v>5.6459641203703705E-2</v>
      </c>
      <c r="C232" s="2">
        <v>5.6448067129629631E-2</v>
      </c>
      <c r="D232" s="2">
        <v>5.6459641203703705E-2</v>
      </c>
      <c r="E232" t="s">
        <v>26</v>
      </c>
      <c r="F232" t="s">
        <v>44</v>
      </c>
      <c r="G232" t="s">
        <v>28</v>
      </c>
      <c r="H232">
        <v>0.412983425414365</v>
      </c>
      <c r="I232">
        <v>0.90517241379310343</v>
      </c>
    </row>
    <row r="233" spans="1:9" x14ac:dyDescent="0.3">
      <c r="A233" t="s">
        <v>261</v>
      </c>
      <c r="B233" s="2">
        <v>5.6980509259259259E-2</v>
      </c>
      <c r="C233" s="2">
        <v>5.6968935185185185E-2</v>
      </c>
      <c r="D233" s="2">
        <v>5.6980509259259259E-2</v>
      </c>
      <c r="E233" t="s">
        <v>26</v>
      </c>
      <c r="F233" t="s">
        <v>44</v>
      </c>
      <c r="G233" t="s">
        <v>28</v>
      </c>
      <c r="H233">
        <v>0.180939226519337</v>
      </c>
      <c r="I233">
        <v>0.625</v>
      </c>
    </row>
    <row r="234" spans="1:9" x14ac:dyDescent="0.3">
      <c r="A234" t="s">
        <v>262</v>
      </c>
      <c r="B234" s="2">
        <v>5.8003576388888888E-2</v>
      </c>
      <c r="C234" s="2">
        <v>5.7992002314814814E-2</v>
      </c>
      <c r="D234" s="2">
        <v>5.8003576388888888E-2</v>
      </c>
      <c r="E234" t="s">
        <v>26</v>
      </c>
      <c r="F234" t="s">
        <v>44</v>
      </c>
      <c r="G234" t="s">
        <v>28</v>
      </c>
      <c r="H234">
        <v>0.98756906077348094</v>
      </c>
      <c r="I234">
        <v>0.99568965517241381</v>
      </c>
    </row>
    <row r="235" spans="1:9" x14ac:dyDescent="0.3">
      <c r="A235" t="s">
        <v>263</v>
      </c>
      <c r="B235" s="2">
        <v>5.8710393518518519E-2</v>
      </c>
      <c r="C235" s="2">
        <v>5.8698819444444446E-2</v>
      </c>
      <c r="D235" s="2">
        <v>5.8710393518518519E-2</v>
      </c>
      <c r="E235" t="s">
        <v>26</v>
      </c>
      <c r="F235" t="s">
        <v>264</v>
      </c>
      <c r="G235" t="s">
        <v>28</v>
      </c>
      <c r="H235">
        <v>0.98756906077348094</v>
      </c>
      <c r="I235">
        <v>0.99568965517241381</v>
      </c>
    </row>
    <row r="236" spans="1:9" x14ac:dyDescent="0.3">
      <c r="A236" t="s">
        <v>265</v>
      </c>
      <c r="B236" s="2">
        <v>5.9075844907407409E-2</v>
      </c>
      <c r="C236" s="2">
        <v>5.9064270833333335E-2</v>
      </c>
      <c r="D236" s="2">
        <v>5.9075844907407409E-2</v>
      </c>
      <c r="E236" t="s">
        <v>26</v>
      </c>
      <c r="F236" t="s">
        <v>38</v>
      </c>
      <c r="G236" t="s">
        <v>28</v>
      </c>
      <c r="H236">
        <v>0.874309392265193</v>
      </c>
      <c r="I236">
        <v>0.10344827586206895</v>
      </c>
    </row>
    <row r="237" spans="1:9" x14ac:dyDescent="0.3">
      <c r="A237" t="s">
        <v>266</v>
      </c>
      <c r="B237" s="2">
        <v>5.9089398148148148E-2</v>
      </c>
      <c r="C237" s="2">
        <v>5.9077824074074074E-2</v>
      </c>
      <c r="D237" s="2">
        <v>5.9089398148148148E-2</v>
      </c>
      <c r="E237" t="s">
        <v>26</v>
      </c>
      <c r="F237" t="s">
        <v>51</v>
      </c>
      <c r="G237" t="s">
        <v>28</v>
      </c>
      <c r="H237">
        <v>0.78314917127071804</v>
      </c>
      <c r="I237">
        <v>9.482758620689602E-2</v>
      </c>
    </row>
    <row r="238" spans="1:9" x14ac:dyDescent="0.3">
      <c r="A238" t="s">
        <v>267</v>
      </c>
      <c r="B238" s="2">
        <v>5.9117291666666669E-2</v>
      </c>
      <c r="C238" s="2">
        <v>5.9105717592592595E-2</v>
      </c>
      <c r="D238" s="2">
        <v>5.9117291666666669E-2</v>
      </c>
      <c r="E238" t="s">
        <v>26</v>
      </c>
      <c r="F238" t="s">
        <v>40</v>
      </c>
      <c r="G238" t="s">
        <v>28</v>
      </c>
      <c r="H238">
        <v>0.83011049723756902</v>
      </c>
      <c r="I238">
        <v>0.27155172413793105</v>
      </c>
    </row>
    <row r="239" spans="1:9" x14ac:dyDescent="0.3">
      <c r="A239" t="s">
        <v>268</v>
      </c>
      <c r="B239" s="2">
        <v>5.9440173611111112E-2</v>
      </c>
      <c r="C239" s="2">
        <v>5.9428599537037038E-2</v>
      </c>
      <c r="D239" s="2">
        <v>5.9440173611111112E-2</v>
      </c>
      <c r="E239" t="s">
        <v>26</v>
      </c>
      <c r="F239" t="s">
        <v>198</v>
      </c>
      <c r="G239" t="s">
        <v>34</v>
      </c>
      <c r="H239">
        <v>0.58425414364640904</v>
      </c>
      <c r="I239">
        <v>0.26724137931034497</v>
      </c>
    </row>
    <row r="240" spans="1:9" x14ac:dyDescent="0.3">
      <c r="A240" t="s">
        <v>269</v>
      </c>
      <c r="B240" s="2">
        <v>5.9646550925925926E-2</v>
      </c>
      <c r="C240" s="2">
        <v>5.9634976851851852E-2</v>
      </c>
      <c r="D240" s="2">
        <v>5.9646550925925926E-2</v>
      </c>
      <c r="E240" t="s">
        <v>26</v>
      </c>
      <c r="F240" t="s">
        <v>38</v>
      </c>
      <c r="G240" t="s">
        <v>28</v>
      </c>
      <c r="H240">
        <v>0.68922651933701695</v>
      </c>
      <c r="I240">
        <v>2.155172413793105E-2</v>
      </c>
    </row>
    <row r="241" spans="1:9" x14ac:dyDescent="0.3">
      <c r="A241" t="s">
        <v>269</v>
      </c>
      <c r="B241" s="2">
        <v>5.9673819444444443E-2</v>
      </c>
      <c r="C241" s="2">
        <v>5.9662245370370369E-2</v>
      </c>
      <c r="D241" s="2">
        <v>5.9673819444444443E-2</v>
      </c>
      <c r="E241" t="s">
        <v>26</v>
      </c>
      <c r="F241" t="s">
        <v>58</v>
      </c>
      <c r="G241" t="s">
        <v>28</v>
      </c>
      <c r="H241">
        <v>0.650552486187845</v>
      </c>
      <c r="I241">
        <v>3.0172413793102981E-2</v>
      </c>
    </row>
    <row r="242" spans="1:9" x14ac:dyDescent="0.3">
      <c r="A242" t="s">
        <v>270</v>
      </c>
      <c r="B242" s="2">
        <v>5.9853067129629629E-2</v>
      </c>
      <c r="C242" s="2">
        <v>5.9841493055555556E-2</v>
      </c>
      <c r="D242" s="2">
        <v>5.9853067129629629E-2</v>
      </c>
      <c r="E242" t="s">
        <v>26</v>
      </c>
      <c r="F242" t="s">
        <v>44</v>
      </c>
      <c r="G242" t="s">
        <v>28</v>
      </c>
      <c r="H242">
        <v>0.56491712707182296</v>
      </c>
      <c r="I242">
        <v>0.39655172413793105</v>
      </c>
    </row>
    <row r="243" spans="1:9" x14ac:dyDescent="0.3">
      <c r="A243" t="s">
        <v>271</v>
      </c>
      <c r="B243" s="2">
        <v>5.9880578703703703E-2</v>
      </c>
      <c r="C243" s="2">
        <v>5.986900462962963E-2</v>
      </c>
      <c r="D243" s="2">
        <v>5.9880578703703703E-2</v>
      </c>
      <c r="E243" t="s">
        <v>26</v>
      </c>
      <c r="F243" t="s">
        <v>40</v>
      </c>
      <c r="G243" t="s">
        <v>28</v>
      </c>
      <c r="H243">
        <v>0.49861878453038699</v>
      </c>
      <c r="I243">
        <v>0.34913793103448298</v>
      </c>
    </row>
    <row r="244" spans="1:9" x14ac:dyDescent="0.3">
      <c r="A244" t="s">
        <v>272</v>
      </c>
      <c r="B244" s="2">
        <v>5.9898993055555558E-2</v>
      </c>
      <c r="C244" s="2">
        <v>5.9887418981481484E-2</v>
      </c>
      <c r="D244" s="2">
        <v>5.9898993055555558E-2</v>
      </c>
      <c r="E244" t="s">
        <v>26</v>
      </c>
      <c r="F244" t="s">
        <v>198</v>
      </c>
      <c r="G244" t="s">
        <v>28</v>
      </c>
      <c r="H244">
        <v>0.57320441988950299</v>
      </c>
      <c r="I244">
        <v>0.38362068965517204</v>
      </c>
    </row>
    <row r="245" spans="1:9" x14ac:dyDescent="0.3">
      <c r="A245" t="s">
        <v>273</v>
      </c>
      <c r="B245" s="2">
        <v>5.9906643518518515E-2</v>
      </c>
      <c r="C245" s="2">
        <v>5.9895069444444442E-2</v>
      </c>
      <c r="D245" s="2">
        <v>5.9906643518518515E-2</v>
      </c>
      <c r="E245" t="s">
        <v>26</v>
      </c>
      <c r="F245" t="s">
        <v>44</v>
      </c>
      <c r="G245" t="s">
        <v>28</v>
      </c>
      <c r="H245">
        <v>0.56767955801104997</v>
      </c>
      <c r="I245">
        <v>0.46120689655172398</v>
      </c>
    </row>
    <row r="246" spans="1:9" x14ac:dyDescent="0.3">
      <c r="A246" t="s">
        <v>274</v>
      </c>
      <c r="B246" s="2">
        <v>6.0276331018518516E-2</v>
      </c>
      <c r="C246" s="2">
        <v>6.0264756944444442E-2</v>
      </c>
      <c r="D246" s="2">
        <v>6.0276331018518516E-2</v>
      </c>
      <c r="E246" t="s">
        <v>26</v>
      </c>
      <c r="F246" t="s">
        <v>67</v>
      </c>
      <c r="G246" t="s">
        <v>34</v>
      </c>
      <c r="H246">
        <v>0.47928176795580102</v>
      </c>
      <c r="I246">
        <v>0.83620689655172398</v>
      </c>
    </row>
    <row r="247" spans="1:9" x14ac:dyDescent="0.3">
      <c r="A247" t="s">
        <v>275</v>
      </c>
      <c r="B247" s="2">
        <v>6.1371944444444444E-2</v>
      </c>
      <c r="C247" s="2">
        <v>6.1360370370370371E-2</v>
      </c>
      <c r="D247" s="2">
        <v>6.1371944444444444E-2</v>
      </c>
      <c r="E247" t="s">
        <v>26</v>
      </c>
      <c r="F247" t="s">
        <v>27</v>
      </c>
      <c r="G247" t="s">
        <v>28</v>
      </c>
      <c r="H247">
        <v>5.1104972375690602E-2</v>
      </c>
      <c r="I247">
        <v>0.48706896551724099</v>
      </c>
    </row>
    <row r="248" spans="1:9" x14ac:dyDescent="0.3">
      <c r="A248" t="s">
        <v>276</v>
      </c>
      <c r="B248" s="2">
        <v>6.218238425925926E-2</v>
      </c>
      <c r="C248" s="2">
        <v>6.2170810185185187E-2</v>
      </c>
      <c r="D248" s="2">
        <v>6.218238425925926E-2</v>
      </c>
      <c r="E248" t="s">
        <v>26</v>
      </c>
      <c r="F248" t="s">
        <v>40</v>
      </c>
      <c r="G248" t="s">
        <v>28</v>
      </c>
      <c r="H248">
        <v>0.98480662983425404</v>
      </c>
      <c r="I248">
        <v>0.87931034482758597</v>
      </c>
    </row>
    <row r="249" spans="1:9" x14ac:dyDescent="0.3">
      <c r="A249" t="s">
        <v>277</v>
      </c>
      <c r="B249" s="2">
        <v>6.2761458333333339E-2</v>
      </c>
      <c r="C249" s="2">
        <v>6.2749884259259259E-2</v>
      </c>
      <c r="D249" s="2">
        <v>6.2761458333333339E-2</v>
      </c>
      <c r="E249" t="s">
        <v>26</v>
      </c>
      <c r="F249" t="s">
        <v>40</v>
      </c>
      <c r="G249" t="s">
        <v>28</v>
      </c>
      <c r="H249">
        <v>0.14226519337016599</v>
      </c>
      <c r="I249">
        <v>0.48706896551724099</v>
      </c>
    </row>
    <row r="250" spans="1:9" x14ac:dyDescent="0.3">
      <c r="A250" t="s">
        <v>278</v>
      </c>
      <c r="B250" s="2">
        <v>6.2771585648148151E-2</v>
      </c>
      <c r="C250" s="2">
        <v>6.276001157407407E-2</v>
      </c>
      <c r="D250" s="2">
        <v>6.2771585648148151E-2</v>
      </c>
      <c r="E250" t="s">
        <v>26</v>
      </c>
      <c r="F250" t="s">
        <v>198</v>
      </c>
      <c r="G250" t="s">
        <v>28</v>
      </c>
      <c r="H250">
        <v>0.22237569060773499</v>
      </c>
      <c r="I250">
        <v>0.64224137931034497</v>
      </c>
    </row>
    <row r="251" spans="1:9" x14ac:dyDescent="0.3">
      <c r="A251" t="s">
        <v>279</v>
      </c>
      <c r="B251" s="2">
        <v>6.2809108796296295E-2</v>
      </c>
      <c r="C251" s="2">
        <v>6.2797534722222229E-2</v>
      </c>
      <c r="D251" s="2">
        <v>6.2809108796296295E-2</v>
      </c>
      <c r="E251" t="s">
        <v>26</v>
      </c>
      <c r="F251" t="s">
        <v>44</v>
      </c>
      <c r="G251" t="s">
        <v>28</v>
      </c>
      <c r="H251">
        <v>0.30801104972375698</v>
      </c>
      <c r="I251">
        <v>0.78448275862068995</v>
      </c>
    </row>
    <row r="252" spans="1:9" x14ac:dyDescent="0.3">
      <c r="A252" t="s">
        <v>280</v>
      </c>
      <c r="B252" s="2">
        <v>6.2828877314814818E-2</v>
      </c>
      <c r="C252" s="2">
        <v>6.2817303240740738E-2</v>
      </c>
      <c r="D252" s="2">
        <v>6.2828877314814818E-2</v>
      </c>
      <c r="E252" t="s">
        <v>26</v>
      </c>
      <c r="F252" t="s">
        <v>198</v>
      </c>
      <c r="G252" t="s">
        <v>34</v>
      </c>
      <c r="H252">
        <v>0.41850828729281803</v>
      </c>
      <c r="I252">
        <v>0.71120689655172398</v>
      </c>
    </row>
    <row r="253" spans="1:9" x14ac:dyDescent="0.3">
      <c r="A253" t="s">
        <v>281</v>
      </c>
      <c r="B253" s="2">
        <v>6.2978530092592591E-2</v>
      </c>
      <c r="C253" s="2">
        <v>6.2966956018518525E-2</v>
      </c>
      <c r="D253" s="2">
        <v>6.2978530092592591E-2</v>
      </c>
      <c r="E253" t="s">
        <v>26</v>
      </c>
      <c r="F253" t="s">
        <v>46</v>
      </c>
      <c r="G253" t="s">
        <v>34</v>
      </c>
      <c r="H253">
        <v>0.15883977900552501</v>
      </c>
      <c r="I253">
        <v>0.93103448275862066</v>
      </c>
    </row>
    <row r="254" spans="1:9" x14ac:dyDescent="0.3">
      <c r="A254" t="s">
        <v>282</v>
      </c>
      <c r="B254" s="2">
        <v>6.4869016203703708E-2</v>
      </c>
      <c r="C254" s="2">
        <v>6.4857442129629628E-2</v>
      </c>
      <c r="D254" s="2">
        <v>6.4869016203703708E-2</v>
      </c>
      <c r="E254" t="s">
        <v>26</v>
      </c>
      <c r="F254" t="s">
        <v>40</v>
      </c>
      <c r="G254" t="s">
        <v>28</v>
      </c>
      <c r="H254">
        <v>0.88812154696132595</v>
      </c>
      <c r="I254">
        <v>0.431034482758621</v>
      </c>
    </row>
    <row r="255" spans="1:9" x14ac:dyDescent="0.3">
      <c r="A255" t="s">
        <v>283</v>
      </c>
      <c r="B255" s="2">
        <v>6.4891828703703705E-2</v>
      </c>
      <c r="C255" s="2">
        <v>6.4880254629629625E-2</v>
      </c>
      <c r="D255" s="2">
        <v>6.4891828703703705E-2</v>
      </c>
      <c r="E255" t="s">
        <v>26</v>
      </c>
      <c r="F255" t="s">
        <v>38</v>
      </c>
      <c r="G255" t="s">
        <v>28</v>
      </c>
      <c r="H255">
        <v>0.93784530386740295</v>
      </c>
      <c r="I255">
        <v>0.43965517241379304</v>
      </c>
    </row>
    <row r="256" spans="1:9" x14ac:dyDescent="0.3">
      <c r="A256" t="s">
        <v>284</v>
      </c>
      <c r="B256" s="2">
        <v>6.5272094907407402E-2</v>
      </c>
      <c r="C256" s="2">
        <v>6.5260520833333335E-2</v>
      </c>
      <c r="D256" s="2">
        <v>6.5272094907407402E-2</v>
      </c>
      <c r="E256" t="s">
        <v>26</v>
      </c>
      <c r="F256" t="s">
        <v>264</v>
      </c>
      <c r="G256" t="s">
        <v>28</v>
      </c>
      <c r="H256">
        <v>0.106353591160221</v>
      </c>
      <c r="I256">
        <v>0.65086206896551702</v>
      </c>
    </row>
    <row r="257" spans="1:9" x14ac:dyDescent="0.3">
      <c r="A257" t="s">
        <v>285</v>
      </c>
      <c r="B257" s="2">
        <v>6.5301145833333338E-2</v>
      </c>
      <c r="C257" s="2">
        <v>6.5289571759259257E-2</v>
      </c>
      <c r="D257" s="2">
        <v>6.5301145833333338E-2</v>
      </c>
      <c r="E257" t="s">
        <v>26</v>
      </c>
      <c r="F257" t="s">
        <v>44</v>
      </c>
      <c r="G257" t="s">
        <v>28</v>
      </c>
      <c r="H257">
        <v>0.125690607734807</v>
      </c>
      <c r="I257">
        <v>0.84051724137931005</v>
      </c>
    </row>
    <row r="258" spans="1:9" x14ac:dyDescent="0.3">
      <c r="A258" t="s">
        <v>286</v>
      </c>
      <c r="B258" s="2">
        <v>6.6045983796296295E-2</v>
      </c>
      <c r="C258" s="2">
        <v>6.6034409722222229E-2</v>
      </c>
      <c r="D258" s="2">
        <v>6.6045983796296295E-2</v>
      </c>
      <c r="E258" t="s">
        <v>26</v>
      </c>
      <c r="F258" t="s">
        <v>38</v>
      </c>
      <c r="G258" t="s">
        <v>34</v>
      </c>
      <c r="H258">
        <v>0.324585635359116</v>
      </c>
      <c r="I258">
        <v>0.97413793103448276</v>
      </c>
    </row>
    <row r="259" spans="1:9" x14ac:dyDescent="0.3">
      <c r="A259" t="s">
        <v>287</v>
      </c>
      <c r="B259" s="2">
        <v>6.6145266203703701E-2</v>
      </c>
      <c r="C259" s="2">
        <v>6.6133692129629634E-2</v>
      </c>
      <c r="D259" s="2">
        <v>6.6145266203703701E-2</v>
      </c>
      <c r="E259" t="s">
        <v>26</v>
      </c>
      <c r="F259" t="s">
        <v>44</v>
      </c>
      <c r="G259" t="s">
        <v>34</v>
      </c>
      <c r="H259">
        <v>0.30248618784530401</v>
      </c>
      <c r="I259">
        <v>0.87068965517241403</v>
      </c>
    </row>
    <row r="260" spans="1:9" x14ac:dyDescent="0.3">
      <c r="A260" t="s">
        <v>288</v>
      </c>
      <c r="B260" s="2">
        <v>6.6497187499999999E-2</v>
      </c>
      <c r="C260" s="2">
        <v>6.6485613425925932E-2</v>
      </c>
      <c r="D260" s="2">
        <v>6.6497187499999999E-2</v>
      </c>
      <c r="E260" t="s">
        <v>26</v>
      </c>
      <c r="F260" t="s">
        <v>51</v>
      </c>
      <c r="G260" t="s">
        <v>34</v>
      </c>
      <c r="H260">
        <v>0.73895027624309395</v>
      </c>
      <c r="I260">
        <v>0.84913793103448298</v>
      </c>
    </row>
    <row r="261" spans="1:9" x14ac:dyDescent="0.3">
      <c r="A261" t="s">
        <v>289</v>
      </c>
      <c r="B261" s="2">
        <v>6.6629583333333339E-2</v>
      </c>
      <c r="C261" s="2">
        <v>6.6618009259259259E-2</v>
      </c>
      <c r="D261" s="2">
        <v>6.6629583333333339E-2</v>
      </c>
      <c r="E261" t="s">
        <v>26</v>
      </c>
      <c r="F261" t="s">
        <v>44</v>
      </c>
      <c r="G261" t="s">
        <v>28</v>
      </c>
      <c r="H261">
        <v>0.424033149171271</v>
      </c>
      <c r="I261">
        <v>0.92241379310344829</v>
      </c>
    </row>
    <row r="262" spans="1:9" x14ac:dyDescent="0.3">
      <c r="A262" t="s">
        <v>290</v>
      </c>
      <c r="B262" s="2">
        <v>6.6640104166666672E-2</v>
      </c>
      <c r="C262" s="2">
        <v>6.6628530092592592E-2</v>
      </c>
      <c r="D262" s="2">
        <v>6.6640104166666672E-2</v>
      </c>
      <c r="E262" t="s">
        <v>26</v>
      </c>
      <c r="F262" t="s">
        <v>46</v>
      </c>
      <c r="G262" t="s">
        <v>34</v>
      </c>
      <c r="H262">
        <v>0.324585635359116</v>
      </c>
      <c r="I262">
        <v>0.86206896551724099</v>
      </c>
    </row>
    <row r="263" spans="1:9" x14ac:dyDescent="0.3">
      <c r="A263" t="s">
        <v>291</v>
      </c>
      <c r="B263" s="2">
        <v>6.6970405092592597E-2</v>
      </c>
      <c r="C263" s="2">
        <v>6.6958831018518516E-2</v>
      </c>
      <c r="D263" s="2">
        <v>6.6970405092592597E-2</v>
      </c>
      <c r="E263" t="s">
        <v>26</v>
      </c>
      <c r="F263" t="s">
        <v>32</v>
      </c>
      <c r="G263" t="s">
        <v>28</v>
      </c>
      <c r="H263">
        <v>0.74447513812154698</v>
      </c>
      <c r="I263">
        <v>0.82327586206896497</v>
      </c>
    </row>
    <row r="264" spans="1:9" x14ac:dyDescent="0.3">
      <c r="A264" t="s">
        <v>292</v>
      </c>
      <c r="B264" s="2">
        <v>6.7158946759259264E-2</v>
      </c>
      <c r="C264" s="2">
        <v>6.7147372685185183E-2</v>
      </c>
      <c r="D264" s="2">
        <v>6.7158946759259264E-2</v>
      </c>
      <c r="E264" t="s">
        <v>26</v>
      </c>
      <c r="F264" t="s">
        <v>67</v>
      </c>
      <c r="G264" t="s">
        <v>34</v>
      </c>
      <c r="H264">
        <v>0.54558011049723798</v>
      </c>
      <c r="I264">
        <v>0.94396551724137934</v>
      </c>
    </row>
    <row r="265" spans="1:9" x14ac:dyDescent="0.3">
      <c r="A265" t="s">
        <v>293</v>
      </c>
      <c r="B265" s="2">
        <v>6.7394039351851856E-2</v>
      </c>
      <c r="C265" s="2">
        <v>6.7382465277777776E-2</v>
      </c>
      <c r="D265" s="2">
        <v>6.7394039351851856E-2</v>
      </c>
      <c r="E265" t="s">
        <v>26</v>
      </c>
      <c r="F265" t="s">
        <v>198</v>
      </c>
      <c r="G265" t="s">
        <v>28</v>
      </c>
      <c r="H265">
        <v>0.161602209944751</v>
      </c>
      <c r="I265">
        <v>0.36637931034482796</v>
      </c>
    </row>
    <row r="266" spans="1:9" x14ac:dyDescent="0.3">
      <c r="A266" t="s">
        <v>294</v>
      </c>
      <c r="B266" s="2">
        <v>6.7483275462962969E-2</v>
      </c>
      <c r="C266" s="2">
        <v>6.7471701388888888E-2</v>
      </c>
      <c r="D266" s="2">
        <v>6.7483275462962969E-2</v>
      </c>
      <c r="E266" t="s">
        <v>26</v>
      </c>
      <c r="F266" t="s">
        <v>264</v>
      </c>
      <c r="G266" t="s">
        <v>28</v>
      </c>
      <c r="H266">
        <v>0.55939226519337004</v>
      </c>
      <c r="I266">
        <v>0.28017241379310298</v>
      </c>
    </row>
    <row r="267" spans="1:9" x14ac:dyDescent="0.3">
      <c r="A267" t="s">
        <v>295</v>
      </c>
      <c r="B267" s="2">
        <v>6.750430555555556E-2</v>
      </c>
      <c r="C267" s="2">
        <v>6.749273148148148E-2</v>
      </c>
      <c r="D267" s="2">
        <v>6.750430555555556E-2</v>
      </c>
      <c r="E267" t="s">
        <v>26</v>
      </c>
      <c r="F267" t="s">
        <v>58</v>
      </c>
      <c r="G267" t="s">
        <v>28</v>
      </c>
      <c r="H267">
        <v>0.69848484848484804</v>
      </c>
      <c r="I267">
        <v>0.10900473933649302</v>
      </c>
    </row>
    <row r="268" spans="1:9" x14ac:dyDescent="0.3">
      <c r="A268" t="s">
        <v>296</v>
      </c>
      <c r="B268" s="2">
        <v>6.758173611111111E-2</v>
      </c>
      <c r="C268" s="2">
        <v>6.7570162037037043E-2</v>
      </c>
      <c r="D268" s="2">
        <v>6.758173611111111E-2</v>
      </c>
      <c r="E268" t="s">
        <v>26</v>
      </c>
      <c r="F268" t="s">
        <v>38</v>
      </c>
      <c r="G268" t="s">
        <v>28</v>
      </c>
      <c r="H268">
        <v>0.75828729281768004</v>
      </c>
      <c r="I268">
        <v>0.31465517241379304</v>
      </c>
    </row>
    <row r="269" spans="1:9" x14ac:dyDescent="0.3">
      <c r="A269" t="s">
        <v>297</v>
      </c>
      <c r="B269" s="2">
        <v>6.7736886574074076E-2</v>
      </c>
      <c r="C269" s="2">
        <v>6.7725312499999996E-2</v>
      </c>
      <c r="D269" s="2">
        <v>6.7736886574074076E-2</v>
      </c>
      <c r="E269" t="s">
        <v>26</v>
      </c>
      <c r="F269" t="s">
        <v>67</v>
      </c>
      <c r="G269" t="s">
        <v>28</v>
      </c>
      <c r="H269">
        <v>0.150552486187845</v>
      </c>
      <c r="I269">
        <v>0.85775862068965503</v>
      </c>
    </row>
    <row r="270" spans="1:9" x14ac:dyDescent="0.3">
      <c r="A270" t="s">
        <v>298</v>
      </c>
      <c r="B270" s="2">
        <v>6.7760844907407414E-2</v>
      </c>
      <c r="C270" s="2">
        <v>6.7749270833333333E-2</v>
      </c>
      <c r="D270" s="2">
        <v>6.7760844907407414E-2</v>
      </c>
      <c r="E270" t="s">
        <v>26</v>
      </c>
      <c r="F270" t="s">
        <v>27</v>
      </c>
      <c r="G270" t="s">
        <v>28</v>
      </c>
      <c r="H270">
        <v>3.7292817679557999E-2</v>
      </c>
      <c r="I270">
        <v>0.70258620689655205</v>
      </c>
    </row>
    <row r="271" spans="1:9" x14ac:dyDescent="0.3">
      <c r="A271" t="s">
        <v>299</v>
      </c>
      <c r="B271" s="2">
        <v>6.7834791666666672E-2</v>
      </c>
      <c r="C271" s="2">
        <v>6.7823217592592591E-2</v>
      </c>
      <c r="D271" s="2">
        <v>6.7834791666666672E-2</v>
      </c>
      <c r="E271" t="s">
        <v>26</v>
      </c>
      <c r="F271" t="s">
        <v>46</v>
      </c>
      <c r="G271" t="s">
        <v>28</v>
      </c>
      <c r="H271">
        <v>0.36602209944751402</v>
      </c>
      <c r="I271">
        <v>0.74568965517241392</v>
      </c>
    </row>
    <row r="272" spans="1:9" x14ac:dyDescent="0.3">
      <c r="A272" t="s">
        <v>300</v>
      </c>
      <c r="B272" s="2">
        <v>6.890930555555555E-2</v>
      </c>
      <c r="C272" s="2">
        <v>6.8897731481481483E-2</v>
      </c>
      <c r="D272" s="2">
        <v>6.890930555555555E-2</v>
      </c>
      <c r="E272" t="s">
        <v>26</v>
      </c>
      <c r="F272" t="s">
        <v>46</v>
      </c>
      <c r="G272" t="s">
        <v>34</v>
      </c>
      <c r="H272">
        <v>0.56215469613259705</v>
      </c>
      <c r="I272">
        <v>0.43965517241379304</v>
      </c>
    </row>
    <row r="274" spans="1:9" ht="23.4" x14ac:dyDescent="0.45">
      <c r="A274" s="43" t="s">
        <v>301</v>
      </c>
      <c r="B274" s="44"/>
      <c r="C274" s="44"/>
      <c r="D274" s="44"/>
      <c r="G274" s="45" t="s">
        <v>15</v>
      </c>
      <c r="H274" s="45" t="s">
        <v>15</v>
      </c>
    </row>
    <row r="275" spans="1:9" x14ac:dyDescent="0.3">
      <c r="A275" s="1" t="s">
        <v>16</v>
      </c>
      <c r="B275" s="1" t="s">
        <v>17</v>
      </c>
      <c r="C275" s="1" t="s">
        <v>18</v>
      </c>
      <c r="D275" s="1" t="s">
        <v>19</v>
      </c>
      <c r="E275" s="1" t="s">
        <v>20</v>
      </c>
      <c r="F275" s="1" t="s">
        <v>21</v>
      </c>
      <c r="G275" s="1" t="s">
        <v>23</v>
      </c>
      <c r="H275" s="1" t="s">
        <v>24</v>
      </c>
      <c r="I275" s="1"/>
    </row>
    <row r="276" spans="1:9" x14ac:dyDescent="0.3">
      <c r="A276" t="s">
        <v>302</v>
      </c>
      <c r="B276" s="2">
        <v>1.4779976851851853E-3</v>
      </c>
      <c r="C276" s="2">
        <v>1.4664236111111111E-3</v>
      </c>
      <c r="D276" s="2">
        <v>1.4779976851851853E-3</v>
      </c>
      <c r="E276" t="s">
        <v>26</v>
      </c>
      <c r="F276" t="s">
        <v>30</v>
      </c>
      <c r="G276">
        <v>0.316137566137566</v>
      </c>
      <c r="H276">
        <v>0.28925619834710703</v>
      </c>
    </row>
    <row r="277" spans="1:9" x14ac:dyDescent="0.3">
      <c r="A277" t="s">
        <v>303</v>
      </c>
      <c r="B277" s="2">
        <v>2.4354513888888889E-3</v>
      </c>
      <c r="C277" s="2">
        <v>2.4238773148148149E-3</v>
      </c>
      <c r="D277" s="2">
        <v>2.4354513888888889E-3</v>
      </c>
      <c r="E277" t="s">
        <v>26</v>
      </c>
      <c r="F277" t="s">
        <v>40</v>
      </c>
      <c r="G277">
        <v>0.37698412698412698</v>
      </c>
      <c r="H277">
        <v>0.12396694214876003</v>
      </c>
    </row>
    <row r="278" spans="1:9" x14ac:dyDescent="0.3">
      <c r="A278" t="s">
        <v>304</v>
      </c>
      <c r="B278" s="2">
        <v>2.5649537037037038E-3</v>
      </c>
      <c r="C278" s="2">
        <v>2.5533796296296298E-3</v>
      </c>
      <c r="D278" s="2">
        <v>2.5649537037037038E-3</v>
      </c>
      <c r="E278" t="s">
        <v>26</v>
      </c>
      <c r="F278" t="s">
        <v>40</v>
      </c>
      <c r="G278">
        <v>0.456349206349206</v>
      </c>
      <c r="H278">
        <v>0.38016528925619797</v>
      </c>
    </row>
    <row r="279" spans="1:9" x14ac:dyDescent="0.3">
      <c r="A279" t="s">
        <v>305</v>
      </c>
      <c r="B279" s="2">
        <v>2.6092824074074074E-3</v>
      </c>
      <c r="C279" s="2">
        <v>2.5977083333333334E-3</v>
      </c>
      <c r="D279" s="2">
        <v>2.6092824074074074E-3</v>
      </c>
      <c r="E279" t="s">
        <v>26</v>
      </c>
      <c r="F279" t="s">
        <v>38</v>
      </c>
      <c r="G279">
        <v>0.615079365079365</v>
      </c>
      <c r="H279">
        <v>0.30165289256198302</v>
      </c>
    </row>
    <row r="280" spans="1:9" x14ac:dyDescent="0.3">
      <c r="A280" t="s">
        <v>306</v>
      </c>
      <c r="B280" s="2">
        <v>4.0674421296296301E-3</v>
      </c>
      <c r="C280" s="2">
        <v>4.0558680555555556E-3</v>
      </c>
      <c r="D280" s="2">
        <v>4.0674421296296301E-3</v>
      </c>
      <c r="E280" t="s">
        <v>26</v>
      </c>
      <c r="F280" t="s">
        <v>51</v>
      </c>
      <c r="G280">
        <v>0.73677248677248697</v>
      </c>
      <c r="H280">
        <v>0.46694214876033102</v>
      </c>
    </row>
    <row r="281" spans="1:9" x14ac:dyDescent="0.3">
      <c r="A281" t="s">
        <v>307</v>
      </c>
      <c r="B281" s="2">
        <v>4.3842708333333329E-3</v>
      </c>
      <c r="C281" s="2">
        <v>4.3726967592592593E-3</v>
      </c>
      <c r="D281" s="2">
        <v>4.3842708333333329E-3</v>
      </c>
      <c r="E281" t="s">
        <v>26</v>
      </c>
      <c r="F281" t="s">
        <v>30</v>
      </c>
      <c r="G281">
        <v>0.26058201058201103</v>
      </c>
      <c r="H281">
        <v>0.21900826446280997</v>
      </c>
    </row>
    <row r="282" spans="1:9" x14ac:dyDescent="0.3">
      <c r="A282" t="s">
        <v>308</v>
      </c>
      <c r="B282" s="2">
        <v>4.701493055555556E-3</v>
      </c>
      <c r="C282" s="2">
        <v>4.6899189814814815E-3</v>
      </c>
      <c r="D282" s="2">
        <v>4.701493055555556E-3</v>
      </c>
      <c r="E282" t="s">
        <v>26</v>
      </c>
      <c r="F282" t="s">
        <v>58</v>
      </c>
      <c r="G282">
        <v>0.41137566137566101</v>
      </c>
      <c r="H282">
        <v>0.39669421487603296</v>
      </c>
    </row>
    <row r="283" spans="1:9" x14ac:dyDescent="0.3">
      <c r="A283" t="s">
        <v>309</v>
      </c>
      <c r="B283" s="2">
        <v>5.0133333333333332E-3</v>
      </c>
      <c r="C283" s="2">
        <v>5.0017592592592596E-3</v>
      </c>
      <c r="D283" s="2">
        <v>5.0133333333333332E-3</v>
      </c>
      <c r="E283" t="s">
        <v>26</v>
      </c>
      <c r="F283" t="s">
        <v>42</v>
      </c>
      <c r="G283">
        <v>0.39285714285714302</v>
      </c>
      <c r="H283">
        <v>0.64049586776859502</v>
      </c>
    </row>
    <row r="284" spans="1:9" x14ac:dyDescent="0.3">
      <c r="A284" t="s">
        <v>310</v>
      </c>
      <c r="B284" s="2">
        <v>5.650462962962963E-3</v>
      </c>
      <c r="C284" s="2">
        <v>5.6388888888888886E-3</v>
      </c>
      <c r="D284" s="2">
        <v>5.650462962962963E-3</v>
      </c>
      <c r="E284" t="s">
        <v>26</v>
      </c>
      <c r="F284" t="s">
        <v>42</v>
      </c>
      <c r="G284">
        <v>0.72354497354497305</v>
      </c>
      <c r="H284">
        <v>0.93801652892561982</v>
      </c>
    </row>
    <row r="285" spans="1:9" x14ac:dyDescent="0.3">
      <c r="A285" t="s">
        <v>311</v>
      </c>
      <c r="B285" s="2">
        <v>5.7903819444444444E-3</v>
      </c>
      <c r="C285" s="2">
        <v>5.7788078703703708E-3</v>
      </c>
      <c r="D285" s="2">
        <v>5.7903819444444444E-3</v>
      </c>
      <c r="E285" t="s">
        <v>26</v>
      </c>
      <c r="F285" t="s">
        <v>58</v>
      </c>
      <c r="G285">
        <v>0.55687830687830697</v>
      </c>
      <c r="H285">
        <v>0.70247933884297498</v>
      </c>
    </row>
    <row r="286" spans="1:9" x14ac:dyDescent="0.3">
      <c r="A286" t="s">
        <v>312</v>
      </c>
      <c r="B286" s="2">
        <v>6.1434606481481479E-3</v>
      </c>
      <c r="C286" s="2">
        <v>6.1318865740740743E-3</v>
      </c>
      <c r="D286" s="2">
        <v>6.1434606481481479E-3</v>
      </c>
      <c r="E286" t="s">
        <v>26</v>
      </c>
      <c r="F286" t="s">
        <v>67</v>
      </c>
      <c r="G286">
        <v>0.342592592592593</v>
      </c>
      <c r="H286">
        <v>0.76446280991735494</v>
      </c>
    </row>
    <row r="287" spans="1:9" x14ac:dyDescent="0.3">
      <c r="A287" t="s">
        <v>313</v>
      </c>
      <c r="B287" s="2">
        <v>6.9101041666666668E-3</v>
      </c>
      <c r="C287" s="2">
        <v>6.8985300925925924E-3</v>
      </c>
      <c r="D287" s="2">
        <v>6.9101041666666668E-3</v>
      </c>
      <c r="E287" t="s">
        <v>26</v>
      </c>
      <c r="F287" t="s">
        <v>30</v>
      </c>
      <c r="G287">
        <v>0.26587301587301598</v>
      </c>
      <c r="H287">
        <v>8.2644628099173945E-2</v>
      </c>
    </row>
    <row r="288" spans="1:9" x14ac:dyDescent="0.3">
      <c r="A288" t="s">
        <v>314</v>
      </c>
      <c r="B288" s="2">
        <v>7.162962962962963E-3</v>
      </c>
      <c r="C288" s="2">
        <v>7.1513888888888886E-3</v>
      </c>
      <c r="D288" s="2">
        <v>7.162962962962963E-3</v>
      </c>
      <c r="E288" t="s">
        <v>26</v>
      </c>
      <c r="F288" t="s">
        <v>30</v>
      </c>
      <c r="G288">
        <v>0.12830687830687801</v>
      </c>
      <c r="H288">
        <v>0.14049586776859502</v>
      </c>
    </row>
    <row r="289" spans="1:8" x14ac:dyDescent="0.3">
      <c r="A289" t="s">
        <v>315</v>
      </c>
      <c r="B289" s="2">
        <v>7.4354745370370373E-3</v>
      </c>
      <c r="C289" s="2">
        <v>7.4239004629629629E-3</v>
      </c>
      <c r="D289" s="2">
        <v>7.4354745370370373E-3</v>
      </c>
      <c r="E289" t="s">
        <v>26</v>
      </c>
      <c r="F289" t="s">
        <v>40</v>
      </c>
      <c r="G289">
        <v>0.30820105820105798</v>
      </c>
      <c r="H289">
        <v>0.42975206611570205</v>
      </c>
    </row>
    <row r="290" spans="1:8" x14ac:dyDescent="0.3">
      <c r="A290" t="s">
        <v>316</v>
      </c>
      <c r="B290" s="2">
        <v>8.0117245370370377E-3</v>
      </c>
      <c r="C290" s="2">
        <v>8.0001504629629624E-3</v>
      </c>
      <c r="D290" s="2">
        <v>8.0117245370370377E-3</v>
      </c>
      <c r="E290" t="s">
        <v>26</v>
      </c>
      <c r="F290" t="s">
        <v>42</v>
      </c>
      <c r="G290">
        <v>5.95238095238095E-2</v>
      </c>
      <c r="H290">
        <v>0.54545454545454497</v>
      </c>
    </row>
    <row r="291" spans="1:8" x14ac:dyDescent="0.3">
      <c r="A291" t="s">
        <v>317</v>
      </c>
      <c r="B291" s="2">
        <v>8.1354050925925934E-3</v>
      </c>
      <c r="C291" s="2">
        <v>8.1238310185185181E-3</v>
      </c>
      <c r="D291" s="2">
        <v>8.1354050925925934E-3</v>
      </c>
      <c r="E291" t="s">
        <v>26</v>
      </c>
      <c r="F291" t="s">
        <v>38</v>
      </c>
      <c r="G291">
        <v>0.363756613756614</v>
      </c>
      <c r="H291">
        <v>0.47520661157024802</v>
      </c>
    </row>
    <row r="292" spans="1:8" x14ac:dyDescent="0.3">
      <c r="A292" t="s">
        <v>318</v>
      </c>
      <c r="B292" s="2">
        <v>8.9503819444444448E-3</v>
      </c>
      <c r="C292" s="2">
        <v>8.9388078703703695E-3</v>
      </c>
      <c r="D292" s="2">
        <v>8.9503819444444448E-3</v>
      </c>
      <c r="E292" t="s">
        <v>26</v>
      </c>
      <c r="F292" t="s">
        <v>42</v>
      </c>
      <c r="G292">
        <v>0.39021164021164001</v>
      </c>
      <c r="H292">
        <v>0.70661157024793397</v>
      </c>
    </row>
    <row r="293" spans="1:8" x14ac:dyDescent="0.3">
      <c r="A293" t="s">
        <v>319</v>
      </c>
      <c r="B293" s="2">
        <v>9.113726851851852E-3</v>
      </c>
      <c r="C293" s="2">
        <v>9.1021527777777785E-3</v>
      </c>
      <c r="D293" s="2">
        <v>9.113726851851852E-3</v>
      </c>
      <c r="E293" t="s">
        <v>26</v>
      </c>
      <c r="F293" t="s">
        <v>30</v>
      </c>
      <c r="G293">
        <v>0.239417989417989</v>
      </c>
      <c r="H293">
        <v>0.20247933884297498</v>
      </c>
    </row>
    <row r="294" spans="1:8" x14ac:dyDescent="0.3">
      <c r="A294" t="s">
        <v>320</v>
      </c>
      <c r="B294" s="2">
        <v>9.1807870370370376E-3</v>
      </c>
      <c r="C294" s="2">
        <v>9.1692129629629623E-3</v>
      </c>
      <c r="D294" s="2">
        <v>9.1807870370370376E-3</v>
      </c>
      <c r="E294" t="s">
        <v>26</v>
      </c>
      <c r="F294" t="s">
        <v>40</v>
      </c>
      <c r="G294">
        <v>0.316137566137566</v>
      </c>
      <c r="H294">
        <v>0.42975206611570205</v>
      </c>
    </row>
    <row r="295" spans="1:8" x14ac:dyDescent="0.3">
      <c r="A295" t="s">
        <v>321</v>
      </c>
      <c r="B295" s="2">
        <v>9.4015277777777777E-3</v>
      </c>
      <c r="C295" s="2">
        <v>9.3899537037037042E-3</v>
      </c>
      <c r="D295" s="2">
        <v>9.4015277777777777E-3</v>
      </c>
      <c r="E295" t="s">
        <v>26</v>
      </c>
      <c r="F295" t="s">
        <v>67</v>
      </c>
      <c r="G295">
        <v>0.183862433862434</v>
      </c>
      <c r="H295">
        <v>0.70661157024793397</v>
      </c>
    </row>
    <row r="296" spans="1:8" x14ac:dyDescent="0.3">
      <c r="A296" t="s">
        <v>322</v>
      </c>
      <c r="B296" s="2">
        <v>1.2341458333333333E-2</v>
      </c>
      <c r="C296" s="2">
        <v>1.2329884259259259E-2</v>
      </c>
      <c r="D296" s="2">
        <v>1.2341458333333333E-2</v>
      </c>
      <c r="E296" t="s">
        <v>26</v>
      </c>
      <c r="F296" t="s">
        <v>42</v>
      </c>
      <c r="G296">
        <v>0.40608465608465599</v>
      </c>
      <c r="H296">
        <v>0.77272727272727304</v>
      </c>
    </row>
    <row r="297" spans="1:8" x14ac:dyDescent="0.3">
      <c r="A297" t="s">
        <v>323</v>
      </c>
      <c r="B297" s="2">
        <v>1.3004814814814815E-2</v>
      </c>
      <c r="C297" s="2">
        <v>1.2993240740740741E-2</v>
      </c>
      <c r="D297" s="2">
        <v>1.3004814814814815E-2</v>
      </c>
      <c r="E297" t="s">
        <v>26</v>
      </c>
      <c r="F297" t="s">
        <v>46</v>
      </c>
      <c r="G297">
        <v>0.41402116402116401</v>
      </c>
      <c r="H297">
        <v>0.665289256198347</v>
      </c>
    </row>
    <row r="298" spans="1:8" x14ac:dyDescent="0.3">
      <c r="A298" t="s">
        <v>324</v>
      </c>
      <c r="B298" s="2">
        <v>1.3519768518518518E-2</v>
      </c>
      <c r="C298" s="2">
        <v>1.3508194444444444E-2</v>
      </c>
      <c r="D298" s="2">
        <v>1.3519768518518518E-2</v>
      </c>
      <c r="E298" t="s">
        <v>26</v>
      </c>
      <c r="F298" t="s">
        <v>46</v>
      </c>
      <c r="G298">
        <v>0.239417989417989</v>
      </c>
      <c r="H298">
        <v>0.29338842975206603</v>
      </c>
    </row>
    <row r="299" spans="1:8" x14ac:dyDescent="0.3">
      <c r="A299" t="s">
        <v>325</v>
      </c>
      <c r="B299" s="2">
        <v>1.4106041666666666E-2</v>
      </c>
      <c r="C299" s="2">
        <v>1.4094467592592592E-2</v>
      </c>
      <c r="D299" s="2">
        <v>1.4106041666666666E-2</v>
      </c>
      <c r="E299" t="s">
        <v>26</v>
      </c>
      <c r="F299" t="s">
        <v>42</v>
      </c>
      <c r="G299">
        <v>0.62566137566137603</v>
      </c>
      <c r="H299">
        <v>0.95041322314049592</v>
      </c>
    </row>
    <row r="300" spans="1:8" x14ac:dyDescent="0.3">
      <c r="A300" t="s">
        <v>326</v>
      </c>
      <c r="B300" s="2">
        <v>1.4492256944444445E-2</v>
      </c>
      <c r="C300" s="2">
        <v>1.4480682870370371E-2</v>
      </c>
      <c r="D300" s="2">
        <v>1.4492256944444445E-2</v>
      </c>
      <c r="E300" t="s">
        <v>26</v>
      </c>
      <c r="F300" t="s">
        <v>67</v>
      </c>
      <c r="G300">
        <v>0.236772486772487</v>
      </c>
      <c r="H300">
        <v>0.92975206611570249</v>
      </c>
    </row>
    <row r="301" spans="1:8" x14ac:dyDescent="0.3">
      <c r="A301" t="s">
        <v>327</v>
      </c>
      <c r="B301" s="2">
        <v>1.8842037037037036E-2</v>
      </c>
      <c r="C301" s="2">
        <v>1.8830462962962962E-2</v>
      </c>
      <c r="D301" s="2">
        <v>1.8842037037037036E-2</v>
      </c>
      <c r="E301" t="s">
        <v>26</v>
      </c>
      <c r="F301" t="s">
        <v>30</v>
      </c>
      <c r="G301">
        <v>0.44576719576719598</v>
      </c>
      <c r="H301">
        <v>3.3057851239668978E-2</v>
      </c>
    </row>
    <row r="302" spans="1:8" x14ac:dyDescent="0.3">
      <c r="A302" t="s">
        <v>328</v>
      </c>
      <c r="B302" s="2">
        <v>1.9845104166666665E-2</v>
      </c>
      <c r="C302" s="2">
        <v>1.9833530092592592E-2</v>
      </c>
      <c r="D302" s="2">
        <v>1.9845104166666665E-2</v>
      </c>
      <c r="E302" t="s">
        <v>26</v>
      </c>
      <c r="F302" t="s">
        <v>46</v>
      </c>
      <c r="G302">
        <v>2.51322751322751E-2</v>
      </c>
      <c r="H302">
        <v>0.76446280991735494</v>
      </c>
    </row>
    <row r="303" spans="1:8" x14ac:dyDescent="0.3">
      <c r="A303" t="s">
        <v>329</v>
      </c>
      <c r="B303" s="2">
        <v>2.0649432870370372E-2</v>
      </c>
      <c r="C303" s="2">
        <v>2.0637858796296295E-2</v>
      </c>
      <c r="D303" s="2">
        <v>2.0649432870370372E-2</v>
      </c>
      <c r="E303" t="s">
        <v>26</v>
      </c>
      <c r="F303" t="s">
        <v>58</v>
      </c>
      <c r="G303">
        <v>0.30820105820105798</v>
      </c>
      <c r="H303">
        <v>0.63223140495867802</v>
      </c>
    </row>
    <row r="304" spans="1:8" x14ac:dyDescent="0.3">
      <c r="A304" t="s">
        <v>330</v>
      </c>
      <c r="B304" s="2">
        <v>2.0972789351851852E-2</v>
      </c>
      <c r="C304" s="2">
        <v>2.0961215277777778E-2</v>
      </c>
      <c r="D304" s="2">
        <v>2.0972789351851852E-2</v>
      </c>
      <c r="E304" t="s">
        <v>26</v>
      </c>
      <c r="F304" t="s">
        <v>42</v>
      </c>
      <c r="G304">
        <v>0.41666666666666702</v>
      </c>
      <c r="H304">
        <v>0.73553719008264506</v>
      </c>
    </row>
    <row r="305" spans="1:8" x14ac:dyDescent="0.3">
      <c r="A305" t="s">
        <v>331</v>
      </c>
      <c r="B305" s="2">
        <v>2.2573564814814814E-2</v>
      </c>
      <c r="C305" s="2">
        <v>2.256199074074074E-2</v>
      </c>
      <c r="D305" s="2">
        <v>2.2573564814814814E-2</v>
      </c>
      <c r="E305" t="s">
        <v>26</v>
      </c>
      <c r="F305" t="s">
        <v>46</v>
      </c>
      <c r="G305">
        <v>0.215608465608466</v>
      </c>
      <c r="H305">
        <v>0.23140495867768596</v>
      </c>
    </row>
    <row r="306" spans="1:8" x14ac:dyDescent="0.3">
      <c r="A306" t="s">
        <v>332</v>
      </c>
      <c r="B306" s="2">
        <v>2.3843611111111111E-2</v>
      </c>
      <c r="C306" s="2">
        <v>2.3832037037037037E-2</v>
      </c>
      <c r="D306" s="2">
        <v>2.3843611111111111E-2</v>
      </c>
      <c r="E306" t="s">
        <v>26</v>
      </c>
      <c r="F306" t="s">
        <v>30</v>
      </c>
      <c r="G306">
        <v>0.236772486772487</v>
      </c>
      <c r="H306">
        <v>9.5041322314050047E-2</v>
      </c>
    </row>
    <row r="307" spans="1:8" x14ac:dyDescent="0.3">
      <c r="A307" t="s">
        <v>333</v>
      </c>
      <c r="B307" s="2">
        <v>2.4399421296296298E-2</v>
      </c>
      <c r="C307" s="2">
        <v>2.4387847222222224E-2</v>
      </c>
      <c r="D307" s="2">
        <v>2.4399421296296298E-2</v>
      </c>
      <c r="E307" t="s">
        <v>26</v>
      </c>
      <c r="F307" t="s">
        <v>40</v>
      </c>
      <c r="G307">
        <v>0.67328042328042303</v>
      </c>
      <c r="H307">
        <v>0.28925619834710703</v>
      </c>
    </row>
    <row r="308" spans="1:8" x14ac:dyDescent="0.3">
      <c r="A308" t="s">
        <v>334</v>
      </c>
      <c r="B308" s="2">
        <v>2.8216921296296296E-2</v>
      </c>
      <c r="C308" s="2">
        <v>2.8205347222222222E-2</v>
      </c>
      <c r="D308" s="2">
        <v>2.8216921296296296E-2</v>
      </c>
      <c r="E308" t="s">
        <v>26</v>
      </c>
      <c r="F308" t="s">
        <v>26</v>
      </c>
      <c r="G308">
        <v>0.318783068783069</v>
      </c>
      <c r="H308">
        <v>0.97520661157024791</v>
      </c>
    </row>
    <row r="309" spans="1:8" x14ac:dyDescent="0.3">
      <c r="A309" t="s">
        <v>335</v>
      </c>
      <c r="B309" s="2">
        <v>2.8366493055555556E-2</v>
      </c>
      <c r="C309" s="2">
        <v>2.8354918981481483E-2</v>
      </c>
      <c r="D309" s="2">
        <v>2.8366493055555556E-2</v>
      </c>
      <c r="E309" t="s">
        <v>26</v>
      </c>
      <c r="F309" t="s">
        <v>67</v>
      </c>
      <c r="G309">
        <v>0.44047619047619002</v>
      </c>
      <c r="H309">
        <v>0.9049586776859504</v>
      </c>
    </row>
    <row r="310" spans="1:8" x14ac:dyDescent="0.3">
      <c r="A310" t="s">
        <v>336</v>
      </c>
      <c r="B310" s="2">
        <v>2.8848657407407406E-2</v>
      </c>
      <c r="C310" s="2">
        <v>2.8837083333333333E-2</v>
      </c>
      <c r="D310" s="2">
        <v>2.8848657407407406E-2</v>
      </c>
      <c r="E310" t="s">
        <v>26</v>
      </c>
      <c r="F310" t="s">
        <v>40</v>
      </c>
      <c r="G310">
        <v>0.35582010582010598</v>
      </c>
      <c r="H310">
        <v>0.89669421487603296</v>
      </c>
    </row>
    <row r="311" spans="1:8" x14ac:dyDescent="0.3">
      <c r="A311" t="s">
        <v>337</v>
      </c>
      <c r="B311" s="2">
        <v>3.1626180555555557E-2</v>
      </c>
      <c r="C311" s="2">
        <v>3.1614606481481483E-2</v>
      </c>
      <c r="D311" s="2">
        <v>3.1626180555555557E-2</v>
      </c>
      <c r="E311" t="s">
        <v>26</v>
      </c>
      <c r="F311" t="s">
        <v>67</v>
      </c>
      <c r="G311">
        <v>0.35317460317460297</v>
      </c>
      <c r="H311">
        <v>0.76859504132231393</v>
      </c>
    </row>
    <row r="312" spans="1:8" x14ac:dyDescent="0.3">
      <c r="A312" t="s">
        <v>338</v>
      </c>
      <c r="B312" s="2">
        <v>3.247224537037037E-2</v>
      </c>
      <c r="C312" s="2">
        <v>3.2460671296296296E-2</v>
      </c>
      <c r="D312" s="2">
        <v>3.247224537037037E-2</v>
      </c>
      <c r="E312" t="s">
        <v>26</v>
      </c>
      <c r="F312" t="s">
        <v>30</v>
      </c>
      <c r="G312">
        <v>0.125661375661376</v>
      </c>
      <c r="H312">
        <v>0.14876033057851201</v>
      </c>
    </row>
    <row r="313" spans="1:8" x14ac:dyDescent="0.3">
      <c r="A313" t="s">
        <v>339</v>
      </c>
      <c r="B313" s="2">
        <v>3.2809328703703705E-2</v>
      </c>
      <c r="C313" s="2">
        <v>3.2797754629629632E-2</v>
      </c>
      <c r="D313" s="2">
        <v>3.2809328703703705E-2</v>
      </c>
      <c r="E313" t="s">
        <v>26</v>
      </c>
      <c r="F313" t="s">
        <v>40</v>
      </c>
      <c r="G313">
        <v>4.6296296296296301E-2</v>
      </c>
      <c r="H313">
        <v>0.21487603305785097</v>
      </c>
    </row>
    <row r="314" spans="1:8" x14ac:dyDescent="0.3">
      <c r="A314" t="s">
        <v>340</v>
      </c>
      <c r="B314" s="2">
        <v>3.8491967592592595E-2</v>
      </c>
      <c r="C314" s="2">
        <v>3.8480393518518521E-2</v>
      </c>
      <c r="D314" s="2">
        <v>3.8491967592592595E-2</v>
      </c>
      <c r="E314" t="s">
        <v>26</v>
      </c>
      <c r="F314" t="s">
        <v>67</v>
      </c>
      <c r="G314">
        <v>0.498677248677249</v>
      </c>
      <c r="H314">
        <v>0.84297520661156999</v>
      </c>
    </row>
    <row r="315" spans="1:8" x14ac:dyDescent="0.3">
      <c r="A315" t="s">
        <v>341</v>
      </c>
      <c r="B315" s="2">
        <v>3.8705659722222223E-2</v>
      </c>
      <c r="C315" s="2">
        <v>3.8694085648148149E-2</v>
      </c>
      <c r="D315" s="2">
        <v>3.8705659722222223E-2</v>
      </c>
      <c r="E315" t="s">
        <v>26</v>
      </c>
      <c r="F315" t="s">
        <v>40</v>
      </c>
      <c r="G315">
        <v>0.54100529100529104</v>
      </c>
      <c r="H315">
        <v>0.834710743801653</v>
      </c>
    </row>
    <row r="316" spans="1:8" x14ac:dyDescent="0.3">
      <c r="A316" t="s">
        <v>342</v>
      </c>
      <c r="B316" s="2">
        <v>3.888861111111111E-2</v>
      </c>
      <c r="C316" s="2">
        <v>3.8877037037037036E-2</v>
      </c>
      <c r="D316" s="2">
        <v>3.888861111111111E-2</v>
      </c>
      <c r="E316" t="s">
        <v>26</v>
      </c>
      <c r="F316" t="s">
        <v>44</v>
      </c>
      <c r="G316">
        <v>0.34523809523809501</v>
      </c>
      <c r="H316">
        <v>0.12809917355371903</v>
      </c>
    </row>
    <row r="317" spans="1:8" x14ac:dyDescent="0.3">
      <c r="A317" t="s">
        <v>343</v>
      </c>
      <c r="B317" s="2">
        <v>3.9179236111111113E-2</v>
      </c>
      <c r="C317" s="2">
        <v>3.9167662037037039E-2</v>
      </c>
      <c r="D317" s="2">
        <v>3.9179236111111113E-2</v>
      </c>
      <c r="E317" t="s">
        <v>26</v>
      </c>
      <c r="F317" t="s">
        <v>67</v>
      </c>
      <c r="G317">
        <v>0.183862433862434</v>
      </c>
      <c r="H317">
        <v>0.90082644628099173</v>
      </c>
    </row>
    <row r="318" spans="1:8" x14ac:dyDescent="0.3">
      <c r="A318" t="s">
        <v>344</v>
      </c>
      <c r="B318" s="2">
        <v>3.9676458333333331E-2</v>
      </c>
      <c r="C318" s="2">
        <v>3.9664884259259257E-2</v>
      </c>
      <c r="D318" s="2">
        <v>3.9676458333333331E-2</v>
      </c>
      <c r="E318" t="s">
        <v>26</v>
      </c>
      <c r="F318" t="s">
        <v>67</v>
      </c>
      <c r="G318">
        <v>9.6560846560846597E-2</v>
      </c>
      <c r="H318">
        <v>0.92561983471074383</v>
      </c>
    </row>
    <row r="319" spans="1:8" x14ac:dyDescent="0.3">
      <c r="A319" t="s">
        <v>345</v>
      </c>
      <c r="B319" s="2">
        <v>3.9782696759259259E-2</v>
      </c>
      <c r="C319" s="2">
        <v>3.9771122685185185E-2</v>
      </c>
      <c r="D319" s="2">
        <v>3.9782696759259259E-2</v>
      </c>
      <c r="E319" t="s">
        <v>26</v>
      </c>
      <c r="F319" t="s">
        <v>51</v>
      </c>
      <c r="G319">
        <v>0.12830687830687801</v>
      </c>
      <c r="H319">
        <v>0.86363636363636398</v>
      </c>
    </row>
    <row r="320" spans="1:8" x14ac:dyDescent="0.3">
      <c r="A320" t="s">
        <v>346</v>
      </c>
      <c r="B320" s="2">
        <v>4.1009108796296295E-2</v>
      </c>
      <c r="C320" s="2">
        <v>4.0997534722222222E-2</v>
      </c>
      <c r="D320" s="2">
        <v>4.1009108796296295E-2</v>
      </c>
      <c r="E320" t="s">
        <v>26</v>
      </c>
      <c r="F320" t="s">
        <v>38</v>
      </c>
      <c r="G320">
        <v>0.67592592592592604</v>
      </c>
      <c r="H320">
        <v>7.4380165289255951E-2</v>
      </c>
    </row>
    <row r="321" spans="1:8" x14ac:dyDescent="0.3">
      <c r="A321" t="s">
        <v>347</v>
      </c>
      <c r="B321" s="2">
        <v>4.111724537037037E-2</v>
      </c>
      <c r="C321" s="2">
        <v>4.1105671296296296E-2</v>
      </c>
      <c r="D321" s="2">
        <v>4.111724537037037E-2</v>
      </c>
      <c r="E321" t="s">
        <v>26</v>
      </c>
      <c r="F321" t="s">
        <v>32</v>
      </c>
      <c r="G321">
        <v>0.87169312169312196</v>
      </c>
      <c r="H321">
        <v>0.661157024793388</v>
      </c>
    </row>
    <row r="322" spans="1:8" x14ac:dyDescent="0.3">
      <c r="A322" t="s">
        <v>348</v>
      </c>
      <c r="B322" s="2">
        <v>4.189170138888889E-2</v>
      </c>
      <c r="C322" s="2">
        <v>4.1880127314814816E-2</v>
      </c>
      <c r="D322" s="2">
        <v>4.189170138888889E-2</v>
      </c>
      <c r="E322" t="s">
        <v>26</v>
      </c>
      <c r="F322" t="s">
        <v>42</v>
      </c>
      <c r="G322">
        <v>0.57010582010582</v>
      </c>
      <c r="H322">
        <v>0.39256198347107396</v>
      </c>
    </row>
    <row r="323" spans="1:8" x14ac:dyDescent="0.3">
      <c r="A323" t="s">
        <v>349</v>
      </c>
      <c r="B323" s="2">
        <v>4.22209375E-2</v>
      </c>
      <c r="C323" s="2">
        <v>4.2209363425925926E-2</v>
      </c>
      <c r="D323" s="2">
        <v>4.22209375E-2</v>
      </c>
      <c r="E323" t="s">
        <v>26</v>
      </c>
      <c r="F323" t="s">
        <v>38</v>
      </c>
      <c r="G323">
        <v>0.55952380952380998</v>
      </c>
      <c r="H323">
        <v>0.85950413223140498</v>
      </c>
    </row>
    <row r="324" spans="1:8" x14ac:dyDescent="0.3">
      <c r="A324" t="s">
        <v>350</v>
      </c>
      <c r="B324" s="2">
        <v>4.2261956018518516E-2</v>
      </c>
      <c r="C324" s="2">
        <v>4.2250381944444443E-2</v>
      </c>
      <c r="D324" s="2">
        <v>4.2261956018518516E-2</v>
      </c>
      <c r="E324" t="s">
        <v>26</v>
      </c>
      <c r="F324" t="s">
        <v>67</v>
      </c>
      <c r="G324">
        <v>0.54365079365079405</v>
      </c>
      <c r="H324">
        <v>0.90082644628099173</v>
      </c>
    </row>
    <row r="325" spans="1:8" x14ac:dyDescent="0.3">
      <c r="A325" t="s">
        <v>351</v>
      </c>
      <c r="B325" s="2">
        <v>4.2435104166666668E-2</v>
      </c>
      <c r="C325" s="2">
        <v>4.2423530092592594E-2</v>
      </c>
      <c r="D325" s="2">
        <v>4.2435104166666668E-2</v>
      </c>
      <c r="E325" t="s">
        <v>26</v>
      </c>
      <c r="F325" t="s">
        <v>46</v>
      </c>
      <c r="G325">
        <v>0.32671957671957702</v>
      </c>
      <c r="H325">
        <v>0.95867768595041325</v>
      </c>
    </row>
    <row r="326" spans="1:8" x14ac:dyDescent="0.3">
      <c r="A326" t="s">
        <v>352</v>
      </c>
      <c r="B326" s="2">
        <v>4.2662476851851851E-2</v>
      </c>
      <c r="C326" s="2">
        <v>4.2650902777777777E-2</v>
      </c>
      <c r="D326" s="2">
        <v>4.2662476851851851E-2</v>
      </c>
      <c r="E326" t="s">
        <v>26</v>
      </c>
      <c r="F326" t="s">
        <v>44</v>
      </c>
      <c r="G326">
        <v>0.25</v>
      </c>
      <c r="H326">
        <v>0.97107438016528935</v>
      </c>
    </row>
    <row r="327" spans="1:8" x14ac:dyDescent="0.3">
      <c r="A327" t="s">
        <v>353</v>
      </c>
      <c r="B327" s="2">
        <v>4.2813622685185182E-2</v>
      </c>
      <c r="C327" s="2">
        <v>4.2802048611111108E-2</v>
      </c>
      <c r="D327" s="2">
        <v>4.2813622685185182E-2</v>
      </c>
      <c r="E327" t="s">
        <v>26</v>
      </c>
      <c r="F327" t="s">
        <v>44</v>
      </c>
      <c r="G327">
        <v>0.408730158730159</v>
      </c>
      <c r="H327">
        <v>0.79752066115702502</v>
      </c>
    </row>
    <row r="328" spans="1:8" x14ac:dyDescent="0.3">
      <c r="A328" t="s">
        <v>354</v>
      </c>
      <c r="B328" s="2">
        <v>4.2816701388888892E-2</v>
      </c>
      <c r="C328" s="2">
        <v>4.2805127314814811E-2</v>
      </c>
      <c r="D328" s="2">
        <v>4.2816701388888892E-2</v>
      </c>
      <c r="E328" t="s">
        <v>26</v>
      </c>
      <c r="F328" t="s">
        <v>44</v>
      </c>
      <c r="G328">
        <v>0.40608465608465599</v>
      </c>
      <c r="H328">
        <v>0.78099173553719003</v>
      </c>
    </row>
    <row r="329" spans="1:8" x14ac:dyDescent="0.3">
      <c r="A329" t="s">
        <v>355</v>
      </c>
      <c r="B329" s="2">
        <v>4.3349363425925928E-2</v>
      </c>
      <c r="C329" s="2">
        <v>4.3337789351851855E-2</v>
      </c>
      <c r="D329" s="2">
        <v>4.3349363425925928E-2</v>
      </c>
      <c r="E329" t="s">
        <v>26</v>
      </c>
      <c r="F329" t="s">
        <v>42</v>
      </c>
      <c r="G329">
        <v>0.55687830687830697</v>
      </c>
      <c r="H329">
        <v>0.97933884297520657</v>
      </c>
    </row>
    <row r="330" spans="1:8" x14ac:dyDescent="0.3">
      <c r="A330" t="s">
        <v>356</v>
      </c>
      <c r="B330" s="2">
        <v>4.426240740740741E-2</v>
      </c>
      <c r="C330" s="2">
        <v>4.4250833333333336E-2</v>
      </c>
      <c r="D330" s="2">
        <v>4.426240740740741E-2</v>
      </c>
      <c r="E330" t="s">
        <v>26</v>
      </c>
      <c r="F330" t="s">
        <v>46</v>
      </c>
      <c r="G330">
        <v>0.23412698412698399</v>
      </c>
      <c r="H330">
        <v>0.98347107438016534</v>
      </c>
    </row>
    <row r="331" spans="1:8" x14ac:dyDescent="0.3">
      <c r="A331" t="s">
        <v>357</v>
      </c>
      <c r="B331" s="2">
        <v>4.4482939814814812E-2</v>
      </c>
      <c r="C331" s="2">
        <v>4.4471365740740738E-2</v>
      </c>
      <c r="D331" s="2">
        <v>4.4482939814814812E-2</v>
      </c>
      <c r="E331" t="s">
        <v>26</v>
      </c>
      <c r="F331" t="s">
        <v>67</v>
      </c>
      <c r="G331">
        <v>0.17592592592592601</v>
      </c>
      <c r="H331">
        <v>0.95454545454545447</v>
      </c>
    </row>
    <row r="332" spans="1:8" x14ac:dyDescent="0.3">
      <c r="A332" t="s">
        <v>358</v>
      </c>
      <c r="B332" s="2">
        <v>4.4551805555555553E-2</v>
      </c>
      <c r="C332" s="2">
        <v>4.4540231481481479E-2</v>
      </c>
      <c r="D332" s="2">
        <v>4.4551805555555553E-2</v>
      </c>
      <c r="E332" t="s">
        <v>26</v>
      </c>
      <c r="F332" t="s">
        <v>198</v>
      </c>
      <c r="G332">
        <v>0.136243386243386</v>
      </c>
      <c r="H332">
        <v>0.97107438016528935</v>
      </c>
    </row>
    <row r="333" spans="1:8" x14ac:dyDescent="0.3">
      <c r="A333" t="s">
        <v>359</v>
      </c>
      <c r="B333" s="2">
        <v>4.5977766203703703E-2</v>
      </c>
      <c r="C333" s="2">
        <v>4.5966192129629629E-2</v>
      </c>
      <c r="D333" s="2">
        <v>4.5977766203703703E-2</v>
      </c>
      <c r="E333" t="s">
        <v>26</v>
      </c>
      <c r="F333" t="s">
        <v>42</v>
      </c>
      <c r="G333">
        <v>0.46957671957671998</v>
      </c>
      <c r="H333">
        <v>0.82231404958677701</v>
      </c>
    </row>
    <row r="334" spans="1:8" x14ac:dyDescent="0.3">
      <c r="A334" t="s">
        <v>360</v>
      </c>
      <c r="B334" s="2">
        <v>4.6150590277777778E-2</v>
      </c>
      <c r="C334" s="2">
        <v>4.6139016203703705E-2</v>
      </c>
      <c r="D334" s="2">
        <v>4.6150590277777778E-2</v>
      </c>
      <c r="E334" t="s">
        <v>26</v>
      </c>
      <c r="F334" t="s">
        <v>44</v>
      </c>
      <c r="G334">
        <v>0.69179894179894197</v>
      </c>
      <c r="H334">
        <v>0.89256198347107396</v>
      </c>
    </row>
    <row r="335" spans="1:8" x14ac:dyDescent="0.3">
      <c r="A335" t="s">
        <v>361</v>
      </c>
      <c r="B335" s="2">
        <v>4.6238495370370371E-2</v>
      </c>
      <c r="C335" s="2">
        <v>4.6226921296296297E-2</v>
      </c>
      <c r="D335" s="2">
        <v>4.6238495370370371E-2</v>
      </c>
      <c r="E335" t="s">
        <v>26</v>
      </c>
      <c r="F335" t="s">
        <v>32</v>
      </c>
      <c r="G335">
        <v>0.76587301587301604</v>
      </c>
      <c r="H335">
        <v>0.62809917355371903</v>
      </c>
    </row>
    <row r="336" spans="1:8" x14ac:dyDescent="0.3">
      <c r="A336" t="s">
        <v>362</v>
      </c>
      <c r="B336" s="2">
        <v>4.7586412037037035E-2</v>
      </c>
      <c r="C336" s="2">
        <v>4.7574837962962961E-2</v>
      </c>
      <c r="D336" s="2">
        <v>4.7586412037037035E-2</v>
      </c>
      <c r="E336" t="s">
        <v>26</v>
      </c>
      <c r="F336" t="s">
        <v>38</v>
      </c>
      <c r="G336">
        <v>0.183862433862434</v>
      </c>
      <c r="H336">
        <v>5.7851239669420962E-2</v>
      </c>
    </row>
    <row r="337" spans="1:8" x14ac:dyDescent="0.3">
      <c r="A337" t="s">
        <v>363</v>
      </c>
      <c r="B337" s="2">
        <v>4.7739004629629628E-2</v>
      </c>
      <c r="C337" s="2">
        <v>4.7727430555555554E-2</v>
      </c>
      <c r="D337" s="2">
        <v>4.7739004629629628E-2</v>
      </c>
      <c r="E337" t="s">
        <v>26</v>
      </c>
      <c r="F337" t="s">
        <v>26</v>
      </c>
      <c r="G337">
        <v>0.194444444444444</v>
      </c>
      <c r="H337">
        <v>6.6115702479338956E-2</v>
      </c>
    </row>
    <row r="338" spans="1:8" x14ac:dyDescent="0.3">
      <c r="A338" t="s">
        <v>364</v>
      </c>
      <c r="B338" s="2">
        <v>4.8208668981481483E-2</v>
      </c>
      <c r="C338" s="2">
        <v>4.8197094907407409E-2</v>
      </c>
      <c r="D338" s="2">
        <v>4.8208668981481483E-2</v>
      </c>
      <c r="E338" t="s">
        <v>26</v>
      </c>
      <c r="F338" t="s">
        <v>46</v>
      </c>
      <c r="G338">
        <v>0.19973544973544999</v>
      </c>
      <c r="H338">
        <v>0.23553719008264495</v>
      </c>
    </row>
    <row r="339" spans="1:8" x14ac:dyDescent="0.3">
      <c r="A339" t="s">
        <v>365</v>
      </c>
      <c r="B339" s="2">
        <v>4.9337592592592593E-2</v>
      </c>
      <c r="C339" s="2">
        <v>4.9326018518518519E-2</v>
      </c>
      <c r="D339" s="2">
        <v>4.9337592592592593E-2</v>
      </c>
      <c r="E339" t="s">
        <v>26</v>
      </c>
      <c r="F339" t="s">
        <v>42</v>
      </c>
      <c r="G339">
        <v>0.28968253968253999</v>
      </c>
      <c r="H339">
        <v>0.96280991735537191</v>
      </c>
    </row>
    <row r="340" spans="1:8" x14ac:dyDescent="0.3">
      <c r="A340" t="s">
        <v>366</v>
      </c>
      <c r="B340" s="2">
        <v>4.9653807870370367E-2</v>
      </c>
      <c r="C340" s="2">
        <v>4.9642233796296294E-2</v>
      </c>
      <c r="D340" s="2">
        <v>4.9653807870370367E-2</v>
      </c>
      <c r="E340" t="s">
        <v>26</v>
      </c>
      <c r="F340" t="s">
        <v>32</v>
      </c>
      <c r="G340">
        <v>0.80820105820105803</v>
      </c>
      <c r="H340">
        <v>0.495867768595041</v>
      </c>
    </row>
    <row r="341" spans="1:8" x14ac:dyDescent="0.3">
      <c r="A341" t="s">
        <v>367</v>
      </c>
      <c r="B341" s="2">
        <v>4.9806990740740742E-2</v>
      </c>
      <c r="C341" s="2">
        <v>4.9795416666666668E-2</v>
      </c>
      <c r="D341" s="2">
        <v>4.9806990740740742E-2</v>
      </c>
      <c r="E341" t="s">
        <v>26</v>
      </c>
      <c r="F341" t="s">
        <v>32</v>
      </c>
      <c r="G341">
        <v>0.83994708994709</v>
      </c>
      <c r="H341">
        <v>9.9173553719008045E-2</v>
      </c>
    </row>
    <row r="342" spans="1:8" x14ac:dyDescent="0.3">
      <c r="A342" t="s">
        <v>368</v>
      </c>
      <c r="B342" s="2">
        <v>5.0140219907407406E-2</v>
      </c>
      <c r="C342" s="2">
        <v>5.0128645833333332E-2</v>
      </c>
      <c r="D342" s="2">
        <v>5.0140219907407406E-2</v>
      </c>
      <c r="E342" t="s">
        <v>26</v>
      </c>
      <c r="F342" t="s">
        <v>42</v>
      </c>
      <c r="G342">
        <v>0.42195767195767198</v>
      </c>
      <c r="H342">
        <v>0.69834710743801698</v>
      </c>
    </row>
    <row r="343" spans="1:8" x14ac:dyDescent="0.3">
      <c r="A343" t="s">
        <v>369</v>
      </c>
      <c r="B343" s="2">
        <v>5.0268622685185185E-2</v>
      </c>
      <c r="C343" s="2">
        <v>5.0257048611111112E-2</v>
      </c>
      <c r="D343" s="2">
        <v>5.0268622685185185E-2</v>
      </c>
      <c r="E343" t="s">
        <v>26</v>
      </c>
      <c r="F343" t="s">
        <v>198</v>
      </c>
      <c r="G343">
        <v>0.54629629629629595</v>
      </c>
      <c r="H343">
        <v>0.64876033057851201</v>
      </c>
    </row>
    <row r="344" spans="1:8" x14ac:dyDescent="0.3">
      <c r="A344" t="s">
        <v>370</v>
      </c>
      <c r="B344" s="2">
        <v>5.0386863425925923E-2</v>
      </c>
      <c r="C344" s="2">
        <v>5.037528935185185E-2</v>
      </c>
      <c r="D344" s="2">
        <v>5.0386863425925923E-2</v>
      </c>
      <c r="E344" t="s">
        <v>26</v>
      </c>
      <c r="F344" t="s">
        <v>42</v>
      </c>
      <c r="G344">
        <v>0.59126984126984095</v>
      </c>
      <c r="H344">
        <v>0.58677685950413205</v>
      </c>
    </row>
    <row r="345" spans="1:8" x14ac:dyDescent="0.3">
      <c r="A345" t="s">
        <v>371</v>
      </c>
      <c r="B345" s="2">
        <v>5.0603460648148149E-2</v>
      </c>
      <c r="C345" s="2">
        <v>5.0591886574074076E-2</v>
      </c>
      <c r="D345" s="2">
        <v>5.0603460648148149E-2</v>
      </c>
      <c r="E345" t="s">
        <v>26</v>
      </c>
      <c r="F345" t="s">
        <v>46</v>
      </c>
      <c r="G345">
        <v>0.59391534391534395</v>
      </c>
      <c r="H345">
        <v>0.56611570247933907</v>
      </c>
    </row>
    <row r="346" spans="1:8" x14ac:dyDescent="0.3">
      <c r="A346" t="s">
        <v>372</v>
      </c>
      <c r="B346" s="2">
        <v>5.0918738425925925E-2</v>
      </c>
      <c r="C346" s="2">
        <v>5.0907164351851851E-2</v>
      </c>
      <c r="D346" s="2">
        <v>5.0918738425925925E-2</v>
      </c>
      <c r="E346" t="s">
        <v>26</v>
      </c>
      <c r="F346" t="s">
        <v>58</v>
      </c>
      <c r="G346">
        <v>0.35317460317460297</v>
      </c>
      <c r="H346">
        <v>0.13223140495867802</v>
      </c>
    </row>
    <row r="347" spans="1:8" x14ac:dyDescent="0.3">
      <c r="A347" t="s">
        <v>373</v>
      </c>
      <c r="B347" s="2">
        <v>5.1223518518518515E-2</v>
      </c>
      <c r="C347" s="2">
        <v>5.1211944444444442E-2</v>
      </c>
      <c r="D347" s="2">
        <v>5.1223518518518515E-2</v>
      </c>
      <c r="E347" t="s">
        <v>26</v>
      </c>
      <c r="F347" t="s">
        <v>42</v>
      </c>
      <c r="G347">
        <v>0.53835978835978804</v>
      </c>
      <c r="H347">
        <v>0.81404958677686001</v>
      </c>
    </row>
    <row r="348" spans="1:8" x14ac:dyDescent="0.3">
      <c r="A348" t="s">
        <v>374</v>
      </c>
      <c r="B348" s="2">
        <v>5.1318738425925929E-2</v>
      </c>
      <c r="C348" s="2">
        <v>5.1307164351851849E-2</v>
      </c>
      <c r="D348" s="2">
        <v>5.1318738425925929E-2</v>
      </c>
      <c r="E348" t="s">
        <v>26</v>
      </c>
      <c r="F348" t="s">
        <v>67</v>
      </c>
      <c r="G348">
        <v>0.35317460317460297</v>
      </c>
      <c r="H348">
        <v>0.85123966942148799</v>
      </c>
    </row>
    <row r="349" spans="1:8" x14ac:dyDescent="0.3">
      <c r="A349" t="s">
        <v>375</v>
      </c>
      <c r="B349" s="2">
        <v>5.1397569444444444E-2</v>
      </c>
      <c r="C349" s="2">
        <v>5.138599537037037E-2</v>
      </c>
      <c r="D349" s="2">
        <v>5.1397569444444444E-2</v>
      </c>
      <c r="E349" t="s">
        <v>26</v>
      </c>
      <c r="F349" t="s">
        <v>67</v>
      </c>
      <c r="G349">
        <v>0.112433862433862</v>
      </c>
      <c r="H349">
        <v>0.64876033057851201</v>
      </c>
    </row>
    <row r="350" spans="1:8" x14ac:dyDescent="0.3">
      <c r="A350" t="s">
        <v>376</v>
      </c>
      <c r="B350" s="2">
        <v>5.1532569444444447E-2</v>
      </c>
      <c r="C350" s="2">
        <v>5.1520995370370373E-2</v>
      </c>
      <c r="D350" s="2">
        <v>5.1532569444444447E-2</v>
      </c>
      <c r="E350" t="s">
        <v>26</v>
      </c>
      <c r="F350" t="s">
        <v>42</v>
      </c>
      <c r="G350">
        <v>0.67592592592592604</v>
      </c>
      <c r="H350">
        <v>0.5</v>
      </c>
    </row>
    <row r="351" spans="1:8" x14ac:dyDescent="0.3">
      <c r="A351" t="s">
        <v>377</v>
      </c>
      <c r="B351" s="2">
        <v>5.1629479166666666E-2</v>
      </c>
      <c r="C351" s="2">
        <v>5.1617905092592592E-2</v>
      </c>
      <c r="D351" s="2">
        <v>5.1629479166666666E-2</v>
      </c>
      <c r="E351" t="s">
        <v>26</v>
      </c>
      <c r="F351" t="s">
        <v>46</v>
      </c>
      <c r="G351">
        <v>0.32407407407407401</v>
      </c>
      <c r="H351">
        <v>0.74793388429752095</v>
      </c>
    </row>
    <row r="352" spans="1:8" x14ac:dyDescent="0.3">
      <c r="A352" t="s">
        <v>378</v>
      </c>
      <c r="B352" s="2">
        <v>5.2212581018518521E-2</v>
      </c>
      <c r="C352" s="2">
        <v>5.2201006944444447E-2</v>
      </c>
      <c r="D352" s="2">
        <v>5.2212581018518521E-2</v>
      </c>
      <c r="E352" t="s">
        <v>26</v>
      </c>
      <c r="F352" t="s">
        <v>67</v>
      </c>
      <c r="G352">
        <v>0.18650793650793601</v>
      </c>
      <c r="H352">
        <v>0.85950413223140498</v>
      </c>
    </row>
    <row r="353" spans="1:8" x14ac:dyDescent="0.3">
      <c r="A353" t="s">
        <v>379</v>
      </c>
      <c r="B353" s="2">
        <v>5.2686134259259262E-2</v>
      </c>
      <c r="C353" s="2">
        <v>5.2674560185185182E-2</v>
      </c>
      <c r="D353" s="2">
        <v>5.2686134259259262E-2</v>
      </c>
      <c r="E353" t="s">
        <v>26</v>
      </c>
      <c r="F353" t="s">
        <v>46</v>
      </c>
      <c r="G353">
        <v>0.64417989417989396</v>
      </c>
      <c r="H353">
        <v>0.73966942148760295</v>
      </c>
    </row>
    <row r="354" spans="1:8" x14ac:dyDescent="0.3">
      <c r="A354" t="s">
        <v>380</v>
      </c>
      <c r="B354" s="2">
        <v>5.3901956018518521E-2</v>
      </c>
      <c r="C354" s="2">
        <v>5.3890381944444447E-2</v>
      </c>
      <c r="D354" s="2">
        <v>5.3901956018518521E-2</v>
      </c>
      <c r="E354" t="s">
        <v>26</v>
      </c>
      <c r="F354" t="s">
        <v>38</v>
      </c>
      <c r="G354">
        <v>0.14417989417989399</v>
      </c>
      <c r="H354">
        <v>0.38429752066115697</v>
      </c>
    </row>
    <row r="355" spans="1:8" x14ac:dyDescent="0.3">
      <c r="A355" t="s">
        <v>381</v>
      </c>
      <c r="B355" s="2">
        <v>5.5272164351851852E-2</v>
      </c>
      <c r="C355" s="2">
        <v>5.5260590277777778E-2</v>
      </c>
      <c r="D355" s="2">
        <v>5.5272164351851852E-2</v>
      </c>
      <c r="E355" t="s">
        <v>26</v>
      </c>
      <c r="F355" t="s">
        <v>198</v>
      </c>
      <c r="G355">
        <v>0.87962962962962998</v>
      </c>
      <c r="H355">
        <v>0.95867768595041325</v>
      </c>
    </row>
    <row r="356" spans="1:8" x14ac:dyDescent="0.3">
      <c r="A356" t="s">
        <v>382</v>
      </c>
      <c r="B356" s="2">
        <v>5.6306041666666667E-2</v>
      </c>
      <c r="C356" s="2">
        <v>5.6294467592592594E-2</v>
      </c>
      <c r="D356" s="2">
        <v>5.6306041666666667E-2</v>
      </c>
      <c r="E356" t="s">
        <v>26</v>
      </c>
      <c r="F356" t="s">
        <v>198</v>
      </c>
      <c r="G356">
        <v>0.55158730158730196</v>
      </c>
      <c r="H356">
        <v>0.669421487603306</v>
      </c>
    </row>
    <row r="357" spans="1:8" x14ac:dyDescent="0.3">
      <c r="A357" t="s">
        <v>383</v>
      </c>
      <c r="B357" s="2">
        <v>5.6453078703703703E-2</v>
      </c>
      <c r="C357" s="2">
        <v>5.644150462962963E-2</v>
      </c>
      <c r="D357" s="2">
        <v>5.6453078703703703E-2</v>
      </c>
      <c r="E357" t="s">
        <v>26</v>
      </c>
      <c r="F357" t="s">
        <v>44</v>
      </c>
      <c r="G357">
        <v>0.41402116402116401</v>
      </c>
      <c r="H357">
        <v>0.9049586776859504</v>
      </c>
    </row>
    <row r="358" spans="1:8" x14ac:dyDescent="0.3">
      <c r="A358" t="s">
        <v>384</v>
      </c>
      <c r="B358" s="2">
        <v>5.6962638888888889E-2</v>
      </c>
      <c r="C358" s="2">
        <v>5.6951064814814815E-2</v>
      </c>
      <c r="D358" s="2">
        <v>5.6962638888888889E-2</v>
      </c>
      <c r="E358" t="s">
        <v>26</v>
      </c>
      <c r="F358" t="s">
        <v>44</v>
      </c>
      <c r="G358">
        <v>0.170634920634921</v>
      </c>
      <c r="H358">
        <v>0.64876033057851201</v>
      </c>
    </row>
    <row r="359" spans="1:8" x14ac:dyDescent="0.3">
      <c r="A359" t="s">
        <v>385</v>
      </c>
      <c r="B359" s="2">
        <v>5.7159814814814816E-2</v>
      </c>
      <c r="C359" s="2">
        <v>5.7148240740740743E-2</v>
      </c>
      <c r="D359" s="2">
        <v>5.7159814814814816E-2</v>
      </c>
      <c r="E359" t="s">
        <v>26</v>
      </c>
      <c r="F359" t="s">
        <v>32</v>
      </c>
      <c r="G359">
        <v>0.83201058201058198</v>
      </c>
      <c r="H359">
        <v>0.89669421487603296</v>
      </c>
    </row>
    <row r="360" spans="1:8" x14ac:dyDescent="0.3">
      <c r="A360" t="s">
        <v>386</v>
      </c>
      <c r="B360" s="2">
        <v>5.850488425925926E-2</v>
      </c>
      <c r="C360" s="2">
        <v>5.8493310185185186E-2</v>
      </c>
      <c r="D360" s="2">
        <v>5.850488425925926E-2</v>
      </c>
      <c r="E360" t="s">
        <v>26</v>
      </c>
      <c r="F360" t="s">
        <v>198</v>
      </c>
      <c r="G360">
        <v>0.60714285714285698</v>
      </c>
      <c r="H360">
        <v>0.27685950413223104</v>
      </c>
    </row>
    <row r="361" spans="1:8" x14ac:dyDescent="0.3">
      <c r="A361" t="s">
        <v>387</v>
      </c>
      <c r="B361" s="2">
        <v>5.9805902777777781E-2</v>
      </c>
      <c r="C361" s="2">
        <v>5.9794328703703707E-2</v>
      </c>
      <c r="D361" s="2">
        <v>5.9805902777777781E-2</v>
      </c>
      <c r="E361" t="s">
        <v>26</v>
      </c>
      <c r="F361" t="s">
        <v>44</v>
      </c>
      <c r="G361">
        <v>0.702380952380952</v>
      </c>
      <c r="H361">
        <v>0.26446280991735505</v>
      </c>
    </row>
    <row r="362" spans="1:8" x14ac:dyDescent="0.3">
      <c r="A362" t="s">
        <v>388</v>
      </c>
      <c r="B362" s="2">
        <v>5.9838067129629628E-2</v>
      </c>
      <c r="C362" s="2">
        <v>5.9826493055555555E-2</v>
      </c>
      <c r="D362" s="2">
        <v>5.9838067129629628E-2</v>
      </c>
      <c r="E362" t="s">
        <v>26</v>
      </c>
      <c r="F362" t="s">
        <v>44</v>
      </c>
      <c r="G362">
        <v>0.59656084656084696</v>
      </c>
      <c r="H362">
        <v>0.35537190082644599</v>
      </c>
    </row>
    <row r="363" spans="1:8" x14ac:dyDescent="0.3">
      <c r="A363" t="s">
        <v>389</v>
      </c>
      <c r="B363" s="2">
        <v>6.1483634259259262E-2</v>
      </c>
      <c r="C363" s="2">
        <v>6.1472060185185189E-2</v>
      </c>
      <c r="D363" s="2">
        <v>6.1483634259259262E-2</v>
      </c>
      <c r="E363" t="s">
        <v>26</v>
      </c>
      <c r="F363" t="s">
        <v>198</v>
      </c>
      <c r="G363">
        <v>0.342592592592593</v>
      </c>
      <c r="H363">
        <v>0.54132231404958697</v>
      </c>
    </row>
    <row r="364" spans="1:8" x14ac:dyDescent="0.3">
      <c r="A364" t="s">
        <v>390</v>
      </c>
      <c r="B364" s="2">
        <v>6.2347881944444447E-2</v>
      </c>
      <c r="C364" s="2">
        <v>6.2336307870370374E-2</v>
      </c>
      <c r="D364" s="2">
        <v>6.2347881944444447E-2</v>
      </c>
      <c r="E364" t="s">
        <v>26</v>
      </c>
      <c r="F364" t="s">
        <v>67</v>
      </c>
      <c r="G364">
        <v>0.42195767195767198</v>
      </c>
      <c r="H364">
        <v>0.97107438016528935</v>
      </c>
    </row>
    <row r="365" spans="1:8" x14ac:dyDescent="0.3">
      <c r="A365" t="s">
        <v>391</v>
      </c>
      <c r="B365" s="2">
        <v>6.2935243055555562E-2</v>
      </c>
      <c r="C365" s="2">
        <v>6.2923668981481481E-2</v>
      </c>
      <c r="D365" s="2">
        <v>6.2935243055555562E-2</v>
      </c>
      <c r="E365" t="s">
        <v>26</v>
      </c>
      <c r="F365" t="s">
        <v>46</v>
      </c>
      <c r="G365">
        <v>0.18650793650793601</v>
      </c>
      <c r="H365">
        <v>0.88429752066115697</v>
      </c>
    </row>
    <row r="366" spans="1:8" x14ac:dyDescent="0.3">
      <c r="A366" t="s">
        <v>392</v>
      </c>
      <c r="B366" s="2">
        <v>6.3740219907407414E-2</v>
      </c>
      <c r="C366" s="2">
        <v>6.3728645833333333E-2</v>
      </c>
      <c r="D366" s="2">
        <v>6.3740219907407414E-2</v>
      </c>
      <c r="E366" t="s">
        <v>26</v>
      </c>
      <c r="F366" t="s">
        <v>46</v>
      </c>
      <c r="G366">
        <v>0.456349206349206</v>
      </c>
      <c r="H366">
        <v>0.54958677685950397</v>
      </c>
    </row>
    <row r="367" spans="1:8" x14ac:dyDescent="0.3">
      <c r="A367" t="s">
        <v>393</v>
      </c>
      <c r="B367" s="2">
        <v>6.4489849537037042E-2</v>
      </c>
      <c r="C367" s="2">
        <v>6.4478275462962961E-2</v>
      </c>
      <c r="D367" s="2">
        <v>6.4489849537037042E-2</v>
      </c>
      <c r="E367" t="s">
        <v>26</v>
      </c>
      <c r="F367" t="s">
        <v>51</v>
      </c>
      <c r="G367">
        <v>0.61772486772486801</v>
      </c>
      <c r="H367">
        <v>0.42561983471074405</v>
      </c>
    </row>
    <row r="368" spans="1:8" x14ac:dyDescent="0.3">
      <c r="A368" t="s">
        <v>394</v>
      </c>
      <c r="B368" s="2">
        <v>6.5260474537037039E-2</v>
      </c>
      <c r="C368" s="2">
        <v>6.5248900462962958E-2</v>
      </c>
      <c r="D368" s="2">
        <v>6.5260474537037039E-2</v>
      </c>
      <c r="E368" t="s">
        <v>26</v>
      </c>
      <c r="F368" t="s">
        <v>264</v>
      </c>
      <c r="G368">
        <v>9.6560846560846597E-2</v>
      </c>
      <c r="H368">
        <v>0.67768595041322299</v>
      </c>
    </row>
    <row r="369" spans="1:10" x14ac:dyDescent="0.3">
      <c r="A369" t="s">
        <v>395</v>
      </c>
      <c r="B369" s="2">
        <v>6.6619745370370367E-2</v>
      </c>
      <c r="C369" s="2">
        <v>6.6608171296296301E-2</v>
      </c>
      <c r="D369" s="2">
        <v>6.6619745370370367E-2</v>
      </c>
      <c r="E369" t="s">
        <v>26</v>
      </c>
      <c r="F369" t="s">
        <v>44</v>
      </c>
      <c r="G369">
        <v>0.40343915343915299</v>
      </c>
      <c r="H369">
        <v>0.91735537190082639</v>
      </c>
    </row>
    <row r="370" spans="1:10" x14ac:dyDescent="0.3">
      <c r="A370" t="s">
        <v>396</v>
      </c>
      <c r="B370" s="2">
        <v>6.6800219907407407E-2</v>
      </c>
      <c r="C370" s="2">
        <v>6.6788645833333327E-2</v>
      </c>
      <c r="D370" s="2">
        <v>6.6800219907407407E-2</v>
      </c>
      <c r="E370" t="s">
        <v>26</v>
      </c>
      <c r="F370" t="s">
        <v>38</v>
      </c>
      <c r="G370">
        <v>0.34523809523809501</v>
      </c>
      <c r="H370">
        <v>0.74380165289256195</v>
      </c>
    </row>
    <row r="371" spans="1:10" x14ac:dyDescent="0.3">
      <c r="A371" t="s">
        <v>397</v>
      </c>
      <c r="B371" s="2">
        <v>6.7151307870370366E-2</v>
      </c>
      <c r="C371" s="2">
        <v>6.71397337962963E-2</v>
      </c>
      <c r="D371" s="2">
        <v>6.7151307870370366E-2</v>
      </c>
      <c r="E371" t="s">
        <v>26</v>
      </c>
      <c r="F371" t="s">
        <v>67</v>
      </c>
      <c r="G371">
        <v>0.54365079365079405</v>
      </c>
      <c r="H371">
        <v>0.96280991735537191</v>
      </c>
    </row>
    <row r="373" spans="1:10" ht="23.4" x14ac:dyDescent="0.45">
      <c r="A373" s="43" t="s">
        <v>398</v>
      </c>
      <c r="B373" s="44"/>
      <c r="C373" s="44"/>
      <c r="D373" s="44"/>
      <c r="H373" s="45" t="s">
        <v>15</v>
      </c>
      <c r="I373" s="45" t="s">
        <v>15</v>
      </c>
    </row>
    <row r="374" spans="1:10" x14ac:dyDescent="0.3">
      <c r="A374" s="1" t="s">
        <v>16</v>
      </c>
      <c r="B374" s="1" t="s">
        <v>17</v>
      </c>
      <c r="C374" s="1" t="s">
        <v>18</v>
      </c>
      <c r="D374" s="1" t="s">
        <v>19</v>
      </c>
      <c r="E374" s="1" t="s">
        <v>20</v>
      </c>
      <c r="F374" s="1" t="s">
        <v>21</v>
      </c>
      <c r="G374" s="1" t="s">
        <v>22</v>
      </c>
      <c r="H374" s="1" t="s">
        <v>23</v>
      </c>
      <c r="I374" s="1" t="s">
        <v>24</v>
      </c>
      <c r="J374" s="1"/>
    </row>
    <row r="375" spans="1:10" x14ac:dyDescent="0.3">
      <c r="A375" t="s">
        <v>399</v>
      </c>
      <c r="B375" s="2">
        <v>2.0149884259259257E-3</v>
      </c>
      <c r="C375" s="2">
        <v>2.0034143518518517E-3</v>
      </c>
      <c r="D375" s="2">
        <v>2.0265625000000002E-3</v>
      </c>
      <c r="E375" t="s">
        <v>26</v>
      </c>
      <c r="F375" t="s">
        <v>42</v>
      </c>
      <c r="G375" t="s">
        <v>400</v>
      </c>
      <c r="H375">
        <v>0.14226519337016599</v>
      </c>
      <c r="I375">
        <v>0.48275862068965503</v>
      </c>
    </row>
    <row r="376" spans="1:10" x14ac:dyDescent="0.3">
      <c r="A376" t="s">
        <v>401</v>
      </c>
      <c r="B376" s="2">
        <v>2.6115972222222222E-3</v>
      </c>
      <c r="C376" s="2">
        <v>2.6000231481481482E-3</v>
      </c>
      <c r="D376" s="2">
        <v>2.6231712962962962E-3</v>
      </c>
      <c r="E376" t="s">
        <v>26</v>
      </c>
      <c r="F376" t="s">
        <v>38</v>
      </c>
      <c r="G376" t="s">
        <v>402</v>
      </c>
      <c r="H376">
        <v>0.64226519337016597</v>
      </c>
      <c r="I376">
        <v>0.24137931034482796</v>
      </c>
    </row>
    <row r="377" spans="1:10" x14ac:dyDescent="0.3">
      <c r="A377" t="s">
        <v>403</v>
      </c>
      <c r="B377" s="2">
        <v>3.2123263888888887E-3</v>
      </c>
      <c r="C377" s="2">
        <v>3.2007523148148147E-3</v>
      </c>
      <c r="D377" s="2">
        <v>3.2239004629629631E-3</v>
      </c>
      <c r="E377" t="s">
        <v>26</v>
      </c>
      <c r="F377" t="s">
        <v>30</v>
      </c>
      <c r="G377" t="s">
        <v>402</v>
      </c>
      <c r="H377">
        <v>0.59254143646408797</v>
      </c>
      <c r="I377">
        <v>4.3103448275861989E-2</v>
      </c>
    </row>
    <row r="378" spans="1:10" x14ac:dyDescent="0.3">
      <c r="A378" t="s">
        <v>404</v>
      </c>
      <c r="B378" s="2">
        <v>3.7941550925925925E-3</v>
      </c>
      <c r="C378" s="2">
        <v>3.7825810185185185E-3</v>
      </c>
      <c r="D378" s="2">
        <v>3.8057291666666665E-3</v>
      </c>
      <c r="E378" t="s">
        <v>26</v>
      </c>
      <c r="F378" t="s">
        <v>38</v>
      </c>
      <c r="G378" t="s">
        <v>402</v>
      </c>
      <c r="H378">
        <v>0.88812154696132595</v>
      </c>
      <c r="I378">
        <v>0.37931034482758597</v>
      </c>
    </row>
    <row r="379" spans="1:10" x14ac:dyDescent="0.3">
      <c r="A379" t="s">
        <v>405</v>
      </c>
      <c r="B379" s="2">
        <v>4.1082986111111112E-3</v>
      </c>
      <c r="C379" s="2">
        <v>4.0967245370370367E-3</v>
      </c>
      <c r="D379" s="2">
        <v>4.1198726851851856E-3</v>
      </c>
      <c r="E379" t="s">
        <v>26</v>
      </c>
      <c r="F379" t="s">
        <v>42</v>
      </c>
      <c r="G379" t="s">
        <v>400</v>
      </c>
      <c r="H379">
        <v>0.68646408839779005</v>
      </c>
      <c r="I379">
        <v>0.59051724137931005</v>
      </c>
    </row>
    <row r="380" spans="1:10" x14ac:dyDescent="0.3">
      <c r="A380" t="s">
        <v>406</v>
      </c>
      <c r="B380" s="2">
        <v>6.2101388888888892E-3</v>
      </c>
      <c r="C380" s="2">
        <v>6.1985648148148147E-3</v>
      </c>
      <c r="D380" s="2">
        <v>6.2217129629629627E-3</v>
      </c>
      <c r="E380" t="s">
        <v>26</v>
      </c>
      <c r="F380" t="s">
        <v>46</v>
      </c>
      <c r="G380" t="s">
        <v>402</v>
      </c>
      <c r="H380">
        <v>0.34392265193370197</v>
      </c>
      <c r="I380">
        <v>0.57327586206896597</v>
      </c>
    </row>
    <row r="381" spans="1:10" x14ac:dyDescent="0.3">
      <c r="A381" t="s">
        <v>407</v>
      </c>
      <c r="B381" s="2">
        <v>6.4055555555555558E-3</v>
      </c>
      <c r="C381" s="2">
        <v>6.3939814814814814E-3</v>
      </c>
      <c r="D381" s="2">
        <v>6.4171296296296294E-3</v>
      </c>
      <c r="E381" t="s">
        <v>26</v>
      </c>
      <c r="F381" t="s">
        <v>44</v>
      </c>
      <c r="G381" t="s">
        <v>400</v>
      </c>
      <c r="H381">
        <v>0.399171270718232</v>
      </c>
      <c r="I381">
        <v>0.12931034482758597</v>
      </c>
    </row>
    <row r="382" spans="1:10" x14ac:dyDescent="0.3">
      <c r="A382" t="s">
        <v>408</v>
      </c>
      <c r="B382" s="2">
        <v>7.1548379629629627E-3</v>
      </c>
      <c r="C382" s="2">
        <v>7.1432638888888891E-3</v>
      </c>
      <c r="D382" s="2">
        <v>7.1664120370370371E-3</v>
      </c>
      <c r="E382" t="s">
        <v>26</v>
      </c>
      <c r="F382" t="s">
        <v>30</v>
      </c>
      <c r="G382" t="s">
        <v>402</v>
      </c>
      <c r="H382">
        <v>0.125690607734807</v>
      </c>
      <c r="I382">
        <v>0.13793103448275901</v>
      </c>
    </row>
    <row r="383" spans="1:10" x14ac:dyDescent="0.3">
      <c r="A383" t="s">
        <v>409</v>
      </c>
      <c r="B383" s="2">
        <v>7.1930324074074075E-3</v>
      </c>
      <c r="C383" s="2">
        <v>7.1814583333333331E-3</v>
      </c>
      <c r="D383" s="2">
        <v>7.2046064814814811E-3</v>
      </c>
      <c r="E383" t="s">
        <v>26</v>
      </c>
      <c r="F383" t="s">
        <v>44</v>
      </c>
      <c r="G383" t="s">
        <v>400</v>
      </c>
      <c r="H383">
        <v>0.16436464088397801</v>
      </c>
      <c r="I383">
        <v>8.1896551724138011E-2</v>
      </c>
    </row>
    <row r="384" spans="1:10" x14ac:dyDescent="0.3">
      <c r="A384" t="s">
        <v>410</v>
      </c>
      <c r="B384" s="2">
        <v>7.2173148148148144E-3</v>
      </c>
      <c r="C384" s="2">
        <v>7.2057407407407409E-3</v>
      </c>
      <c r="D384" s="2">
        <v>7.2288888888888889E-3</v>
      </c>
      <c r="E384" t="s">
        <v>26</v>
      </c>
      <c r="F384" t="s">
        <v>40</v>
      </c>
      <c r="G384" t="s">
        <v>400</v>
      </c>
      <c r="H384">
        <v>0.19475138121547</v>
      </c>
      <c r="I384">
        <v>0.13362068965517204</v>
      </c>
    </row>
    <row r="385" spans="1:9" x14ac:dyDescent="0.3">
      <c r="A385" t="s">
        <v>411</v>
      </c>
      <c r="B385" s="2">
        <v>7.4844328703703705E-3</v>
      </c>
      <c r="C385" s="2">
        <v>7.472858796296296E-3</v>
      </c>
      <c r="D385" s="2">
        <v>7.496006944444444E-3</v>
      </c>
      <c r="E385" t="s">
        <v>26</v>
      </c>
      <c r="F385" t="s">
        <v>44</v>
      </c>
      <c r="G385" t="s">
        <v>400</v>
      </c>
      <c r="H385">
        <v>0.41574585635359101</v>
      </c>
      <c r="I385">
        <v>0.29741379310344795</v>
      </c>
    </row>
    <row r="386" spans="1:9" x14ac:dyDescent="0.3">
      <c r="A386" t="s">
        <v>412</v>
      </c>
      <c r="B386" s="2">
        <v>7.5006134259259262E-3</v>
      </c>
      <c r="C386" s="2">
        <v>7.4890393518518518E-3</v>
      </c>
      <c r="D386" s="2">
        <v>7.5121874999999998E-3</v>
      </c>
      <c r="E386" t="s">
        <v>26</v>
      </c>
      <c r="F386" t="s">
        <v>42</v>
      </c>
      <c r="G386" t="s">
        <v>402</v>
      </c>
      <c r="H386">
        <v>0.45994475138121499</v>
      </c>
      <c r="I386">
        <v>0.49137931034482796</v>
      </c>
    </row>
    <row r="387" spans="1:9" x14ac:dyDescent="0.3">
      <c r="A387" t="s">
        <v>413</v>
      </c>
      <c r="B387" s="2">
        <v>7.5584375000000001E-3</v>
      </c>
      <c r="C387" s="2">
        <v>7.5468634259259256E-3</v>
      </c>
      <c r="D387" s="2">
        <v>7.5700115740740745E-3</v>
      </c>
      <c r="E387" t="s">
        <v>26</v>
      </c>
      <c r="F387" t="s">
        <v>30</v>
      </c>
      <c r="G387" t="s">
        <v>400</v>
      </c>
      <c r="H387">
        <v>0.33563535911602199</v>
      </c>
      <c r="I387">
        <v>0.193965517241379</v>
      </c>
    </row>
    <row r="388" spans="1:9" x14ac:dyDescent="0.3">
      <c r="A388" t="s">
        <v>414</v>
      </c>
      <c r="B388" s="2">
        <v>7.6270486111111114E-3</v>
      </c>
      <c r="C388" s="2">
        <v>7.6154745370370369E-3</v>
      </c>
      <c r="D388" s="2">
        <v>7.6386226851851849E-3</v>
      </c>
      <c r="E388" t="s">
        <v>26</v>
      </c>
      <c r="F388" t="s">
        <v>44</v>
      </c>
      <c r="G388" t="s">
        <v>402</v>
      </c>
      <c r="H388">
        <v>0.109116022099448</v>
      </c>
      <c r="I388">
        <v>0.10775862068965503</v>
      </c>
    </row>
    <row r="389" spans="1:9" x14ac:dyDescent="0.3">
      <c r="A389" t="s">
        <v>415</v>
      </c>
      <c r="B389" s="2">
        <v>8.1061574074074074E-3</v>
      </c>
      <c r="C389" s="2">
        <v>8.0945833333333338E-3</v>
      </c>
      <c r="D389" s="2">
        <v>8.117731481481481E-3</v>
      </c>
      <c r="E389" t="s">
        <v>26</v>
      </c>
      <c r="F389" t="s">
        <v>51</v>
      </c>
      <c r="G389" t="s">
        <v>400</v>
      </c>
      <c r="H389">
        <v>0.388121546961326</v>
      </c>
      <c r="I389">
        <v>0.74137931034482807</v>
      </c>
    </row>
    <row r="390" spans="1:9" x14ac:dyDescent="0.3">
      <c r="A390" t="s">
        <v>416</v>
      </c>
      <c r="B390" s="2">
        <v>8.9780439814814809E-3</v>
      </c>
      <c r="C390" s="2">
        <v>8.9664699074074074E-3</v>
      </c>
      <c r="D390" s="2">
        <v>8.9896180555555563E-3</v>
      </c>
      <c r="E390" t="s">
        <v>26</v>
      </c>
      <c r="F390" t="s">
        <v>42</v>
      </c>
      <c r="G390" t="s">
        <v>402</v>
      </c>
      <c r="H390">
        <v>0.37983425414364602</v>
      </c>
      <c r="I390">
        <v>0.88793103448275901</v>
      </c>
    </row>
    <row r="391" spans="1:9" x14ac:dyDescent="0.3">
      <c r="A391" t="s">
        <v>417</v>
      </c>
      <c r="B391" s="2">
        <v>9.1593402777777784E-3</v>
      </c>
      <c r="C391" s="2">
        <v>9.1477662037037031E-3</v>
      </c>
      <c r="D391" s="2">
        <v>9.170914351851852E-3</v>
      </c>
      <c r="E391" t="s">
        <v>26</v>
      </c>
      <c r="F391" t="s">
        <v>26</v>
      </c>
      <c r="G391" t="s">
        <v>402</v>
      </c>
      <c r="H391">
        <v>0.35773480662983398</v>
      </c>
      <c r="I391">
        <v>0.38362068965517204</v>
      </c>
    </row>
    <row r="392" spans="1:9" x14ac:dyDescent="0.3">
      <c r="A392" t="s">
        <v>418</v>
      </c>
      <c r="B392" s="2">
        <v>9.8620717592592597E-3</v>
      </c>
      <c r="C392" s="2">
        <v>9.8504976851851844E-3</v>
      </c>
      <c r="D392" s="2">
        <v>9.8736458333333332E-3</v>
      </c>
      <c r="E392" t="s">
        <v>26</v>
      </c>
      <c r="F392" t="s">
        <v>42</v>
      </c>
      <c r="G392" t="s">
        <v>402</v>
      </c>
      <c r="H392">
        <v>0.27762430939226501</v>
      </c>
      <c r="I392">
        <v>0.96982758620689657</v>
      </c>
    </row>
    <row r="393" spans="1:9" x14ac:dyDescent="0.3">
      <c r="A393" t="s">
        <v>419</v>
      </c>
      <c r="B393" s="2">
        <v>1.0421712962962962E-2</v>
      </c>
      <c r="C393" s="2">
        <v>1.0410138888888889E-2</v>
      </c>
      <c r="D393" s="2">
        <v>1.0433287037037038E-2</v>
      </c>
      <c r="E393" t="s">
        <v>26</v>
      </c>
      <c r="F393" t="s">
        <v>58</v>
      </c>
      <c r="G393" t="s">
        <v>402</v>
      </c>
      <c r="H393">
        <v>8.7016574585635401E-2</v>
      </c>
      <c r="I393">
        <v>0.80172413793103403</v>
      </c>
    </row>
    <row r="394" spans="1:9" x14ac:dyDescent="0.3">
      <c r="A394" t="s">
        <v>420</v>
      </c>
      <c r="B394" s="2">
        <v>1.0646643518518519E-2</v>
      </c>
      <c r="C394" s="2">
        <v>1.0635069444444445E-2</v>
      </c>
      <c r="D394" s="2">
        <v>1.0658217592592592E-2</v>
      </c>
      <c r="E394" t="s">
        <v>26</v>
      </c>
      <c r="F394" t="s">
        <v>51</v>
      </c>
      <c r="G394" t="s">
        <v>400</v>
      </c>
      <c r="H394">
        <v>0.32734806629834301</v>
      </c>
      <c r="I394">
        <v>0.96982758620689657</v>
      </c>
    </row>
    <row r="395" spans="1:9" x14ac:dyDescent="0.3">
      <c r="A395" t="s">
        <v>421</v>
      </c>
      <c r="B395" s="2">
        <v>1.115775462962963E-2</v>
      </c>
      <c r="C395" s="2">
        <v>1.1146180555555555E-2</v>
      </c>
      <c r="D395" s="2">
        <v>1.1169328703703704E-2</v>
      </c>
      <c r="E395" t="s">
        <v>26</v>
      </c>
      <c r="F395" t="s">
        <v>67</v>
      </c>
      <c r="G395" t="s">
        <v>402</v>
      </c>
      <c r="H395">
        <v>0.22237569060773499</v>
      </c>
      <c r="I395">
        <v>0.97844827586206895</v>
      </c>
    </row>
    <row r="396" spans="1:9" x14ac:dyDescent="0.3">
      <c r="A396" t="s">
        <v>422</v>
      </c>
      <c r="B396" s="2">
        <v>1.2427037037037037E-2</v>
      </c>
      <c r="C396" s="2">
        <v>1.2415462962962963E-2</v>
      </c>
      <c r="D396" s="2">
        <v>1.243861111111111E-2</v>
      </c>
      <c r="E396" t="s">
        <v>26</v>
      </c>
      <c r="F396" t="s">
        <v>38</v>
      </c>
      <c r="G396" t="s">
        <v>402</v>
      </c>
      <c r="H396">
        <v>0.48204419889502798</v>
      </c>
      <c r="I396">
        <v>0.54741379310344795</v>
      </c>
    </row>
    <row r="397" spans="1:9" x14ac:dyDescent="0.3">
      <c r="A397" t="s">
        <v>423</v>
      </c>
      <c r="B397" s="2">
        <v>1.370712962962963E-2</v>
      </c>
      <c r="C397" s="2">
        <v>1.3695555555555556E-2</v>
      </c>
      <c r="D397" s="2">
        <v>1.3718703703703703E-2</v>
      </c>
      <c r="E397" t="s">
        <v>26</v>
      </c>
      <c r="F397" t="s">
        <v>42</v>
      </c>
      <c r="G397" t="s">
        <v>400</v>
      </c>
      <c r="H397">
        <v>0.67265193370165699</v>
      </c>
      <c r="I397">
        <v>0.71120689655172398</v>
      </c>
    </row>
    <row r="398" spans="1:9" x14ac:dyDescent="0.3">
      <c r="A398" t="s">
        <v>424</v>
      </c>
      <c r="B398" s="2">
        <v>1.4087152777777778E-2</v>
      </c>
      <c r="C398" s="2">
        <v>1.4075578703703703E-2</v>
      </c>
      <c r="D398" s="2">
        <v>1.4098726851851852E-2</v>
      </c>
      <c r="E398" t="s">
        <v>26</v>
      </c>
      <c r="F398" t="s">
        <v>26</v>
      </c>
      <c r="G398" t="s">
        <v>400</v>
      </c>
      <c r="H398">
        <v>0.73342541436464104</v>
      </c>
      <c r="I398">
        <v>0.94827586206896552</v>
      </c>
    </row>
    <row r="399" spans="1:9" x14ac:dyDescent="0.3">
      <c r="A399" t="s">
        <v>425</v>
      </c>
      <c r="B399" s="2">
        <v>1.4168495370370371E-2</v>
      </c>
      <c r="C399" s="2">
        <v>1.4156921296296296E-2</v>
      </c>
      <c r="D399" s="2">
        <v>1.4180069444444445E-2</v>
      </c>
      <c r="E399" t="s">
        <v>26</v>
      </c>
      <c r="F399" t="s">
        <v>26</v>
      </c>
      <c r="G399" t="s">
        <v>400</v>
      </c>
      <c r="H399">
        <v>0.70580110497237603</v>
      </c>
      <c r="I399">
        <v>0.9568965517241379</v>
      </c>
    </row>
    <row r="400" spans="1:9" x14ac:dyDescent="0.3">
      <c r="A400" t="s">
        <v>426</v>
      </c>
      <c r="B400" s="2">
        <v>1.6810347222222223E-2</v>
      </c>
      <c r="C400" s="2">
        <v>1.6798773148148149E-2</v>
      </c>
      <c r="D400" s="2">
        <v>1.6821921296296297E-2</v>
      </c>
      <c r="E400" t="s">
        <v>26</v>
      </c>
      <c r="F400" t="s">
        <v>46</v>
      </c>
      <c r="G400" t="s">
        <v>400</v>
      </c>
      <c r="H400">
        <v>0.38535911602209899</v>
      </c>
      <c r="I400">
        <v>0.29310344827586199</v>
      </c>
    </row>
    <row r="401" spans="1:9" x14ac:dyDescent="0.3">
      <c r="A401" t="s">
        <v>427</v>
      </c>
      <c r="B401" s="2">
        <v>1.6845659722222222E-2</v>
      </c>
      <c r="C401" s="2">
        <v>1.6834085648148148E-2</v>
      </c>
      <c r="D401" s="2">
        <v>1.6857233796296296E-2</v>
      </c>
      <c r="E401" t="s">
        <v>26</v>
      </c>
      <c r="F401" t="s">
        <v>30</v>
      </c>
      <c r="G401" t="s">
        <v>402</v>
      </c>
      <c r="H401">
        <v>0.22237569060773499</v>
      </c>
      <c r="I401">
        <v>0.30172413793103403</v>
      </c>
    </row>
    <row r="402" spans="1:9" x14ac:dyDescent="0.3">
      <c r="A402" t="s">
        <v>428</v>
      </c>
      <c r="B402" s="2">
        <v>1.7244745370370372E-2</v>
      </c>
      <c r="C402" s="2">
        <v>1.7233171296296295E-2</v>
      </c>
      <c r="D402" s="2">
        <v>1.7256319444444446E-2</v>
      </c>
      <c r="E402" t="s">
        <v>26</v>
      </c>
      <c r="F402" t="s">
        <v>46</v>
      </c>
      <c r="G402" t="s">
        <v>402</v>
      </c>
      <c r="H402">
        <v>0.109116022099448</v>
      </c>
      <c r="I402">
        <v>0.13362068965517204</v>
      </c>
    </row>
    <row r="403" spans="1:9" x14ac:dyDescent="0.3">
      <c r="A403" t="s">
        <v>429</v>
      </c>
      <c r="B403" s="2">
        <v>1.8729490740740741E-2</v>
      </c>
      <c r="C403" s="2">
        <v>1.8717916666666667E-2</v>
      </c>
      <c r="D403" s="2">
        <v>1.8741064814814815E-2</v>
      </c>
      <c r="E403" t="s">
        <v>26</v>
      </c>
      <c r="F403" t="s">
        <v>44</v>
      </c>
      <c r="G403" t="s">
        <v>400</v>
      </c>
      <c r="H403">
        <v>0.74447513812154698</v>
      </c>
      <c r="I403">
        <v>5.6034482758620996E-2</v>
      </c>
    </row>
    <row r="404" spans="1:9" x14ac:dyDescent="0.3">
      <c r="A404" t="s">
        <v>430</v>
      </c>
      <c r="B404" s="2">
        <v>1.9799872685185186E-2</v>
      </c>
      <c r="C404" s="2">
        <v>1.9788298611111112E-2</v>
      </c>
      <c r="D404" s="2">
        <v>1.981144675925926E-2</v>
      </c>
      <c r="E404" t="s">
        <v>26</v>
      </c>
      <c r="F404" t="s">
        <v>51</v>
      </c>
      <c r="G404" t="s">
        <v>400</v>
      </c>
      <c r="H404">
        <v>0.205801104972376</v>
      </c>
      <c r="I404">
        <v>0.93965517241379315</v>
      </c>
    </row>
    <row r="405" spans="1:9" x14ac:dyDescent="0.3">
      <c r="A405" t="s">
        <v>431</v>
      </c>
      <c r="B405" s="2">
        <v>2.0023136574074073E-2</v>
      </c>
      <c r="C405" s="2">
        <v>2.00115625E-2</v>
      </c>
      <c r="D405" s="2">
        <v>2.0034710648148147E-2</v>
      </c>
      <c r="E405" t="s">
        <v>26</v>
      </c>
      <c r="F405" t="s">
        <v>67</v>
      </c>
      <c r="G405" t="s">
        <v>400</v>
      </c>
      <c r="H405">
        <v>3.7292817679557999E-2</v>
      </c>
      <c r="I405">
        <v>0.82327586206896497</v>
      </c>
    </row>
    <row r="406" spans="1:9" x14ac:dyDescent="0.3">
      <c r="A406" t="s">
        <v>432</v>
      </c>
      <c r="B406" s="2">
        <v>2.097048611111111E-2</v>
      </c>
      <c r="C406" s="2">
        <v>2.0958912037037036E-2</v>
      </c>
      <c r="D406" s="2">
        <v>2.0982060185185183E-2</v>
      </c>
      <c r="E406" t="s">
        <v>26</v>
      </c>
      <c r="F406" t="s">
        <v>42</v>
      </c>
      <c r="G406" t="s">
        <v>402</v>
      </c>
      <c r="H406">
        <v>0.41850828729281803</v>
      </c>
      <c r="I406">
        <v>0.73275862068965503</v>
      </c>
    </row>
    <row r="407" spans="1:9" x14ac:dyDescent="0.3">
      <c r="A407" t="s">
        <v>433</v>
      </c>
      <c r="B407" s="2">
        <v>2.1800740740740742E-2</v>
      </c>
      <c r="C407" s="2">
        <v>2.1789166666666665E-2</v>
      </c>
      <c r="D407" s="2">
        <v>2.1812314814814816E-2</v>
      </c>
      <c r="E407" t="s">
        <v>26</v>
      </c>
      <c r="F407" t="s">
        <v>46</v>
      </c>
      <c r="G407" t="s">
        <v>402</v>
      </c>
      <c r="H407">
        <v>0.31629834254143602</v>
      </c>
      <c r="I407">
        <v>7.3275862068965969E-2</v>
      </c>
    </row>
    <row r="408" spans="1:9" x14ac:dyDescent="0.3">
      <c r="A408" t="s">
        <v>434</v>
      </c>
      <c r="B408" s="2">
        <v>2.2396377314814815E-2</v>
      </c>
      <c r="C408" s="2">
        <v>2.2384803240740742E-2</v>
      </c>
      <c r="D408" s="2">
        <v>2.2407951388888889E-2</v>
      </c>
      <c r="E408" t="s">
        <v>26</v>
      </c>
      <c r="F408" t="s">
        <v>40</v>
      </c>
      <c r="G408" t="s">
        <v>402</v>
      </c>
      <c r="H408">
        <v>0.200276243093923</v>
      </c>
      <c r="I408">
        <v>9.482758620689602E-2</v>
      </c>
    </row>
    <row r="409" spans="1:9" x14ac:dyDescent="0.3">
      <c r="A409" t="s">
        <v>435</v>
      </c>
      <c r="B409" s="2">
        <v>2.2573298611111112E-2</v>
      </c>
      <c r="C409" s="2">
        <v>2.2561724537037038E-2</v>
      </c>
      <c r="D409" s="2">
        <v>2.2584872685185185E-2</v>
      </c>
      <c r="E409" t="s">
        <v>26</v>
      </c>
      <c r="F409" t="s">
        <v>46</v>
      </c>
      <c r="G409" t="s">
        <v>402</v>
      </c>
      <c r="H409">
        <v>0.225138121546961</v>
      </c>
      <c r="I409">
        <v>0.193965517241379</v>
      </c>
    </row>
    <row r="410" spans="1:9" x14ac:dyDescent="0.3">
      <c r="A410" t="s">
        <v>436</v>
      </c>
      <c r="B410" s="2">
        <v>2.43859375E-2</v>
      </c>
      <c r="C410" s="2">
        <v>2.4374363425925926E-2</v>
      </c>
      <c r="D410" s="2">
        <v>2.4397511574074073E-2</v>
      </c>
      <c r="E410" t="s">
        <v>26</v>
      </c>
      <c r="F410" t="s">
        <v>40</v>
      </c>
      <c r="G410" t="s">
        <v>402</v>
      </c>
      <c r="H410">
        <v>0.64779005524861899</v>
      </c>
      <c r="I410">
        <v>0.31465517241379304</v>
      </c>
    </row>
    <row r="411" spans="1:9" x14ac:dyDescent="0.3">
      <c r="A411" t="s">
        <v>437</v>
      </c>
      <c r="B411" s="2">
        <v>2.5485625000000001E-2</v>
      </c>
      <c r="C411" s="2">
        <v>2.5474050925925924E-2</v>
      </c>
      <c r="D411" s="2">
        <v>2.5497199074074075E-2</v>
      </c>
      <c r="E411" t="s">
        <v>26</v>
      </c>
      <c r="F411" t="s">
        <v>58</v>
      </c>
      <c r="G411" t="s">
        <v>400</v>
      </c>
      <c r="H411">
        <v>0.24723756906077299</v>
      </c>
      <c r="I411">
        <v>0.92672413793103448</v>
      </c>
    </row>
    <row r="412" spans="1:9" x14ac:dyDescent="0.3">
      <c r="A412" t="s">
        <v>438</v>
      </c>
      <c r="B412" s="2">
        <v>2.5515682870370371E-2</v>
      </c>
      <c r="C412" s="2">
        <v>2.5504108796296297E-2</v>
      </c>
      <c r="D412" s="2">
        <v>2.5527256944444444E-2</v>
      </c>
      <c r="E412" t="s">
        <v>26</v>
      </c>
      <c r="F412" t="s">
        <v>67</v>
      </c>
      <c r="G412" t="s">
        <v>400</v>
      </c>
      <c r="H412">
        <v>5.6629834254143599E-2</v>
      </c>
      <c r="I412">
        <v>0.81034482758620696</v>
      </c>
    </row>
    <row r="413" spans="1:9" x14ac:dyDescent="0.3">
      <c r="A413" t="s">
        <v>439</v>
      </c>
      <c r="B413" s="2">
        <v>2.5552303240740742E-2</v>
      </c>
      <c r="C413" s="2">
        <v>2.5540729166666668E-2</v>
      </c>
      <c r="D413" s="2">
        <v>2.5563877314814815E-2</v>
      </c>
      <c r="E413" t="s">
        <v>26</v>
      </c>
      <c r="F413" t="s">
        <v>58</v>
      </c>
      <c r="G413" t="s">
        <v>400</v>
      </c>
      <c r="H413">
        <v>3.7292817679557999E-2</v>
      </c>
      <c r="I413">
        <v>0.65517241379310298</v>
      </c>
    </row>
    <row r="414" spans="1:9" x14ac:dyDescent="0.3">
      <c r="A414" t="s">
        <v>440</v>
      </c>
      <c r="B414" s="2">
        <v>2.7408414351851852E-2</v>
      </c>
      <c r="C414" s="2">
        <v>2.7396840277777779E-2</v>
      </c>
      <c r="D414" s="2">
        <v>2.7419988425925926E-2</v>
      </c>
      <c r="E414" t="s">
        <v>26</v>
      </c>
      <c r="F414" t="s">
        <v>32</v>
      </c>
      <c r="G414" t="s">
        <v>402</v>
      </c>
      <c r="H414">
        <v>0.363259668508287</v>
      </c>
      <c r="I414">
        <v>0.5</v>
      </c>
    </row>
    <row r="415" spans="1:9" x14ac:dyDescent="0.3">
      <c r="A415" t="s">
        <v>441</v>
      </c>
      <c r="B415" s="2">
        <v>2.7577835648148148E-2</v>
      </c>
      <c r="C415" s="2">
        <v>2.7566261574074075E-2</v>
      </c>
      <c r="D415" s="2">
        <v>2.7589409722222222E-2</v>
      </c>
      <c r="E415" t="s">
        <v>26</v>
      </c>
      <c r="F415" t="s">
        <v>42</v>
      </c>
      <c r="G415" t="s">
        <v>402</v>
      </c>
      <c r="H415">
        <v>4.8342541436464097E-2</v>
      </c>
      <c r="I415">
        <v>0.85344827586206895</v>
      </c>
    </row>
    <row r="416" spans="1:9" x14ac:dyDescent="0.3">
      <c r="A416" t="s">
        <v>442</v>
      </c>
      <c r="B416" s="2">
        <v>2.8754212962962964E-2</v>
      </c>
      <c r="C416" s="2">
        <v>2.874263888888889E-2</v>
      </c>
      <c r="D416" s="2">
        <v>2.8765787037037038E-2</v>
      </c>
      <c r="E416" t="s">
        <v>26</v>
      </c>
      <c r="F416" t="s">
        <v>40</v>
      </c>
      <c r="G416" t="s">
        <v>402</v>
      </c>
      <c r="H416">
        <v>0.31077348066298299</v>
      </c>
      <c r="I416">
        <v>0.84482758620689702</v>
      </c>
    </row>
    <row r="417" spans="1:9" x14ac:dyDescent="0.3">
      <c r="A417" t="s">
        <v>443</v>
      </c>
      <c r="B417" s="2">
        <v>3.1536770833333332E-2</v>
      </c>
      <c r="C417" s="2">
        <v>3.1525196759259258E-2</v>
      </c>
      <c r="D417" s="2">
        <v>3.1548344907407405E-2</v>
      </c>
      <c r="E417" t="s">
        <v>26</v>
      </c>
      <c r="F417" t="s">
        <v>51</v>
      </c>
      <c r="G417" t="s">
        <v>400</v>
      </c>
      <c r="H417">
        <v>0.60635359116022103</v>
      </c>
      <c r="I417">
        <v>0.17672413793103403</v>
      </c>
    </row>
    <row r="418" spans="1:9" x14ac:dyDescent="0.3">
      <c r="A418" t="s">
        <v>444</v>
      </c>
      <c r="B418" s="2">
        <v>3.2425995370370372E-2</v>
      </c>
      <c r="C418" s="2">
        <v>3.2414421296296299E-2</v>
      </c>
      <c r="D418" s="2">
        <v>3.2437569444444446E-2</v>
      </c>
      <c r="E418" t="s">
        <v>26</v>
      </c>
      <c r="F418" t="s">
        <v>58</v>
      </c>
      <c r="G418" t="s">
        <v>402</v>
      </c>
      <c r="H418">
        <v>0.175414364640884</v>
      </c>
      <c r="I418">
        <v>0.37931034482758597</v>
      </c>
    </row>
    <row r="419" spans="1:9" x14ac:dyDescent="0.3">
      <c r="A419" t="s">
        <v>445</v>
      </c>
      <c r="B419" s="2">
        <v>3.2467615740740738E-2</v>
      </c>
      <c r="C419" s="2">
        <v>3.2456041666666664E-2</v>
      </c>
      <c r="D419" s="2">
        <v>3.2479189814814811E-2</v>
      </c>
      <c r="E419" t="s">
        <v>26</v>
      </c>
      <c r="F419" t="s">
        <v>30</v>
      </c>
      <c r="G419" t="s">
        <v>402</v>
      </c>
      <c r="H419">
        <v>0.114640883977901</v>
      </c>
      <c r="I419">
        <v>0.14224137931034497</v>
      </c>
    </row>
    <row r="420" spans="1:9" x14ac:dyDescent="0.3">
      <c r="A420" t="s">
        <v>446</v>
      </c>
      <c r="B420" s="2">
        <v>3.2527002314814812E-2</v>
      </c>
      <c r="C420" s="2">
        <v>3.2515428240740739E-2</v>
      </c>
      <c r="D420" s="2">
        <v>3.2538576388888886E-2</v>
      </c>
      <c r="E420" t="s">
        <v>26</v>
      </c>
      <c r="F420" t="s">
        <v>30</v>
      </c>
      <c r="G420" t="s">
        <v>402</v>
      </c>
      <c r="H420">
        <v>3.7292817679557999E-2</v>
      </c>
      <c r="I420">
        <v>3.4482758620689946E-2</v>
      </c>
    </row>
    <row r="421" spans="1:9" x14ac:dyDescent="0.3">
      <c r="A421" t="s">
        <v>447</v>
      </c>
      <c r="B421" s="2">
        <v>3.2812222222222222E-2</v>
      </c>
      <c r="C421" s="2">
        <v>3.2800648148148148E-2</v>
      </c>
      <c r="D421" s="2">
        <v>3.2823796296296295E-2</v>
      </c>
      <c r="E421" t="s">
        <v>26</v>
      </c>
      <c r="F421" t="s">
        <v>40</v>
      </c>
      <c r="G421" t="s">
        <v>402</v>
      </c>
      <c r="H421">
        <v>4.5580110497237598E-2</v>
      </c>
      <c r="I421">
        <v>0.19827586206896597</v>
      </c>
    </row>
    <row r="422" spans="1:9" x14ac:dyDescent="0.3">
      <c r="A422" t="s">
        <v>448</v>
      </c>
      <c r="B422" s="2">
        <v>3.5711620370370373E-2</v>
      </c>
      <c r="C422" s="2">
        <v>3.5700046296296299E-2</v>
      </c>
      <c r="D422" s="2">
        <v>3.5723194444444446E-2</v>
      </c>
      <c r="E422" t="s">
        <v>26</v>
      </c>
      <c r="F422" t="s">
        <v>44</v>
      </c>
      <c r="G422" t="s">
        <v>402</v>
      </c>
      <c r="H422">
        <v>0.70580110497237603</v>
      </c>
      <c r="I422">
        <v>0.22413793103448298</v>
      </c>
    </row>
    <row r="423" spans="1:9" x14ac:dyDescent="0.3">
      <c r="A423" t="s">
        <v>449</v>
      </c>
      <c r="B423" s="2">
        <v>3.6024930555555557E-2</v>
      </c>
      <c r="C423" s="2">
        <v>3.6013356481481483E-2</v>
      </c>
      <c r="D423" s="2">
        <v>3.603650462962963E-2</v>
      </c>
      <c r="E423" t="s">
        <v>26</v>
      </c>
      <c r="F423" t="s">
        <v>42</v>
      </c>
      <c r="G423" t="s">
        <v>400</v>
      </c>
      <c r="H423">
        <v>0.73342541436464104</v>
      </c>
      <c r="I423">
        <v>0.81034482758620696</v>
      </c>
    </row>
    <row r="424" spans="1:9" x14ac:dyDescent="0.3">
      <c r="A424" t="s">
        <v>450</v>
      </c>
      <c r="B424" s="2">
        <v>3.6075578703703703E-2</v>
      </c>
      <c r="C424" s="2">
        <v>3.606400462962963E-2</v>
      </c>
      <c r="D424" s="2">
        <v>3.6087152777777777E-2</v>
      </c>
      <c r="E424" t="s">
        <v>26</v>
      </c>
      <c r="F424" t="s">
        <v>58</v>
      </c>
      <c r="G424" t="s">
        <v>400</v>
      </c>
      <c r="H424">
        <v>0.45994475138121499</v>
      </c>
      <c r="I424">
        <v>0.84051724137931005</v>
      </c>
    </row>
    <row r="425" spans="1:9" x14ac:dyDescent="0.3">
      <c r="A425" t="s">
        <v>451</v>
      </c>
      <c r="B425" s="2">
        <v>3.6186886574074074E-2</v>
      </c>
      <c r="C425" s="2">
        <v>3.6175312500000001E-2</v>
      </c>
      <c r="D425" s="2">
        <v>3.6198460648148148E-2</v>
      </c>
      <c r="E425" t="s">
        <v>26</v>
      </c>
      <c r="F425" t="s">
        <v>67</v>
      </c>
      <c r="G425" t="s">
        <v>402</v>
      </c>
      <c r="H425">
        <v>4.0055248618784497E-2</v>
      </c>
      <c r="I425">
        <v>0.90948275862068972</v>
      </c>
    </row>
    <row r="426" spans="1:9" x14ac:dyDescent="0.3">
      <c r="A426" t="s">
        <v>452</v>
      </c>
      <c r="B426" s="2">
        <v>3.7974710648148148E-2</v>
      </c>
      <c r="C426" s="2">
        <v>3.7963136574074074E-2</v>
      </c>
      <c r="D426" s="2">
        <v>3.7986284722222222E-2</v>
      </c>
      <c r="E426" t="s">
        <v>26</v>
      </c>
      <c r="F426" t="s">
        <v>58</v>
      </c>
      <c r="G426" t="s">
        <v>400</v>
      </c>
      <c r="H426">
        <v>0.16436464088397801</v>
      </c>
      <c r="I426">
        <v>0.61206896551724099</v>
      </c>
    </row>
    <row r="427" spans="1:9" x14ac:dyDescent="0.3">
      <c r="A427" t="s">
        <v>453</v>
      </c>
      <c r="B427" s="2">
        <v>3.8841574074074077E-2</v>
      </c>
      <c r="C427" s="2">
        <v>3.8830000000000003E-2</v>
      </c>
      <c r="D427" s="2">
        <v>3.8853148148148151E-2</v>
      </c>
      <c r="E427" t="s">
        <v>26</v>
      </c>
      <c r="F427" t="s">
        <v>30</v>
      </c>
      <c r="G427" t="s">
        <v>400</v>
      </c>
      <c r="H427">
        <v>0.29143646408839802</v>
      </c>
      <c r="I427">
        <v>0.16379310344827602</v>
      </c>
    </row>
    <row r="428" spans="1:9" x14ac:dyDescent="0.3">
      <c r="A428" t="s">
        <v>454</v>
      </c>
      <c r="B428" s="2">
        <v>3.9018506944444448E-2</v>
      </c>
      <c r="C428" s="2">
        <v>3.9006932870370367E-2</v>
      </c>
      <c r="D428" s="2">
        <v>3.9030081018518521E-2</v>
      </c>
      <c r="E428" t="s">
        <v>26</v>
      </c>
      <c r="F428" t="s">
        <v>32</v>
      </c>
      <c r="G428" t="s">
        <v>400</v>
      </c>
      <c r="H428">
        <v>0.74447513812154698</v>
      </c>
      <c r="I428">
        <v>3.4482758620689946E-2</v>
      </c>
    </row>
    <row r="429" spans="1:9" x14ac:dyDescent="0.3">
      <c r="A429" t="s">
        <v>455</v>
      </c>
      <c r="B429" s="2">
        <v>3.997111111111111E-2</v>
      </c>
      <c r="C429" s="2">
        <v>3.9959537037037036E-2</v>
      </c>
      <c r="D429" s="2">
        <v>3.9982685185185184E-2</v>
      </c>
      <c r="E429" t="s">
        <v>26</v>
      </c>
      <c r="F429" t="s">
        <v>46</v>
      </c>
      <c r="G429" t="s">
        <v>400</v>
      </c>
      <c r="H429">
        <v>0.156077348066298</v>
      </c>
      <c r="I429">
        <v>0.83620689655172398</v>
      </c>
    </row>
    <row r="430" spans="1:9" x14ac:dyDescent="0.3">
      <c r="A430" t="s">
        <v>456</v>
      </c>
      <c r="B430" s="2">
        <v>4.0034293981481485E-2</v>
      </c>
      <c r="C430" s="2">
        <v>4.0022719907407404E-2</v>
      </c>
      <c r="D430" s="2">
        <v>4.0045868055555559E-2</v>
      </c>
      <c r="E430" t="s">
        <v>26</v>
      </c>
      <c r="F430" t="s">
        <v>198</v>
      </c>
      <c r="G430" t="s">
        <v>400</v>
      </c>
      <c r="H430">
        <v>0.18922651933701701</v>
      </c>
      <c r="I430">
        <v>0.64655172413793105</v>
      </c>
    </row>
    <row r="431" spans="1:9" x14ac:dyDescent="0.3">
      <c r="A431" t="s">
        <v>457</v>
      </c>
      <c r="B431" s="2">
        <v>4.2245243055555555E-2</v>
      </c>
      <c r="C431" s="2">
        <v>4.2233668981481481E-2</v>
      </c>
      <c r="D431" s="2">
        <v>4.2256817129629629E-2</v>
      </c>
      <c r="E431" t="s">
        <v>26</v>
      </c>
      <c r="F431" t="s">
        <v>32</v>
      </c>
      <c r="G431" t="s">
        <v>400</v>
      </c>
      <c r="H431">
        <v>0.59254143646408797</v>
      </c>
      <c r="I431">
        <v>0.81034482758620696</v>
      </c>
    </row>
    <row r="432" spans="1:9" x14ac:dyDescent="0.3">
      <c r="A432" t="s">
        <v>458</v>
      </c>
      <c r="B432" s="2">
        <v>4.2873784722222225E-2</v>
      </c>
      <c r="C432" s="2">
        <v>4.2862210648148151E-2</v>
      </c>
      <c r="D432" s="2">
        <v>4.2885358796296298E-2</v>
      </c>
      <c r="E432" t="s">
        <v>26</v>
      </c>
      <c r="F432" t="s">
        <v>198</v>
      </c>
      <c r="G432" t="s">
        <v>402</v>
      </c>
      <c r="H432">
        <v>0.44337016574585603</v>
      </c>
      <c r="I432">
        <v>0.75</v>
      </c>
    </row>
    <row r="433" spans="1:9" x14ac:dyDescent="0.3">
      <c r="A433" t="s">
        <v>459</v>
      </c>
      <c r="B433" s="2">
        <v>4.2892256944444443E-2</v>
      </c>
      <c r="C433" s="2">
        <v>4.2880682870370369E-2</v>
      </c>
      <c r="D433" s="2">
        <v>4.2903831018518516E-2</v>
      </c>
      <c r="E433" t="s">
        <v>26</v>
      </c>
      <c r="F433" t="s">
        <v>26</v>
      </c>
      <c r="G433" t="s">
        <v>402</v>
      </c>
      <c r="H433">
        <v>0.437845303867403</v>
      </c>
      <c r="I433">
        <v>0.693965517241379</v>
      </c>
    </row>
    <row r="434" spans="1:9" x14ac:dyDescent="0.3">
      <c r="A434" t="s">
        <v>460</v>
      </c>
      <c r="B434" s="2">
        <v>4.3294050925925927E-2</v>
      </c>
      <c r="C434" s="2">
        <v>4.3282476851851853E-2</v>
      </c>
      <c r="D434" s="2">
        <v>4.3305625E-2</v>
      </c>
      <c r="E434" t="s">
        <v>26</v>
      </c>
      <c r="F434" t="s">
        <v>67</v>
      </c>
      <c r="G434" t="s">
        <v>402</v>
      </c>
      <c r="H434">
        <v>0.63950276243093895</v>
      </c>
      <c r="I434">
        <v>0.89224137931034497</v>
      </c>
    </row>
    <row r="435" spans="1:9" x14ac:dyDescent="0.3">
      <c r="A435" t="s">
        <v>461</v>
      </c>
      <c r="B435" s="2">
        <v>4.334269675925926E-2</v>
      </c>
      <c r="C435" s="2">
        <v>4.3331122685185186E-2</v>
      </c>
      <c r="D435" s="2">
        <v>4.3354270833333333E-2</v>
      </c>
      <c r="E435" t="s">
        <v>26</v>
      </c>
      <c r="F435" t="s">
        <v>42</v>
      </c>
      <c r="G435" t="s">
        <v>402</v>
      </c>
      <c r="H435">
        <v>0.57872928176795602</v>
      </c>
      <c r="I435">
        <v>0.9568965517241379</v>
      </c>
    </row>
    <row r="436" spans="1:9" x14ac:dyDescent="0.3">
      <c r="A436" t="s">
        <v>462</v>
      </c>
      <c r="B436" s="2">
        <v>4.4170011574074075E-2</v>
      </c>
      <c r="C436" s="2">
        <v>4.4158437500000002E-2</v>
      </c>
      <c r="D436" s="2">
        <v>4.4181585648148149E-2</v>
      </c>
      <c r="E436" t="s">
        <v>26</v>
      </c>
      <c r="F436" t="s">
        <v>67</v>
      </c>
      <c r="G436" t="s">
        <v>400</v>
      </c>
      <c r="H436">
        <v>0.27209944751381199</v>
      </c>
      <c r="I436">
        <v>0.64655172413793105</v>
      </c>
    </row>
    <row r="437" spans="1:9" x14ac:dyDescent="0.3">
      <c r="A437" t="s">
        <v>463</v>
      </c>
      <c r="B437" s="2">
        <v>4.4249212962962962E-2</v>
      </c>
      <c r="C437" s="2">
        <v>4.4237638888888889E-2</v>
      </c>
      <c r="D437" s="2">
        <v>4.4260787037037036E-2</v>
      </c>
      <c r="E437" t="s">
        <v>26</v>
      </c>
      <c r="F437" t="s">
        <v>46</v>
      </c>
      <c r="G437" t="s">
        <v>402</v>
      </c>
      <c r="H437">
        <v>0.219613259668508</v>
      </c>
      <c r="I437">
        <v>0.94827586206896552</v>
      </c>
    </row>
    <row r="438" spans="1:9" x14ac:dyDescent="0.3">
      <c r="A438" t="s">
        <v>464</v>
      </c>
      <c r="B438" s="2">
        <v>4.4537569444444446E-2</v>
      </c>
      <c r="C438" s="2">
        <v>4.4525995370370372E-2</v>
      </c>
      <c r="D438" s="2">
        <v>4.4549143518518519E-2</v>
      </c>
      <c r="E438" t="s">
        <v>26</v>
      </c>
      <c r="F438" t="s">
        <v>198</v>
      </c>
      <c r="G438" t="s">
        <v>402</v>
      </c>
      <c r="H438">
        <v>0.111878453038674</v>
      </c>
      <c r="I438">
        <v>0.96551724137931028</v>
      </c>
    </row>
    <row r="439" spans="1:9" x14ac:dyDescent="0.3">
      <c r="A439" t="s">
        <v>465</v>
      </c>
      <c r="B439" s="2">
        <v>4.6128703703703706E-2</v>
      </c>
      <c r="C439" s="2">
        <v>4.6117129629629633E-2</v>
      </c>
      <c r="D439" s="2">
        <v>4.614027777777778E-2</v>
      </c>
      <c r="E439" t="s">
        <v>26</v>
      </c>
      <c r="F439" t="s">
        <v>42</v>
      </c>
      <c r="G439" t="s">
        <v>400</v>
      </c>
      <c r="H439">
        <v>0.72790055248618801</v>
      </c>
      <c r="I439">
        <v>0.85344827586206895</v>
      </c>
    </row>
    <row r="440" spans="1:9" x14ac:dyDescent="0.3">
      <c r="A440" t="s">
        <v>466</v>
      </c>
      <c r="B440" s="2">
        <v>4.7042280092592592E-2</v>
      </c>
      <c r="C440" s="2">
        <v>4.7030706018518519E-2</v>
      </c>
      <c r="D440" s="2">
        <v>4.7053854166666666E-2</v>
      </c>
      <c r="E440" t="s">
        <v>26</v>
      </c>
      <c r="F440" t="s">
        <v>58</v>
      </c>
      <c r="G440" t="s">
        <v>402</v>
      </c>
      <c r="H440">
        <v>0.25276243093922701</v>
      </c>
      <c r="I440">
        <v>3.0172413793102981E-2</v>
      </c>
    </row>
    <row r="441" spans="1:9" x14ac:dyDescent="0.3">
      <c r="A441" t="s">
        <v>467</v>
      </c>
      <c r="B441" s="2">
        <v>4.7463518518518516E-2</v>
      </c>
      <c r="C441" s="2">
        <v>4.7451944444444442E-2</v>
      </c>
      <c r="D441" s="2">
        <v>4.747509259259259E-2</v>
      </c>
      <c r="E441" t="s">
        <v>26</v>
      </c>
      <c r="F441" t="s">
        <v>58</v>
      </c>
      <c r="G441" t="s">
        <v>402</v>
      </c>
      <c r="H441">
        <v>7.0441988950276202E-2</v>
      </c>
      <c r="I441">
        <v>2.155172413793105E-2</v>
      </c>
    </row>
    <row r="442" spans="1:9" x14ac:dyDescent="0.3">
      <c r="A442" t="s">
        <v>468</v>
      </c>
      <c r="B442" s="2">
        <v>4.7648877314814812E-2</v>
      </c>
      <c r="C442" s="2">
        <v>4.7637303240740739E-2</v>
      </c>
      <c r="D442" s="2">
        <v>4.7660451388888886E-2</v>
      </c>
      <c r="E442" t="s">
        <v>26</v>
      </c>
      <c r="F442" t="s">
        <v>32</v>
      </c>
      <c r="G442" t="s">
        <v>402</v>
      </c>
      <c r="H442">
        <v>0.39088397790055202</v>
      </c>
      <c r="I442">
        <v>0.12068965517241403</v>
      </c>
    </row>
    <row r="443" spans="1:9" x14ac:dyDescent="0.3">
      <c r="A443" t="s">
        <v>469</v>
      </c>
      <c r="B443" s="2">
        <v>4.7732175925925928E-2</v>
      </c>
      <c r="C443" s="2">
        <v>4.7720601851851854E-2</v>
      </c>
      <c r="D443" s="2">
        <v>4.7743750000000001E-2</v>
      </c>
      <c r="E443" t="s">
        <v>26</v>
      </c>
      <c r="F443" t="s">
        <v>38</v>
      </c>
      <c r="G443" t="s">
        <v>402</v>
      </c>
      <c r="H443">
        <v>0.18922651933701701</v>
      </c>
      <c r="I443">
        <v>7.3275862068965969E-2</v>
      </c>
    </row>
    <row r="444" spans="1:9" x14ac:dyDescent="0.3">
      <c r="A444" t="s">
        <v>470</v>
      </c>
      <c r="B444" s="2">
        <v>4.8202534722222225E-2</v>
      </c>
      <c r="C444" s="2">
        <v>4.8190960648148151E-2</v>
      </c>
      <c r="D444" s="2">
        <v>4.8214108796296298E-2</v>
      </c>
      <c r="E444" t="s">
        <v>26</v>
      </c>
      <c r="F444" t="s">
        <v>46</v>
      </c>
      <c r="G444" t="s">
        <v>402</v>
      </c>
      <c r="H444">
        <v>0.21132596685082899</v>
      </c>
      <c r="I444">
        <v>0.25431034482758597</v>
      </c>
    </row>
    <row r="445" spans="1:9" x14ac:dyDescent="0.3">
      <c r="A445" t="s">
        <v>471</v>
      </c>
      <c r="B445" s="2">
        <v>4.9081898148148145E-2</v>
      </c>
      <c r="C445" s="2">
        <v>4.9070324074074072E-2</v>
      </c>
      <c r="D445" s="2">
        <v>4.9093472222222219E-2</v>
      </c>
      <c r="E445" t="s">
        <v>26</v>
      </c>
      <c r="F445" t="s">
        <v>67</v>
      </c>
      <c r="G445" t="s">
        <v>402</v>
      </c>
      <c r="H445">
        <v>0.23895027624309401</v>
      </c>
      <c r="I445">
        <v>0.96982758620689657</v>
      </c>
    </row>
    <row r="446" spans="1:9" x14ac:dyDescent="0.3">
      <c r="A446" t="s">
        <v>472</v>
      </c>
      <c r="B446" s="2">
        <v>4.9132141203703704E-2</v>
      </c>
      <c r="C446" s="2">
        <v>4.912056712962963E-2</v>
      </c>
      <c r="D446" s="2">
        <v>4.9143715277777777E-2</v>
      </c>
      <c r="E446" t="s">
        <v>26</v>
      </c>
      <c r="F446" t="s">
        <v>67</v>
      </c>
      <c r="G446" t="s">
        <v>402</v>
      </c>
      <c r="H446">
        <v>0.27209944751381199</v>
      </c>
      <c r="I446">
        <v>0.9568965517241379</v>
      </c>
    </row>
    <row r="447" spans="1:9" x14ac:dyDescent="0.3">
      <c r="A447" t="s">
        <v>473</v>
      </c>
      <c r="B447" s="2">
        <v>4.9338993055555558E-2</v>
      </c>
      <c r="C447" s="2">
        <v>4.9327418981481484E-2</v>
      </c>
      <c r="D447" s="2">
        <v>4.9350567129629631E-2</v>
      </c>
      <c r="E447" t="s">
        <v>26</v>
      </c>
      <c r="F447" t="s">
        <v>42</v>
      </c>
      <c r="G447" t="s">
        <v>402</v>
      </c>
      <c r="H447">
        <v>0.31906077348066297</v>
      </c>
      <c r="I447">
        <v>0.96982758620689657</v>
      </c>
    </row>
    <row r="448" spans="1:9" x14ac:dyDescent="0.3">
      <c r="A448" t="s">
        <v>474</v>
      </c>
      <c r="B448" s="2">
        <v>4.9698761574074074E-2</v>
      </c>
      <c r="C448" s="2">
        <v>4.96871875E-2</v>
      </c>
      <c r="D448" s="2">
        <v>4.9710335648148148E-2</v>
      </c>
      <c r="E448" t="s">
        <v>26</v>
      </c>
      <c r="F448" t="s">
        <v>38</v>
      </c>
      <c r="G448" t="s">
        <v>400</v>
      </c>
      <c r="H448">
        <v>0.82182320441988999</v>
      </c>
      <c r="I448">
        <v>0.34913793103448298</v>
      </c>
    </row>
    <row r="449" spans="1:9" x14ac:dyDescent="0.3">
      <c r="A449" t="s">
        <v>475</v>
      </c>
      <c r="B449" s="2">
        <v>5.0255787037037036E-2</v>
      </c>
      <c r="C449" s="2">
        <v>5.0244212962962963E-2</v>
      </c>
      <c r="D449" s="2">
        <v>5.026736111111111E-2</v>
      </c>
      <c r="E449" t="s">
        <v>26</v>
      </c>
      <c r="F449" t="s">
        <v>44</v>
      </c>
      <c r="G449" t="s">
        <v>400</v>
      </c>
      <c r="H449">
        <v>0.57872928176795602</v>
      </c>
      <c r="I449">
        <v>0.69827586206896597</v>
      </c>
    </row>
    <row r="450" spans="1:9" x14ac:dyDescent="0.3">
      <c r="A450" t="s">
        <v>476</v>
      </c>
      <c r="B450" s="2">
        <v>5.0382465277777781E-2</v>
      </c>
      <c r="C450" s="2">
        <v>5.0370891203703701E-2</v>
      </c>
      <c r="D450" s="2">
        <v>5.0394039351851855E-2</v>
      </c>
      <c r="E450" t="s">
        <v>26</v>
      </c>
      <c r="F450" t="s">
        <v>42</v>
      </c>
      <c r="G450" t="s">
        <v>402</v>
      </c>
      <c r="H450">
        <v>0.61187845303867405</v>
      </c>
      <c r="I450">
        <v>0.59051724137931005</v>
      </c>
    </row>
    <row r="451" spans="1:9" x14ac:dyDescent="0.3">
      <c r="A451" t="s">
        <v>477</v>
      </c>
      <c r="B451" s="2">
        <v>5.0787129629629627E-2</v>
      </c>
      <c r="C451" s="2">
        <v>5.0775555555555553E-2</v>
      </c>
      <c r="D451" s="2">
        <v>5.0798703703703707E-2</v>
      </c>
      <c r="E451" t="s">
        <v>26</v>
      </c>
      <c r="F451" t="s">
        <v>67</v>
      </c>
      <c r="G451" t="s">
        <v>400</v>
      </c>
      <c r="H451">
        <v>0.625690607734807</v>
      </c>
      <c r="I451">
        <v>0.82758620689655205</v>
      </c>
    </row>
    <row r="452" spans="1:9" x14ac:dyDescent="0.3">
      <c r="A452" t="s">
        <v>478</v>
      </c>
      <c r="B452" s="2">
        <v>5.1094560185185184E-2</v>
      </c>
      <c r="C452" s="2">
        <v>5.108298611111111E-2</v>
      </c>
      <c r="D452" s="2">
        <v>5.1106134259259257E-2</v>
      </c>
      <c r="E452" t="s">
        <v>26</v>
      </c>
      <c r="F452" t="s">
        <v>44</v>
      </c>
      <c r="G452" t="s">
        <v>402</v>
      </c>
      <c r="H452">
        <v>0.57320441988950299</v>
      </c>
      <c r="I452">
        <v>0.93965517241379315</v>
      </c>
    </row>
    <row r="453" spans="1:9" x14ac:dyDescent="0.3">
      <c r="A453" t="s">
        <v>479</v>
      </c>
      <c r="B453" s="2">
        <v>5.1210092592592592E-2</v>
      </c>
      <c r="C453" s="2">
        <v>5.1198518518518518E-2</v>
      </c>
      <c r="D453" s="2">
        <v>5.1221666666666665E-2</v>
      </c>
      <c r="E453" t="s">
        <v>26</v>
      </c>
      <c r="F453" t="s">
        <v>42</v>
      </c>
      <c r="G453" t="s">
        <v>402</v>
      </c>
      <c r="H453">
        <v>0.58149171270718203</v>
      </c>
      <c r="I453">
        <v>0.82327586206896497</v>
      </c>
    </row>
    <row r="454" spans="1:9" x14ac:dyDescent="0.3">
      <c r="A454" t="s">
        <v>480</v>
      </c>
      <c r="B454" s="2">
        <v>5.1471631944444443E-2</v>
      </c>
      <c r="C454" s="2">
        <v>5.146005787037037E-2</v>
      </c>
      <c r="D454" s="2">
        <v>5.1483206018518517E-2</v>
      </c>
      <c r="E454" t="s">
        <v>26</v>
      </c>
      <c r="F454" t="s">
        <v>46</v>
      </c>
      <c r="G454" t="s">
        <v>400</v>
      </c>
      <c r="H454">
        <v>0.21685082872928199</v>
      </c>
      <c r="I454">
        <v>0.68534482758620707</v>
      </c>
    </row>
    <row r="455" spans="1:9" x14ac:dyDescent="0.3">
      <c r="A455" t="s">
        <v>481</v>
      </c>
      <c r="B455" s="2">
        <v>5.1599444444444448E-2</v>
      </c>
      <c r="C455" s="2">
        <v>5.1587870370370367E-2</v>
      </c>
      <c r="D455" s="2">
        <v>5.1611018518518521E-2</v>
      </c>
      <c r="E455" t="s">
        <v>26</v>
      </c>
      <c r="F455" t="s">
        <v>44</v>
      </c>
      <c r="G455" t="s">
        <v>400</v>
      </c>
      <c r="H455">
        <v>0.41574585635359101</v>
      </c>
      <c r="I455">
        <v>0.88793103448275901</v>
      </c>
    </row>
    <row r="456" spans="1:9" x14ac:dyDescent="0.3">
      <c r="A456" t="s">
        <v>482</v>
      </c>
      <c r="B456" s="2">
        <v>5.4145162037037037E-2</v>
      </c>
      <c r="C456" s="2">
        <v>5.4133587962962963E-2</v>
      </c>
      <c r="D456" s="2">
        <v>5.415673611111111E-2</v>
      </c>
      <c r="E456" t="s">
        <v>26</v>
      </c>
      <c r="F456" t="s">
        <v>38</v>
      </c>
      <c r="G456" t="s">
        <v>400</v>
      </c>
      <c r="H456">
        <v>0.363259668508287</v>
      </c>
      <c r="I456">
        <v>4.7413793103447954E-2</v>
      </c>
    </row>
    <row r="457" spans="1:9" x14ac:dyDescent="0.3">
      <c r="A457" t="s">
        <v>483</v>
      </c>
      <c r="B457" s="2">
        <v>5.4201863425925929E-2</v>
      </c>
      <c r="C457" s="2">
        <v>5.4190289351851849E-2</v>
      </c>
      <c r="D457" s="2">
        <v>5.4213437500000003E-2</v>
      </c>
      <c r="E457" t="s">
        <v>26</v>
      </c>
      <c r="F457" t="s">
        <v>51</v>
      </c>
      <c r="G457" t="s">
        <v>400</v>
      </c>
      <c r="H457">
        <v>0.43232044198894998</v>
      </c>
      <c r="I457">
        <v>4.7413793103447954E-2</v>
      </c>
    </row>
    <row r="458" spans="1:9" x14ac:dyDescent="0.3">
      <c r="A458" t="s">
        <v>484</v>
      </c>
      <c r="B458" s="2">
        <v>5.4236365740740741E-2</v>
      </c>
      <c r="C458" s="2">
        <v>5.4224791666666668E-2</v>
      </c>
      <c r="D458" s="2">
        <v>5.4247939814814815E-2</v>
      </c>
      <c r="E458" t="s">
        <v>26</v>
      </c>
      <c r="F458" t="s">
        <v>51</v>
      </c>
      <c r="G458" t="s">
        <v>402</v>
      </c>
      <c r="H458">
        <v>0.49585635359115998</v>
      </c>
      <c r="I458">
        <v>3.0172413793102981E-2</v>
      </c>
    </row>
    <row r="459" spans="1:9" x14ac:dyDescent="0.3">
      <c r="A459" t="s">
        <v>485</v>
      </c>
      <c r="B459" s="2">
        <v>5.4389571759259257E-2</v>
      </c>
      <c r="C459" s="2">
        <v>5.4377997685185184E-2</v>
      </c>
      <c r="D459" s="2">
        <v>5.4401145833333331E-2</v>
      </c>
      <c r="E459" t="s">
        <v>26</v>
      </c>
      <c r="F459" t="s">
        <v>198</v>
      </c>
      <c r="G459" t="s">
        <v>400</v>
      </c>
      <c r="H459">
        <v>0.50414364640884002</v>
      </c>
      <c r="I459">
        <v>0.49568965517241403</v>
      </c>
    </row>
    <row r="460" spans="1:9" x14ac:dyDescent="0.3">
      <c r="A460" t="s">
        <v>486</v>
      </c>
      <c r="B460" s="2">
        <v>5.4562233796296294E-2</v>
      </c>
      <c r="C460" s="2">
        <v>5.4550659722222221E-2</v>
      </c>
      <c r="D460" s="2">
        <v>5.4573807870370368E-2</v>
      </c>
      <c r="E460" t="s">
        <v>26</v>
      </c>
      <c r="F460" t="s">
        <v>51</v>
      </c>
      <c r="G460" t="s">
        <v>402</v>
      </c>
      <c r="H460">
        <v>0.67265193370165699</v>
      </c>
      <c r="I460">
        <v>0.193965517241379</v>
      </c>
    </row>
    <row r="461" spans="1:9" x14ac:dyDescent="0.3">
      <c r="A461" t="s">
        <v>487</v>
      </c>
      <c r="B461" s="2">
        <v>5.5238020833333332E-2</v>
      </c>
      <c r="C461" s="2">
        <v>5.5226446759259258E-2</v>
      </c>
      <c r="D461" s="2">
        <v>5.5249594907407405E-2</v>
      </c>
      <c r="E461" t="s">
        <v>26</v>
      </c>
      <c r="F461" t="s">
        <v>198</v>
      </c>
      <c r="G461" t="s">
        <v>400</v>
      </c>
      <c r="H461">
        <v>0.85497237569060802</v>
      </c>
      <c r="I461">
        <v>0.92241379310344829</v>
      </c>
    </row>
    <row r="462" spans="1:9" x14ac:dyDescent="0.3">
      <c r="A462" t="s">
        <v>488</v>
      </c>
      <c r="B462" s="2">
        <v>5.5271828703703701E-2</v>
      </c>
      <c r="C462" s="2">
        <v>5.5260254629629628E-2</v>
      </c>
      <c r="D462" s="2">
        <v>5.5283402777777775E-2</v>
      </c>
      <c r="E462" t="s">
        <v>26</v>
      </c>
      <c r="F462" t="s">
        <v>26</v>
      </c>
      <c r="G462" t="s">
        <v>402</v>
      </c>
      <c r="H462">
        <v>0.87707182320442001</v>
      </c>
      <c r="I462">
        <v>0.96120689655172409</v>
      </c>
    </row>
    <row r="463" spans="1:9" x14ac:dyDescent="0.3">
      <c r="A463" t="s">
        <v>489</v>
      </c>
      <c r="B463" s="2">
        <v>5.6511516203703704E-2</v>
      </c>
      <c r="C463" s="2">
        <v>5.6499942129629631E-2</v>
      </c>
      <c r="D463" s="2">
        <v>5.6523090277777778E-2</v>
      </c>
      <c r="E463" t="s">
        <v>26</v>
      </c>
      <c r="F463" t="s">
        <v>38</v>
      </c>
      <c r="G463" t="s">
        <v>400</v>
      </c>
      <c r="H463">
        <v>0.41574585635359101</v>
      </c>
      <c r="I463">
        <v>0.74137931034482807</v>
      </c>
    </row>
    <row r="464" spans="1:9" x14ac:dyDescent="0.3">
      <c r="A464" t="s">
        <v>490</v>
      </c>
      <c r="B464" s="2">
        <v>5.6632500000000002E-2</v>
      </c>
      <c r="C464" s="2">
        <v>5.6620925925925929E-2</v>
      </c>
      <c r="D464" s="2">
        <v>5.6644074074074076E-2</v>
      </c>
      <c r="E464" t="s">
        <v>26</v>
      </c>
      <c r="F464" t="s">
        <v>67</v>
      </c>
      <c r="G464" t="s">
        <v>402</v>
      </c>
      <c r="H464">
        <v>7.8729281767955794E-2</v>
      </c>
      <c r="I464">
        <v>0.90086206896551724</v>
      </c>
    </row>
    <row r="465" spans="1:9" x14ac:dyDescent="0.3">
      <c r="A465" t="s">
        <v>491</v>
      </c>
      <c r="B465" s="2">
        <v>5.6898078703703704E-2</v>
      </c>
      <c r="C465" s="2">
        <v>5.6886504629629631E-2</v>
      </c>
      <c r="D465" s="2">
        <v>5.6909652777777778E-2</v>
      </c>
      <c r="E465" t="s">
        <v>26</v>
      </c>
      <c r="F465" t="s">
        <v>264</v>
      </c>
      <c r="G465" t="s">
        <v>400</v>
      </c>
      <c r="H465">
        <v>5.1104972375690602E-2</v>
      </c>
      <c r="I465">
        <v>0.806034482758621</v>
      </c>
    </row>
    <row r="466" spans="1:9" x14ac:dyDescent="0.3">
      <c r="A466" t="s">
        <v>492</v>
      </c>
      <c r="B466" s="2">
        <v>5.857023148148148E-2</v>
      </c>
      <c r="C466" s="2">
        <v>5.8558657407407406E-2</v>
      </c>
      <c r="D466" s="2">
        <v>5.8581805555555554E-2</v>
      </c>
      <c r="E466" t="s">
        <v>26</v>
      </c>
      <c r="F466" t="s">
        <v>264</v>
      </c>
      <c r="G466" t="s">
        <v>400</v>
      </c>
      <c r="H466">
        <v>0.85220994475138101</v>
      </c>
      <c r="I466">
        <v>0.61637931034482807</v>
      </c>
    </row>
    <row r="467" spans="1:9" x14ac:dyDescent="0.3">
      <c r="A467" t="s">
        <v>493</v>
      </c>
      <c r="B467" s="2">
        <v>5.9803009259259257E-2</v>
      </c>
      <c r="C467" s="2">
        <v>5.9791435185185184E-2</v>
      </c>
      <c r="D467" s="2">
        <v>5.9814583333333331E-2</v>
      </c>
      <c r="E467" t="s">
        <v>26</v>
      </c>
      <c r="F467" t="s">
        <v>44</v>
      </c>
      <c r="G467" t="s">
        <v>402</v>
      </c>
      <c r="H467">
        <v>0.70580110497237603</v>
      </c>
      <c r="I467">
        <v>0.25862068965517204</v>
      </c>
    </row>
    <row r="468" spans="1:9" x14ac:dyDescent="0.3">
      <c r="A468" t="s">
        <v>494</v>
      </c>
      <c r="B468" s="2">
        <v>5.9832337962962966E-2</v>
      </c>
      <c r="C468" s="2">
        <v>5.9820763888888892E-2</v>
      </c>
      <c r="D468" s="2">
        <v>5.9843912037037039E-2</v>
      </c>
      <c r="E468" t="s">
        <v>26</v>
      </c>
      <c r="F468" t="s">
        <v>38</v>
      </c>
      <c r="G468" t="s">
        <v>400</v>
      </c>
      <c r="H468">
        <v>0.66712707182320397</v>
      </c>
      <c r="I468">
        <v>0.24137931034482796</v>
      </c>
    </row>
    <row r="469" spans="1:9" x14ac:dyDescent="0.3">
      <c r="A469" t="s">
        <v>495</v>
      </c>
      <c r="B469" s="2">
        <v>6.0406631944444442E-2</v>
      </c>
      <c r="C469" s="2">
        <v>6.0395057870370368E-2</v>
      </c>
      <c r="D469" s="2">
        <v>6.0418206018518515E-2</v>
      </c>
      <c r="E469" t="s">
        <v>26</v>
      </c>
      <c r="F469" t="s">
        <v>67</v>
      </c>
      <c r="G469" t="s">
        <v>400</v>
      </c>
      <c r="H469">
        <v>0.274861878453039</v>
      </c>
      <c r="I469">
        <v>0.806034482758621</v>
      </c>
    </row>
    <row r="470" spans="1:9" x14ac:dyDescent="0.3">
      <c r="A470" t="s">
        <v>496</v>
      </c>
      <c r="B470" s="2">
        <v>6.1074050925925924E-2</v>
      </c>
      <c r="C470" s="2">
        <v>6.106247685185185E-2</v>
      </c>
      <c r="D470" s="2">
        <v>6.1085624999999998E-2</v>
      </c>
      <c r="E470" t="s">
        <v>26</v>
      </c>
      <c r="F470" t="s">
        <v>198</v>
      </c>
      <c r="G470" t="s">
        <v>400</v>
      </c>
      <c r="H470">
        <v>8.7016574585635401E-2</v>
      </c>
      <c r="I470">
        <v>0.54310344827586199</v>
      </c>
    </row>
    <row r="471" spans="1:9" x14ac:dyDescent="0.3">
      <c r="A471" t="s">
        <v>497</v>
      </c>
      <c r="B471" s="2">
        <v>6.171553240740741E-2</v>
      </c>
      <c r="C471" s="2">
        <v>6.1703958333333336E-2</v>
      </c>
      <c r="D471" s="2">
        <v>6.1727106481481483E-2</v>
      </c>
      <c r="E471" t="s">
        <v>26</v>
      </c>
      <c r="F471" t="s">
        <v>264</v>
      </c>
      <c r="G471" t="s">
        <v>402</v>
      </c>
      <c r="H471">
        <v>0.80524861878453002</v>
      </c>
      <c r="I471">
        <v>3.0172413793102981E-2</v>
      </c>
    </row>
    <row r="472" spans="1:9" x14ac:dyDescent="0.3">
      <c r="A472" t="s">
        <v>498</v>
      </c>
      <c r="B472" s="2">
        <v>6.2926562500000005E-2</v>
      </c>
      <c r="C472" s="2">
        <v>6.2914988425925925E-2</v>
      </c>
      <c r="D472" s="2">
        <v>6.2938136574074072E-2</v>
      </c>
      <c r="E472" t="s">
        <v>26</v>
      </c>
      <c r="F472" t="s">
        <v>46</v>
      </c>
      <c r="G472" t="s">
        <v>402</v>
      </c>
      <c r="H472">
        <v>0.16988950276243101</v>
      </c>
      <c r="I472">
        <v>0.94396551724137934</v>
      </c>
    </row>
    <row r="473" spans="1:9" x14ac:dyDescent="0.3">
      <c r="A473" t="s">
        <v>499</v>
      </c>
      <c r="B473" s="2">
        <v>6.3337523148148153E-2</v>
      </c>
      <c r="C473" s="2">
        <v>6.3325949074074073E-2</v>
      </c>
      <c r="D473" s="2">
        <v>6.334909722222222E-2</v>
      </c>
      <c r="E473" t="s">
        <v>26</v>
      </c>
      <c r="F473" t="s">
        <v>264</v>
      </c>
      <c r="G473" t="s">
        <v>402</v>
      </c>
      <c r="H473">
        <v>0.374309392265193</v>
      </c>
      <c r="I473">
        <v>7.7586206896552046E-2</v>
      </c>
    </row>
    <row r="474" spans="1:9" x14ac:dyDescent="0.3">
      <c r="A474" t="s">
        <v>500</v>
      </c>
      <c r="B474" s="2">
        <v>6.5212731481481476E-2</v>
      </c>
      <c r="C474" s="2">
        <v>6.5201157407407409E-2</v>
      </c>
      <c r="D474" s="2">
        <v>6.5224305555555556E-2</v>
      </c>
      <c r="E474" t="s">
        <v>26</v>
      </c>
      <c r="F474" t="s">
        <v>67</v>
      </c>
      <c r="G474" t="s">
        <v>402</v>
      </c>
      <c r="H474">
        <v>3.4530386740331501E-2</v>
      </c>
      <c r="I474">
        <v>0.875</v>
      </c>
    </row>
    <row r="475" spans="1:9" x14ac:dyDescent="0.3">
      <c r="A475" t="s">
        <v>501</v>
      </c>
      <c r="B475" s="2">
        <v>6.5282199074074079E-2</v>
      </c>
      <c r="C475" s="2">
        <v>6.5270624999999999E-2</v>
      </c>
      <c r="D475" s="2">
        <v>6.5293773148148146E-2</v>
      </c>
      <c r="E475" t="s">
        <v>26</v>
      </c>
      <c r="F475" t="s">
        <v>44</v>
      </c>
      <c r="G475" t="s">
        <v>402</v>
      </c>
      <c r="H475">
        <v>0.12845303867403299</v>
      </c>
      <c r="I475">
        <v>0.78879310344827602</v>
      </c>
    </row>
    <row r="476" spans="1:9" x14ac:dyDescent="0.3">
      <c r="A476" t="s">
        <v>502</v>
      </c>
      <c r="B476" s="2">
        <v>6.631923611111111E-2</v>
      </c>
      <c r="C476" s="2">
        <v>6.6307662037037043E-2</v>
      </c>
      <c r="D476" s="2">
        <v>6.6330810185185191E-2</v>
      </c>
      <c r="E476" t="s">
        <v>26</v>
      </c>
      <c r="F476" t="s">
        <v>51</v>
      </c>
      <c r="G476" t="s">
        <v>402</v>
      </c>
      <c r="H476">
        <v>0.54281767955801097</v>
      </c>
      <c r="I476">
        <v>0.98706896551724144</v>
      </c>
    </row>
    <row r="477" spans="1:9" x14ac:dyDescent="0.3">
      <c r="A477" t="s">
        <v>503</v>
      </c>
      <c r="B477" s="2">
        <v>6.6618495370370373E-2</v>
      </c>
      <c r="C477" s="2">
        <v>6.6606921296296293E-2</v>
      </c>
      <c r="D477" s="2">
        <v>6.663006944444444E-2</v>
      </c>
      <c r="E477" t="s">
        <v>26</v>
      </c>
      <c r="F477" t="s">
        <v>44</v>
      </c>
      <c r="G477" t="s">
        <v>402</v>
      </c>
      <c r="H477">
        <v>0.37707182320442001</v>
      </c>
      <c r="I477">
        <v>0.93965517241379315</v>
      </c>
    </row>
    <row r="478" spans="1:9" x14ac:dyDescent="0.3">
      <c r="A478" t="s">
        <v>504</v>
      </c>
      <c r="B478" s="2">
        <v>6.7209004629629629E-2</v>
      </c>
      <c r="C478" s="2">
        <v>6.7197430555555562E-2</v>
      </c>
      <c r="D478" s="2">
        <v>6.7220578703703709E-2</v>
      </c>
      <c r="E478" t="s">
        <v>26</v>
      </c>
      <c r="F478" t="s">
        <v>44</v>
      </c>
      <c r="G478" t="s">
        <v>400</v>
      </c>
      <c r="H478">
        <v>0.58977900552486195</v>
      </c>
      <c r="I478">
        <v>0.806034482758621</v>
      </c>
    </row>
    <row r="480" spans="1:9" ht="23.4" x14ac:dyDescent="0.45">
      <c r="A480" s="43" t="s">
        <v>505</v>
      </c>
      <c r="B480" s="44"/>
      <c r="C480" s="44"/>
      <c r="D480" s="44"/>
      <c r="H480" s="45" t="s">
        <v>15</v>
      </c>
      <c r="I480" s="45" t="s">
        <v>15</v>
      </c>
    </row>
    <row r="481" spans="1:10" x14ac:dyDescent="0.3">
      <c r="A481" s="1" t="s">
        <v>16</v>
      </c>
      <c r="B481" s="1" t="s">
        <v>17</v>
      </c>
      <c r="C481" s="1" t="s">
        <v>18</v>
      </c>
      <c r="D481" s="1" t="s">
        <v>19</v>
      </c>
      <c r="E481" s="1" t="s">
        <v>20</v>
      </c>
      <c r="F481" s="1" t="s">
        <v>21</v>
      </c>
      <c r="G481" s="1" t="s">
        <v>22</v>
      </c>
      <c r="H481" s="1" t="s">
        <v>23</v>
      </c>
      <c r="I481" s="1" t="s">
        <v>24</v>
      </c>
      <c r="J481" s="1"/>
    </row>
    <row r="482" spans="1:10" x14ac:dyDescent="0.3">
      <c r="A482" t="s">
        <v>506</v>
      </c>
      <c r="B482" s="2">
        <v>1.9960300925925926E-3</v>
      </c>
      <c r="C482" s="2">
        <v>1.9844560185185186E-3</v>
      </c>
      <c r="D482" s="2">
        <v>2.0076041666666667E-3</v>
      </c>
      <c r="E482" t="s">
        <v>26</v>
      </c>
      <c r="F482" t="s">
        <v>40</v>
      </c>
      <c r="G482" t="s">
        <v>402</v>
      </c>
      <c r="H482">
        <v>3.7292817679557999E-2</v>
      </c>
      <c r="I482">
        <v>0.49568965517241403</v>
      </c>
    </row>
    <row r="483" spans="1:10" x14ac:dyDescent="0.3">
      <c r="A483" t="s">
        <v>507</v>
      </c>
      <c r="B483" s="2">
        <v>5.0035185185185183E-3</v>
      </c>
      <c r="C483" s="2">
        <v>4.9919444444444447E-3</v>
      </c>
      <c r="D483" s="2">
        <v>5.0150925925925927E-3</v>
      </c>
      <c r="E483" t="s">
        <v>26</v>
      </c>
      <c r="F483" t="s">
        <v>51</v>
      </c>
      <c r="G483" t="s">
        <v>400</v>
      </c>
      <c r="H483">
        <v>0.55386740331491702</v>
      </c>
      <c r="I483">
        <v>0.79741379310344795</v>
      </c>
    </row>
    <row r="484" spans="1:10" x14ac:dyDescent="0.3">
      <c r="A484" t="s">
        <v>508</v>
      </c>
      <c r="B484" s="2">
        <v>7.4185185185185187E-3</v>
      </c>
      <c r="C484" s="2">
        <v>7.4069444444444443E-3</v>
      </c>
      <c r="D484" s="2">
        <v>7.4300925925925923E-3</v>
      </c>
      <c r="E484" t="s">
        <v>26</v>
      </c>
      <c r="F484" t="s">
        <v>38</v>
      </c>
      <c r="G484" t="s">
        <v>400</v>
      </c>
      <c r="H484">
        <v>0.46546961325966901</v>
      </c>
      <c r="I484">
        <v>0.42241379310344795</v>
      </c>
    </row>
    <row r="485" spans="1:10" x14ac:dyDescent="0.3">
      <c r="A485" t="s">
        <v>509</v>
      </c>
      <c r="B485" s="2">
        <v>1.1456469907407408E-2</v>
      </c>
      <c r="C485" s="2">
        <v>1.1444895833333333E-2</v>
      </c>
      <c r="D485" s="2">
        <v>1.1468043981481482E-2</v>
      </c>
      <c r="E485" t="s">
        <v>26</v>
      </c>
      <c r="F485" t="s">
        <v>67</v>
      </c>
      <c r="G485" t="s">
        <v>400</v>
      </c>
      <c r="H485">
        <v>4.28176795580111E-2</v>
      </c>
      <c r="I485">
        <v>0.625</v>
      </c>
    </row>
    <row r="486" spans="1:10" x14ac:dyDescent="0.3">
      <c r="A486" t="s">
        <v>510</v>
      </c>
      <c r="B486" s="2">
        <v>1.2412002314814815E-2</v>
      </c>
      <c r="C486" s="2">
        <v>1.2400428240740741E-2</v>
      </c>
      <c r="D486" s="2">
        <v>1.2423576388888889E-2</v>
      </c>
      <c r="E486" t="s">
        <v>26</v>
      </c>
      <c r="F486" t="s">
        <v>32</v>
      </c>
      <c r="G486" t="s">
        <v>400</v>
      </c>
      <c r="H486">
        <v>0.56767955801104997</v>
      </c>
      <c r="I486">
        <v>0.72413793103448298</v>
      </c>
    </row>
    <row r="487" spans="1:10" x14ac:dyDescent="0.3">
      <c r="A487" t="s">
        <v>511</v>
      </c>
      <c r="B487" s="2">
        <v>1.7751990740740742E-2</v>
      </c>
      <c r="C487" s="2">
        <v>1.7740416666666668E-2</v>
      </c>
      <c r="D487" s="2">
        <v>1.7763564814814815E-2</v>
      </c>
      <c r="E487" t="s">
        <v>26</v>
      </c>
      <c r="F487" t="s">
        <v>46</v>
      </c>
      <c r="G487" t="s">
        <v>400</v>
      </c>
      <c r="H487">
        <v>0.14502762430939201</v>
      </c>
      <c r="I487">
        <v>0.39655172413793105</v>
      </c>
    </row>
    <row r="488" spans="1:10" x14ac:dyDescent="0.3">
      <c r="A488" t="s">
        <v>512</v>
      </c>
      <c r="B488" s="2">
        <v>1.8529050925925925E-2</v>
      </c>
      <c r="C488" s="2">
        <v>1.8517476851851851E-2</v>
      </c>
      <c r="D488" s="2">
        <v>1.8540625000000002E-2</v>
      </c>
      <c r="E488" t="s">
        <v>26</v>
      </c>
      <c r="F488" t="s">
        <v>32</v>
      </c>
      <c r="G488" t="s">
        <v>400</v>
      </c>
      <c r="H488">
        <v>0.46823204419889503</v>
      </c>
      <c r="I488">
        <v>0.556034482758621</v>
      </c>
    </row>
    <row r="489" spans="1:10" x14ac:dyDescent="0.3">
      <c r="A489" t="s">
        <v>513</v>
      </c>
      <c r="B489" s="2">
        <v>1.9630555555555554E-2</v>
      </c>
      <c r="C489" s="2">
        <v>1.961898148148148E-2</v>
      </c>
      <c r="D489" s="2">
        <v>1.9642129629629631E-2</v>
      </c>
      <c r="E489" t="s">
        <v>26</v>
      </c>
      <c r="F489" t="s">
        <v>67</v>
      </c>
      <c r="G489" t="s">
        <v>402</v>
      </c>
      <c r="H489">
        <v>0.219613259668508</v>
      </c>
      <c r="I489">
        <v>0.67241379310344795</v>
      </c>
    </row>
    <row r="490" spans="1:10" x14ac:dyDescent="0.3">
      <c r="A490" t="s">
        <v>514</v>
      </c>
      <c r="B490" s="2">
        <v>2.2379502314814816E-2</v>
      </c>
      <c r="C490" s="2">
        <v>2.2367928240740742E-2</v>
      </c>
      <c r="D490" s="2">
        <v>2.2391076388888889E-2</v>
      </c>
      <c r="E490" t="s">
        <v>26</v>
      </c>
      <c r="F490" t="s">
        <v>30</v>
      </c>
      <c r="G490" t="s">
        <v>402</v>
      </c>
      <c r="H490">
        <v>0.16436464088397801</v>
      </c>
      <c r="I490">
        <v>3.8793103448276023E-2</v>
      </c>
    </row>
    <row r="491" spans="1:10" x14ac:dyDescent="0.3">
      <c r="A491" t="s">
        <v>515</v>
      </c>
      <c r="B491" s="2">
        <v>2.4264525462962962E-2</v>
      </c>
      <c r="C491" s="2">
        <v>2.4252951388888888E-2</v>
      </c>
      <c r="D491" s="2">
        <v>2.4276099537037039E-2</v>
      </c>
      <c r="E491" t="s">
        <v>26</v>
      </c>
      <c r="F491" t="s">
        <v>26</v>
      </c>
      <c r="G491" t="s">
        <v>400</v>
      </c>
      <c r="H491">
        <v>0.66988950276243098</v>
      </c>
      <c r="I491">
        <v>0.27586206896551702</v>
      </c>
    </row>
    <row r="492" spans="1:10" x14ac:dyDescent="0.3">
      <c r="A492" t="s">
        <v>516</v>
      </c>
      <c r="B492" s="2">
        <v>2.4533564814814814E-2</v>
      </c>
      <c r="C492" s="2">
        <v>2.452199074074074E-2</v>
      </c>
      <c r="D492" s="2">
        <v>2.4545138888888887E-2</v>
      </c>
      <c r="E492" t="s">
        <v>26</v>
      </c>
      <c r="F492" t="s">
        <v>67</v>
      </c>
      <c r="G492" t="s">
        <v>402</v>
      </c>
      <c r="H492">
        <v>0.62845303867403302</v>
      </c>
      <c r="I492">
        <v>0.75862068965517193</v>
      </c>
    </row>
    <row r="493" spans="1:10" x14ac:dyDescent="0.3">
      <c r="A493" t="s">
        <v>517</v>
      </c>
      <c r="B493" s="2">
        <v>2.9533148148148149E-2</v>
      </c>
      <c r="C493" s="2">
        <v>2.9521574074074075E-2</v>
      </c>
      <c r="D493" s="2">
        <v>2.9544722222222222E-2</v>
      </c>
      <c r="E493" t="s">
        <v>26</v>
      </c>
      <c r="F493" t="s">
        <v>30</v>
      </c>
      <c r="G493" t="s">
        <v>400</v>
      </c>
      <c r="H493">
        <v>7.0441988950276202E-2</v>
      </c>
      <c r="I493">
        <v>0.39224137931034497</v>
      </c>
    </row>
    <row r="494" spans="1:10" x14ac:dyDescent="0.3">
      <c r="A494" t="s">
        <v>518</v>
      </c>
      <c r="B494" s="2">
        <v>2.9988807870370369E-2</v>
      </c>
      <c r="C494" s="2">
        <v>2.9977233796296295E-2</v>
      </c>
      <c r="D494" s="2">
        <v>3.0000381944444446E-2</v>
      </c>
      <c r="E494" t="s">
        <v>26</v>
      </c>
      <c r="F494" t="s">
        <v>67</v>
      </c>
      <c r="G494" t="s">
        <v>402</v>
      </c>
      <c r="H494">
        <v>4.5580110497237598E-2</v>
      </c>
      <c r="I494">
        <v>0.58189655172413801</v>
      </c>
    </row>
    <row r="495" spans="1:10" x14ac:dyDescent="0.3">
      <c r="A495" t="s">
        <v>519</v>
      </c>
      <c r="B495" s="2">
        <v>3.6597997685185187E-2</v>
      </c>
      <c r="C495" s="2">
        <v>3.6586423611111113E-2</v>
      </c>
      <c r="D495" s="2">
        <v>3.660957175925926E-2</v>
      </c>
      <c r="E495" t="s">
        <v>26</v>
      </c>
      <c r="F495" t="s">
        <v>46</v>
      </c>
      <c r="G495" t="s">
        <v>400</v>
      </c>
      <c r="H495">
        <v>7.5966850828729296E-2</v>
      </c>
      <c r="I495">
        <v>0.35344827586206895</v>
      </c>
    </row>
    <row r="496" spans="1:10" x14ac:dyDescent="0.3">
      <c r="A496" t="s">
        <v>520</v>
      </c>
      <c r="B496" s="2">
        <v>3.8452604166666668E-2</v>
      </c>
      <c r="C496" s="2">
        <v>3.8441030092592594E-2</v>
      </c>
      <c r="D496" s="2">
        <v>3.8464178240740741E-2</v>
      </c>
      <c r="E496" t="s">
        <v>26</v>
      </c>
      <c r="F496" t="s">
        <v>32</v>
      </c>
      <c r="G496" t="s">
        <v>402</v>
      </c>
      <c r="H496">
        <v>0.59254143646408797</v>
      </c>
      <c r="I496">
        <v>0.48706896551724099</v>
      </c>
    </row>
    <row r="497" spans="1:10" x14ac:dyDescent="0.3">
      <c r="A497" t="s">
        <v>521</v>
      </c>
      <c r="B497" s="2">
        <v>3.8701458333333334E-2</v>
      </c>
      <c r="C497" s="2">
        <v>3.8689884259259261E-2</v>
      </c>
      <c r="D497" s="2">
        <v>3.8713032407407408E-2</v>
      </c>
      <c r="E497" t="s">
        <v>26</v>
      </c>
      <c r="F497" t="s">
        <v>40</v>
      </c>
      <c r="G497" t="s">
        <v>402</v>
      </c>
      <c r="H497">
        <v>0.551104972375691</v>
      </c>
      <c r="I497">
        <v>0.79741379310344795</v>
      </c>
    </row>
    <row r="498" spans="1:10" x14ac:dyDescent="0.3">
      <c r="A498" t="s">
        <v>522</v>
      </c>
      <c r="B498" s="2">
        <v>4.0521701388888887E-2</v>
      </c>
      <c r="C498" s="2">
        <v>4.0510127314814813E-2</v>
      </c>
      <c r="D498" s="2">
        <v>4.053327546296296E-2</v>
      </c>
      <c r="E498" t="s">
        <v>26</v>
      </c>
      <c r="F498" t="s">
        <v>38</v>
      </c>
      <c r="G498" t="s">
        <v>402</v>
      </c>
      <c r="H498">
        <v>4.28176795580111E-2</v>
      </c>
      <c r="I498">
        <v>0.443965517241379</v>
      </c>
    </row>
    <row r="499" spans="1:10" x14ac:dyDescent="0.3">
      <c r="A499" t="s">
        <v>523</v>
      </c>
      <c r="B499" s="2">
        <v>4.0947002314814816E-2</v>
      </c>
      <c r="C499" s="2">
        <v>4.0935428240740743E-2</v>
      </c>
      <c r="D499" s="2">
        <v>4.095857638888889E-2</v>
      </c>
      <c r="E499" t="s">
        <v>26</v>
      </c>
      <c r="F499" t="s">
        <v>198</v>
      </c>
      <c r="G499" t="s">
        <v>402</v>
      </c>
      <c r="H499">
        <v>0.51519337016574596</v>
      </c>
      <c r="I499">
        <v>0.39655172413793105</v>
      </c>
    </row>
    <row r="500" spans="1:10" x14ac:dyDescent="0.3">
      <c r="A500" t="s">
        <v>524</v>
      </c>
      <c r="B500" s="2">
        <v>4.0980717592592593E-2</v>
      </c>
      <c r="C500" s="2">
        <v>4.0969143518518519E-2</v>
      </c>
      <c r="D500" s="2">
        <v>4.0992291666666666E-2</v>
      </c>
      <c r="E500" t="s">
        <v>26</v>
      </c>
      <c r="F500" t="s">
        <v>51</v>
      </c>
      <c r="G500" t="s">
        <v>400</v>
      </c>
      <c r="H500">
        <v>0.65607734806629803</v>
      </c>
      <c r="I500">
        <v>7.3275862068965969E-2</v>
      </c>
    </row>
    <row r="501" spans="1:10" x14ac:dyDescent="0.3">
      <c r="A501" t="s">
        <v>525</v>
      </c>
      <c r="B501" s="2">
        <v>5.0348125000000001E-2</v>
      </c>
      <c r="C501" s="2">
        <v>5.0336550925925927E-2</v>
      </c>
      <c r="D501" s="2">
        <v>5.0359699074074074E-2</v>
      </c>
      <c r="E501" t="s">
        <v>26</v>
      </c>
      <c r="F501" t="s">
        <v>32</v>
      </c>
      <c r="G501" t="s">
        <v>400</v>
      </c>
      <c r="H501">
        <v>0.77209944751381199</v>
      </c>
      <c r="I501">
        <v>0.57758620689655205</v>
      </c>
    </row>
    <row r="502" spans="1:10" x14ac:dyDescent="0.3">
      <c r="A502" t="s">
        <v>526</v>
      </c>
      <c r="B502" s="2">
        <v>5.4344386574074074E-2</v>
      </c>
      <c r="C502" s="2">
        <v>5.4332812500000001E-2</v>
      </c>
      <c r="D502" s="2">
        <v>5.4355960648148148E-2</v>
      </c>
      <c r="E502" t="s">
        <v>26</v>
      </c>
      <c r="F502" t="s">
        <v>38</v>
      </c>
      <c r="G502" t="s">
        <v>402</v>
      </c>
      <c r="H502">
        <v>0.600828729281768</v>
      </c>
      <c r="I502">
        <v>0.36637931034482796</v>
      </c>
    </row>
    <row r="503" spans="1:10" x14ac:dyDescent="0.3">
      <c r="A503" t="s">
        <v>527</v>
      </c>
      <c r="B503" s="2">
        <v>5.4453310185185184E-2</v>
      </c>
      <c r="C503" s="2">
        <v>5.4441736111111111E-2</v>
      </c>
      <c r="D503" s="2">
        <v>5.4464884259259258E-2</v>
      </c>
      <c r="E503" t="s">
        <v>26</v>
      </c>
      <c r="F503" t="s">
        <v>58</v>
      </c>
      <c r="G503" t="s">
        <v>400</v>
      </c>
      <c r="H503">
        <v>0.28867403314917101</v>
      </c>
      <c r="I503">
        <v>0.193965517241379</v>
      </c>
    </row>
    <row r="504" spans="1:10" x14ac:dyDescent="0.3">
      <c r="A504" t="s">
        <v>528</v>
      </c>
      <c r="B504" s="2">
        <v>5.9431145833333331E-2</v>
      </c>
      <c r="C504" s="2">
        <v>5.9419571759259257E-2</v>
      </c>
      <c r="D504" s="2">
        <v>5.9442719907407404E-2</v>
      </c>
      <c r="E504" t="s">
        <v>26</v>
      </c>
      <c r="F504" t="s">
        <v>198</v>
      </c>
      <c r="G504" t="s">
        <v>402</v>
      </c>
      <c r="H504">
        <v>0.61464088397790095</v>
      </c>
      <c r="I504">
        <v>0.21120689655172398</v>
      </c>
    </row>
    <row r="505" spans="1:10" x14ac:dyDescent="0.3">
      <c r="A505" t="s">
        <v>529</v>
      </c>
      <c r="B505" s="2">
        <v>6.0314502314814812E-2</v>
      </c>
      <c r="C505" s="2">
        <v>6.0302928240740739E-2</v>
      </c>
      <c r="D505" s="2">
        <v>6.0326076388888886E-2</v>
      </c>
      <c r="E505" t="s">
        <v>26</v>
      </c>
      <c r="F505" t="s">
        <v>67</v>
      </c>
      <c r="G505" t="s">
        <v>402</v>
      </c>
      <c r="H505">
        <v>0.41574585635359101</v>
      </c>
      <c r="I505">
        <v>0.88362068965517204</v>
      </c>
    </row>
    <row r="506" spans="1:10" x14ac:dyDescent="0.3">
      <c r="A506" t="s">
        <v>530</v>
      </c>
      <c r="B506" s="2">
        <v>6.0347430555555553E-2</v>
      </c>
      <c r="C506" s="2">
        <v>6.033585648148148E-2</v>
      </c>
      <c r="D506" s="2">
        <v>6.0359004629629627E-2</v>
      </c>
      <c r="E506" t="s">
        <v>26</v>
      </c>
      <c r="F506" t="s">
        <v>44</v>
      </c>
      <c r="G506" t="s">
        <v>400</v>
      </c>
      <c r="H506">
        <v>0.44613259668508298</v>
      </c>
      <c r="I506">
        <v>0.71551724137931005</v>
      </c>
    </row>
    <row r="507" spans="1:10" x14ac:dyDescent="0.3">
      <c r="A507" t="s">
        <v>531</v>
      </c>
      <c r="B507" s="2">
        <v>6.8896770833333329E-2</v>
      </c>
      <c r="C507" s="2">
        <v>6.8885196759259262E-2</v>
      </c>
      <c r="D507" s="2">
        <v>6.8908344907407409E-2</v>
      </c>
      <c r="E507" t="s">
        <v>26</v>
      </c>
      <c r="F507" t="s">
        <v>198</v>
      </c>
      <c r="G507" t="s">
        <v>402</v>
      </c>
      <c r="H507">
        <v>0.55662983425414403</v>
      </c>
      <c r="I507">
        <v>0.35775862068965503</v>
      </c>
    </row>
    <row r="509" spans="1:10" ht="23.4" x14ac:dyDescent="0.45">
      <c r="A509" s="43" t="s">
        <v>532</v>
      </c>
      <c r="B509" s="44"/>
      <c r="C509" s="44"/>
      <c r="D509" s="44"/>
      <c r="H509" s="45" t="s">
        <v>15</v>
      </c>
      <c r="I509" s="45" t="s">
        <v>15</v>
      </c>
    </row>
    <row r="510" spans="1:10" x14ac:dyDescent="0.3">
      <c r="A510" s="1" t="s">
        <v>16</v>
      </c>
      <c r="B510" s="1" t="s">
        <v>17</v>
      </c>
      <c r="C510" s="1" t="s">
        <v>18</v>
      </c>
      <c r="D510" s="1" t="s">
        <v>19</v>
      </c>
      <c r="E510" s="1" t="s">
        <v>20</v>
      </c>
      <c r="F510" s="1" t="s">
        <v>21</v>
      </c>
      <c r="G510" s="1" t="s">
        <v>22</v>
      </c>
      <c r="H510" s="1" t="s">
        <v>23</v>
      </c>
      <c r="I510" s="1" t="s">
        <v>24</v>
      </c>
      <c r="J510" s="1"/>
    </row>
    <row r="511" spans="1:10" x14ac:dyDescent="0.3">
      <c r="A511" t="s">
        <v>533</v>
      </c>
      <c r="B511" s="2">
        <v>3.1226967592592591E-3</v>
      </c>
      <c r="C511" s="2">
        <v>3.0995486111111111E-3</v>
      </c>
      <c r="D511" s="2">
        <v>3.1342708333333335E-3</v>
      </c>
      <c r="E511" t="s">
        <v>26</v>
      </c>
      <c r="F511" t="s">
        <v>42</v>
      </c>
      <c r="G511" t="s">
        <v>34</v>
      </c>
      <c r="H511">
        <v>0.88535911602209905</v>
      </c>
      <c r="I511">
        <v>0.125</v>
      </c>
    </row>
    <row r="512" spans="1:10" x14ac:dyDescent="0.3">
      <c r="A512" t="s">
        <v>534</v>
      </c>
      <c r="B512" s="2">
        <v>9.5770370370370367E-3</v>
      </c>
      <c r="C512" s="2">
        <v>9.5538888888888895E-3</v>
      </c>
      <c r="D512" s="2">
        <v>9.5886111111111103E-3</v>
      </c>
      <c r="E512" t="s">
        <v>26</v>
      </c>
      <c r="F512" t="s">
        <v>51</v>
      </c>
      <c r="G512" t="s">
        <v>34</v>
      </c>
      <c r="H512">
        <v>0.91850828729281797</v>
      </c>
      <c r="I512">
        <v>0.81034482758620696</v>
      </c>
    </row>
    <row r="513" spans="1:9" x14ac:dyDescent="0.3">
      <c r="A513" t="s">
        <v>535</v>
      </c>
      <c r="B513" s="2">
        <v>3.0867534722222222E-2</v>
      </c>
      <c r="C513" s="2">
        <v>3.0844386574074074E-2</v>
      </c>
      <c r="D513" s="2">
        <v>3.0879108796296295E-2</v>
      </c>
      <c r="E513" t="s">
        <v>26</v>
      </c>
      <c r="F513" t="s">
        <v>30</v>
      </c>
      <c r="G513" t="s">
        <v>34</v>
      </c>
      <c r="H513">
        <v>0.76657458563535896</v>
      </c>
      <c r="I513">
        <v>3.0172413793102981E-2</v>
      </c>
    </row>
    <row r="514" spans="1:9" x14ac:dyDescent="0.3">
      <c r="A514" t="s">
        <v>536</v>
      </c>
      <c r="B514" s="2">
        <v>4.1079282407407408E-2</v>
      </c>
      <c r="C514" s="2">
        <v>4.1056134259259261E-2</v>
      </c>
      <c r="D514" s="2">
        <v>4.1090856481481482E-2</v>
      </c>
      <c r="E514" t="s">
        <v>26</v>
      </c>
      <c r="F514" t="s">
        <v>38</v>
      </c>
      <c r="G514" t="s">
        <v>34</v>
      </c>
      <c r="H514">
        <v>0.76381215469613295</v>
      </c>
      <c r="I514">
        <v>3.4482758620689946E-2</v>
      </c>
    </row>
    <row r="515" spans="1:9" x14ac:dyDescent="0.3">
      <c r="A515" t="s">
        <v>537</v>
      </c>
      <c r="B515" s="2">
        <v>5.4963796296296295E-2</v>
      </c>
      <c r="C515" s="2">
        <v>5.4940648148148148E-2</v>
      </c>
      <c r="D515" s="2">
        <v>5.4975370370370369E-2</v>
      </c>
      <c r="E515" t="s">
        <v>26</v>
      </c>
      <c r="F515" t="s">
        <v>42</v>
      </c>
      <c r="G515" t="s">
        <v>34</v>
      </c>
      <c r="H515">
        <v>0.99309392265193397</v>
      </c>
      <c r="I515">
        <v>8.6206896551720424E-3</v>
      </c>
    </row>
    <row r="516" spans="1:9" x14ac:dyDescent="0.3">
      <c r="A516" t="s">
        <v>538</v>
      </c>
      <c r="B516" s="2">
        <v>5.543226851851852E-2</v>
      </c>
      <c r="C516" s="2">
        <v>5.5409120370370372E-2</v>
      </c>
      <c r="D516" s="2">
        <v>5.5443842592592593E-2</v>
      </c>
      <c r="E516" t="s">
        <v>26</v>
      </c>
      <c r="F516" t="s">
        <v>42</v>
      </c>
      <c r="G516" t="s">
        <v>34</v>
      </c>
      <c r="H516">
        <v>0.97099447513812198</v>
      </c>
      <c r="I516">
        <v>0.88793103448275901</v>
      </c>
    </row>
    <row r="517" spans="1:9" x14ac:dyDescent="0.3">
      <c r="A517" t="s">
        <v>539</v>
      </c>
      <c r="B517" s="2">
        <v>5.5746736111111111E-2</v>
      </c>
      <c r="C517" s="2">
        <v>5.5723587962962964E-2</v>
      </c>
      <c r="D517" s="2">
        <v>5.5758310185185185E-2</v>
      </c>
      <c r="E517" t="s">
        <v>26</v>
      </c>
      <c r="F517" t="s">
        <v>42</v>
      </c>
      <c r="G517" t="s">
        <v>28</v>
      </c>
      <c r="H517">
        <v>0.98756906077348094</v>
      </c>
      <c r="I517">
        <v>0.99137931034482762</v>
      </c>
    </row>
    <row r="518" spans="1:9" x14ac:dyDescent="0.3">
      <c r="A518" t="s">
        <v>540</v>
      </c>
      <c r="B518" s="2">
        <v>5.5794074074074072E-2</v>
      </c>
      <c r="C518" s="2">
        <v>5.5770925925925925E-2</v>
      </c>
      <c r="D518" s="2">
        <v>5.5805648148148146E-2</v>
      </c>
      <c r="E518" t="s">
        <v>26</v>
      </c>
      <c r="F518" t="s">
        <v>38</v>
      </c>
      <c r="G518" t="s">
        <v>28</v>
      </c>
      <c r="H518">
        <v>0.89640883977900498</v>
      </c>
      <c r="I518">
        <v>0.21120689655172398</v>
      </c>
    </row>
    <row r="519" spans="1:9" x14ac:dyDescent="0.3">
      <c r="A519" t="s">
        <v>541</v>
      </c>
      <c r="B519" s="2">
        <v>5.764952546296296E-2</v>
      </c>
      <c r="C519" s="2">
        <v>5.7626377314814813E-2</v>
      </c>
      <c r="D519" s="2">
        <v>5.766109953703704E-2</v>
      </c>
      <c r="E519" t="s">
        <v>26</v>
      </c>
      <c r="F519" t="s">
        <v>32</v>
      </c>
      <c r="G519" t="s">
        <v>34</v>
      </c>
      <c r="H519">
        <v>0.88812154696132595</v>
      </c>
      <c r="I519">
        <v>0.93965517241379315</v>
      </c>
    </row>
    <row r="520" spans="1:9" x14ac:dyDescent="0.3">
      <c r="A520" t="s">
        <v>542</v>
      </c>
      <c r="B520" s="2">
        <v>5.875454861111111E-2</v>
      </c>
      <c r="C520" s="2">
        <v>5.8731400462962963E-2</v>
      </c>
      <c r="D520" s="2">
        <v>5.8766122685185183E-2</v>
      </c>
      <c r="E520" t="s">
        <v>26</v>
      </c>
      <c r="F520" t="s">
        <v>44</v>
      </c>
      <c r="G520" t="s">
        <v>34</v>
      </c>
      <c r="H520">
        <v>0.93784530386740295</v>
      </c>
      <c r="I520">
        <v>0.9181034482758621</v>
      </c>
    </row>
    <row r="521" spans="1:9" x14ac:dyDescent="0.3">
      <c r="A521" t="s">
        <v>543</v>
      </c>
      <c r="B521" s="2">
        <v>5.9004317129629627E-2</v>
      </c>
      <c r="C521" s="2">
        <v>5.898116898148148E-2</v>
      </c>
      <c r="D521" s="2">
        <v>5.9015891203703701E-2</v>
      </c>
      <c r="E521" t="s">
        <v>26</v>
      </c>
      <c r="F521" t="s">
        <v>44</v>
      </c>
      <c r="G521" t="s">
        <v>34</v>
      </c>
      <c r="H521">
        <v>0.99033149171270696</v>
      </c>
      <c r="I521">
        <v>0.99568965517241381</v>
      </c>
    </row>
    <row r="522" spans="1:9" x14ac:dyDescent="0.3">
      <c r="A522" t="s">
        <v>544</v>
      </c>
      <c r="B522" s="2">
        <v>5.9746342592592594E-2</v>
      </c>
      <c r="C522" s="2">
        <v>5.9723194444444447E-2</v>
      </c>
      <c r="D522" s="2">
        <v>5.9757916666666668E-2</v>
      </c>
      <c r="E522" t="s">
        <v>26</v>
      </c>
      <c r="F522" t="s">
        <v>32</v>
      </c>
      <c r="G522" t="s">
        <v>34</v>
      </c>
      <c r="H522">
        <v>0.82734806629834201</v>
      </c>
      <c r="I522">
        <v>6.8965517241379004E-2</v>
      </c>
    </row>
    <row r="523" spans="1:9" x14ac:dyDescent="0.3">
      <c r="A523" t="s">
        <v>545</v>
      </c>
      <c r="B523" s="2">
        <v>6.0010254629629632E-2</v>
      </c>
      <c r="C523" s="2">
        <v>5.9987106481481478E-2</v>
      </c>
      <c r="D523" s="2">
        <v>6.0021828703703706E-2</v>
      </c>
      <c r="E523" t="s">
        <v>26</v>
      </c>
      <c r="F523" t="s">
        <v>67</v>
      </c>
      <c r="G523" t="s">
        <v>34</v>
      </c>
      <c r="H523">
        <v>0.91574585635359096</v>
      </c>
      <c r="I523">
        <v>0.9568965517241379</v>
      </c>
    </row>
    <row r="524" spans="1:9" x14ac:dyDescent="0.3">
      <c r="A524" t="s">
        <v>546</v>
      </c>
      <c r="B524" s="2">
        <v>6.1751111111111111E-2</v>
      </c>
      <c r="C524" s="2">
        <v>6.1727962962962964E-2</v>
      </c>
      <c r="D524" s="2">
        <v>6.1762685185185184E-2</v>
      </c>
      <c r="E524" t="s">
        <v>26</v>
      </c>
      <c r="F524" t="s">
        <v>264</v>
      </c>
      <c r="G524" t="s">
        <v>34</v>
      </c>
      <c r="H524">
        <v>0.94060773480662996</v>
      </c>
      <c r="I524">
        <v>6.4655172413793038E-2</v>
      </c>
    </row>
    <row r="525" spans="1:9" x14ac:dyDescent="0.3">
      <c r="A525" t="s">
        <v>547</v>
      </c>
      <c r="B525" s="2">
        <v>6.2091041666666666E-2</v>
      </c>
      <c r="C525" s="2">
        <v>6.2067893518518519E-2</v>
      </c>
      <c r="D525" s="2">
        <v>6.2102615740740739E-2</v>
      </c>
      <c r="E525" t="s">
        <v>26</v>
      </c>
      <c r="F525" t="s">
        <v>44</v>
      </c>
      <c r="G525" t="s">
        <v>34</v>
      </c>
      <c r="H525">
        <v>0.99309392265193397</v>
      </c>
      <c r="I525">
        <v>2.155172413793105E-2</v>
      </c>
    </row>
    <row r="526" spans="1:9" x14ac:dyDescent="0.3">
      <c r="A526" t="s">
        <v>548</v>
      </c>
      <c r="B526" s="2">
        <v>6.2217071759259258E-2</v>
      </c>
      <c r="C526" s="2">
        <v>6.2193923611111111E-2</v>
      </c>
      <c r="D526" s="2">
        <v>6.2228645833333332E-2</v>
      </c>
      <c r="E526" t="s">
        <v>26</v>
      </c>
      <c r="F526" t="s">
        <v>198</v>
      </c>
      <c r="G526" t="s">
        <v>34</v>
      </c>
      <c r="H526">
        <v>0.82182320441988999</v>
      </c>
      <c r="I526">
        <v>0.875</v>
      </c>
    </row>
    <row r="527" spans="1:9" x14ac:dyDescent="0.3">
      <c r="A527" t="s">
        <v>549</v>
      </c>
      <c r="B527" s="2">
        <v>6.3836215277777775E-2</v>
      </c>
      <c r="C527" s="2">
        <v>6.3813067129629628E-2</v>
      </c>
      <c r="D527" s="2">
        <v>6.3847789351851855E-2</v>
      </c>
      <c r="E527" t="s">
        <v>26</v>
      </c>
      <c r="F527" t="s">
        <v>51</v>
      </c>
      <c r="G527" t="s">
        <v>28</v>
      </c>
      <c r="H527">
        <v>0.91022099447513805</v>
      </c>
      <c r="I527">
        <v>0.83620689655172398</v>
      </c>
    </row>
    <row r="528" spans="1:9" x14ac:dyDescent="0.3">
      <c r="A528" t="s">
        <v>550</v>
      </c>
      <c r="B528" s="2">
        <v>6.4845821759259265E-2</v>
      </c>
      <c r="C528" s="2">
        <v>6.4822673611111117E-2</v>
      </c>
      <c r="D528" s="2">
        <v>6.4857395833333331E-2</v>
      </c>
      <c r="E528" t="s">
        <v>26</v>
      </c>
      <c r="F528" t="s">
        <v>44</v>
      </c>
      <c r="G528" t="s">
        <v>34</v>
      </c>
      <c r="H528">
        <v>0.99309392265193397</v>
      </c>
      <c r="I528">
        <v>1.2931034482759007E-2</v>
      </c>
    </row>
    <row r="529" spans="1:9" x14ac:dyDescent="0.3">
      <c r="A529" t="s">
        <v>551</v>
      </c>
      <c r="B529" s="2">
        <v>6.7054201388888887E-2</v>
      </c>
      <c r="C529" s="2">
        <v>6.703105324074074E-2</v>
      </c>
      <c r="D529" s="2">
        <v>6.7065775462962968E-2</v>
      </c>
      <c r="E529" t="s">
        <v>26</v>
      </c>
      <c r="F529" t="s">
        <v>51</v>
      </c>
      <c r="G529" t="s">
        <v>34</v>
      </c>
      <c r="H529">
        <v>0.97099447513812198</v>
      </c>
      <c r="I529">
        <v>0.73706896551724099</v>
      </c>
    </row>
    <row r="530" spans="1:9" x14ac:dyDescent="0.3">
      <c r="A530" t="s">
        <v>552</v>
      </c>
      <c r="B530" s="2">
        <v>6.8440902777777785E-2</v>
      </c>
      <c r="C530" s="2">
        <v>6.8417754629629624E-2</v>
      </c>
      <c r="D530" s="2">
        <v>6.8452476851851851E-2</v>
      </c>
      <c r="E530" t="s">
        <v>26</v>
      </c>
      <c r="F530" t="s">
        <v>44</v>
      </c>
      <c r="G530" t="s">
        <v>34</v>
      </c>
      <c r="H530">
        <v>0.70580110497237603</v>
      </c>
      <c r="I530">
        <v>0.818965517241379</v>
      </c>
    </row>
    <row r="532" spans="1:9" ht="23.4" x14ac:dyDescent="0.45">
      <c r="A532" s="43" t="s">
        <v>553</v>
      </c>
      <c r="B532" s="44"/>
      <c r="C532" s="44"/>
      <c r="D532" s="44"/>
      <c r="G532" s="45" t="s">
        <v>15</v>
      </c>
      <c r="H532" s="45" t="s">
        <v>15</v>
      </c>
    </row>
    <row r="533" spans="1:9" x14ac:dyDescent="0.3">
      <c r="A533" s="1" t="s">
        <v>16</v>
      </c>
      <c r="B533" s="1" t="s">
        <v>17</v>
      </c>
      <c r="C533" s="1" t="s">
        <v>18</v>
      </c>
      <c r="D533" s="1" t="s">
        <v>19</v>
      </c>
      <c r="E533" s="1" t="s">
        <v>20</v>
      </c>
      <c r="F533" s="1" t="s">
        <v>21</v>
      </c>
      <c r="G533" s="1" t="s">
        <v>23</v>
      </c>
      <c r="H533" s="1" t="s">
        <v>24</v>
      </c>
      <c r="I533" s="1"/>
    </row>
    <row r="534" spans="1:9" x14ac:dyDescent="0.3">
      <c r="A534" t="s">
        <v>554</v>
      </c>
      <c r="B534" s="2">
        <v>1.9175925925925925E-4</v>
      </c>
      <c r="C534" s="2">
        <v>1.8018518518518519E-4</v>
      </c>
      <c r="D534" s="2">
        <v>2.0333333333333333E-4</v>
      </c>
      <c r="E534" t="s">
        <v>26</v>
      </c>
      <c r="F534" t="s">
        <v>67</v>
      </c>
      <c r="G534">
        <v>0.26058201058201103</v>
      </c>
      <c r="H534">
        <v>0.77685950413223104</v>
      </c>
    </row>
    <row r="535" spans="1:9" x14ac:dyDescent="0.3">
      <c r="A535" t="s">
        <v>555</v>
      </c>
      <c r="B535" s="2">
        <v>1.6356481481481482E-3</v>
      </c>
      <c r="C535" s="2">
        <v>1.624074074074074E-3</v>
      </c>
      <c r="D535" s="2">
        <v>1.6472222222222222E-3</v>
      </c>
      <c r="E535" t="s">
        <v>26</v>
      </c>
      <c r="F535" t="s">
        <v>46</v>
      </c>
      <c r="G535">
        <v>2.2486772486772499E-2</v>
      </c>
      <c r="H535">
        <v>0.26859504132231404</v>
      </c>
    </row>
    <row r="536" spans="1:9" x14ac:dyDescent="0.3">
      <c r="A536" t="s">
        <v>556</v>
      </c>
      <c r="B536" s="2">
        <v>6.9583680555555553E-3</v>
      </c>
      <c r="C536" s="2">
        <v>6.9467939814814817E-3</v>
      </c>
      <c r="D536" s="2">
        <v>6.9699421296296298E-3</v>
      </c>
      <c r="E536" t="s">
        <v>26</v>
      </c>
      <c r="F536" t="s">
        <v>58</v>
      </c>
      <c r="G536">
        <v>0.226190476190476</v>
      </c>
      <c r="H536">
        <v>0.30578512396694202</v>
      </c>
    </row>
    <row r="537" spans="1:9" x14ac:dyDescent="0.3">
      <c r="A537" t="s">
        <v>557</v>
      </c>
      <c r="B537" s="2">
        <v>9.365648148148149E-3</v>
      </c>
      <c r="C537" s="2">
        <v>9.3540740740740737E-3</v>
      </c>
      <c r="D537" s="2">
        <v>9.3772222222222226E-3</v>
      </c>
      <c r="E537" t="s">
        <v>26</v>
      </c>
      <c r="F537" t="s">
        <v>46</v>
      </c>
      <c r="G537">
        <v>0.17328042328042301</v>
      </c>
      <c r="H537">
        <v>0.495867768595041</v>
      </c>
    </row>
    <row r="538" spans="1:9" x14ac:dyDescent="0.3">
      <c r="A538" t="s">
        <v>558</v>
      </c>
      <c r="B538" s="2">
        <v>9.7892708333333339E-3</v>
      </c>
      <c r="C538" s="2">
        <v>9.7776967592592585E-3</v>
      </c>
      <c r="D538" s="2">
        <v>9.8008449074074074E-3</v>
      </c>
      <c r="E538" t="s">
        <v>26</v>
      </c>
      <c r="F538" t="s">
        <v>58</v>
      </c>
      <c r="G538">
        <v>0.24470899470899499</v>
      </c>
      <c r="H538">
        <v>0.669421487603306</v>
      </c>
    </row>
    <row r="539" spans="1:9" x14ac:dyDescent="0.3">
      <c r="A539" t="s">
        <v>559</v>
      </c>
      <c r="B539" s="2">
        <v>1.0031979166666666E-2</v>
      </c>
      <c r="C539" s="2">
        <v>1.0020405092592593E-2</v>
      </c>
      <c r="D539" s="2">
        <v>1.004355324074074E-2</v>
      </c>
      <c r="E539" t="s">
        <v>26</v>
      </c>
      <c r="F539" t="s">
        <v>58</v>
      </c>
      <c r="G539">
        <v>0.191798941798942</v>
      </c>
      <c r="H539">
        <v>0.95867768595041325</v>
      </c>
    </row>
    <row r="540" spans="1:9" x14ac:dyDescent="0.3">
      <c r="A540" t="s">
        <v>560</v>
      </c>
      <c r="B540" s="2">
        <v>1.3934513888888889E-2</v>
      </c>
      <c r="C540" s="2">
        <v>1.3922939814814815E-2</v>
      </c>
      <c r="D540" s="2">
        <v>1.3946087962962962E-2</v>
      </c>
      <c r="E540" t="s">
        <v>26</v>
      </c>
      <c r="F540" t="s">
        <v>58</v>
      </c>
      <c r="G540">
        <v>0.16005291005291</v>
      </c>
      <c r="H540">
        <v>0.57438016528925595</v>
      </c>
    </row>
    <row r="541" spans="1:9" x14ac:dyDescent="0.3">
      <c r="A541" t="s">
        <v>561</v>
      </c>
      <c r="B541" s="2">
        <v>2.0592743055555557E-2</v>
      </c>
      <c r="C541" s="2">
        <v>2.058116898148148E-2</v>
      </c>
      <c r="D541" s="2">
        <v>2.060431712962963E-2</v>
      </c>
      <c r="E541" t="s">
        <v>26</v>
      </c>
      <c r="F541" t="s">
        <v>27</v>
      </c>
      <c r="G541">
        <v>0.194444444444444</v>
      </c>
      <c r="H541">
        <v>0.69421487603305798</v>
      </c>
    </row>
    <row r="542" spans="1:9" x14ac:dyDescent="0.3">
      <c r="A542" t="s">
        <v>562</v>
      </c>
      <c r="B542" s="2">
        <v>2.2146666666666665E-2</v>
      </c>
      <c r="C542" s="2">
        <v>2.2135092592592592E-2</v>
      </c>
      <c r="D542" s="2">
        <v>2.2158240740740742E-2</v>
      </c>
      <c r="E542" t="s">
        <v>26</v>
      </c>
      <c r="F542" t="s">
        <v>30</v>
      </c>
      <c r="G542">
        <v>0.19973544973544999</v>
      </c>
      <c r="H542">
        <v>8.6776859504132053E-2</v>
      </c>
    </row>
    <row r="543" spans="1:9" x14ac:dyDescent="0.3">
      <c r="A543" t="s">
        <v>563</v>
      </c>
      <c r="B543" s="2">
        <v>2.4329236111111111E-2</v>
      </c>
      <c r="C543" s="2">
        <v>2.4317662037037037E-2</v>
      </c>
      <c r="D543" s="2">
        <v>2.4340810185185184E-2</v>
      </c>
      <c r="E543" t="s">
        <v>26</v>
      </c>
      <c r="F543" t="s">
        <v>58</v>
      </c>
      <c r="G543">
        <v>0.41402116402116401</v>
      </c>
      <c r="H543">
        <v>0.47107438016528902</v>
      </c>
    </row>
    <row r="544" spans="1:9" x14ac:dyDescent="0.3">
      <c r="A544" t="s">
        <v>564</v>
      </c>
      <c r="B544" s="2">
        <v>2.4634930555555556E-2</v>
      </c>
      <c r="C544" s="2">
        <v>2.4623356481481482E-2</v>
      </c>
      <c r="D544" s="2">
        <v>2.4646504629629629E-2</v>
      </c>
      <c r="E544" t="s">
        <v>26</v>
      </c>
      <c r="F544" t="s">
        <v>27</v>
      </c>
      <c r="G544">
        <v>0.181216931216931</v>
      </c>
      <c r="H544">
        <v>0.64876033057851201</v>
      </c>
    </row>
    <row r="545" spans="1:8" x14ac:dyDescent="0.3">
      <c r="A545" t="s">
        <v>565</v>
      </c>
      <c r="B545" s="2">
        <v>2.5563865740740741E-2</v>
      </c>
      <c r="C545" s="2">
        <v>2.5552291666666668E-2</v>
      </c>
      <c r="D545" s="2">
        <v>2.5575439814814815E-2</v>
      </c>
      <c r="E545" t="s">
        <v>26</v>
      </c>
      <c r="F545" t="s">
        <v>58</v>
      </c>
      <c r="G545">
        <v>4.1005291005291003E-2</v>
      </c>
      <c r="H545">
        <v>0.62396694214875992</v>
      </c>
    </row>
    <row r="546" spans="1:8" x14ac:dyDescent="0.3">
      <c r="A546" t="s">
        <v>566</v>
      </c>
      <c r="B546" s="2">
        <v>2.8033425925925927E-2</v>
      </c>
      <c r="C546" s="2">
        <v>2.8021851851851853E-2</v>
      </c>
      <c r="D546" s="2">
        <v>2.8045E-2</v>
      </c>
      <c r="E546" t="s">
        <v>26</v>
      </c>
      <c r="F546" t="s">
        <v>58</v>
      </c>
      <c r="G546">
        <v>0.23412698412698399</v>
      </c>
      <c r="H546">
        <v>0.84297520661156999</v>
      </c>
    </row>
    <row r="547" spans="1:8" x14ac:dyDescent="0.3">
      <c r="A547" t="s">
        <v>567</v>
      </c>
      <c r="B547" s="2">
        <v>3.0041608796296297E-2</v>
      </c>
      <c r="C547" s="2">
        <v>3.0030034722222224E-2</v>
      </c>
      <c r="D547" s="2">
        <v>3.0053182870370371E-2</v>
      </c>
      <c r="E547" t="s">
        <v>26</v>
      </c>
      <c r="F547" t="s">
        <v>58</v>
      </c>
      <c r="G547">
        <v>4.1005291005291003E-2</v>
      </c>
      <c r="H547">
        <v>0.53305785123966898</v>
      </c>
    </row>
    <row r="548" spans="1:8" x14ac:dyDescent="0.3">
      <c r="A548" t="s">
        <v>568</v>
      </c>
      <c r="B548" s="2">
        <v>3.0044652777777778E-2</v>
      </c>
      <c r="C548" s="2">
        <v>3.0033078703703704E-2</v>
      </c>
      <c r="D548" s="2">
        <v>3.0056226851851851E-2</v>
      </c>
      <c r="E548" t="s">
        <v>26</v>
      </c>
      <c r="F548" t="s">
        <v>40</v>
      </c>
      <c r="G548">
        <v>4.36507936507936E-2</v>
      </c>
      <c r="H548">
        <v>0.52479338842975198</v>
      </c>
    </row>
    <row r="549" spans="1:8" x14ac:dyDescent="0.3">
      <c r="A549" t="s">
        <v>569</v>
      </c>
      <c r="B549" s="2">
        <v>3.1402384259259258E-2</v>
      </c>
      <c r="C549" s="2">
        <v>3.1390810185185185E-2</v>
      </c>
      <c r="D549" s="2">
        <v>3.1413958333333332E-2</v>
      </c>
      <c r="E549" t="s">
        <v>26</v>
      </c>
      <c r="F549" t="s">
        <v>46</v>
      </c>
      <c r="G549">
        <v>0.23148148148148101</v>
      </c>
      <c r="H549">
        <v>0.69834710743801698</v>
      </c>
    </row>
    <row r="550" spans="1:8" x14ac:dyDescent="0.3">
      <c r="A550" t="s">
        <v>570</v>
      </c>
      <c r="B550" s="2">
        <v>3.6639895833333332E-2</v>
      </c>
      <c r="C550" s="2">
        <v>3.6628321759259258E-2</v>
      </c>
      <c r="D550" s="2">
        <v>3.6651469907407405E-2</v>
      </c>
      <c r="E550" t="s">
        <v>26</v>
      </c>
      <c r="F550" t="s">
        <v>30</v>
      </c>
      <c r="G550">
        <v>3.3068783068783102E-2</v>
      </c>
      <c r="H550">
        <v>0.48760330578512401</v>
      </c>
    </row>
    <row r="551" spans="1:8" x14ac:dyDescent="0.3">
      <c r="A551" t="s">
        <v>571</v>
      </c>
      <c r="B551" s="2">
        <v>4.0047280092592591E-2</v>
      </c>
      <c r="C551" s="2">
        <v>4.0035706018518517E-2</v>
      </c>
      <c r="D551" s="2">
        <v>4.0058854166666664E-2</v>
      </c>
      <c r="E551" t="s">
        <v>26</v>
      </c>
      <c r="F551" t="s">
        <v>46</v>
      </c>
      <c r="G551">
        <v>0.170634920634921</v>
      </c>
      <c r="H551">
        <v>0.64462809917355401</v>
      </c>
    </row>
    <row r="552" spans="1:8" x14ac:dyDescent="0.3">
      <c r="A552" t="s">
        <v>572</v>
      </c>
      <c r="B552" s="2">
        <v>4.0073090277777779E-2</v>
      </c>
      <c r="C552" s="2">
        <v>4.0061516203703705E-2</v>
      </c>
      <c r="D552" s="2">
        <v>4.0084664351851852E-2</v>
      </c>
      <c r="E552" t="s">
        <v>26</v>
      </c>
      <c r="F552" t="s">
        <v>40</v>
      </c>
      <c r="G552">
        <v>0.194444444444444</v>
      </c>
      <c r="H552">
        <v>0.61983471074380203</v>
      </c>
    </row>
    <row r="553" spans="1:8" x14ac:dyDescent="0.3">
      <c r="A553" t="s">
        <v>573</v>
      </c>
      <c r="B553" s="2">
        <v>4.6636516203703703E-2</v>
      </c>
      <c r="C553" s="2">
        <v>4.6624942129629629E-2</v>
      </c>
      <c r="D553" s="2">
        <v>4.6648090277777776E-2</v>
      </c>
      <c r="E553" t="s">
        <v>26</v>
      </c>
      <c r="F553" t="s">
        <v>27</v>
      </c>
      <c r="G553">
        <v>5.6878306878306903E-2</v>
      </c>
      <c r="H553">
        <v>0.64049586776859502</v>
      </c>
    </row>
    <row r="554" spans="1:8" x14ac:dyDescent="0.3">
      <c r="A554" t="s">
        <v>574</v>
      </c>
      <c r="B554" s="2">
        <v>5.1591585648148149E-2</v>
      </c>
      <c r="C554" s="2">
        <v>5.1580011574074075E-2</v>
      </c>
      <c r="D554" s="2">
        <v>5.1603159722222222E-2</v>
      </c>
      <c r="E554" t="s">
        <v>26</v>
      </c>
      <c r="F554" t="s">
        <v>67</v>
      </c>
      <c r="G554">
        <v>0.25</v>
      </c>
      <c r="H554">
        <v>0.673553719008264</v>
      </c>
    </row>
    <row r="555" spans="1:8" x14ac:dyDescent="0.3">
      <c r="A555" t="s">
        <v>575</v>
      </c>
      <c r="B555" s="2">
        <v>5.3258194444444441E-2</v>
      </c>
      <c r="C555" s="2">
        <v>5.3246620370370368E-2</v>
      </c>
      <c r="D555" s="2">
        <v>5.3269768518518522E-2</v>
      </c>
      <c r="E555" t="s">
        <v>26</v>
      </c>
      <c r="F555" t="s">
        <v>67</v>
      </c>
      <c r="G555">
        <v>9.1269841269841306E-2</v>
      </c>
      <c r="H555">
        <v>0.61983471074380203</v>
      </c>
    </row>
    <row r="556" spans="1:8" x14ac:dyDescent="0.3">
      <c r="A556" t="s">
        <v>576</v>
      </c>
      <c r="B556" s="2">
        <v>5.3869571759259258E-2</v>
      </c>
      <c r="C556" s="2">
        <v>5.3857997685185184E-2</v>
      </c>
      <c r="D556" s="2">
        <v>5.3881145833333331E-2</v>
      </c>
      <c r="E556" t="s">
        <v>26</v>
      </c>
      <c r="F556" t="s">
        <v>40</v>
      </c>
      <c r="G556">
        <v>0.157407407407407</v>
      </c>
      <c r="H556">
        <v>0.58264462809917394</v>
      </c>
    </row>
    <row r="557" spans="1:8" x14ac:dyDescent="0.3">
      <c r="A557" t="s">
        <v>577</v>
      </c>
      <c r="B557" s="2">
        <v>5.4475289351851849E-2</v>
      </c>
      <c r="C557" s="2">
        <v>5.4463715277777776E-2</v>
      </c>
      <c r="D557" s="2">
        <v>5.4486863425925923E-2</v>
      </c>
      <c r="E557" t="s">
        <v>26</v>
      </c>
      <c r="F557" t="s">
        <v>46</v>
      </c>
      <c r="G557">
        <v>0.25</v>
      </c>
      <c r="H557">
        <v>0.42561983471074405</v>
      </c>
    </row>
    <row r="558" spans="1:8" x14ac:dyDescent="0.3">
      <c r="A558" t="s">
        <v>578</v>
      </c>
      <c r="B558" s="2">
        <v>5.6590115740740743E-2</v>
      </c>
      <c r="C558" s="2">
        <v>5.6578541666666669E-2</v>
      </c>
      <c r="D558" s="2">
        <v>5.6601689814814816E-2</v>
      </c>
      <c r="E558" t="s">
        <v>26</v>
      </c>
      <c r="F558" t="s">
        <v>67</v>
      </c>
      <c r="G558">
        <v>8.8624338624338606E-2</v>
      </c>
      <c r="H558">
        <v>0.69834710743801698</v>
      </c>
    </row>
    <row r="559" spans="1:8" x14ac:dyDescent="0.3">
      <c r="A559" t="s">
        <v>579</v>
      </c>
      <c r="B559" s="2">
        <v>5.692244212962963E-2</v>
      </c>
      <c r="C559" s="2">
        <v>5.6910868055555557E-2</v>
      </c>
      <c r="D559" s="2">
        <v>5.6934016203703704E-2</v>
      </c>
      <c r="E559" t="s">
        <v>26</v>
      </c>
      <c r="F559" t="s">
        <v>27</v>
      </c>
      <c r="G559">
        <v>4.36507936507936E-2</v>
      </c>
      <c r="H559">
        <v>0.48760330578512401</v>
      </c>
    </row>
    <row r="560" spans="1:8" x14ac:dyDescent="0.3">
      <c r="A560" t="s">
        <v>580</v>
      </c>
      <c r="B560" s="2">
        <v>6.0441423611111114E-2</v>
      </c>
      <c r="C560" s="2">
        <v>6.0429849537037034E-2</v>
      </c>
      <c r="D560" s="2">
        <v>6.0452997685185188E-2</v>
      </c>
      <c r="E560" t="s">
        <v>26</v>
      </c>
      <c r="F560" t="s">
        <v>40</v>
      </c>
      <c r="G560">
        <v>5.6878306878306903E-2</v>
      </c>
      <c r="H560">
        <v>0.661157024793388</v>
      </c>
    </row>
    <row r="561" spans="1:12" x14ac:dyDescent="0.3">
      <c r="A561" t="s">
        <v>581</v>
      </c>
      <c r="B561" s="2">
        <v>6.273320601851852E-2</v>
      </c>
      <c r="C561" s="2">
        <v>6.2721631944444439E-2</v>
      </c>
      <c r="D561" s="2">
        <v>6.2744780092592586E-2</v>
      </c>
      <c r="E561" t="s">
        <v>26</v>
      </c>
      <c r="F561" t="s">
        <v>67</v>
      </c>
      <c r="G561">
        <v>0.15476190476190499</v>
      </c>
      <c r="H561">
        <v>0.69008264462809898</v>
      </c>
    </row>
    <row r="562" spans="1:12" x14ac:dyDescent="0.3">
      <c r="A562" t="s">
        <v>582</v>
      </c>
      <c r="B562" s="2">
        <v>6.7366192129629632E-2</v>
      </c>
      <c r="C562" s="2">
        <v>6.7354618055555551E-2</v>
      </c>
      <c r="D562" s="2">
        <v>6.7377766203703698E-2</v>
      </c>
      <c r="E562" t="s">
        <v>26</v>
      </c>
      <c r="F562" t="s">
        <v>46</v>
      </c>
      <c r="G562">
        <v>6.7460317460317498E-2</v>
      </c>
      <c r="H562">
        <v>0.48347107438016501</v>
      </c>
    </row>
    <row r="564" spans="1:12" ht="23.4" x14ac:dyDescent="0.45">
      <c r="A564" s="43" t="s">
        <v>583</v>
      </c>
      <c r="B564" s="44"/>
      <c r="C564" s="44"/>
      <c r="D564" s="44"/>
      <c r="H564" s="45" t="s">
        <v>15</v>
      </c>
      <c r="I564" s="45" t="s">
        <v>15</v>
      </c>
      <c r="J564" s="45" t="s">
        <v>584</v>
      </c>
      <c r="K564" s="45" t="s">
        <v>584</v>
      </c>
    </row>
    <row r="565" spans="1:12" x14ac:dyDescent="0.3">
      <c r="A565" s="1" t="s">
        <v>16</v>
      </c>
      <c r="B565" s="1" t="s">
        <v>17</v>
      </c>
      <c r="C565" s="1" t="s">
        <v>18</v>
      </c>
      <c r="D565" s="1" t="s">
        <v>19</v>
      </c>
      <c r="E565" s="1" t="s">
        <v>20</v>
      </c>
      <c r="F565" s="1" t="s">
        <v>21</v>
      </c>
      <c r="G565" s="1" t="s">
        <v>22</v>
      </c>
      <c r="H565" s="1" t="s">
        <v>23</v>
      </c>
      <c r="I565" s="1" t="s">
        <v>24</v>
      </c>
      <c r="J565" s="1" t="s">
        <v>585</v>
      </c>
      <c r="K565" s="1" t="s">
        <v>586</v>
      </c>
      <c r="L565" s="1"/>
    </row>
    <row r="566" spans="1:12" x14ac:dyDescent="0.3">
      <c r="A566" t="s">
        <v>587</v>
      </c>
      <c r="B566" s="2">
        <v>2.6809837962962963E-3</v>
      </c>
      <c r="C566" s="2">
        <v>2.6694097222222223E-3</v>
      </c>
      <c r="D566" s="2">
        <v>2.7157060185185183E-3</v>
      </c>
      <c r="E566" t="s">
        <v>26</v>
      </c>
      <c r="F566" t="s">
        <v>32</v>
      </c>
      <c r="G566" t="s">
        <v>588</v>
      </c>
      <c r="H566">
        <v>0.899171270718232</v>
      </c>
      <c r="I566">
        <v>0.30172413793103403</v>
      </c>
    </row>
    <row r="567" spans="1:12" x14ac:dyDescent="0.3">
      <c r="A567" t="s">
        <v>589</v>
      </c>
      <c r="B567" s="2">
        <v>3.8134259259259258E-3</v>
      </c>
      <c r="C567" s="2">
        <v>3.8018518518518518E-3</v>
      </c>
      <c r="D567" s="2">
        <v>3.8481481481481483E-3</v>
      </c>
      <c r="E567" t="s">
        <v>26</v>
      </c>
      <c r="F567" t="s">
        <v>38</v>
      </c>
      <c r="G567" t="s">
        <v>588</v>
      </c>
      <c r="H567">
        <v>0.90469613259668502</v>
      </c>
      <c r="I567">
        <v>0.39224137931034497</v>
      </c>
    </row>
    <row r="568" spans="1:12" x14ac:dyDescent="0.3">
      <c r="A568" t="s">
        <v>590</v>
      </c>
      <c r="B568" s="2">
        <v>1.2518032407407408E-2</v>
      </c>
      <c r="C568" s="2">
        <v>1.2506458333333333E-2</v>
      </c>
      <c r="D568" s="2">
        <v>1.2552754629629629E-2</v>
      </c>
      <c r="E568" t="s">
        <v>26</v>
      </c>
      <c r="F568" t="s">
        <v>51</v>
      </c>
      <c r="G568" t="s">
        <v>588</v>
      </c>
      <c r="H568">
        <v>0.94337016574585597</v>
      </c>
      <c r="I568">
        <v>0.70258620689655205</v>
      </c>
    </row>
    <row r="569" spans="1:12" x14ac:dyDescent="0.3">
      <c r="A569" t="s">
        <v>591</v>
      </c>
      <c r="B569" s="2">
        <v>1.3105185185185185E-2</v>
      </c>
      <c r="C569" s="2">
        <v>1.3093611111111111E-2</v>
      </c>
      <c r="D569" s="2">
        <v>1.3139907407407407E-2</v>
      </c>
      <c r="E569" t="s">
        <v>26</v>
      </c>
      <c r="F569" t="s">
        <v>32</v>
      </c>
      <c r="G569" t="s">
        <v>588</v>
      </c>
      <c r="H569">
        <v>0.81077348066298305</v>
      </c>
      <c r="I569">
        <v>0.60344827586206895</v>
      </c>
    </row>
    <row r="570" spans="1:12" x14ac:dyDescent="0.3">
      <c r="A570" t="s">
        <v>592</v>
      </c>
      <c r="B570" s="2">
        <v>2.8967476851851852E-2</v>
      </c>
      <c r="C570" s="2">
        <v>2.8955902777777778E-2</v>
      </c>
      <c r="D570" s="2">
        <v>2.9002199074074073E-2</v>
      </c>
      <c r="E570" t="s">
        <v>26</v>
      </c>
      <c r="F570" t="s">
        <v>32</v>
      </c>
      <c r="G570" t="s">
        <v>593</v>
      </c>
      <c r="H570">
        <v>0.89640883977900498</v>
      </c>
      <c r="I570">
        <v>0.64224137931034497</v>
      </c>
      <c r="J570">
        <v>0.76736842105263203</v>
      </c>
      <c r="K570">
        <v>8.6206896551723977E-2</v>
      </c>
    </row>
    <row r="571" spans="1:12" x14ac:dyDescent="0.3">
      <c r="A571" t="s">
        <v>594</v>
      </c>
      <c r="B571" s="2">
        <v>3.3059861111111109E-2</v>
      </c>
      <c r="C571" s="2">
        <v>3.3048287037037036E-2</v>
      </c>
      <c r="D571" s="2">
        <v>3.309458333333333E-2</v>
      </c>
      <c r="E571" t="s">
        <v>26</v>
      </c>
      <c r="F571" t="s">
        <v>51</v>
      </c>
      <c r="G571" t="s">
        <v>593</v>
      </c>
      <c r="H571">
        <v>0.95441988950276202</v>
      </c>
      <c r="I571">
        <v>0.63793103448275901</v>
      </c>
      <c r="J571">
        <v>0.46</v>
      </c>
      <c r="K571">
        <v>4.3103448275861989E-2</v>
      </c>
    </row>
    <row r="572" spans="1:12" x14ac:dyDescent="0.3">
      <c r="A572" t="s">
        <v>595</v>
      </c>
      <c r="B572" s="2">
        <v>4.1155532407407408E-2</v>
      </c>
      <c r="C572" s="2">
        <v>4.1143958333333334E-2</v>
      </c>
      <c r="D572" s="2">
        <v>4.1190254629629629E-2</v>
      </c>
      <c r="E572" t="s">
        <v>26</v>
      </c>
      <c r="F572" t="s">
        <v>42</v>
      </c>
      <c r="G572" t="s">
        <v>588</v>
      </c>
      <c r="H572">
        <v>0.80801104972375704</v>
      </c>
      <c r="I572">
        <v>0.61206896551724099</v>
      </c>
    </row>
    <row r="573" spans="1:12" x14ac:dyDescent="0.3">
      <c r="A573" t="s">
        <v>596</v>
      </c>
      <c r="B573" s="2">
        <v>4.3584999999999999E-2</v>
      </c>
      <c r="C573" s="2">
        <v>4.3573425925925925E-2</v>
      </c>
      <c r="D573" s="2">
        <v>4.3619722222222219E-2</v>
      </c>
      <c r="E573" t="s">
        <v>26</v>
      </c>
      <c r="F573" t="s">
        <v>38</v>
      </c>
      <c r="G573" t="s">
        <v>588</v>
      </c>
      <c r="H573">
        <v>0.93232044198895003</v>
      </c>
      <c r="I573">
        <v>0.61206896551724099</v>
      </c>
    </row>
    <row r="574" spans="1:12" x14ac:dyDescent="0.3">
      <c r="A574" t="s">
        <v>597</v>
      </c>
      <c r="B574" s="2">
        <v>4.6261585648148147E-2</v>
      </c>
      <c r="C574" s="2">
        <v>4.6250011574074074E-2</v>
      </c>
      <c r="D574" s="2">
        <v>4.6296307870370368E-2</v>
      </c>
      <c r="E574" t="s">
        <v>26</v>
      </c>
      <c r="F574" t="s">
        <v>32</v>
      </c>
      <c r="G574" t="s">
        <v>598</v>
      </c>
      <c r="H574">
        <v>0.80248618784530401</v>
      </c>
      <c r="I574">
        <v>0.59051724137931005</v>
      </c>
      <c r="J574">
        <v>0.5</v>
      </c>
      <c r="K574">
        <v>0.11637931034482796</v>
      </c>
    </row>
    <row r="575" spans="1:12" x14ac:dyDescent="0.3">
      <c r="A575" t="s">
        <v>599</v>
      </c>
      <c r="B575" s="2">
        <v>4.9625937500000002E-2</v>
      </c>
      <c r="C575" s="2">
        <v>4.9614363425925928E-2</v>
      </c>
      <c r="D575" s="2">
        <v>4.9660659722222222E-2</v>
      </c>
      <c r="E575" t="s">
        <v>26</v>
      </c>
      <c r="F575" t="s">
        <v>44</v>
      </c>
      <c r="G575" t="s">
        <v>588</v>
      </c>
      <c r="H575">
        <v>0.76933701657458597</v>
      </c>
      <c r="I575">
        <v>0.61637931034482807</v>
      </c>
    </row>
    <row r="576" spans="1:12" x14ac:dyDescent="0.3">
      <c r="A576" t="s">
        <v>600</v>
      </c>
      <c r="B576" s="2">
        <v>5.2365578703703702E-2</v>
      </c>
      <c r="C576" s="2">
        <v>5.2354004629629629E-2</v>
      </c>
      <c r="D576" s="2">
        <v>5.2400300925925923E-2</v>
      </c>
      <c r="E576" t="s">
        <v>26</v>
      </c>
      <c r="F576" t="s">
        <v>26</v>
      </c>
      <c r="G576" t="s">
        <v>588</v>
      </c>
      <c r="H576">
        <v>0.75</v>
      </c>
      <c r="I576">
        <v>0.54310344827586199</v>
      </c>
    </row>
    <row r="577" spans="1:11" x14ac:dyDescent="0.3">
      <c r="A577" t="s">
        <v>601</v>
      </c>
      <c r="B577" s="2">
        <v>5.4974317129629628E-2</v>
      </c>
      <c r="C577" s="2">
        <v>5.4962743055555555E-2</v>
      </c>
      <c r="D577" s="2">
        <v>5.5009039351851849E-2</v>
      </c>
      <c r="E577" t="s">
        <v>26</v>
      </c>
      <c r="F577" t="s">
        <v>32</v>
      </c>
      <c r="G577" t="s">
        <v>598</v>
      </c>
      <c r="H577">
        <v>0.22</v>
      </c>
      <c r="I577">
        <v>0.53879310344827602</v>
      </c>
    </row>
    <row r="578" spans="1:11" x14ac:dyDescent="0.3">
      <c r="A578" t="s">
        <v>602</v>
      </c>
      <c r="B578" s="2">
        <v>5.5806574074074071E-2</v>
      </c>
      <c r="C578" s="2">
        <v>5.5794999999999997E-2</v>
      </c>
      <c r="D578" s="2">
        <v>5.5841296296296299E-2</v>
      </c>
      <c r="E578" t="s">
        <v>26</v>
      </c>
      <c r="F578" t="s">
        <v>32</v>
      </c>
      <c r="G578" t="s">
        <v>588</v>
      </c>
      <c r="H578">
        <v>0.91574585635359096</v>
      </c>
      <c r="I578">
        <v>0.42672413793103403</v>
      </c>
    </row>
    <row r="579" spans="1:11" x14ac:dyDescent="0.3">
      <c r="A579" t="s">
        <v>603</v>
      </c>
      <c r="B579" s="2">
        <v>5.8022326388888885E-2</v>
      </c>
      <c r="C579" s="2">
        <v>5.8010752314814812E-2</v>
      </c>
      <c r="D579" s="2">
        <v>5.8057048611111113E-2</v>
      </c>
      <c r="E579" t="s">
        <v>26</v>
      </c>
      <c r="F579" t="s">
        <v>51</v>
      </c>
      <c r="G579" t="s">
        <v>588</v>
      </c>
      <c r="H579">
        <v>0.84392265193370197</v>
      </c>
      <c r="I579">
        <v>0.63362068965517193</v>
      </c>
    </row>
    <row r="580" spans="1:11" x14ac:dyDescent="0.3">
      <c r="A580" t="s">
        <v>604</v>
      </c>
      <c r="B580" s="2">
        <v>5.9129988425925928E-2</v>
      </c>
      <c r="C580" s="2">
        <v>5.9118414351851854E-2</v>
      </c>
      <c r="D580" s="2">
        <v>5.9164710648148149E-2</v>
      </c>
      <c r="E580" t="s">
        <v>26</v>
      </c>
      <c r="F580" t="s">
        <v>198</v>
      </c>
      <c r="G580" t="s">
        <v>588</v>
      </c>
      <c r="H580">
        <v>0.78591160220994505</v>
      </c>
      <c r="I580">
        <v>0.34051724137931005</v>
      </c>
    </row>
    <row r="581" spans="1:11" x14ac:dyDescent="0.3">
      <c r="A581" t="s">
        <v>605</v>
      </c>
      <c r="B581" s="2">
        <v>6.2127384259259261E-2</v>
      </c>
      <c r="C581" s="2">
        <v>6.2115810185185187E-2</v>
      </c>
      <c r="D581" s="2">
        <v>6.2162106481481481E-2</v>
      </c>
      <c r="E581" t="s">
        <v>26</v>
      </c>
      <c r="F581" t="s">
        <v>51</v>
      </c>
      <c r="G581" t="s">
        <v>588</v>
      </c>
      <c r="H581">
        <v>0.79419889502762397</v>
      </c>
      <c r="I581">
        <v>0.45689655172413801</v>
      </c>
    </row>
    <row r="582" spans="1:11" x14ac:dyDescent="0.3">
      <c r="A582" t="s">
        <v>606</v>
      </c>
      <c r="B582" s="2">
        <v>6.3847673611111114E-2</v>
      </c>
      <c r="C582" s="2">
        <v>6.3836099537037033E-2</v>
      </c>
      <c r="D582" s="2">
        <v>6.3882395833333327E-2</v>
      </c>
      <c r="E582" t="s">
        <v>26</v>
      </c>
      <c r="F582" t="s">
        <v>32</v>
      </c>
      <c r="G582" t="s">
        <v>588</v>
      </c>
      <c r="H582">
        <v>0.924033149171271</v>
      </c>
      <c r="I582">
        <v>0.49137931034482796</v>
      </c>
    </row>
    <row r="583" spans="1:11" x14ac:dyDescent="0.3">
      <c r="A583" t="s">
        <v>607</v>
      </c>
      <c r="B583" s="2">
        <v>6.4542187500000001E-2</v>
      </c>
      <c r="C583" s="2">
        <v>6.453061342592592E-2</v>
      </c>
      <c r="D583" s="2">
        <v>6.4576909722222228E-2</v>
      </c>
      <c r="E583" t="s">
        <v>26</v>
      </c>
      <c r="F583" t="s">
        <v>32</v>
      </c>
      <c r="G583" t="s">
        <v>588</v>
      </c>
      <c r="H583">
        <v>0.90745856353591203</v>
      </c>
      <c r="I583">
        <v>0.375</v>
      </c>
    </row>
    <row r="584" spans="1:11" x14ac:dyDescent="0.3">
      <c r="A584" t="s">
        <v>608</v>
      </c>
      <c r="B584" s="2">
        <v>6.49037037037037E-2</v>
      </c>
      <c r="C584" s="2">
        <v>6.4892129629629633E-2</v>
      </c>
      <c r="D584" s="2">
        <v>6.4938425925925927E-2</v>
      </c>
      <c r="E584" t="s">
        <v>26</v>
      </c>
      <c r="F584" t="s">
        <v>198</v>
      </c>
      <c r="G584" t="s">
        <v>588</v>
      </c>
      <c r="H584">
        <v>0.90469613259668502</v>
      </c>
      <c r="I584">
        <v>0.39224137931034497</v>
      </c>
    </row>
    <row r="585" spans="1:11" x14ac:dyDescent="0.3">
      <c r="A585" t="s">
        <v>609</v>
      </c>
      <c r="B585" s="2">
        <v>6.8461388888888891E-2</v>
      </c>
      <c r="C585" s="2">
        <v>6.8449814814814811E-2</v>
      </c>
      <c r="D585" s="2">
        <v>6.8496111111111105E-2</v>
      </c>
      <c r="E585" t="s">
        <v>26</v>
      </c>
      <c r="F585" t="s">
        <v>264</v>
      </c>
      <c r="G585" t="s">
        <v>588</v>
      </c>
      <c r="H585">
        <v>0.82734806629834201</v>
      </c>
      <c r="I585">
        <v>0.45258620689655205</v>
      </c>
    </row>
    <row r="587" spans="1:11" ht="23.4" x14ac:dyDescent="0.45">
      <c r="A587" s="43" t="s">
        <v>610</v>
      </c>
      <c r="B587" s="44"/>
      <c r="C587" s="44"/>
      <c r="D587" s="44"/>
      <c r="G587" s="45" t="s">
        <v>15</v>
      </c>
      <c r="H587" s="45" t="s">
        <v>15</v>
      </c>
      <c r="I587" s="45" t="s">
        <v>611</v>
      </c>
      <c r="J587" s="45" t="s">
        <v>611</v>
      </c>
    </row>
    <row r="588" spans="1:11" x14ac:dyDescent="0.3">
      <c r="A588" s="1" t="s">
        <v>16</v>
      </c>
      <c r="B588" s="1" t="s">
        <v>17</v>
      </c>
      <c r="C588" s="1" t="s">
        <v>18</v>
      </c>
      <c r="D588" s="1" t="s">
        <v>19</v>
      </c>
      <c r="E588" s="1" t="s">
        <v>20</v>
      </c>
      <c r="F588" s="1" t="s">
        <v>21</v>
      </c>
      <c r="G588" s="1" t="s">
        <v>23</v>
      </c>
      <c r="H588" s="1" t="s">
        <v>24</v>
      </c>
      <c r="I588" s="1" t="s">
        <v>612</v>
      </c>
      <c r="J588" s="1" t="s">
        <v>613</v>
      </c>
      <c r="K588" s="1"/>
    </row>
    <row r="589" spans="1:11" x14ac:dyDescent="0.3">
      <c r="A589" t="s">
        <v>614</v>
      </c>
      <c r="B589" s="2">
        <v>2.4111111111111111E-4</v>
      </c>
      <c r="C589" s="2">
        <v>2.1796296296296296E-4</v>
      </c>
      <c r="D589" s="2">
        <v>2.5268518518518516E-4</v>
      </c>
      <c r="E589" t="s">
        <v>26</v>
      </c>
      <c r="F589" t="s">
        <v>40</v>
      </c>
      <c r="G589">
        <v>0.30820105820105798</v>
      </c>
      <c r="H589">
        <v>0.50826446280991699</v>
      </c>
    </row>
    <row r="590" spans="1:11" x14ac:dyDescent="0.3">
      <c r="A590" t="s">
        <v>615</v>
      </c>
      <c r="B590" s="2">
        <v>4.1240972222222226E-3</v>
      </c>
      <c r="C590" s="2">
        <v>4.1009490740740737E-3</v>
      </c>
      <c r="D590" s="2">
        <v>4.1356712962962961E-3</v>
      </c>
      <c r="E590" t="s">
        <v>26</v>
      </c>
      <c r="F590" t="s">
        <v>42</v>
      </c>
      <c r="G590">
        <v>0.73941798941798897</v>
      </c>
      <c r="H590">
        <v>0.59917355371900793</v>
      </c>
    </row>
    <row r="591" spans="1:11" x14ac:dyDescent="0.3">
      <c r="A591" t="s">
        <v>616</v>
      </c>
      <c r="B591" s="2">
        <v>1.3769548611111111E-2</v>
      </c>
      <c r="C591" s="2">
        <v>1.3746400462962964E-2</v>
      </c>
      <c r="D591" s="2">
        <v>1.3781122685185184E-2</v>
      </c>
      <c r="E591" t="s">
        <v>26</v>
      </c>
      <c r="F591" t="s">
        <v>67</v>
      </c>
      <c r="G591">
        <v>0.32407407407407401</v>
      </c>
      <c r="H591">
        <v>0.95041322314049592</v>
      </c>
    </row>
    <row r="592" spans="1:11" x14ac:dyDescent="0.3">
      <c r="A592" t="s">
        <v>617</v>
      </c>
      <c r="B592" s="2">
        <v>1.7815856481481481E-2</v>
      </c>
      <c r="C592" s="2">
        <v>1.7792708333333334E-2</v>
      </c>
      <c r="D592" s="2">
        <v>1.7827430555555555E-2</v>
      </c>
      <c r="E592" t="s">
        <v>26</v>
      </c>
      <c r="F592" t="s">
        <v>42</v>
      </c>
      <c r="G592">
        <v>0.33465608465608498</v>
      </c>
      <c r="H592">
        <v>0.669421487603306</v>
      </c>
    </row>
    <row r="593" spans="1:10" x14ac:dyDescent="0.3">
      <c r="A593" t="s">
        <v>618</v>
      </c>
      <c r="B593" s="2">
        <v>1.9389756944444444E-2</v>
      </c>
      <c r="C593" s="2">
        <v>1.9366608796296297E-2</v>
      </c>
      <c r="D593" s="2">
        <v>1.9401331018518517E-2</v>
      </c>
      <c r="E593" t="s">
        <v>26</v>
      </c>
      <c r="F593" t="s">
        <v>40</v>
      </c>
      <c r="G593">
        <v>0.66005291005291</v>
      </c>
      <c r="H593">
        <v>0.15289256198347101</v>
      </c>
    </row>
    <row r="594" spans="1:10" x14ac:dyDescent="0.3">
      <c r="A594" t="s">
        <v>619</v>
      </c>
      <c r="B594" s="2">
        <v>2.5615104166666666E-2</v>
      </c>
      <c r="C594" s="2">
        <v>2.5591956018518519E-2</v>
      </c>
      <c r="D594" s="2">
        <v>2.562667824074074E-2</v>
      </c>
      <c r="E594" t="s">
        <v>26</v>
      </c>
      <c r="F594" t="s">
        <v>30</v>
      </c>
      <c r="G594">
        <v>1.7195767195767198E-2</v>
      </c>
      <c r="H594">
        <v>0.28099173553719003</v>
      </c>
    </row>
    <row r="595" spans="1:10" x14ac:dyDescent="0.3">
      <c r="A595" t="s">
        <v>620</v>
      </c>
      <c r="B595" s="2">
        <v>2.6653912037037038E-2</v>
      </c>
      <c r="C595" s="2">
        <v>2.6630763888888888E-2</v>
      </c>
      <c r="D595" s="2">
        <v>2.6665486111111112E-2</v>
      </c>
      <c r="E595" t="s">
        <v>26</v>
      </c>
      <c r="F595" t="s">
        <v>40</v>
      </c>
      <c r="G595">
        <v>0.273809523809524</v>
      </c>
      <c r="H595">
        <v>0.38842975206611596</v>
      </c>
    </row>
    <row r="596" spans="1:10" x14ac:dyDescent="0.3">
      <c r="A596" t="s">
        <v>621</v>
      </c>
      <c r="B596" s="2">
        <v>3.1013495370370372E-2</v>
      </c>
      <c r="C596" s="2">
        <v>3.0990347222222221E-2</v>
      </c>
      <c r="D596" s="2">
        <v>3.1025069444444445E-2</v>
      </c>
      <c r="E596" t="s">
        <v>26</v>
      </c>
      <c r="F596" t="s">
        <v>67</v>
      </c>
      <c r="G596">
        <v>0.72354497354497305</v>
      </c>
      <c r="H596">
        <v>0.98347107438016534</v>
      </c>
    </row>
    <row r="597" spans="1:10" x14ac:dyDescent="0.3">
      <c r="A597" t="s">
        <v>622</v>
      </c>
      <c r="B597" s="2">
        <v>3.6658020833333332E-2</v>
      </c>
      <c r="C597" s="2">
        <v>3.6634872685185185E-2</v>
      </c>
      <c r="D597" s="2">
        <v>3.6669594907407406E-2</v>
      </c>
      <c r="E597" t="s">
        <v>26</v>
      </c>
      <c r="F597" t="s">
        <v>40</v>
      </c>
      <c r="G597">
        <v>7.8042328042327996E-2</v>
      </c>
      <c r="H597">
        <v>0.46694214876033102</v>
      </c>
    </row>
    <row r="598" spans="1:10" x14ac:dyDescent="0.3">
      <c r="A598" t="s">
        <v>623</v>
      </c>
      <c r="B598" s="2">
        <v>3.753412037037037E-2</v>
      </c>
      <c r="C598" s="2">
        <v>3.7510972222222223E-2</v>
      </c>
      <c r="D598" s="2">
        <v>3.7545694444444444E-2</v>
      </c>
      <c r="E598" t="s">
        <v>26</v>
      </c>
      <c r="F598" t="s">
        <v>38</v>
      </c>
      <c r="G598">
        <v>0.55952380952380998</v>
      </c>
      <c r="H598">
        <v>0.64049586776859502</v>
      </c>
    </row>
    <row r="599" spans="1:10" x14ac:dyDescent="0.3">
      <c r="A599" t="s">
        <v>624</v>
      </c>
      <c r="B599" s="2">
        <v>5.175928240740741E-2</v>
      </c>
      <c r="C599" s="2">
        <v>5.1736134259259256E-2</v>
      </c>
      <c r="D599" s="2">
        <v>5.1770856481481484E-2</v>
      </c>
      <c r="E599" t="s">
        <v>26</v>
      </c>
      <c r="F599" t="s">
        <v>42</v>
      </c>
      <c r="G599">
        <v>0.62037037037037002</v>
      </c>
      <c r="H599">
        <v>0.98760330578512401</v>
      </c>
    </row>
    <row r="600" spans="1:10" x14ac:dyDescent="0.3">
      <c r="A600" t="s">
        <v>625</v>
      </c>
      <c r="B600" s="2">
        <v>5.2929803240740737E-2</v>
      </c>
      <c r="C600" s="2">
        <v>5.290665509259259E-2</v>
      </c>
      <c r="D600" s="2">
        <v>5.2941377314814818E-2</v>
      </c>
      <c r="E600" t="s">
        <v>26</v>
      </c>
      <c r="F600" t="s">
        <v>42</v>
      </c>
      <c r="G600">
        <v>0.49329758713136701</v>
      </c>
      <c r="H600">
        <v>0.59832635983263605</v>
      </c>
    </row>
    <row r="601" spans="1:10" x14ac:dyDescent="0.3">
      <c r="A601" t="s">
        <v>626</v>
      </c>
      <c r="B601" s="2">
        <v>5.3376134259259259E-2</v>
      </c>
      <c r="C601" s="2">
        <v>5.3352986111111111E-2</v>
      </c>
      <c r="D601" s="2">
        <v>5.3387708333333332E-2</v>
      </c>
      <c r="E601" t="s">
        <v>26</v>
      </c>
      <c r="F601" t="s">
        <v>26</v>
      </c>
      <c r="G601">
        <v>0.30291005291005302</v>
      </c>
      <c r="H601">
        <v>0.68595041322313999</v>
      </c>
    </row>
    <row r="602" spans="1:10" x14ac:dyDescent="0.3">
      <c r="A602" t="s">
        <v>627</v>
      </c>
      <c r="B602" s="2">
        <v>6.2488946759259256E-2</v>
      </c>
      <c r="C602" s="2">
        <v>6.2465798611111109E-2</v>
      </c>
      <c r="D602" s="2">
        <v>6.2500520833333337E-2</v>
      </c>
      <c r="E602" t="s">
        <v>26</v>
      </c>
      <c r="F602" t="s">
        <v>51</v>
      </c>
      <c r="G602">
        <v>0.54365079365079405</v>
      </c>
      <c r="H602">
        <v>0.97107438016528935</v>
      </c>
    </row>
    <row r="604" spans="1:10" ht="23.4" x14ac:dyDescent="0.45">
      <c r="A604" s="43" t="s">
        <v>628</v>
      </c>
      <c r="B604" s="44"/>
      <c r="C604" s="44"/>
      <c r="D604" s="44"/>
      <c r="H604" s="45" t="s">
        <v>15</v>
      </c>
      <c r="I604" s="45" t="s">
        <v>15</v>
      </c>
    </row>
    <row r="605" spans="1:10" x14ac:dyDescent="0.3">
      <c r="A605" s="1" t="s">
        <v>16</v>
      </c>
      <c r="B605" s="1" t="s">
        <v>17</v>
      </c>
      <c r="C605" s="1" t="s">
        <v>18</v>
      </c>
      <c r="D605" s="1" t="s">
        <v>19</v>
      </c>
      <c r="E605" s="1" t="s">
        <v>20</v>
      </c>
      <c r="F605" s="1" t="s">
        <v>21</v>
      </c>
      <c r="G605" s="1" t="s">
        <v>22</v>
      </c>
      <c r="H605" s="1" t="s">
        <v>23</v>
      </c>
      <c r="I605" s="1" t="s">
        <v>24</v>
      </c>
      <c r="J605" s="1"/>
    </row>
    <row r="606" spans="1:10" x14ac:dyDescent="0.3">
      <c r="A606" t="s">
        <v>629</v>
      </c>
      <c r="B606" s="2">
        <v>1.0001273148148148E-3</v>
      </c>
      <c r="C606" s="2">
        <v>9.6540509259259257E-4</v>
      </c>
      <c r="D606" s="2">
        <v>1.0001273148148148E-3</v>
      </c>
      <c r="E606" t="s">
        <v>26</v>
      </c>
      <c r="F606" t="s">
        <v>42</v>
      </c>
      <c r="G606" t="s">
        <v>34</v>
      </c>
      <c r="H606">
        <v>6.4917127071823205E-2</v>
      </c>
      <c r="I606">
        <v>0.47844827586206895</v>
      </c>
    </row>
    <row r="607" spans="1:10" x14ac:dyDescent="0.3">
      <c r="A607" t="s">
        <v>630</v>
      </c>
      <c r="B607" s="2">
        <v>2.2311574074074074E-3</v>
      </c>
      <c r="C607" s="2">
        <v>2.1964351851851854E-3</v>
      </c>
      <c r="D607" s="2">
        <v>2.2311574074074074E-3</v>
      </c>
      <c r="E607" t="s">
        <v>26</v>
      </c>
      <c r="F607" t="s">
        <v>46</v>
      </c>
      <c r="G607" t="s">
        <v>34</v>
      </c>
      <c r="H607">
        <v>0.114640883977901</v>
      </c>
      <c r="I607">
        <v>4.7413793103447954E-2</v>
      </c>
    </row>
    <row r="608" spans="1:10" x14ac:dyDescent="0.3">
      <c r="A608" t="s">
        <v>631</v>
      </c>
      <c r="B608" s="2">
        <v>3.7783680555555556E-3</v>
      </c>
      <c r="C608" s="2">
        <v>3.7436458333333332E-3</v>
      </c>
      <c r="D608" s="2">
        <v>3.7783680555555556E-3</v>
      </c>
      <c r="E608" t="s">
        <v>26</v>
      </c>
      <c r="F608" t="s">
        <v>44</v>
      </c>
      <c r="G608" t="s">
        <v>34</v>
      </c>
      <c r="H608">
        <v>0.59806629834254099</v>
      </c>
      <c r="I608">
        <v>0.10775862068965503</v>
      </c>
    </row>
    <row r="609" spans="1:9" x14ac:dyDescent="0.3">
      <c r="A609" t="s">
        <v>632</v>
      </c>
      <c r="B609" s="2">
        <v>4.4979861111111115E-3</v>
      </c>
      <c r="C609" s="2">
        <v>4.463263888888889E-3</v>
      </c>
      <c r="D609" s="2">
        <v>4.4979861111111115E-3</v>
      </c>
      <c r="E609" t="s">
        <v>26</v>
      </c>
      <c r="F609" t="s">
        <v>30</v>
      </c>
      <c r="G609" t="s">
        <v>34</v>
      </c>
      <c r="H609">
        <v>0.600828729281768</v>
      </c>
      <c r="I609">
        <v>4.3103448275861989E-2</v>
      </c>
    </row>
    <row r="610" spans="1:9" x14ac:dyDescent="0.3">
      <c r="A610" t="s">
        <v>633</v>
      </c>
      <c r="B610" s="2">
        <v>4.6452199074074078E-3</v>
      </c>
      <c r="C610" s="2">
        <v>4.6104976851851854E-3</v>
      </c>
      <c r="D610" s="2">
        <v>4.6452199074074078E-3</v>
      </c>
      <c r="E610" t="s">
        <v>26</v>
      </c>
      <c r="F610" t="s">
        <v>30</v>
      </c>
      <c r="G610" t="s">
        <v>34</v>
      </c>
      <c r="H610">
        <v>0.66988950276243098</v>
      </c>
      <c r="I610">
        <v>5.1724137931034031E-2</v>
      </c>
    </row>
    <row r="611" spans="1:9" x14ac:dyDescent="0.3">
      <c r="A611" t="s">
        <v>634</v>
      </c>
      <c r="B611" s="2">
        <v>4.7558449074074074E-3</v>
      </c>
      <c r="C611" s="2">
        <v>4.721122685185185E-3</v>
      </c>
      <c r="D611" s="2">
        <v>4.7558449074074074E-3</v>
      </c>
      <c r="E611" t="s">
        <v>26</v>
      </c>
      <c r="F611" t="s">
        <v>58</v>
      </c>
      <c r="G611" t="s">
        <v>28</v>
      </c>
      <c r="H611">
        <v>0.54005524861878496</v>
      </c>
      <c r="I611">
        <v>0.49568965517241403</v>
      </c>
    </row>
    <row r="612" spans="1:9" x14ac:dyDescent="0.3">
      <c r="A612" t="s">
        <v>635</v>
      </c>
      <c r="B612" s="2">
        <v>4.9905787037037037E-3</v>
      </c>
      <c r="C612" s="2">
        <v>4.9558564814814812E-3</v>
      </c>
      <c r="D612" s="2">
        <v>4.9905787037037037E-3</v>
      </c>
      <c r="E612" t="s">
        <v>26</v>
      </c>
      <c r="F612" t="s">
        <v>27</v>
      </c>
      <c r="G612" t="s">
        <v>34</v>
      </c>
      <c r="H612">
        <v>0.103591160220994</v>
      </c>
      <c r="I612">
        <v>0.568965517241379</v>
      </c>
    </row>
    <row r="613" spans="1:9" x14ac:dyDescent="0.3">
      <c r="A613" t="s">
        <v>636</v>
      </c>
      <c r="B613" s="2">
        <v>5.0560300925925929E-3</v>
      </c>
      <c r="C613" s="2">
        <v>5.0213078703703704E-3</v>
      </c>
      <c r="D613" s="2">
        <v>5.0560300925925929E-3</v>
      </c>
      <c r="E613" t="s">
        <v>26</v>
      </c>
      <c r="F613" t="s">
        <v>42</v>
      </c>
      <c r="G613" t="s">
        <v>34</v>
      </c>
      <c r="H613">
        <v>0.40193370165745901</v>
      </c>
      <c r="I613">
        <v>0.71551724137931005</v>
      </c>
    </row>
    <row r="614" spans="1:9" x14ac:dyDescent="0.3">
      <c r="A614" t="s">
        <v>637</v>
      </c>
      <c r="B614" s="2">
        <v>5.7486921296296296E-3</v>
      </c>
      <c r="C614" s="2">
        <v>5.7139699074074072E-3</v>
      </c>
      <c r="D614" s="2">
        <v>5.7486921296296296E-3</v>
      </c>
      <c r="E614" t="s">
        <v>26</v>
      </c>
      <c r="F614" t="s">
        <v>40</v>
      </c>
      <c r="G614" t="s">
        <v>34</v>
      </c>
      <c r="H614">
        <v>0.68370165745856404</v>
      </c>
      <c r="I614">
        <v>0.76724137931034497</v>
      </c>
    </row>
    <row r="615" spans="1:9" x14ac:dyDescent="0.3">
      <c r="A615" t="s">
        <v>638</v>
      </c>
      <c r="B615" s="2">
        <v>5.8589930555555557E-3</v>
      </c>
      <c r="C615" s="2">
        <v>5.8242708333333332E-3</v>
      </c>
      <c r="D615" s="2">
        <v>5.8589930555555557E-3</v>
      </c>
      <c r="E615" t="s">
        <v>26</v>
      </c>
      <c r="F615" t="s">
        <v>42</v>
      </c>
      <c r="G615" t="s">
        <v>34</v>
      </c>
      <c r="H615">
        <v>0.69751381215469599</v>
      </c>
      <c r="I615">
        <v>0.77586206896551702</v>
      </c>
    </row>
    <row r="616" spans="1:9" x14ac:dyDescent="0.3">
      <c r="A616" t="s">
        <v>639</v>
      </c>
      <c r="B616" s="2">
        <v>6.3885300925925924E-3</v>
      </c>
      <c r="C616" s="2">
        <v>6.3538078703703708E-3</v>
      </c>
      <c r="D616" s="2">
        <v>6.3885300925925924E-3</v>
      </c>
      <c r="E616" t="s">
        <v>26</v>
      </c>
      <c r="F616" t="s">
        <v>58</v>
      </c>
      <c r="G616" t="s">
        <v>34</v>
      </c>
      <c r="H616">
        <v>0.25276243093922701</v>
      </c>
      <c r="I616">
        <v>0.37068965517241403</v>
      </c>
    </row>
    <row r="617" spans="1:9" x14ac:dyDescent="0.3">
      <c r="A617" t="s">
        <v>640</v>
      </c>
      <c r="B617" s="2">
        <v>7.3962384259259259E-3</v>
      </c>
      <c r="C617" s="2">
        <v>7.3615162037037035E-3</v>
      </c>
      <c r="D617" s="2">
        <v>7.3962384259259259E-3</v>
      </c>
      <c r="E617" t="s">
        <v>26</v>
      </c>
      <c r="F617" t="s">
        <v>27</v>
      </c>
      <c r="G617" t="s">
        <v>34</v>
      </c>
      <c r="H617">
        <v>0.136740331491713</v>
      </c>
      <c r="I617">
        <v>0.431034482758621</v>
      </c>
    </row>
    <row r="618" spans="1:9" x14ac:dyDescent="0.3">
      <c r="A618" t="s">
        <v>641</v>
      </c>
      <c r="B618" s="2">
        <v>8.0768981481481473E-3</v>
      </c>
      <c r="C618" s="2">
        <v>8.0421759259259266E-3</v>
      </c>
      <c r="D618" s="2">
        <v>8.0768981481481473E-3</v>
      </c>
      <c r="E618" t="s">
        <v>26</v>
      </c>
      <c r="F618" t="s">
        <v>42</v>
      </c>
      <c r="G618" t="s">
        <v>28</v>
      </c>
      <c r="H618">
        <v>5.1104972375690602E-2</v>
      </c>
      <c r="I618">
        <v>0.56465517241379293</v>
      </c>
    </row>
    <row r="619" spans="1:9" x14ac:dyDescent="0.3">
      <c r="A619" t="s">
        <v>642</v>
      </c>
      <c r="B619" s="2">
        <v>8.9403703703703711E-3</v>
      </c>
      <c r="C619" s="2">
        <v>8.9056481481481486E-3</v>
      </c>
      <c r="D619" s="2">
        <v>8.9403703703703711E-3</v>
      </c>
      <c r="E619" t="s">
        <v>26</v>
      </c>
      <c r="F619" t="s">
        <v>27</v>
      </c>
      <c r="G619" t="s">
        <v>34</v>
      </c>
      <c r="H619">
        <v>4.8342541436464097E-2</v>
      </c>
      <c r="I619">
        <v>0.51293103448275901</v>
      </c>
    </row>
    <row r="620" spans="1:9" x14ac:dyDescent="0.3">
      <c r="A620" t="s">
        <v>643</v>
      </c>
      <c r="B620" s="2">
        <v>9.0751736111111102E-3</v>
      </c>
      <c r="C620" s="2">
        <v>9.0404513888888895E-3</v>
      </c>
      <c r="D620" s="2">
        <v>9.0751736111111102E-3</v>
      </c>
      <c r="E620" t="s">
        <v>26</v>
      </c>
      <c r="F620" t="s">
        <v>58</v>
      </c>
      <c r="G620" t="s">
        <v>34</v>
      </c>
      <c r="H620">
        <v>0.225138121546961</v>
      </c>
      <c r="I620">
        <v>0.58189655172413801</v>
      </c>
    </row>
    <row r="621" spans="1:9" x14ac:dyDescent="0.3">
      <c r="A621" t="s">
        <v>644</v>
      </c>
      <c r="B621" s="2">
        <v>9.2654166666666666E-3</v>
      </c>
      <c r="C621" s="2">
        <v>9.2306944444444441E-3</v>
      </c>
      <c r="D621" s="2">
        <v>9.2654166666666666E-3</v>
      </c>
      <c r="E621" t="s">
        <v>26</v>
      </c>
      <c r="F621" t="s">
        <v>42</v>
      </c>
      <c r="G621" t="s">
        <v>34</v>
      </c>
      <c r="H621">
        <v>0.32734806629834301</v>
      </c>
      <c r="I621">
        <v>0.556034482758621</v>
      </c>
    </row>
    <row r="622" spans="1:9" x14ac:dyDescent="0.3">
      <c r="A622" t="s">
        <v>645</v>
      </c>
      <c r="B622" s="2">
        <v>9.4779629629629623E-3</v>
      </c>
      <c r="C622" s="2">
        <v>9.4432407407407399E-3</v>
      </c>
      <c r="D622" s="2">
        <v>9.4779629629629623E-3</v>
      </c>
      <c r="E622" t="s">
        <v>26</v>
      </c>
      <c r="F622" t="s">
        <v>38</v>
      </c>
      <c r="G622" t="s">
        <v>28</v>
      </c>
      <c r="H622">
        <v>0.324585635359116</v>
      </c>
      <c r="I622">
        <v>0.48706896551724099</v>
      </c>
    </row>
    <row r="623" spans="1:9" x14ac:dyDescent="0.3">
      <c r="A623" t="s">
        <v>646</v>
      </c>
      <c r="B623" s="2">
        <v>1.1837569444444444E-2</v>
      </c>
      <c r="C623" s="2">
        <v>1.1802847222222222E-2</v>
      </c>
      <c r="D623" s="2">
        <v>1.1837569444444444E-2</v>
      </c>
      <c r="E623" t="s">
        <v>26</v>
      </c>
      <c r="F623" t="s">
        <v>44</v>
      </c>
      <c r="G623" t="s">
        <v>28</v>
      </c>
      <c r="H623">
        <v>0.37983425414364602</v>
      </c>
      <c r="I623">
        <v>0.39655172413793105</v>
      </c>
    </row>
    <row r="624" spans="1:9" x14ac:dyDescent="0.3">
      <c r="A624" t="s">
        <v>647</v>
      </c>
      <c r="B624" s="2">
        <v>1.2015370370370371E-2</v>
      </c>
      <c r="C624" s="2">
        <v>1.1980648148148148E-2</v>
      </c>
      <c r="D624" s="2">
        <v>1.2015370370370371E-2</v>
      </c>
      <c r="E624" t="s">
        <v>26</v>
      </c>
      <c r="F624" t="s">
        <v>26</v>
      </c>
      <c r="G624" t="s">
        <v>34</v>
      </c>
      <c r="H624">
        <v>0.69475138121546998</v>
      </c>
      <c r="I624">
        <v>0.20689655172413801</v>
      </c>
    </row>
    <row r="625" spans="1:9" x14ac:dyDescent="0.3">
      <c r="A625" t="s">
        <v>648</v>
      </c>
      <c r="B625" s="2">
        <v>1.240048611111111E-2</v>
      </c>
      <c r="C625" s="2">
        <v>1.236576388888889E-2</v>
      </c>
      <c r="D625" s="2">
        <v>1.240048611111111E-2</v>
      </c>
      <c r="E625" t="s">
        <v>26</v>
      </c>
      <c r="F625" t="s">
        <v>58</v>
      </c>
      <c r="G625" t="s">
        <v>34</v>
      </c>
      <c r="H625">
        <v>0.205801104972376</v>
      </c>
      <c r="I625">
        <v>0.66379310344827602</v>
      </c>
    </row>
    <row r="626" spans="1:9" x14ac:dyDescent="0.3">
      <c r="A626" t="s">
        <v>649</v>
      </c>
      <c r="B626" s="2">
        <v>1.3613101851851852E-2</v>
      </c>
      <c r="C626" s="2">
        <v>1.3578379629629629E-2</v>
      </c>
      <c r="D626" s="2">
        <v>1.3613101851851852E-2</v>
      </c>
      <c r="E626" t="s">
        <v>26</v>
      </c>
      <c r="F626" t="s">
        <v>42</v>
      </c>
      <c r="G626" t="s">
        <v>34</v>
      </c>
      <c r="H626">
        <v>0.40745856353591198</v>
      </c>
      <c r="I626">
        <v>0.57327586206896597</v>
      </c>
    </row>
    <row r="627" spans="1:9" x14ac:dyDescent="0.3">
      <c r="A627" t="s">
        <v>650</v>
      </c>
      <c r="B627" s="2">
        <v>1.3967280092592592E-2</v>
      </c>
      <c r="C627" s="2">
        <v>1.3932557870370371E-2</v>
      </c>
      <c r="D627" s="2">
        <v>1.3967280092592592E-2</v>
      </c>
      <c r="E627" t="s">
        <v>26</v>
      </c>
      <c r="F627" t="s">
        <v>42</v>
      </c>
      <c r="G627" t="s">
        <v>28</v>
      </c>
      <c r="H627">
        <v>0.374309392265193</v>
      </c>
      <c r="I627">
        <v>0.71120689655172398</v>
      </c>
    </row>
    <row r="628" spans="1:9" x14ac:dyDescent="0.3">
      <c r="A628" t="s">
        <v>651</v>
      </c>
      <c r="B628" s="2">
        <v>1.4933391203703704E-2</v>
      </c>
      <c r="C628" s="2">
        <v>1.4898668981481481E-2</v>
      </c>
      <c r="D628" s="2">
        <v>1.4933391203703704E-2</v>
      </c>
      <c r="E628" t="s">
        <v>26</v>
      </c>
      <c r="F628" t="s">
        <v>27</v>
      </c>
      <c r="G628" t="s">
        <v>28</v>
      </c>
      <c r="H628">
        <v>0.14779005524861899</v>
      </c>
      <c r="I628">
        <v>0.59913793103448298</v>
      </c>
    </row>
    <row r="629" spans="1:9" x14ac:dyDescent="0.3">
      <c r="A629" t="s">
        <v>652</v>
      </c>
      <c r="B629" s="2">
        <v>1.6743078703703704E-2</v>
      </c>
      <c r="C629" s="2">
        <v>1.670835648148148E-2</v>
      </c>
      <c r="D629" s="2">
        <v>1.6743078703703704E-2</v>
      </c>
      <c r="E629" t="s">
        <v>26</v>
      </c>
      <c r="F629" t="s">
        <v>42</v>
      </c>
      <c r="G629" t="s">
        <v>28</v>
      </c>
      <c r="H629">
        <v>0.45994475138121499</v>
      </c>
      <c r="I629">
        <v>0.84051724137931005</v>
      </c>
    </row>
    <row r="630" spans="1:9" x14ac:dyDescent="0.3">
      <c r="A630" t="s">
        <v>653</v>
      </c>
      <c r="B630" s="2">
        <v>1.6959074074074074E-2</v>
      </c>
      <c r="C630" s="2">
        <v>1.692435185185185E-2</v>
      </c>
      <c r="D630" s="2">
        <v>1.6959074074074074E-2</v>
      </c>
      <c r="E630" t="s">
        <v>26</v>
      </c>
      <c r="F630" t="s">
        <v>30</v>
      </c>
      <c r="G630" t="s">
        <v>34</v>
      </c>
      <c r="H630">
        <v>0.25</v>
      </c>
      <c r="I630">
        <v>3.0172413793102981E-2</v>
      </c>
    </row>
    <row r="631" spans="1:9" x14ac:dyDescent="0.3">
      <c r="A631" t="s">
        <v>654</v>
      </c>
      <c r="B631" s="2">
        <v>1.8526493055555555E-2</v>
      </c>
      <c r="C631" s="2">
        <v>1.8491770833333334E-2</v>
      </c>
      <c r="D631" s="2">
        <v>1.8526493055555555E-2</v>
      </c>
      <c r="E631" t="s">
        <v>26</v>
      </c>
      <c r="F631" t="s">
        <v>27</v>
      </c>
      <c r="G631" t="s">
        <v>34</v>
      </c>
      <c r="H631">
        <v>0.106353591160221</v>
      </c>
      <c r="I631">
        <v>0.50431034482758608</v>
      </c>
    </row>
    <row r="632" spans="1:9" x14ac:dyDescent="0.3">
      <c r="A632" t="s">
        <v>655</v>
      </c>
      <c r="B632" s="2">
        <v>2.0301261574074074E-2</v>
      </c>
      <c r="C632" s="2">
        <v>2.0266539351851853E-2</v>
      </c>
      <c r="D632" s="2">
        <v>2.0301261574074074E-2</v>
      </c>
      <c r="E632" t="s">
        <v>26</v>
      </c>
      <c r="F632" t="s">
        <v>42</v>
      </c>
      <c r="G632" t="s">
        <v>34</v>
      </c>
      <c r="H632">
        <v>5.6629834254143599E-2</v>
      </c>
      <c r="I632">
        <v>0.47844827586206895</v>
      </c>
    </row>
    <row r="633" spans="1:9" x14ac:dyDescent="0.3">
      <c r="A633" t="s">
        <v>656</v>
      </c>
      <c r="B633" s="2">
        <v>2.0330254629629629E-2</v>
      </c>
      <c r="C633" s="2">
        <v>2.0295532407407408E-2</v>
      </c>
      <c r="D633" s="2">
        <v>2.0330254629629629E-2</v>
      </c>
      <c r="E633" t="s">
        <v>26</v>
      </c>
      <c r="F633" t="s">
        <v>32</v>
      </c>
      <c r="G633" t="s">
        <v>28</v>
      </c>
      <c r="H633">
        <v>0.388121546961326</v>
      </c>
      <c r="I633">
        <v>0.48706896551724099</v>
      </c>
    </row>
    <row r="634" spans="1:9" x14ac:dyDescent="0.3">
      <c r="A634" t="s">
        <v>657</v>
      </c>
      <c r="B634" s="2">
        <v>2.0657812500000001E-2</v>
      </c>
      <c r="C634" s="2">
        <v>2.0623090277777777E-2</v>
      </c>
      <c r="D634" s="2">
        <v>2.0657812500000001E-2</v>
      </c>
      <c r="E634" t="s">
        <v>26</v>
      </c>
      <c r="F634" t="s">
        <v>58</v>
      </c>
      <c r="G634" t="s">
        <v>34</v>
      </c>
      <c r="H634">
        <v>0.29696132596685099</v>
      </c>
      <c r="I634">
        <v>0.64655172413793105</v>
      </c>
    </row>
    <row r="635" spans="1:9" x14ac:dyDescent="0.3">
      <c r="A635" t="s">
        <v>658</v>
      </c>
      <c r="B635" s="2">
        <v>2.1851226851851851E-2</v>
      </c>
      <c r="C635" s="2">
        <v>2.181650462962963E-2</v>
      </c>
      <c r="D635" s="2">
        <v>2.1851226851851851E-2</v>
      </c>
      <c r="E635" t="s">
        <v>26</v>
      </c>
      <c r="F635" t="s">
        <v>46</v>
      </c>
      <c r="G635" t="s">
        <v>28</v>
      </c>
      <c r="H635">
        <v>0.19751381215469599</v>
      </c>
      <c r="I635">
        <v>0.14224137931034497</v>
      </c>
    </row>
    <row r="636" spans="1:9" x14ac:dyDescent="0.3">
      <c r="A636" t="s">
        <v>659</v>
      </c>
      <c r="B636" s="2">
        <v>2.1901018518518518E-2</v>
      </c>
      <c r="C636" s="2">
        <v>2.1866296296296297E-2</v>
      </c>
      <c r="D636" s="2">
        <v>2.1901018518518518E-2</v>
      </c>
      <c r="E636" t="s">
        <v>26</v>
      </c>
      <c r="F636" t="s">
        <v>44</v>
      </c>
      <c r="G636" t="s">
        <v>34</v>
      </c>
      <c r="H636">
        <v>0.44613259668508298</v>
      </c>
      <c r="I636">
        <v>0.10344827586206895</v>
      </c>
    </row>
    <row r="637" spans="1:9" x14ac:dyDescent="0.3">
      <c r="A637" t="s">
        <v>660</v>
      </c>
      <c r="B637" s="2">
        <v>2.2447106481481481E-2</v>
      </c>
      <c r="C637" s="2">
        <v>2.241238425925926E-2</v>
      </c>
      <c r="D637" s="2">
        <v>2.2447106481481481E-2</v>
      </c>
      <c r="E637" t="s">
        <v>26</v>
      </c>
      <c r="F637" t="s">
        <v>30</v>
      </c>
      <c r="G637" t="s">
        <v>28</v>
      </c>
      <c r="H637">
        <v>0.125690607734807</v>
      </c>
      <c r="I637">
        <v>3.4482758620689946E-2</v>
      </c>
    </row>
    <row r="638" spans="1:9" x14ac:dyDescent="0.3">
      <c r="A638" t="s">
        <v>661</v>
      </c>
      <c r="B638" s="2">
        <v>2.3345601851851853E-2</v>
      </c>
      <c r="C638" s="2">
        <v>2.3310879629629629E-2</v>
      </c>
      <c r="D638" s="2">
        <v>2.3345601851851853E-2</v>
      </c>
      <c r="E638" t="s">
        <v>26</v>
      </c>
      <c r="F638" t="s">
        <v>42</v>
      </c>
      <c r="G638" t="s">
        <v>34</v>
      </c>
      <c r="H638">
        <v>0.363259668508287</v>
      </c>
      <c r="I638">
        <v>0.59913793103448298</v>
      </c>
    </row>
    <row r="639" spans="1:9" x14ac:dyDescent="0.3">
      <c r="A639" t="s">
        <v>662</v>
      </c>
      <c r="B639" s="2">
        <v>2.4245752314814815E-2</v>
      </c>
      <c r="C639" s="2">
        <v>2.4211030092592591E-2</v>
      </c>
      <c r="D639" s="2">
        <v>2.4245752314814815E-2</v>
      </c>
      <c r="E639" t="s">
        <v>26</v>
      </c>
      <c r="F639" t="s">
        <v>42</v>
      </c>
      <c r="G639" t="s">
        <v>34</v>
      </c>
      <c r="H639">
        <v>0.57320441988950299</v>
      </c>
      <c r="I639">
        <v>9.482758620689602E-2</v>
      </c>
    </row>
    <row r="640" spans="1:9" x14ac:dyDescent="0.3">
      <c r="A640" t="s">
        <v>663</v>
      </c>
      <c r="B640" s="2">
        <v>2.450008101851852E-2</v>
      </c>
      <c r="C640" s="2">
        <v>2.4465358796296296E-2</v>
      </c>
      <c r="D640" s="2">
        <v>2.450008101851852E-2</v>
      </c>
      <c r="E640" t="s">
        <v>26</v>
      </c>
      <c r="F640" t="s">
        <v>38</v>
      </c>
      <c r="G640" t="s">
        <v>34</v>
      </c>
      <c r="H640">
        <v>0.650552486187845</v>
      </c>
      <c r="I640">
        <v>0.25</v>
      </c>
    </row>
    <row r="641" spans="1:9" x14ac:dyDescent="0.3">
      <c r="A641" t="s">
        <v>664</v>
      </c>
      <c r="B641" s="2">
        <v>2.7394988425925925E-2</v>
      </c>
      <c r="C641" s="2">
        <v>2.7360266203703704E-2</v>
      </c>
      <c r="D641" s="2">
        <v>2.7394988425925925E-2</v>
      </c>
      <c r="E641" t="s">
        <v>26</v>
      </c>
      <c r="F641" t="s">
        <v>42</v>
      </c>
      <c r="G641" t="s">
        <v>28</v>
      </c>
      <c r="H641">
        <v>5.3867403314917101E-2</v>
      </c>
      <c r="I641">
        <v>0.48275862068965503</v>
      </c>
    </row>
    <row r="642" spans="1:9" x14ac:dyDescent="0.3">
      <c r="A642" t="s">
        <v>665</v>
      </c>
      <c r="B642" s="2">
        <v>2.7808865740740742E-2</v>
      </c>
      <c r="C642" s="2">
        <v>2.7774143518518517E-2</v>
      </c>
      <c r="D642" s="2">
        <v>2.7808865740740742E-2</v>
      </c>
      <c r="E642" t="s">
        <v>26</v>
      </c>
      <c r="F642" t="s">
        <v>58</v>
      </c>
      <c r="G642" t="s">
        <v>34</v>
      </c>
      <c r="H642">
        <v>3.7292817679557999E-2</v>
      </c>
      <c r="I642">
        <v>0.83620689655172398</v>
      </c>
    </row>
    <row r="643" spans="1:9" x14ac:dyDescent="0.3">
      <c r="A643" t="s">
        <v>666</v>
      </c>
      <c r="B643" s="2">
        <v>2.787841435185185E-2</v>
      </c>
      <c r="C643" s="2">
        <v>2.784369212962963E-2</v>
      </c>
      <c r="D643" s="2">
        <v>2.787841435185185E-2</v>
      </c>
      <c r="E643" t="s">
        <v>26</v>
      </c>
      <c r="F643" t="s">
        <v>58</v>
      </c>
      <c r="G643" t="s">
        <v>34</v>
      </c>
      <c r="H643">
        <v>0.103591160220994</v>
      </c>
      <c r="I643">
        <v>0.98275862068965525</v>
      </c>
    </row>
    <row r="644" spans="1:9" x14ac:dyDescent="0.3">
      <c r="A644" t="s">
        <v>667</v>
      </c>
      <c r="B644" s="2">
        <v>2.8270868055555554E-2</v>
      </c>
      <c r="C644" s="2">
        <v>2.8236145833333334E-2</v>
      </c>
      <c r="D644" s="2">
        <v>2.8270868055555554E-2</v>
      </c>
      <c r="E644" t="s">
        <v>26</v>
      </c>
      <c r="F644" t="s">
        <v>26</v>
      </c>
      <c r="G644" t="s">
        <v>34</v>
      </c>
      <c r="H644">
        <v>0.205801104972376</v>
      </c>
      <c r="I644">
        <v>0.93103448275862066</v>
      </c>
    </row>
    <row r="645" spans="1:9" x14ac:dyDescent="0.3">
      <c r="A645" t="s">
        <v>668</v>
      </c>
      <c r="B645" s="2">
        <v>2.8737847222222224E-2</v>
      </c>
      <c r="C645" s="2">
        <v>2.8703124999999999E-2</v>
      </c>
      <c r="D645" s="2">
        <v>2.8737847222222224E-2</v>
      </c>
      <c r="E645" t="s">
        <v>26</v>
      </c>
      <c r="F645" t="s">
        <v>58</v>
      </c>
      <c r="G645" t="s">
        <v>34</v>
      </c>
      <c r="H645">
        <v>0.11740331491712699</v>
      </c>
      <c r="I645">
        <v>0.92241379310344829</v>
      </c>
    </row>
    <row r="646" spans="1:9" x14ac:dyDescent="0.3">
      <c r="A646" t="s">
        <v>669</v>
      </c>
      <c r="B646" s="2">
        <v>3.0080995370370369E-2</v>
      </c>
      <c r="C646" s="2">
        <v>3.0046273148148148E-2</v>
      </c>
      <c r="D646" s="2">
        <v>3.0080995370370369E-2</v>
      </c>
      <c r="E646" t="s">
        <v>26</v>
      </c>
      <c r="F646" t="s">
        <v>40</v>
      </c>
      <c r="G646" t="s">
        <v>28</v>
      </c>
      <c r="H646">
        <v>4.5580110497237598E-2</v>
      </c>
      <c r="I646">
        <v>0.53448275862068995</v>
      </c>
    </row>
    <row r="647" spans="1:9" x14ac:dyDescent="0.3">
      <c r="A647" t="s">
        <v>670</v>
      </c>
      <c r="B647" s="2">
        <v>3.0126018518518517E-2</v>
      </c>
      <c r="C647" s="2">
        <v>3.0091296296296297E-2</v>
      </c>
      <c r="D647" s="2">
        <v>3.0126018518518517E-2</v>
      </c>
      <c r="E647" t="s">
        <v>26</v>
      </c>
      <c r="F647" t="s">
        <v>51</v>
      </c>
      <c r="G647" t="s">
        <v>34</v>
      </c>
      <c r="H647">
        <v>0.27209944751381199</v>
      </c>
      <c r="I647">
        <v>0.96551724137931028</v>
      </c>
    </row>
    <row r="648" spans="1:9" x14ac:dyDescent="0.3">
      <c r="A648" t="s">
        <v>671</v>
      </c>
      <c r="B648" s="2">
        <v>3.1771458333333336E-2</v>
      </c>
      <c r="C648" s="2">
        <v>3.1736736111111108E-2</v>
      </c>
      <c r="D648" s="2">
        <v>3.1771458333333336E-2</v>
      </c>
      <c r="E648" t="s">
        <v>26</v>
      </c>
      <c r="F648" t="s">
        <v>38</v>
      </c>
      <c r="G648" t="s">
        <v>34</v>
      </c>
      <c r="H648">
        <v>0.42955801104972402</v>
      </c>
      <c r="I648">
        <v>0.62931034482758608</v>
      </c>
    </row>
    <row r="649" spans="1:9" x14ac:dyDescent="0.3">
      <c r="A649" t="s">
        <v>672</v>
      </c>
      <c r="B649" s="2">
        <v>3.2107094907407409E-2</v>
      </c>
      <c r="C649" s="2">
        <v>3.2072372685185188E-2</v>
      </c>
      <c r="D649" s="2">
        <v>3.2107094907407409E-2</v>
      </c>
      <c r="E649" t="s">
        <v>26</v>
      </c>
      <c r="F649" t="s">
        <v>30</v>
      </c>
      <c r="G649" t="s">
        <v>34</v>
      </c>
      <c r="H649">
        <v>0.21132596685082899</v>
      </c>
      <c r="I649">
        <v>1.7241379310344973E-2</v>
      </c>
    </row>
    <row r="650" spans="1:9" x14ac:dyDescent="0.3">
      <c r="A650" t="s">
        <v>673</v>
      </c>
      <c r="B650" s="2">
        <v>3.2508252314814814E-2</v>
      </c>
      <c r="C650" s="2">
        <v>3.2473530092592594E-2</v>
      </c>
      <c r="D650" s="2">
        <v>3.2508252314814814E-2</v>
      </c>
      <c r="E650" t="s">
        <v>26</v>
      </c>
      <c r="F650" t="s">
        <v>30</v>
      </c>
      <c r="G650" t="s">
        <v>34</v>
      </c>
      <c r="H650">
        <v>8.4254143646408805E-2</v>
      </c>
      <c r="I650">
        <v>9.9137931034482984E-2</v>
      </c>
    </row>
    <row r="651" spans="1:9" x14ac:dyDescent="0.3">
      <c r="A651" t="s">
        <v>674</v>
      </c>
      <c r="B651" s="2">
        <v>3.5689618055555553E-2</v>
      </c>
      <c r="C651" s="2">
        <v>3.5654895833333332E-2</v>
      </c>
      <c r="D651" s="2">
        <v>3.5689618055555553E-2</v>
      </c>
      <c r="E651" t="s">
        <v>26</v>
      </c>
      <c r="F651" t="s">
        <v>42</v>
      </c>
      <c r="G651" t="s">
        <v>34</v>
      </c>
      <c r="H651">
        <v>0.349447513812155</v>
      </c>
      <c r="I651">
        <v>0.56465517241379293</v>
      </c>
    </row>
    <row r="652" spans="1:9" x14ac:dyDescent="0.3">
      <c r="A652" t="s">
        <v>675</v>
      </c>
      <c r="B652" s="2">
        <v>3.7474629629629629E-2</v>
      </c>
      <c r="C652" s="2">
        <v>3.7439907407407408E-2</v>
      </c>
      <c r="D652" s="2">
        <v>3.7474629629629629E-2</v>
      </c>
      <c r="E652" t="s">
        <v>26</v>
      </c>
      <c r="F652" t="s">
        <v>42</v>
      </c>
      <c r="G652" t="s">
        <v>34</v>
      </c>
      <c r="H652">
        <v>0.412983425414365</v>
      </c>
      <c r="I652">
        <v>0.443965517241379</v>
      </c>
    </row>
    <row r="653" spans="1:9" x14ac:dyDescent="0.3">
      <c r="A653" t="s">
        <v>676</v>
      </c>
      <c r="B653" s="2">
        <v>3.8430960648148146E-2</v>
      </c>
      <c r="C653" s="2">
        <v>3.8396238425925926E-2</v>
      </c>
      <c r="D653" s="2">
        <v>3.8430960648148146E-2</v>
      </c>
      <c r="E653" t="s">
        <v>26</v>
      </c>
      <c r="F653" t="s">
        <v>27</v>
      </c>
      <c r="G653" t="s">
        <v>34</v>
      </c>
      <c r="H653">
        <v>0.12845303867403299</v>
      </c>
      <c r="I653">
        <v>0.39224137931034497</v>
      </c>
    </row>
    <row r="654" spans="1:9" x14ac:dyDescent="0.3">
      <c r="A654" t="s">
        <v>677</v>
      </c>
      <c r="B654" s="2">
        <v>3.8638449074074072E-2</v>
      </c>
      <c r="C654" s="2">
        <v>3.8603726851851851E-2</v>
      </c>
      <c r="D654" s="2">
        <v>3.8638449074074072E-2</v>
      </c>
      <c r="E654" t="s">
        <v>26</v>
      </c>
      <c r="F654" t="s">
        <v>42</v>
      </c>
      <c r="G654" t="s">
        <v>34</v>
      </c>
      <c r="H654">
        <v>0.48204419889502798</v>
      </c>
      <c r="I654">
        <v>0.90517241379310343</v>
      </c>
    </row>
    <row r="655" spans="1:9" x14ac:dyDescent="0.3">
      <c r="A655" t="s">
        <v>678</v>
      </c>
      <c r="B655" s="2">
        <v>3.8931006944444443E-2</v>
      </c>
      <c r="C655" s="2">
        <v>3.8896284722222223E-2</v>
      </c>
      <c r="D655" s="2">
        <v>3.8931006944444443E-2</v>
      </c>
      <c r="E655" t="s">
        <v>26</v>
      </c>
      <c r="F655" t="s">
        <v>30</v>
      </c>
      <c r="G655" t="s">
        <v>34</v>
      </c>
      <c r="H655">
        <v>0.25552486187845302</v>
      </c>
      <c r="I655">
        <v>6.4655172413793038E-2</v>
      </c>
    </row>
    <row r="656" spans="1:9" x14ac:dyDescent="0.3">
      <c r="A656" t="s">
        <v>679</v>
      </c>
      <c r="B656" s="2">
        <v>3.9811053240740739E-2</v>
      </c>
      <c r="C656" s="2">
        <v>3.9776331018518518E-2</v>
      </c>
      <c r="D656" s="2">
        <v>3.9811053240740739E-2</v>
      </c>
      <c r="E656" t="s">
        <v>26</v>
      </c>
      <c r="F656" t="s">
        <v>46</v>
      </c>
      <c r="G656" t="s">
        <v>34</v>
      </c>
      <c r="H656">
        <v>0.136740331491713</v>
      </c>
      <c r="I656">
        <v>0.76293103448275901</v>
      </c>
    </row>
    <row r="657" spans="1:9" x14ac:dyDescent="0.3">
      <c r="A657" t="s">
        <v>680</v>
      </c>
      <c r="B657" s="2">
        <v>4.091784722222222E-2</v>
      </c>
      <c r="C657" s="2">
        <v>4.0883124999999999E-2</v>
      </c>
      <c r="D657" s="2">
        <v>4.091784722222222E-2</v>
      </c>
      <c r="E657" t="s">
        <v>26</v>
      </c>
      <c r="F657" t="s">
        <v>58</v>
      </c>
      <c r="G657" t="s">
        <v>34</v>
      </c>
      <c r="H657">
        <v>0.29143646408839802</v>
      </c>
      <c r="I657">
        <v>3.4482758620689946E-2</v>
      </c>
    </row>
    <row r="658" spans="1:9" x14ac:dyDescent="0.3">
      <c r="A658" t="s">
        <v>681</v>
      </c>
      <c r="B658" s="2">
        <v>4.2460937499999997E-2</v>
      </c>
      <c r="C658" s="2">
        <v>4.2426215277777776E-2</v>
      </c>
      <c r="D658" s="2">
        <v>4.2460937499999997E-2</v>
      </c>
      <c r="E658" t="s">
        <v>26</v>
      </c>
      <c r="F658" t="s">
        <v>46</v>
      </c>
      <c r="G658" t="s">
        <v>34</v>
      </c>
      <c r="H658">
        <v>0.34392265193370197</v>
      </c>
      <c r="I658">
        <v>0.96551724137931028</v>
      </c>
    </row>
    <row r="659" spans="1:9" x14ac:dyDescent="0.3">
      <c r="A659" t="s">
        <v>682</v>
      </c>
      <c r="B659" s="2">
        <v>4.276863425925926E-2</v>
      </c>
      <c r="C659" s="2">
        <v>4.2733912037037039E-2</v>
      </c>
      <c r="D659" s="2">
        <v>4.276863425925926E-2</v>
      </c>
      <c r="E659" t="s">
        <v>26</v>
      </c>
      <c r="F659" t="s">
        <v>67</v>
      </c>
      <c r="G659" t="s">
        <v>34</v>
      </c>
      <c r="H659">
        <v>0.27762430939226501</v>
      </c>
      <c r="I659">
        <v>0.98275862068965525</v>
      </c>
    </row>
    <row r="660" spans="1:9" x14ac:dyDescent="0.3">
      <c r="A660" t="s">
        <v>683</v>
      </c>
      <c r="B660" s="2">
        <v>4.3261319444444446E-2</v>
      </c>
      <c r="C660" s="2">
        <v>4.3226597222222225E-2</v>
      </c>
      <c r="D660" s="2">
        <v>4.3261319444444446E-2</v>
      </c>
      <c r="E660" t="s">
        <v>26</v>
      </c>
      <c r="F660" t="s">
        <v>46</v>
      </c>
      <c r="G660" t="s">
        <v>34</v>
      </c>
      <c r="H660">
        <v>0.448895027624309</v>
      </c>
      <c r="I660">
        <v>0.75</v>
      </c>
    </row>
    <row r="661" spans="1:9" x14ac:dyDescent="0.3">
      <c r="A661" t="s">
        <v>684</v>
      </c>
      <c r="B661" s="2">
        <v>4.3458506944444447E-2</v>
      </c>
      <c r="C661" s="2">
        <v>4.342378472222222E-2</v>
      </c>
      <c r="D661" s="2">
        <v>4.3458506944444447E-2</v>
      </c>
      <c r="E661" t="s">
        <v>26</v>
      </c>
      <c r="F661" t="s">
        <v>46</v>
      </c>
      <c r="G661" t="s">
        <v>28</v>
      </c>
      <c r="H661">
        <v>0.462707182320442</v>
      </c>
      <c r="I661">
        <v>0.90948275862068972</v>
      </c>
    </row>
    <row r="662" spans="1:9" x14ac:dyDescent="0.3">
      <c r="A662" t="s">
        <v>685</v>
      </c>
      <c r="B662" s="2">
        <v>4.4775439814814813E-2</v>
      </c>
      <c r="C662" s="2">
        <v>4.4740717592592592E-2</v>
      </c>
      <c r="D662" s="2">
        <v>4.4775439814814813E-2</v>
      </c>
      <c r="E662" t="s">
        <v>26</v>
      </c>
      <c r="F662" t="s">
        <v>42</v>
      </c>
      <c r="G662" t="s">
        <v>34</v>
      </c>
      <c r="H662">
        <v>0.45165745856353601</v>
      </c>
      <c r="I662">
        <v>0.69827586206896597</v>
      </c>
    </row>
    <row r="663" spans="1:9" x14ac:dyDescent="0.3">
      <c r="A663" t="s">
        <v>686</v>
      </c>
      <c r="B663" s="2">
        <v>4.6224328703703702E-2</v>
      </c>
      <c r="C663" s="2">
        <v>4.6189606481481481E-2</v>
      </c>
      <c r="D663" s="2">
        <v>4.6224328703703702E-2</v>
      </c>
      <c r="E663" t="s">
        <v>26</v>
      </c>
      <c r="F663" t="s">
        <v>42</v>
      </c>
      <c r="G663" t="s">
        <v>34</v>
      </c>
      <c r="H663">
        <v>0.74171270718231996</v>
      </c>
      <c r="I663">
        <v>0.818965517241379</v>
      </c>
    </row>
    <row r="664" spans="1:9" x14ac:dyDescent="0.3">
      <c r="A664" t="s">
        <v>687</v>
      </c>
      <c r="B664" s="2">
        <v>4.6727465277777776E-2</v>
      </c>
      <c r="C664" s="2">
        <v>4.6692743055555555E-2</v>
      </c>
      <c r="D664" s="2">
        <v>4.6727465277777776E-2</v>
      </c>
      <c r="E664" t="s">
        <v>26</v>
      </c>
      <c r="F664" t="s">
        <v>27</v>
      </c>
      <c r="G664" t="s">
        <v>34</v>
      </c>
      <c r="H664">
        <v>0.86049723756906105</v>
      </c>
      <c r="I664">
        <v>0.32758620689655205</v>
      </c>
    </row>
    <row r="665" spans="1:9" x14ac:dyDescent="0.3">
      <c r="A665" t="s">
        <v>688</v>
      </c>
      <c r="B665" s="2">
        <v>4.7132557870370372E-2</v>
      </c>
      <c r="C665" s="2">
        <v>4.7097835648148151E-2</v>
      </c>
      <c r="D665" s="2">
        <v>4.7132557870370372E-2</v>
      </c>
      <c r="E665" t="s">
        <v>26</v>
      </c>
      <c r="F665" t="s">
        <v>27</v>
      </c>
      <c r="G665" t="s">
        <v>34</v>
      </c>
      <c r="H665">
        <v>4.0055248618784497E-2</v>
      </c>
      <c r="I665">
        <v>0.24568965517241403</v>
      </c>
    </row>
    <row r="666" spans="1:9" x14ac:dyDescent="0.3">
      <c r="A666" t="s">
        <v>689</v>
      </c>
      <c r="B666" s="2">
        <v>4.7956018518518516E-2</v>
      </c>
      <c r="C666" s="2">
        <v>4.7921296296296295E-2</v>
      </c>
      <c r="D666" s="2">
        <v>4.7956018518518516E-2</v>
      </c>
      <c r="E666" t="s">
        <v>26</v>
      </c>
      <c r="F666" t="s">
        <v>58</v>
      </c>
      <c r="G666" t="s">
        <v>34</v>
      </c>
      <c r="H666">
        <v>0.16712707182320399</v>
      </c>
      <c r="I666">
        <v>3.0172413793102981E-2</v>
      </c>
    </row>
    <row r="667" spans="1:9" x14ac:dyDescent="0.3">
      <c r="A667" t="s">
        <v>690</v>
      </c>
      <c r="B667" s="2">
        <v>4.8747291666666664E-2</v>
      </c>
      <c r="C667" s="2">
        <v>4.8712569444444444E-2</v>
      </c>
      <c r="D667" s="2">
        <v>4.8747291666666664E-2</v>
      </c>
      <c r="E667" t="s">
        <v>26</v>
      </c>
      <c r="F667" t="s">
        <v>42</v>
      </c>
      <c r="G667" t="s">
        <v>34</v>
      </c>
      <c r="H667">
        <v>0.63121546961326003</v>
      </c>
      <c r="I667">
        <v>0.45689655172413801</v>
      </c>
    </row>
    <row r="668" spans="1:9" x14ac:dyDescent="0.3">
      <c r="A668" t="s">
        <v>691</v>
      </c>
      <c r="B668" s="2">
        <v>5.0098414351851854E-2</v>
      </c>
      <c r="C668" s="2">
        <v>5.0063692129629626E-2</v>
      </c>
      <c r="D668" s="2">
        <v>5.0098414351851854E-2</v>
      </c>
      <c r="E668" t="s">
        <v>26</v>
      </c>
      <c r="F668" t="s">
        <v>46</v>
      </c>
      <c r="G668" t="s">
        <v>34</v>
      </c>
      <c r="H668">
        <v>0.44060773480663001</v>
      </c>
      <c r="I668">
        <v>0.443965517241379</v>
      </c>
    </row>
    <row r="669" spans="1:9" x14ac:dyDescent="0.3">
      <c r="A669" t="s">
        <v>692</v>
      </c>
      <c r="B669" s="2">
        <v>5.0336215277777777E-2</v>
      </c>
      <c r="C669" s="2">
        <v>5.0301493055555556E-2</v>
      </c>
      <c r="D669" s="2">
        <v>5.0336215277777777E-2</v>
      </c>
      <c r="E669" t="s">
        <v>26</v>
      </c>
      <c r="F669" t="s">
        <v>42</v>
      </c>
      <c r="G669" t="s">
        <v>34</v>
      </c>
      <c r="H669">
        <v>0.56491712707182296</v>
      </c>
      <c r="I669">
        <v>0.81034482758620696</v>
      </c>
    </row>
    <row r="670" spans="1:9" x14ac:dyDescent="0.3">
      <c r="A670" t="s">
        <v>693</v>
      </c>
      <c r="B670" s="2">
        <v>5.0552291666666666E-2</v>
      </c>
      <c r="C670" s="2">
        <v>5.0517569444444445E-2</v>
      </c>
      <c r="D670" s="2">
        <v>5.0552291666666666E-2</v>
      </c>
      <c r="E670" t="s">
        <v>26</v>
      </c>
      <c r="F670" t="s">
        <v>42</v>
      </c>
      <c r="G670" t="s">
        <v>34</v>
      </c>
      <c r="H670">
        <v>0.700276243093923</v>
      </c>
      <c r="I670">
        <v>0.36637931034482796</v>
      </c>
    </row>
    <row r="671" spans="1:9" x14ac:dyDescent="0.3">
      <c r="A671" t="s">
        <v>694</v>
      </c>
      <c r="B671" s="2">
        <v>5.0897199074074077E-2</v>
      </c>
      <c r="C671" s="2">
        <v>5.086247685185185E-2</v>
      </c>
      <c r="D671" s="2">
        <v>5.0897199074074077E-2</v>
      </c>
      <c r="E671" t="s">
        <v>26</v>
      </c>
      <c r="F671" t="s">
        <v>27</v>
      </c>
      <c r="G671" t="s">
        <v>34</v>
      </c>
      <c r="H671">
        <v>0.22790055248618801</v>
      </c>
      <c r="I671">
        <v>0.318965517241379</v>
      </c>
    </row>
    <row r="672" spans="1:9" x14ac:dyDescent="0.3">
      <c r="A672" t="s">
        <v>695</v>
      </c>
      <c r="B672" s="2">
        <v>5.2301226851851852E-2</v>
      </c>
      <c r="C672" s="2">
        <v>5.2266504629629632E-2</v>
      </c>
      <c r="D672" s="2">
        <v>5.2301226851851852E-2</v>
      </c>
      <c r="E672" t="s">
        <v>26</v>
      </c>
      <c r="F672" t="s">
        <v>38</v>
      </c>
      <c r="G672" t="s">
        <v>28</v>
      </c>
      <c r="H672">
        <v>0.338397790055249</v>
      </c>
      <c r="I672">
        <v>0.42241379310344795</v>
      </c>
    </row>
    <row r="673" spans="1:10" x14ac:dyDescent="0.3">
      <c r="A673" t="s">
        <v>696</v>
      </c>
      <c r="B673" s="2">
        <v>5.3274618055555556E-2</v>
      </c>
      <c r="C673" s="2">
        <v>5.3239895833333335E-2</v>
      </c>
      <c r="D673" s="2">
        <v>5.3274618055555556E-2</v>
      </c>
      <c r="E673" t="s">
        <v>26</v>
      </c>
      <c r="F673" t="s">
        <v>67</v>
      </c>
      <c r="G673" t="s">
        <v>28</v>
      </c>
      <c r="H673">
        <v>0.114640883977901</v>
      </c>
      <c r="I673">
        <v>0.61206896551724099</v>
      </c>
    </row>
    <row r="674" spans="1:10" x14ac:dyDescent="0.3">
      <c r="A674" t="s">
        <v>697</v>
      </c>
      <c r="B674" s="2">
        <v>5.70859837962963E-2</v>
      </c>
      <c r="C674" s="2">
        <v>5.7051261574074072E-2</v>
      </c>
      <c r="D674" s="2">
        <v>5.70859837962963E-2</v>
      </c>
      <c r="E674" t="s">
        <v>26</v>
      </c>
      <c r="F674" t="s">
        <v>44</v>
      </c>
      <c r="G674" t="s">
        <v>34</v>
      </c>
      <c r="H674">
        <v>0.44060773480663001</v>
      </c>
      <c r="I674">
        <v>0.73706896551724099</v>
      </c>
    </row>
    <row r="675" spans="1:10" x14ac:dyDescent="0.3">
      <c r="A675" t="s">
        <v>698</v>
      </c>
      <c r="B675" s="2">
        <v>5.853590277777778E-2</v>
      </c>
      <c r="C675" s="2">
        <v>5.8501180555555553E-2</v>
      </c>
      <c r="D675" s="2">
        <v>5.853590277777778E-2</v>
      </c>
      <c r="E675" t="s">
        <v>26</v>
      </c>
      <c r="F675" t="s">
        <v>51</v>
      </c>
      <c r="G675" t="s">
        <v>28</v>
      </c>
      <c r="H675">
        <v>0.64779005524861899</v>
      </c>
      <c r="I675">
        <v>0.306034482758621</v>
      </c>
    </row>
    <row r="676" spans="1:10" x14ac:dyDescent="0.3">
      <c r="A676" t="s">
        <v>699</v>
      </c>
      <c r="B676" s="2">
        <v>5.9946388888888889E-2</v>
      </c>
      <c r="C676" s="2">
        <v>5.9911666666666669E-2</v>
      </c>
      <c r="D676" s="2">
        <v>5.9946388888888889E-2</v>
      </c>
      <c r="E676" t="s">
        <v>26</v>
      </c>
      <c r="F676" t="s">
        <v>40</v>
      </c>
      <c r="G676" t="s">
        <v>28</v>
      </c>
      <c r="H676">
        <v>0.55386740331491702</v>
      </c>
      <c r="I676">
        <v>0.46120689655172398</v>
      </c>
    </row>
    <row r="677" spans="1:10" x14ac:dyDescent="0.3">
      <c r="A677" t="s">
        <v>700</v>
      </c>
      <c r="B677" s="2">
        <v>6.1461064814814816E-2</v>
      </c>
      <c r="C677" s="2">
        <v>6.1426342592592595E-2</v>
      </c>
      <c r="D677" s="2">
        <v>6.1461064814814816E-2</v>
      </c>
      <c r="E677" t="s">
        <v>26</v>
      </c>
      <c r="F677" t="s">
        <v>46</v>
      </c>
      <c r="G677" t="s">
        <v>34</v>
      </c>
      <c r="H677">
        <v>0.23895027624309401</v>
      </c>
      <c r="I677">
        <v>0.64655172413793105</v>
      </c>
    </row>
    <row r="678" spans="1:10" x14ac:dyDescent="0.3">
      <c r="A678" t="s">
        <v>701</v>
      </c>
      <c r="B678" s="2">
        <v>6.150636574074074E-2</v>
      </c>
      <c r="C678" s="2">
        <v>6.1471643518518519E-2</v>
      </c>
      <c r="D678" s="2">
        <v>6.150636574074074E-2</v>
      </c>
      <c r="E678" t="s">
        <v>26</v>
      </c>
      <c r="F678" t="s">
        <v>198</v>
      </c>
      <c r="G678" t="s">
        <v>34</v>
      </c>
      <c r="H678">
        <v>0.42955801104972402</v>
      </c>
      <c r="I678">
        <v>0.48275862068965503</v>
      </c>
    </row>
    <row r="679" spans="1:10" x14ac:dyDescent="0.3">
      <c r="A679" t="s">
        <v>702</v>
      </c>
      <c r="B679" s="2">
        <v>6.2371030092592594E-2</v>
      </c>
      <c r="C679" s="2">
        <v>6.2336307870370374E-2</v>
      </c>
      <c r="D679" s="2">
        <v>6.2371030092592594E-2</v>
      </c>
      <c r="E679" t="s">
        <v>26</v>
      </c>
      <c r="F679" t="s">
        <v>67</v>
      </c>
      <c r="G679" t="s">
        <v>34</v>
      </c>
      <c r="H679">
        <v>0.41574585635359101</v>
      </c>
      <c r="I679">
        <v>0.96120689655172409</v>
      </c>
    </row>
    <row r="680" spans="1:10" x14ac:dyDescent="0.3">
      <c r="A680" t="s">
        <v>703</v>
      </c>
      <c r="B680" s="2">
        <v>6.3686365740740741E-2</v>
      </c>
      <c r="C680" s="2">
        <v>6.3651643518518514E-2</v>
      </c>
      <c r="D680" s="2">
        <v>6.3686365740740741E-2</v>
      </c>
      <c r="E680" t="s">
        <v>26</v>
      </c>
      <c r="F680" t="s">
        <v>58</v>
      </c>
      <c r="G680" t="s">
        <v>34</v>
      </c>
      <c r="H680">
        <v>0.39364640883977903</v>
      </c>
      <c r="I680">
        <v>9.482758620689602E-2</v>
      </c>
    </row>
    <row r="681" spans="1:10" x14ac:dyDescent="0.3">
      <c r="A681" t="s">
        <v>704</v>
      </c>
      <c r="B681" s="2">
        <v>6.379123842592592E-2</v>
      </c>
      <c r="C681" s="2">
        <v>6.3756516203703706E-2</v>
      </c>
      <c r="D681" s="2">
        <v>6.379123842592592E-2</v>
      </c>
      <c r="E681" t="s">
        <v>26</v>
      </c>
      <c r="F681" t="s">
        <v>46</v>
      </c>
      <c r="G681" t="s">
        <v>28</v>
      </c>
      <c r="H681">
        <v>0.45994475138121499</v>
      </c>
      <c r="I681">
        <v>0.53017241379310298</v>
      </c>
    </row>
    <row r="682" spans="1:10" x14ac:dyDescent="0.3">
      <c r="A682" t="s">
        <v>705</v>
      </c>
      <c r="B682" s="2">
        <v>6.6824421296296302E-2</v>
      </c>
      <c r="C682" s="2">
        <v>6.6789699074074074E-2</v>
      </c>
      <c r="D682" s="2">
        <v>6.6824421296296302E-2</v>
      </c>
      <c r="E682" t="s">
        <v>26</v>
      </c>
      <c r="F682" t="s">
        <v>38</v>
      </c>
      <c r="G682" t="s">
        <v>34</v>
      </c>
      <c r="H682">
        <v>0.35497237569060802</v>
      </c>
      <c r="I682">
        <v>0.75431034482758597</v>
      </c>
    </row>
    <row r="684" spans="1:10" ht="23.4" x14ac:dyDescent="0.45">
      <c r="A684" s="43" t="s">
        <v>706</v>
      </c>
      <c r="B684" s="44"/>
      <c r="C684" s="44"/>
      <c r="D684" s="44"/>
      <c r="H684" s="45" t="s">
        <v>15</v>
      </c>
      <c r="I684" s="45" t="s">
        <v>15</v>
      </c>
    </row>
    <row r="685" spans="1:10" x14ac:dyDescent="0.3">
      <c r="A685" s="1" t="s">
        <v>16</v>
      </c>
      <c r="B685" s="1" t="s">
        <v>17</v>
      </c>
      <c r="C685" s="1" t="s">
        <v>18</v>
      </c>
      <c r="D685" s="1" t="s">
        <v>19</v>
      </c>
      <c r="E685" s="1" t="s">
        <v>20</v>
      </c>
      <c r="F685" s="1" t="s">
        <v>21</v>
      </c>
      <c r="G685" s="1" t="s">
        <v>707</v>
      </c>
      <c r="H685" s="1" t="s">
        <v>23</v>
      </c>
      <c r="I685" s="1" t="s">
        <v>24</v>
      </c>
      <c r="J685" s="1"/>
    </row>
    <row r="686" spans="1:10" x14ac:dyDescent="0.3">
      <c r="A686" t="s">
        <v>708</v>
      </c>
      <c r="B686" s="2">
        <v>2.6354976851851852E-3</v>
      </c>
      <c r="C686" s="2">
        <v>2.6123495370370372E-3</v>
      </c>
      <c r="D686" s="2">
        <v>2.6586458333333332E-3</v>
      </c>
      <c r="E686" t="s">
        <v>26</v>
      </c>
      <c r="F686" t="s">
        <v>38</v>
      </c>
      <c r="H686">
        <v>0.71408839779005495</v>
      </c>
      <c r="I686">
        <v>0.29741379310344795</v>
      </c>
    </row>
    <row r="687" spans="1:10" x14ac:dyDescent="0.3">
      <c r="A687" t="s">
        <v>709</v>
      </c>
      <c r="B687" s="2">
        <v>8.149710648148149E-3</v>
      </c>
      <c r="C687" s="2">
        <v>8.1265625000000001E-3</v>
      </c>
      <c r="D687" s="2">
        <v>8.1728587962962961E-3</v>
      </c>
      <c r="E687" t="s">
        <v>26</v>
      </c>
      <c r="F687" t="s">
        <v>38</v>
      </c>
      <c r="H687">
        <v>0.399171270718232</v>
      </c>
      <c r="I687">
        <v>0.57758620689655205</v>
      </c>
    </row>
    <row r="688" spans="1:10" x14ac:dyDescent="0.3">
      <c r="A688" t="s">
        <v>710</v>
      </c>
      <c r="B688" s="2">
        <v>1.2489097222222223E-2</v>
      </c>
      <c r="C688" s="2">
        <v>1.2465949074074074E-2</v>
      </c>
      <c r="D688" s="2">
        <v>1.251224537037037E-2</v>
      </c>
      <c r="E688" t="s">
        <v>26</v>
      </c>
      <c r="F688" t="s">
        <v>38</v>
      </c>
      <c r="H688">
        <v>0.62016574585635398</v>
      </c>
      <c r="I688">
        <v>0.63362068965517193</v>
      </c>
    </row>
    <row r="689" spans="1:11" x14ac:dyDescent="0.3">
      <c r="A689" t="s">
        <v>711</v>
      </c>
      <c r="B689" s="2">
        <v>1.3041875E-2</v>
      </c>
      <c r="C689" s="2">
        <v>1.3018726851851853E-2</v>
      </c>
      <c r="D689" s="2">
        <v>1.3065023148148149E-2</v>
      </c>
      <c r="E689" t="s">
        <v>26</v>
      </c>
      <c r="F689" t="s">
        <v>30</v>
      </c>
      <c r="H689">
        <v>0.399171270718232</v>
      </c>
      <c r="I689">
        <v>0.39224137931034497</v>
      </c>
    </row>
    <row r="690" spans="1:11" x14ac:dyDescent="0.3">
      <c r="A690" t="s">
        <v>712</v>
      </c>
      <c r="B690" s="2">
        <v>2.8951967592592592E-2</v>
      </c>
      <c r="C690" s="2">
        <v>2.8928819444444445E-2</v>
      </c>
      <c r="D690" s="2">
        <v>2.8975115740740742E-2</v>
      </c>
      <c r="E690" t="s">
        <v>26</v>
      </c>
      <c r="F690" t="s">
        <v>51</v>
      </c>
      <c r="G690" t="s">
        <v>713</v>
      </c>
      <c r="H690">
        <v>0.76104972375690605</v>
      </c>
      <c r="I690">
        <v>0.73706896551724099</v>
      </c>
    </row>
    <row r="691" spans="1:11" x14ac:dyDescent="0.3">
      <c r="A691" t="s">
        <v>714</v>
      </c>
      <c r="B691" s="2">
        <v>3.2933993055555555E-2</v>
      </c>
      <c r="C691" s="2">
        <v>3.2910844907407408E-2</v>
      </c>
      <c r="D691" s="2">
        <v>3.2957141203703702E-2</v>
      </c>
      <c r="E691" t="s">
        <v>26</v>
      </c>
      <c r="F691" t="s">
        <v>32</v>
      </c>
      <c r="H691">
        <v>0.412983425414365</v>
      </c>
      <c r="I691">
        <v>0.181034482758621</v>
      </c>
    </row>
    <row r="692" spans="1:11" x14ac:dyDescent="0.3">
      <c r="A692" t="s">
        <v>715</v>
      </c>
      <c r="B692" s="2">
        <v>4.1130775462962961E-2</v>
      </c>
      <c r="C692" s="2">
        <v>4.1107627314814814E-2</v>
      </c>
      <c r="D692" s="2">
        <v>4.1153923611111108E-2</v>
      </c>
      <c r="E692" t="s">
        <v>26</v>
      </c>
      <c r="F692" t="s">
        <v>32</v>
      </c>
      <c r="H692">
        <v>0.85773480662983403</v>
      </c>
      <c r="I692">
        <v>0.68965517241379293</v>
      </c>
    </row>
    <row r="693" spans="1:11" x14ac:dyDescent="0.3">
      <c r="A693" t="s">
        <v>716</v>
      </c>
      <c r="B693" s="2">
        <v>5.5792418981481483E-2</v>
      </c>
      <c r="C693" s="2">
        <v>5.5769270833333336E-2</v>
      </c>
      <c r="D693" s="2">
        <v>5.581556712962963E-2</v>
      </c>
      <c r="E693" t="s">
        <v>26</v>
      </c>
      <c r="F693" t="s">
        <v>38</v>
      </c>
      <c r="H693">
        <v>0.88812154696132595</v>
      </c>
      <c r="I693">
        <v>0.21120689655172409</v>
      </c>
    </row>
    <row r="694" spans="1:11" x14ac:dyDescent="0.3">
      <c r="A694" t="s">
        <v>717</v>
      </c>
      <c r="B694" s="2">
        <v>6.3833668981481476E-2</v>
      </c>
      <c r="C694" s="2">
        <v>6.3810520833333328E-2</v>
      </c>
      <c r="D694" s="2">
        <v>6.3856817129629623E-2</v>
      </c>
      <c r="E694" t="s">
        <v>26</v>
      </c>
      <c r="F694" t="s">
        <v>51</v>
      </c>
      <c r="H694">
        <v>0.90193370165745856</v>
      </c>
      <c r="I694">
        <v>0.82758620689655171</v>
      </c>
    </row>
    <row r="695" spans="1:11" x14ac:dyDescent="0.3">
      <c r="A695" t="s">
        <v>718</v>
      </c>
      <c r="B695" s="2">
        <v>6.4495196759259257E-2</v>
      </c>
      <c r="C695" s="2">
        <v>6.447204861111111E-2</v>
      </c>
      <c r="D695" s="2">
        <v>6.4518344907407404E-2</v>
      </c>
      <c r="E695" t="s">
        <v>26</v>
      </c>
      <c r="F695" t="s">
        <v>51</v>
      </c>
      <c r="H695">
        <v>0.61464088397790095</v>
      </c>
      <c r="I695">
        <v>0.46120689655172398</v>
      </c>
    </row>
    <row r="697" spans="1:11" x14ac:dyDescent="0.3">
      <c r="I697" t="s">
        <v>26</v>
      </c>
    </row>
    <row r="698" spans="1:11" x14ac:dyDescent="0.3">
      <c r="I698" t="s">
        <v>26</v>
      </c>
    </row>
    <row r="699" spans="1:11" x14ac:dyDescent="0.3">
      <c r="I699" t="s">
        <v>26</v>
      </c>
    </row>
    <row r="700" spans="1:11" ht="23.4" x14ac:dyDescent="0.45">
      <c r="A700" s="43" t="s">
        <v>719</v>
      </c>
      <c r="B700" s="44"/>
      <c r="C700" s="44"/>
      <c r="D700" s="44"/>
      <c r="G700" s="45" t="s">
        <v>15</v>
      </c>
      <c r="H700" s="45" t="s">
        <v>15</v>
      </c>
      <c r="I700" s="45" t="s">
        <v>611</v>
      </c>
      <c r="J700" s="45" t="s">
        <v>611</v>
      </c>
    </row>
    <row r="701" spans="1:11" x14ac:dyDescent="0.3">
      <c r="A701" s="1" t="s">
        <v>16</v>
      </c>
      <c r="B701" s="1" t="s">
        <v>17</v>
      </c>
      <c r="C701" s="1" t="s">
        <v>18</v>
      </c>
      <c r="D701" s="1" t="s">
        <v>19</v>
      </c>
      <c r="E701" s="1" t="s">
        <v>20</v>
      </c>
      <c r="F701" s="1" t="s">
        <v>21</v>
      </c>
      <c r="G701" s="1" t="s">
        <v>23</v>
      </c>
      <c r="H701" s="1" t="s">
        <v>24</v>
      </c>
      <c r="I701" s="1" t="s">
        <v>612</v>
      </c>
      <c r="J701" s="1" t="s">
        <v>613</v>
      </c>
      <c r="K701" s="1"/>
    </row>
    <row r="702" spans="1:11" x14ac:dyDescent="0.3">
      <c r="A702" t="s">
        <v>720</v>
      </c>
      <c r="B702" s="2">
        <v>3.5035300925925928E-3</v>
      </c>
      <c r="C702" s="2">
        <v>3.4803819444444444E-3</v>
      </c>
      <c r="D702" s="2">
        <v>3.5151041666666668E-3</v>
      </c>
      <c r="E702" t="s">
        <v>26</v>
      </c>
      <c r="F702" t="s">
        <v>32</v>
      </c>
      <c r="G702">
        <v>0.58862433862433905</v>
      </c>
      <c r="H702">
        <v>0.12396694214876003</v>
      </c>
    </row>
    <row r="703" spans="1:11" x14ac:dyDescent="0.3">
      <c r="A703" t="s">
        <v>721</v>
      </c>
      <c r="B703" s="2">
        <v>9.2060185185185179E-3</v>
      </c>
      <c r="C703" s="2">
        <v>9.1828703703703708E-3</v>
      </c>
      <c r="D703" s="2">
        <v>9.2175925925925932E-3</v>
      </c>
      <c r="E703" t="s">
        <v>26</v>
      </c>
      <c r="F703" t="s">
        <v>40</v>
      </c>
      <c r="G703">
        <v>0.316137566137566</v>
      </c>
      <c r="H703">
        <v>0.48760330578512401</v>
      </c>
    </row>
    <row r="704" spans="1:11" x14ac:dyDescent="0.3">
      <c r="A704" t="s">
        <v>722</v>
      </c>
      <c r="B704" s="2">
        <v>1.5000277777777777E-2</v>
      </c>
      <c r="C704" s="2">
        <v>1.497712962962963E-2</v>
      </c>
      <c r="D704" s="2">
        <v>1.5011851851851853E-2</v>
      </c>
      <c r="E704" t="s">
        <v>26</v>
      </c>
      <c r="F704" t="s">
        <v>32</v>
      </c>
      <c r="G704">
        <v>0.42460317460317498</v>
      </c>
      <c r="H704">
        <v>0.86776859504132198</v>
      </c>
    </row>
    <row r="705" spans="1:9" x14ac:dyDescent="0.3">
      <c r="A705" t="s">
        <v>723</v>
      </c>
      <c r="B705" s="2">
        <v>2.4030162037037037E-2</v>
      </c>
      <c r="C705" s="2">
        <v>2.400701388888889E-2</v>
      </c>
      <c r="D705" s="2">
        <v>2.4041736111111111E-2</v>
      </c>
      <c r="E705" t="s">
        <v>26</v>
      </c>
      <c r="F705" t="s">
        <v>32</v>
      </c>
      <c r="G705">
        <v>0.59656084656084696</v>
      </c>
      <c r="H705">
        <v>0.11983471074380203</v>
      </c>
    </row>
    <row r="706" spans="1:9" x14ac:dyDescent="0.3">
      <c r="A706" t="s">
        <v>724</v>
      </c>
      <c r="B706" s="2">
        <v>2.4443368055555557E-2</v>
      </c>
      <c r="C706" s="2">
        <v>2.4420219907407406E-2</v>
      </c>
      <c r="D706" s="2">
        <v>2.445494212962963E-2</v>
      </c>
      <c r="E706" t="s">
        <v>26</v>
      </c>
      <c r="F706" t="s">
        <v>38</v>
      </c>
      <c r="G706">
        <v>0.66534391534391502</v>
      </c>
      <c r="H706">
        <v>0.30578512396694202</v>
      </c>
    </row>
    <row r="707" spans="1:9" x14ac:dyDescent="0.3">
      <c r="A707" t="s">
        <v>725</v>
      </c>
      <c r="B707" s="2">
        <v>2.7605856481481481E-2</v>
      </c>
      <c r="C707" s="2">
        <v>2.7582708333333334E-2</v>
      </c>
      <c r="D707" s="2">
        <v>2.7617430555555555E-2</v>
      </c>
      <c r="E707" t="s">
        <v>26</v>
      </c>
      <c r="F707" t="s">
        <v>42</v>
      </c>
      <c r="G707">
        <v>4.8941798941798897E-2</v>
      </c>
      <c r="H707">
        <v>0.85950413223140498</v>
      </c>
    </row>
    <row r="708" spans="1:9" x14ac:dyDescent="0.3">
      <c r="A708" t="s">
        <v>726</v>
      </c>
      <c r="B708" s="2">
        <v>2.8552777777777778E-2</v>
      </c>
      <c r="C708" s="2">
        <v>2.852962962962963E-2</v>
      </c>
      <c r="D708" s="2">
        <v>2.8564351851851851E-2</v>
      </c>
      <c r="E708" t="s">
        <v>26</v>
      </c>
      <c r="F708" t="s">
        <v>58</v>
      </c>
      <c r="G708">
        <v>0.15476190476190499</v>
      </c>
      <c r="H708">
        <v>0.97107438016528935</v>
      </c>
    </row>
    <row r="709" spans="1:9" x14ac:dyDescent="0.3">
      <c r="A709" t="s">
        <v>727</v>
      </c>
      <c r="B709" s="2">
        <v>4.0595856481481479E-2</v>
      </c>
      <c r="C709" s="2">
        <v>4.0572708333333332E-2</v>
      </c>
      <c r="D709" s="2">
        <v>4.0607430555555553E-2</v>
      </c>
      <c r="E709" t="s">
        <v>26</v>
      </c>
      <c r="F709" t="s">
        <v>42</v>
      </c>
      <c r="G709">
        <v>0.30555555555555602</v>
      </c>
      <c r="H709">
        <v>2.4793388429751984E-2</v>
      </c>
    </row>
    <row r="710" spans="1:9" x14ac:dyDescent="0.3">
      <c r="A710" t="s">
        <v>728</v>
      </c>
      <c r="B710" s="2">
        <v>4.2907280092592592E-2</v>
      </c>
      <c r="C710" s="2">
        <v>4.2884131944444445E-2</v>
      </c>
      <c r="D710" s="2">
        <v>4.2918854166666666E-2</v>
      </c>
      <c r="E710" t="s">
        <v>26</v>
      </c>
      <c r="F710" t="s">
        <v>198</v>
      </c>
      <c r="G710">
        <v>0.453703703703704</v>
      </c>
      <c r="H710">
        <v>0.669421487603306</v>
      </c>
    </row>
    <row r="711" spans="1:9" x14ac:dyDescent="0.3">
      <c r="A711" t="s">
        <v>729</v>
      </c>
      <c r="B711" s="2">
        <v>4.8279733796296298E-2</v>
      </c>
      <c r="C711" s="2">
        <v>4.8256585648148151E-2</v>
      </c>
      <c r="D711" s="2">
        <v>4.8291307870370372E-2</v>
      </c>
      <c r="E711" t="s">
        <v>26</v>
      </c>
      <c r="F711" t="s">
        <v>32</v>
      </c>
      <c r="G711">
        <v>0.39021164021164001</v>
      </c>
      <c r="H711">
        <v>0.17768595041322299</v>
      </c>
    </row>
    <row r="712" spans="1:9" x14ac:dyDescent="0.3">
      <c r="A712" t="s">
        <v>730</v>
      </c>
      <c r="B712" s="2">
        <v>4.8527685185185188E-2</v>
      </c>
      <c r="C712" s="2">
        <v>4.850453703703704E-2</v>
      </c>
      <c r="D712" s="2">
        <v>4.8539259259259261E-2</v>
      </c>
      <c r="E712" t="s">
        <v>26</v>
      </c>
      <c r="F712" t="s">
        <v>38</v>
      </c>
      <c r="G712">
        <v>0.60714285714285698</v>
      </c>
      <c r="H712">
        <v>0.45041322314049603</v>
      </c>
    </row>
    <row r="713" spans="1:9" x14ac:dyDescent="0.3">
      <c r="A713" t="s">
        <v>731</v>
      </c>
      <c r="B713" s="2">
        <v>5.0432187500000003E-2</v>
      </c>
      <c r="C713" s="2">
        <v>5.0409039351851849E-2</v>
      </c>
      <c r="D713" s="2">
        <v>5.0443761574074077E-2</v>
      </c>
      <c r="E713" t="s">
        <v>26</v>
      </c>
      <c r="F713" t="s">
        <v>58</v>
      </c>
      <c r="G713">
        <v>0.498677248677249</v>
      </c>
      <c r="H713">
        <v>0.53719008264462798</v>
      </c>
    </row>
    <row r="714" spans="1:9" x14ac:dyDescent="0.3">
      <c r="A714" t="s">
        <v>732</v>
      </c>
      <c r="B714" s="2">
        <v>6.3349444444444444E-2</v>
      </c>
      <c r="C714" s="2">
        <v>6.3326296296296297E-2</v>
      </c>
      <c r="D714" s="2">
        <v>6.3361018518518525E-2</v>
      </c>
      <c r="E714" t="s">
        <v>26</v>
      </c>
      <c r="F714" t="s">
        <v>264</v>
      </c>
      <c r="G714">
        <v>0.36111111111111099</v>
      </c>
      <c r="H714">
        <v>9.090909090909105E-2</v>
      </c>
    </row>
    <row r="715" spans="1:9" x14ac:dyDescent="0.3">
      <c r="A715" t="s">
        <v>733</v>
      </c>
      <c r="B715" s="2">
        <v>6.7871828703703702E-2</v>
      </c>
      <c r="C715" s="2">
        <v>6.7848680555555554E-2</v>
      </c>
      <c r="D715" s="2">
        <v>6.7883402777777782E-2</v>
      </c>
      <c r="E715" t="s">
        <v>26</v>
      </c>
      <c r="F715" t="s">
        <v>32</v>
      </c>
      <c r="G715">
        <v>0.705026455026455</v>
      </c>
      <c r="H715">
        <v>0.80991735537190102</v>
      </c>
    </row>
    <row r="717" spans="1:9" ht="23.4" x14ac:dyDescent="0.45">
      <c r="A717" s="43" t="s">
        <v>734</v>
      </c>
      <c r="B717" s="44"/>
      <c r="C717" s="44"/>
      <c r="D717" s="44"/>
      <c r="G717" s="45" t="s">
        <v>15</v>
      </c>
      <c r="H717" s="45" t="s">
        <v>15</v>
      </c>
    </row>
    <row r="718" spans="1:9" x14ac:dyDescent="0.3">
      <c r="A718" s="1" t="s">
        <v>16</v>
      </c>
      <c r="B718" s="1" t="s">
        <v>17</v>
      </c>
      <c r="C718" s="1" t="s">
        <v>18</v>
      </c>
      <c r="D718" s="1" t="s">
        <v>19</v>
      </c>
      <c r="E718" s="1" t="s">
        <v>20</v>
      </c>
      <c r="F718" s="1" t="s">
        <v>21</v>
      </c>
      <c r="G718" s="1" t="s">
        <v>23</v>
      </c>
      <c r="H718" s="1" t="s">
        <v>24</v>
      </c>
      <c r="I718" s="1"/>
    </row>
    <row r="719" spans="1:9" x14ac:dyDescent="0.3">
      <c r="A719" t="s">
        <v>735</v>
      </c>
      <c r="B719" s="2">
        <v>7.2545486111111109E-3</v>
      </c>
      <c r="C719" s="2">
        <v>7.2429745370370373E-3</v>
      </c>
      <c r="D719" s="2">
        <v>7.2661226851851854E-3</v>
      </c>
      <c r="E719" t="s">
        <v>26</v>
      </c>
      <c r="F719" t="s">
        <v>27</v>
      </c>
      <c r="G719">
        <v>1.4550264550264499E-2</v>
      </c>
      <c r="H719">
        <v>0.49173553719008301</v>
      </c>
    </row>
    <row r="720" spans="1:9" x14ac:dyDescent="0.3">
      <c r="A720" t="s">
        <v>736</v>
      </c>
      <c r="B720" s="2">
        <v>1.8271180555555554E-2</v>
      </c>
      <c r="C720" s="2">
        <v>1.8259606481481481E-2</v>
      </c>
      <c r="D720" s="2">
        <v>1.8282754629629628E-2</v>
      </c>
      <c r="E720" t="s">
        <v>26</v>
      </c>
      <c r="F720" t="s">
        <v>27</v>
      </c>
      <c r="G720">
        <v>1.1904761904761901E-2</v>
      </c>
      <c r="H720">
        <v>0.495867768595041</v>
      </c>
    </row>
    <row r="721" spans="1:10" x14ac:dyDescent="0.3">
      <c r="A721" t="s">
        <v>737</v>
      </c>
      <c r="B721" s="2">
        <v>2.9540532407407408E-2</v>
      </c>
      <c r="C721" s="2">
        <v>2.9528958333333334E-2</v>
      </c>
      <c r="D721" s="2">
        <v>2.9552106481481481E-2</v>
      </c>
      <c r="E721" t="s">
        <v>26</v>
      </c>
      <c r="F721" t="s">
        <v>27</v>
      </c>
      <c r="G721">
        <v>3.9682539682539698E-3</v>
      </c>
      <c r="H721">
        <v>0.44214876033057804</v>
      </c>
    </row>
    <row r="722" spans="1:10" x14ac:dyDescent="0.3">
      <c r="A722" t="s">
        <v>738</v>
      </c>
      <c r="B722" s="2">
        <v>3.0016041666666667E-2</v>
      </c>
      <c r="C722" s="2">
        <v>3.0004467592592593E-2</v>
      </c>
      <c r="D722" s="2">
        <v>3.002761574074074E-2</v>
      </c>
      <c r="E722" t="s">
        <v>26</v>
      </c>
      <c r="F722" t="s">
        <v>27</v>
      </c>
      <c r="G722">
        <v>3.5714285714285698E-2</v>
      </c>
      <c r="H722">
        <v>0.52479338842975198</v>
      </c>
    </row>
    <row r="723" spans="1:10" x14ac:dyDescent="0.3">
      <c r="A723" t="s">
        <v>739</v>
      </c>
      <c r="B723" s="2">
        <v>3.8062199074074071E-2</v>
      </c>
      <c r="C723" s="2">
        <v>3.8050624999999998E-2</v>
      </c>
      <c r="D723" s="2">
        <v>3.8073773148148145E-2</v>
      </c>
      <c r="E723" t="s">
        <v>26</v>
      </c>
      <c r="F723" t="s">
        <v>27</v>
      </c>
      <c r="G723">
        <v>3.0423280423280401E-2</v>
      </c>
      <c r="H723">
        <v>0.39256198347107396</v>
      </c>
    </row>
    <row r="725" spans="1:10" x14ac:dyDescent="0.3">
      <c r="H725" t="s">
        <v>26</v>
      </c>
    </row>
    <row r="726" spans="1:10" x14ac:dyDescent="0.3">
      <c r="H726" t="s">
        <v>26</v>
      </c>
    </row>
    <row r="727" spans="1:10" x14ac:dyDescent="0.3">
      <c r="H727" t="s">
        <v>26</v>
      </c>
    </row>
    <row r="728" spans="1:10" x14ac:dyDescent="0.3">
      <c r="H728" t="s">
        <v>26</v>
      </c>
    </row>
    <row r="729" spans="1:10" x14ac:dyDescent="0.3">
      <c r="H729" t="s">
        <v>26</v>
      </c>
    </row>
    <row r="730" spans="1:10" x14ac:dyDescent="0.3">
      <c r="H730" t="s">
        <v>26</v>
      </c>
    </row>
    <row r="731" spans="1:10" x14ac:dyDescent="0.3">
      <c r="H731" t="s">
        <v>26</v>
      </c>
    </row>
    <row r="732" spans="1:10" x14ac:dyDescent="0.3">
      <c r="H732" t="s">
        <v>26</v>
      </c>
    </row>
    <row r="733" spans="1:10" ht="23.4" x14ac:dyDescent="0.45">
      <c r="A733" s="43" t="s">
        <v>740</v>
      </c>
      <c r="B733" s="44"/>
      <c r="C733" s="44"/>
      <c r="D733" s="44"/>
      <c r="H733" s="45" t="s">
        <v>15</v>
      </c>
      <c r="I733" s="45" t="s">
        <v>15</v>
      </c>
    </row>
    <row r="734" spans="1:10" x14ac:dyDescent="0.3">
      <c r="A734" s="1" t="s">
        <v>16</v>
      </c>
      <c r="B734" s="1" t="s">
        <v>17</v>
      </c>
      <c r="C734" s="1" t="s">
        <v>18</v>
      </c>
      <c r="D734" s="1" t="s">
        <v>19</v>
      </c>
      <c r="E734" s="1" t="s">
        <v>20</v>
      </c>
      <c r="F734" s="1" t="s">
        <v>21</v>
      </c>
      <c r="G734" s="1" t="s">
        <v>22</v>
      </c>
      <c r="H734" s="1" t="s">
        <v>23</v>
      </c>
      <c r="I734" s="1" t="s">
        <v>24</v>
      </c>
      <c r="J734" s="1"/>
    </row>
    <row r="735" spans="1:10" x14ac:dyDescent="0.3">
      <c r="A735" t="s">
        <v>741</v>
      </c>
      <c r="B735" s="2">
        <v>3.2852430555555556E-3</v>
      </c>
      <c r="C735" s="2">
        <v>3.2620949074074076E-3</v>
      </c>
      <c r="D735" s="2">
        <v>3.2968171296296296E-3</v>
      </c>
      <c r="E735" t="s">
        <v>26</v>
      </c>
      <c r="F735" t="s">
        <v>30</v>
      </c>
      <c r="G735" t="s">
        <v>742</v>
      </c>
      <c r="H735">
        <v>0.45994475138121499</v>
      </c>
      <c r="I735">
        <v>1.7241379310344973E-2</v>
      </c>
    </row>
    <row r="736" spans="1:10" x14ac:dyDescent="0.3">
      <c r="A736" t="s">
        <v>743</v>
      </c>
      <c r="B736" s="2">
        <v>3.490636574074074E-3</v>
      </c>
      <c r="C736" s="2">
        <v>3.4674884259259259E-3</v>
      </c>
      <c r="D736" s="2">
        <v>3.502210648148148E-3</v>
      </c>
      <c r="E736" t="s">
        <v>26</v>
      </c>
      <c r="F736" t="s">
        <v>30</v>
      </c>
      <c r="G736" t="s">
        <v>742</v>
      </c>
      <c r="H736">
        <v>0.448895027624309</v>
      </c>
      <c r="I736">
        <v>1.7241379310344973E-2</v>
      </c>
    </row>
    <row r="737" spans="1:9" x14ac:dyDescent="0.3">
      <c r="A737" t="s">
        <v>744</v>
      </c>
      <c r="B737" s="2">
        <v>4.6264120370370374E-3</v>
      </c>
      <c r="C737" s="2">
        <v>4.6032638888888885E-3</v>
      </c>
      <c r="D737" s="2">
        <v>4.637986111111111E-3</v>
      </c>
      <c r="E737" t="s">
        <v>26</v>
      </c>
      <c r="F737" t="s">
        <v>30</v>
      </c>
      <c r="G737" t="s">
        <v>742</v>
      </c>
      <c r="H737">
        <v>0.58149171270718203</v>
      </c>
      <c r="I737">
        <v>1.7241379310344973E-2</v>
      </c>
    </row>
    <row r="738" spans="1:9" x14ac:dyDescent="0.3">
      <c r="A738" t="s">
        <v>745</v>
      </c>
      <c r="B738" s="2">
        <v>5.2740856481481484E-3</v>
      </c>
      <c r="C738" s="2">
        <v>5.2509375000000004E-3</v>
      </c>
      <c r="D738" s="2">
        <v>5.285659722222222E-3</v>
      </c>
      <c r="E738" t="s">
        <v>26</v>
      </c>
      <c r="F738" t="s">
        <v>67</v>
      </c>
      <c r="G738" t="s">
        <v>742</v>
      </c>
      <c r="H738">
        <v>0.79696132596685099</v>
      </c>
      <c r="I738">
        <v>0.98275862068965525</v>
      </c>
    </row>
    <row r="739" spans="1:9" x14ac:dyDescent="0.3">
      <c r="A739" t="s">
        <v>746</v>
      </c>
      <c r="B739" s="2">
        <v>5.62537037037037E-3</v>
      </c>
      <c r="C739" s="2">
        <v>5.602222222222222E-3</v>
      </c>
      <c r="D739" s="2">
        <v>5.6369444444444444E-3</v>
      </c>
      <c r="E739" t="s">
        <v>26</v>
      </c>
      <c r="F739" t="s">
        <v>67</v>
      </c>
      <c r="G739" t="s">
        <v>742</v>
      </c>
      <c r="H739">
        <v>0.725138121546961</v>
      </c>
      <c r="I739">
        <v>0.99568965517241381</v>
      </c>
    </row>
    <row r="740" spans="1:9" x14ac:dyDescent="0.3">
      <c r="A740" t="s">
        <v>747</v>
      </c>
      <c r="B740" s="2">
        <v>6.6233333333333335E-3</v>
      </c>
      <c r="C740" s="2">
        <v>6.6001851851851855E-3</v>
      </c>
      <c r="D740" s="2">
        <v>6.6349074074074071E-3</v>
      </c>
      <c r="E740" t="s">
        <v>26</v>
      </c>
      <c r="F740" t="s">
        <v>30</v>
      </c>
      <c r="G740" t="s">
        <v>742</v>
      </c>
      <c r="H740">
        <v>0.14779005524861899</v>
      </c>
      <c r="I740">
        <v>1.2931034482759007E-2</v>
      </c>
    </row>
    <row r="741" spans="1:9" x14ac:dyDescent="0.3">
      <c r="A741" t="s">
        <v>748</v>
      </c>
      <c r="B741" s="2">
        <v>1.0637708333333334E-2</v>
      </c>
      <c r="C741" s="2">
        <v>1.0614560185185185E-2</v>
      </c>
      <c r="D741" s="2">
        <v>1.0649282407407408E-2</v>
      </c>
      <c r="E741" t="s">
        <v>26</v>
      </c>
      <c r="F741" t="s">
        <v>67</v>
      </c>
      <c r="G741" t="s">
        <v>742</v>
      </c>
      <c r="H741">
        <v>0.23618784530386699</v>
      </c>
      <c r="I741">
        <v>0.98706896551724144</v>
      </c>
    </row>
    <row r="742" spans="1:9" x14ac:dyDescent="0.3">
      <c r="A742" t="s">
        <v>749</v>
      </c>
      <c r="B742" s="2">
        <v>1.8677060185185185E-2</v>
      </c>
      <c r="C742" s="2">
        <v>1.8653912037037038E-2</v>
      </c>
      <c r="D742" s="2">
        <v>1.8688634259259259E-2</v>
      </c>
      <c r="E742" t="s">
        <v>26</v>
      </c>
      <c r="F742" t="s">
        <v>30</v>
      </c>
      <c r="G742" t="s">
        <v>742</v>
      </c>
      <c r="H742">
        <v>0.58425414364640904</v>
      </c>
      <c r="I742">
        <v>1.2931034482759007E-2</v>
      </c>
    </row>
    <row r="743" spans="1:9" x14ac:dyDescent="0.3">
      <c r="A743" t="s">
        <v>750</v>
      </c>
      <c r="B743" s="2">
        <v>1.9079583333333334E-2</v>
      </c>
      <c r="C743" s="2">
        <v>1.9056435185185187E-2</v>
      </c>
      <c r="D743" s="2">
        <v>1.9091157407407407E-2</v>
      </c>
      <c r="E743" t="s">
        <v>26</v>
      </c>
      <c r="F743" t="s">
        <v>30</v>
      </c>
      <c r="G743" t="s">
        <v>742</v>
      </c>
      <c r="H743">
        <v>0.41574585635359101</v>
      </c>
      <c r="I743">
        <v>1.2931034482759007E-2</v>
      </c>
    </row>
    <row r="744" spans="1:9" x14ac:dyDescent="0.3">
      <c r="A744" t="s">
        <v>751</v>
      </c>
      <c r="B744" s="2">
        <v>2.1531805555555554E-2</v>
      </c>
      <c r="C744" s="2">
        <v>2.1508657407407407E-2</v>
      </c>
      <c r="D744" s="2">
        <v>2.1543379629629631E-2</v>
      </c>
      <c r="E744" t="s">
        <v>26</v>
      </c>
      <c r="F744" t="s">
        <v>30</v>
      </c>
      <c r="G744" t="s">
        <v>742</v>
      </c>
      <c r="H744">
        <v>0.59254143646408797</v>
      </c>
      <c r="I744">
        <v>1.7241379310344973E-2</v>
      </c>
    </row>
    <row r="745" spans="1:9" x14ac:dyDescent="0.3">
      <c r="A745" t="s">
        <v>752</v>
      </c>
      <c r="B745" s="2">
        <v>2.3507951388888889E-2</v>
      </c>
      <c r="C745" s="2">
        <v>2.3484803240740742E-2</v>
      </c>
      <c r="D745" s="2">
        <v>2.3519525462962963E-2</v>
      </c>
      <c r="E745" t="s">
        <v>26</v>
      </c>
      <c r="F745" t="s">
        <v>30</v>
      </c>
      <c r="G745" t="s">
        <v>742</v>
      </c>
      <c r="H745">
        <v>0.70303867403314901</v>
      </c>
      <c r="I745">
        <v>1.2931034482759007E-2</v>
      </c>
    </row>
    <row r="746" spans="1:9" x14ac:dyDescent="0.3">
      <c r="A746" t="s">
        <v>753</v>
      </c>
      <c r="B746" s="2">
        <v>2.4010601851851852E-2</v>
      </c>
      <c r="C746" s="2">
        <v>2.3987453703703705E-2</v>
      </c>
      <c r="D746" s="2">
        <v>2.4022175925925926E-2</v>
      </c>
      <c r="E746" t="s">
        <v>26</v>
      </c>
      <c r="F746" t="s">
        <v>30</v>
      </c>
      <c r="G746" t="s">
        <v>742</v>
      </c>
      <c r="H746">
        <v>0.424033149171271</v>
      </c>
      <c r="I746">
        <v>1.7241379310344973E-2</v>
      </c>
    </row>
    <row r="747" spans="1:9" x14ac:dyDescent="0.3">
      <c r="A747" t="s">
        <v>754</v>
      </c>
      <c r="B747" s="2">
        <v>3.0837222222222221E-2</v>
      </c>
      <c r="C747" s="2">
        <v>3.0814074074074074E-2</v>
      </c>
      <c r="D747" s="2">
        <v>3.0848796296296298E-2</v>
      </c>
      <c r="E747" t="s">
        <v>26</v>
      </c>
      <c r="F747" t="s">
        <v>30</v>
      </c>
      <c r="G747" t="s">
        <v>742</v>
      </c>
      <c r="H747">
        <v>0.75276243093922701</v>
      </c>
      <c r="I747">
        <v>4.3103448275859657E-3</v>
      </c>
    </row>
    <row r="748" spans="1:9" x14ac:dyDescent="0.3">
      <c r="A748" t="s">
        <v>755</v>
      </c>
      <c r="B748" s="2">
        <v>3.0983761574074075E-2</v>
      </c>
      <c r="C748" s="2">
        <v>3.0960613425925924E-2</v>
      </c>
      <c r="D748" s="2">
        <v>3.0995335648148149E-2</v>
      </c>
      <c r="E748" t="s">
        <v>26</v>
      </c>
      <c r="F748" t="s">
        <v>67</v>
      </c>
      <c r="G748" t="s">
        <v>756</v>
      </c>
      <c r="H748">
        <v>0.75276243093922701</v>
      </c>
      <c r="I748">
        <v>0.99137931034482762</v>
      </c>
    </row>
    <row r="749" spans="1:9" x14ac:dyDescent="0.3">
      <c r="A749" t="s">
        <v>757</v>
      </c>
      <c r="B749" s="2">
        <v>3.2085810185185186E-2</v>
      </c>
      <c r="C749" s="2">
        <v>3.2062662037037039E-2</v>
      </c>
      <c r="D749" s="2">
        <v>3.209738425925926E-2</v>
      </c>
      <c r="E749" t="s">
        <v>26</v>
      </c>
      <c r="F749" t="s">
        <v>30</v>
      </c>
      <c r="G749" t="s">
        <v>742</v>
      </c>
      <c r="H749">
        <v>0.230662983425414</v>
      </c>
      <c r="I749">
        <v>1.2931034482759007E-2</v>
      </c>
    </row>
    <row r="750" spans="1:9" x14ac:dyDescent="0.3">
      <c r="A750" t="s">
        <v>758</v>
      </c>
      <c r="B750" s="2">
        <v>3.2348645833333335E-2</v>
      </c>
      <c r="C750" s="2">
        <v>3.2325497685185188E-2</v>
      </c>
      <c r="D750" s="2">
        <v>3.2360219907407409E-2</v>
      </c>
      <c r="E750" t="s">
        <v>26</v>
      </c>
      <c r="F750" t="s">
        <v>30</v>
      </c>
      <c r="G750" t="s">
        <v>742</v>
      </c>
      <c r="H750">
        <v>0.28314917127071798</v>
      </c>
      <c r="I750">
        <v>1.2931034482759007E-2</v>
      </c>
    </row>
    <row r="751" spans="1:9" x14ac:dyDescent="0.3">
      <c r="A751" t="s">
        <v>759</v>
      </c>
      <c r="B751" s="2">
        <v>3.596296296296296E-2</v>
      </c>
      <c r="C751" s="2">
        <v>3.5939814814814813E-2</v>
      </c>
      <c r="D751" s="2">
        <v>3.5974537037037034E-2</v>
      </c>
      <c r="E751" t="s">
        <v>26</v>
      </c>
      <c r="F751" t="s">
        <v>67</v>
      </c>
      <c r="G751" t="s">
        <v>742</v>
      </c>
      <c r="H751">
        <v>0.81906077348066297</v>
      </c>
      <c r="I751">
        <v>0.99137931034482762</v>
      </c>
    </row>
    <row r="752" spans="1:9" x14ac:dyDescent="0.3">
      <c r="A752" t="s">
        <v>760</v>
      </c>
      <c r="B752" s="2">
        <v>3.8619421296296294E-2</v>
      </c>
      <c r="C752" s="2">
        <v>3.8596273148148147E-2</v>
      </c>
      <c r="D752" s="2">
        <v>3.8630995370370368E-2</v>
      </c>
      <c r="E752" t="s">
        <v>26</v>
      </c>
      <c r="F752" t="s">
        <v>67</v>
      </c>
      <c r="G752" t="s">
        <v>742</v>
      </c>
      <c r="H752">
        <v>0.38535911602209899</v>
      </c>
      <c r="I752">
        <v>0.99568965517241381</v>
      </c>
    </row>
    <row r="753" spans="1:9" x14ac:dyDescent="0.3">
      <c r="A753" t="s">
        <v>761</v>
      </c>
      <c r="B753" s="2">
        <v>4.272060185185185E-2</v>
      </c>
      <c r="C753" s="2">
        <v>4.2697453703703703E-2</v>
      </c>
      <c r="D753" s="2">
        <v>4.2732175925925923E-2</v>
      </c>
      <c r="E753" t="s">
        <v>26</v>
      </c>
      <c r="F753" t="s">
        <v>67</v>
      </c>
      <c r="G753" t="s">
        <v>742</v>
      </c>
      <c r="H753">
        <v>0.26933701657458597</v>
      </c>
      <c r="I753">
        <v>0.99137931034482762</v>
      </c>
    </row>
    <row r="754" spans="1:9" x14ac:dyDescent="0.3">
      <c r="A754" t="s">
        <v>762</v>
      </c>
      <c r="B754" s="2">
        <v>4.3419062500000001E-2</v>
      </c>
      <c r="C754" s="2">
        <v>4.3395914351851854E-2</v>
      </c>
      <c r="D754" s="2">
        <v>4.3430636574074075E-2</v>
      </c>
      <c r="E754" t="s">
        <v>26</v>
      </c>
      <c r="F754" t="s">
        <v>67</v>
      </c>
      <c r="G754" t="s">
        <v>742</v>
      </c>
      <c r="H754">
        <v>0.49585635359115998</v>
      </c>
      <c r="I754">
        <v>0.99568965517241381</v>
      </c>
    </row>
    <row r="755" spans="1:9" x14ac:dyDescent="0.3">
      <c r="A755" t="s">
        <v>763</v>
      </c>
      <c r="B755" s="2">
        <v>4.440627314814815E-2</v>
      </c>
      <c r="C755" s="2">
        <v>4.4383125000000002E-2</v>
      </c>
      <c r="D755" s="2">
        <v>4.4417847222222223E-2</v>
      </c>
      <c r="E755" t="s">
        <v>26</v>
      </c>
      <c r="F755" t="s">
        <v>67</v>
      </c>
      <c r="G755" t="s">
        <v>742</v>
      </c>
      <c r="H755">
        <v>0.19198895027624299</v>
      </c>
      <c r="I755">
        <v>0.97844827586206895</v>
      </c>
    </row>
    <row r="756" spans="1:9" x14ac:dyDescent="0.3">
      <c r="A756" t="s">
        <v>764</v>
      </c>
      <c r="B756" s="2">
        <v>4.4591574074074075E-2</v>
      </c>
      <c r="C756" s="2">
        <v>4.4568425925925928E-2</v>
      </c>
      <c r="D756" s="2">
        <v>4.4603148148148149E-2</v>
      </c>
      <c r="E756" t="s">
        <v>26</v>
      </c>
      <c r="F756" t="s">
        <v>198</v>
      </c>
      <c r="G756" t="s">
        <v>756</v>
      </c>
      <c r="H756">
        <v>0.12016574585635401</v>
      </c>
      <c r="I756">
        <v>0.99137931034482762</v>
      </c>
    </row>
    <row r="757" spans="1:9" x14ac:dyDescent="0.3">
      <c r="A757" t="s">
        <v>765</v>
      </c>
      <c r="B757" s="2">
        <v>4.5526006944444447E-2</v>
      </c>
      <c r="C757" s="2">
        <v>4.5502858796296293E-2</v>
      </c>
      <c r="D757" s="2">
        <v>4.5537581018518521E-2</v>
      </c>
      <c r="E757" t="s">
        <v>26</v>
      </c>
      <c r="F757" t="s">
        <v>67</v>
      </c>
      <c r="G757" t="s">
        <v>756</v>
      </c>
      <c r="H757">
        <v>0.36602209944751402</v>
      </c>
      <c r="I757">
        <v>0.98706896551724144</v>
      </c>
    </row>
    <row r="758" spans="1:9" x14ac:dyDescent="0.3">
      <c r="A758" t="s">
        <v>766</v>
      </c>
      <c r="B758" s="2">
        <v>4.7547905092592595E-2</v>
      </c>
      <c r="C758" s="2">
        <v>4.7524756944444448E-2</v>
      </c>
      <c r="D758" s="2">
        <v>4.7559479166666668E-2</v>
      </c>
      <c r="E758" t="s">
        <v>26</v>
      </c>
      <c r="F758" t="s">
        <v>58</v>
      </c>
      <c r="G758" t="s">
        <v>742</v>
      </c>
      <c r="H758">
        <v>0.136740331491713</v>
      </c>
      <c r="I758">
        <v>8.6206896551720424E-3</v>
      </c>
    </row>
    <row r="759" spans="1:9" x14ac:dyDescent="0.3">
      <c r="A759" t="s">
        <v>767</v>
      </c>
      <c r="B759" s="2">
        <v>4.7913078703703704E-2</v>
      </c>
      <c r="C759" s="2">
        <v>4.7889930555555557E-2</v>
      </c>
      <c r="D759" s="2">
        <v>4.7924652777777778E-2</v>
      </c>
      <c r="E759" t="s">
        <v>26</v>
      </c>
      <c r="F759" t="s">
        <v>58</v>
      </c>
      <c r="G759" t="s">
        <v>742</v>
      </c>
      <c r="H759">
        <v>0.20303867403314901</v>
      </c>
      <c r="I759">
        <v>1.7241379310344973E-2</v>
      </c>
    </row>
    <row r="760" spans="1:9" x14ac:dyDescent="0.3">
      <c r="A760" t="s">
        <v>768</v>
      </c>
      <c r="B760" s="2">
        <v>4.9063958333333331E-2</v>
      </c>
      <c r="C760" s="2">
        <v>4.9040810185185184E-2</v>
      </c>
      <c r="D760" s="2">
        <v>4.9075532407407405E-2</v>
      </c>
      <c r="E760" t="s">
        <v>26</v>
      </c>
      <c r="F760" t="s">
        <v>44</v>
      </c>
      <c r="G760" t="s">
        <v>742</v>
      </c>
      <c r="H760">
        <v>0.13397790055248601</v>
      </c>
      <c r="I760">
        <v>0.99137931034482762</v>
      </c>
    </row>
    <row r="761" spans="1:9" x14ac:dyDescent="0.3">
      <c r="A761" t="s">
        <v>769</v>
      </c>
      <c r="B761" s="2">
        <v>4.9416064814814815E-2</v>
      </c>
      <c r="C761" s="2">
        <v>4.9392916666666668E-2</v>
      </c>
      <c r="D761" s="2">
        <v>4.9427638888888889E-2</v>
      </c>
      <c r="E761" t="s">
        <v>26</v>
      </c>
      <c r="F761" t="s">
        <v>67</v>
      </c>
      <c r="G761" t="s">
        <v>742</v>
      </c>
      <c r="H761">
        <v>0.26657458563535902</v>
      </c>
      <c r="I761">
        <v>0.99137931034482762</v>
      </c>
    </row>
    <row r="762" spans="1:9" x14ac:dyDescent="0.3">
      <c r="A762" t="s">
        <v>770</v>
      </c>
      <c r="B762" s="2">
        <v>4.9908368055555555E-2</v>
      </c>
      <c r="C762" s="2">
        <v>4.9885219907407408E-2</v>
      </c>
      <c r="D762" s="2">
        <v>4.9919942129629628E-2</v>
      </c>
      <c r="E762" t="s">
        <v>26</v>
      </c>
      <c r="F762" t="s">
        <v>58</v>
      </c>
      <c r="G762" t="s">
        <v>742</v>
      </c>
      <c r="H762">
        <v>0.68093922651933703</v>
      </c>
      <c r="I762">
        <v>1.2931034482759007E-2</v>
      </c>
    </row>
    <row r="763" spans="1:9" x14ac:dyDescent="0.3">
      <c r="A763" t="s">
        <v>771</v>
      </c>
      <c r="B763" s="2">
        <v>5.2822199074074073E-2</v>
      </c>
      <c r="C763" s="2">
        <v>5.2799050925925926E-2</v>
      </c>
      <c r="D763" s="2">
        <v>5.2833773148148147E-2</v>
      </c>
      <c r="E763" t="s">
        <v>26</v>
      </c>
      <c r="F763" t="s">
        <v>46</v>
      </c>
      <c r="G763" t="s">
        <v>742</v>
      </c>
      <c r="H763">
        <v>0.55662983425414403</v>
      </c>
      <c r="I763">
        <v>0.99568965517241381</v>
      </c>
    </row>
    <row r="764" spans="1:9" x14ac:dyDescent="0.3">
      <c r="A764" t="s">
        <v>772</v>
      </c>
      <c r="B764" s="2">
        <v>5.5213090277777779E-2</v>
      </c>
      <c r="C764" s="2">
        <v>5.5189942129629632E-2</v>
      </c>
      <c r="D764" s="2">
        <v>5.5224664351851853E-2</v>
      </c>
      <c r="E764" t="s">
        <v>26</v>
      </c>
      <c r="F764" t="s">
        <v>67</v>
      </c>
      <c r="G764" t="s">
        <v>742</v>
      </c>
      <c r="H764">
        <v>0.80524861878453002</v>
      </c>
      <c r="I764">
        <v>1</v>
      </c>
    </row>
    <row r="765" spans="1:9" x14ac:dyDescent="0.3">
      <c r="A765" t="s">
        <v>773</v>
      </c>
      <c r="B765" s="2">
        <v>5.5373553240740739E-2</v>
      </c>
      <c r="C765" s="2">
        <v>5.5350405092592592E-2</v>
      </c>
      <c r="D765" s="2">
        <v>5.5385127314814812E-2</v>
      </c>
      <c r="E765" t="s">
        <v>26</v>
      </c>
      <c r="F765" t="s">
        <v>67</v>
      </c>
      <c r="G765" t="s">
        <v>742</v>
      </c>
      <c r="H765">
        <v>0.81629834254143696</v>
      </c>
      <c r="I765">
        <v>0.98275862068965525</v>
      </c>
    </row>
    <row r="766" spans="1:9" x14ac:dyDescent="0.3">
      <c r="A766" t="s">
        <v>774</v>
      </c>
      <c r="B766" s="2">
        <v>5.7263182870370369E-2</v>
      </c>
      <c r="C766" s="2">
        <v>5.7240034722222222E-2</v>
      </c>
      <c r="D766" s="2">
        <v>5.7274756944444442E-2</v>
      </c>
      <c r="E766" t="s">
        <v>26</v>
      </c>
      <c r="F766" t="s">
        <v>264</v>
      </c>
      <c r="G766" t="s">
        <v>742</v>
      </c>
      <c r="H766">
        <v>0.79419889502762397</v>
      </c>
      <c r="I766">
        <v>0.99568965517241381</v>
      </c>
    </row>
    <row r="767" spans="1:9" x14ac:dyDescent="0.3">
      <c r="A767" t="s">
        <v>775</v>
      </c>
      <c r="B767" s="2">
        <v>5.745923611111111E-2</v>
      </c>
      <c r="C767" s="2">
        <v>5.7436087962962963E-2</v>
      </c>
      <c r="D767" s="2">
        <v>5.7470810185185184E-2</v>
      </c>
      <c r="E767" t="s">
        <v>26</v>
      </c>
      <c r="F767" t="s">
        <v>67</v>
      </c>
      <c r="G767" t="s">
        <v>756</v>
      </c>
      <c r="H767">
        <v>0.79419889502762397</v>
      </c>
      <c r="I767">
        <v>0.99137931034482762</v>
      </c>
    </row>
    <row r="768" spans="1:9" x14ac:dyDescent="0.3">
      <c r="A768" t="s">
        <v>776</v>
      </c>
      <c r="B768" s="2">
        <v>5.7562997685185184E-2</v>
      </c>
      <c r="C768" s="2">
        <v>5.7539849537037037E-2</v>
      </c>
      <c r="D768" s="2">
        <v>5.7574571759259258E-2</v>
      </c>
      <c r="E768" t="s">
        <v>26</v>
      </c>
      <c r="F768" t="s">
        <v>67</v>
      </c>
      <c r="G768" t="s">
        <v>742</v>
      </c>
      <c r="H768">
        <v>0.79419889502762397</v>
      </c>
      <c r="I768">
        <v>0.98275862068965525</v>
      </c>
    </row>
    <row r="769" spans="1:10" x14ac:dyDescent="0.3">
      <c r="A769" t="s">
        <v>777</v>
      </c>
      <c r="B769" s="2">
        <v>5.9622453703703705E-2</v>
      </c>
      <c r="C769" s="2">
        <v>5.9599305555555558E-2</v>
      </c>
      <c r="D769" s="2">
        <v>5.9634027777777779E-2</v>
      </c>
      <c r="E769" t="s">
        <v>26</v>
      </c>
      <c r="F769" t="s">
        <v>58</v>
      </c>
      <c r="G769" t="s">
        <v>742</v>
      </c>
      <c r="H769">
        <v>0.62292817679557999</v>
      </c>
      <c r="I769">
        <v>8.6206896551720424E-3</v>
      </c>
    </row>
    <row r="770" spans="1:10" x14ac:dyDescent="0.3">
      <c r="A770" t="s">
        <v>778</v>
      </c>
      <c r="B770" s="2">
        <v>6.1658668981481479E-2</v>
      </c>
      <c r="C770" s="2">
        <v>6.1635520833333332E-2</v>
      </c>
      <c r="D770" s="2">
        <v>6.1670243055555553E-2</v>
      </c>
      <c r="E770" t="s">
        <v>26</v>
      </c>
      <c r="F770" t="s">
        <v>58</v>
      </c>
      <c r="G770" t="s">
        <v>742</v>
      </c>
      <c r="H770">
        <v>0.66160220994475105</v>
      </c>
      <c r="I770">
        <v>1.7241379310344973E-2</v>
      </c>
    </row>
    <row r="771" spans="1:10" x14ac:dyDescent="0.3">
      <c r="A771" t="s">
        <v>779</v>
      </c>
      <c r="B771" s="2">
        <v>6.603111111111111E-2</v>
      </c>
      <c r="C771" s="2">
        <v>6.6007962962962963E-2</v>
      </c>
      <c r="D771" s="2">
        <v>6.604268518518519E-2</v>
      </c>
      <c r="E771" t="s">
        <v>26</v>
      </c>
      <c r="F771" t="s">
        <v>67</v>
      </c>
      <c r="G771" t="s">
        <v>742</v>
      </c>
      <c r="H771">
        <v>0.19475138121547</v>
      </c>
      <c r="I771">
        <v>0.99568965517241381</v>
      </c>
    </row>
    <row r="772" spans="1:10" x14ac:dyDescent="0.3">
      <c r="A772" t="s">
        <v>780</v>
      </c>
      <c r="B772" s="2">
        <v>6.6124733796296298E-2</v>
      </c>
      <c r="C772" s="2">
        <v>6.6101585648148151E-2</v>
      </c>
      <c r="D772" s="2">
        <v>6.6136307870370364E-2</v>
      </c>
      <c r="E772" t="s">
        <v>26</v>
      </c>
      <c r="F772" t="s">
        <v>67</v>
      </c>
      <c r="G772" t="s">
        <v>742</v>
      </c>
      <c r="H772">
        <v>0.25552486187845302</v>
      </c>
      <c r="I772">
        <v>0.99137931034482762</v>
      </c>
    </row>
    <row r="773" spans="1:10" x14ac:dyDescent="0.3">
      <c r="A773" t="s">
        <v>781</v>
      </c>
      <c r="B773" s="2">
        <v>6.6299108796296302E-2</v>
      </c>
      <c r="C773" s="2">
        <v>6.6275960648148155E-2</v>
      </c>
      <c r="D773" s="2">
        <v>6.6310682870370369E-2</v>
      </c>
      <c r="E773" t="s">
        <v>26</v>
      </c>
      <c r="F773" t="s">
        <v>67</v>
      </c>
      <c r="G773" t="s">
        <v>742</v>
      </c>
      <c r="H773">
        <v>0.37983425414364602</v>
      </c>
      <c r="I773">
        <v>0.97413793103448276</v>
      </c>
    </row>
    <row r="774" spans="1:10" x14ac:dyDescent="0.3">
      <c r="A774" t="s">
        <v>782</v>
      </c>
      <c r="B774" s="2">
        <v>6.6495428240740742E-2</v>
      </c>
      <c r="C774" s="2">
        <v>6.6472280092592595E-2</v>
      </c>
      <c r="D774" s="2">
        <v>6.6507002314814809E-2</v>
      </c>
      <c r="E774" t="s">
        <v>26</v>
      </c>
      <c r="F774" t="s">
        <v>38</v>
      </c>
      <c r="G774" t="s">
        <v>742</v>
      </c>
      <c r="H774">
        <v>0.60911602209944704</v>
      </c>
      <c r="I774">
        <v>0.98706896551724144</v>
      </c>
    </row>
    <row r="775" spans="1:10" x14ac:dyDescent="0.3">
      <c r="A775" t="s">
        <v>783</v>
      </c>
      <c r="B775" s="2">
        <v>6.692592592592593E-2</v>
      </c>
      <c r="C775" s="2">
        <v>6.6902777777777783E-2</v>
      </c>
      <c r="D775" s="2">
        <v>6.6937499999999997E-2</v>
      </c>
      <c r="E775" t="s">
        <v>26</v>
      </c>
      <c r="F775" t="s">
        <v>51</v>
      </c>
      <c r="G775" t="s">
        <v>742</v>
      </c>
      <c r="H775">
        <v>0.62016574585635398</v>
      </c>
      <c r="I775">
        <v>0.99568965517241381</v>
      </c>
    </row>
    <row r="776" spans="1:10" x14ac:dyDescent="0.3">
      <c r="A776" t="s">
        <v>784</v>
      </c>
      <c r="B776" s="2">
        <v>6.8838692129629633E-2</v>
      </c>
      <c r="C776" s="2">
        <v>6.8815543981481486E-2</v>
      </c>
      <c r="D776" s="2">
        <v>6.88502662037037E-2</v>
      </c>
      <c r="E776" t="s">
        <v>26</v>
      </c>
      <c r="F776" t="s">
        <v>58</v>
      </c>
      <c r="G776" t="s">
        <v>756</v>
      </c>
      <c r="H776">
        <v>0.62845303867403302</v>
      </c>
      <c r="I776">
        <v>2.5862068965517016E-2</v>
      </c>
    </row>
    <row r="778" spans="1:10" ht="23.4" x14ac:dyDescent="0.45">
      <c r="A778" s="43" t="s">
        <v>785</v>
      </c>
      <c r="B778" s="44"/>
      <c r="C778" s="44"/>
      <c r="D778" s="44"/>
      <c r="H778" s="45" t="s">
        <v>15</v>
      </c>
      <c r="I778" s="45" t="s">
        <v>15</v>
      </c>
    </row>
    <row r="779" spans="1:10" x14ac:dyDescent="0.3">
      <c r="A779" s="1" t="s">
        <v>16</v>
      </c>
      <c r="B779" s="1" t="s">
        <v>17</v>
      </c>
      <c r="C779" s="1" t="s">
        <v>18</v>
      </c>
      <c r="D779" s="1" t="s">
        <v>19</v>
      </c>
      <c r="E779" s="1" t="s">
        <v>20</v>
      </c>
      <c r="F779" s="1" t="s">
        <v>21</v>
      </c>
      <c r="G779" s="1" t="s">
        <v>22</v>
      </c>
      <c r="H779" s="1" t="s">
        <v>23</v>
      </c>
      <c r="I779" s="1" t="s">
        <v>24</v>
      </c>
      <c r="J779" s="1"/>
    </row>
    <row r="780" spans="1:10" x14ac:dyDescent="0.3">
      <c r="A780" t="s">
        <v>786</v>
      </c>
      <c r="B780" s="2">
        <v>1.5076967592592592E-3</v>
      </c>
      <c r="C780" s="2">
        <v>1.4961226851851852E-3</v>
      </c>
      <c r="D780" s="2">
        <v>1.5192708333333334E-3</v>
      </c>
      <c r="E780" t="s">
        <v>26</v>
      </c>
      <c r="F780" t="s">
        <v>30</v>
      </c>
      <c r="G780" t="s">
        <v>787</v>
      </c>
      <c r="H780">
        <v>0.34116022099447502</v>
      </c>
      <c r="I780">
        <v>0.18965517241379304</v>
      </c>
    </row>
    <row r="781" spans="1:10" x14ac:dyDescent="0.3">
      <c r="A781" t="s">
        <v>788</v>
      </c>
      <c r="B781" s="2">
        <v>1.5824537037037038E-3</v>
      </c>
      <c r="C781" s="2">
        <v>1.5708796296296295E-3</v>
      </c>
      <c r="D781" s="2">
        <v>1.5940277777777778E-3</v>
      </c>
      <c r="E781" t="s">
        <v>26</v>
      </c>
      <c r="F781" t="s">
        <v>46</v>
      </c>
      <c r="G781" t="s">
        <v>789</v>
      </c>
      <c r="H781">
        <v>0.15883977900552501</v>
      </c>
      <c r="I781">
        <v>6.0344827586206962E-2</v>
      </c>
    </row>
    <row r="782" spans="1:10" x14ac:dyDescent="0.3">
      <c r="A782" t="s">
        <v>790</v>
      </c>
      <c r="B782" s="2">
        <v>2.4705208333333332E-3</v>
      </c>
      <c r="C782" s="2">
        <v>2.4589467592592592E-3</v>
      </c>
      <c r="D782" s="2">
        <v>2.4820949074074073E-3</v>
      </c>
      <c r="E782" t="s">
        <v>26</v>
      </c>
      <c r="F782" t="s">
        <v>38</v>
      </c>
      <c r="G782" t="s">
        <v>787</v>
      </c>
      <c r="H782">
        <v>0.36049723756906099</v>
      </c>
      <c r="I782">
        <v>0.23275862068965503</v>
      </c>
    </row>
    <row r="783" spans="1:10" x14ac:dyDescent="0.3">
      <c r="A783" t="s">
        <v>791</v>
      </c>
      <c r="B783" s="2">
        <v>5.3039467592592591E-3</v>
      </c>
      <c r="C783" s="2">
        <v>5.2923726851851855E-3</v>
      </c>
      <c r="D783" s="2">
        <v>5.3155208333333336E-3</v>
      </c>
      <c r="E783" t="s">
        <v>26</v>
      </c>
      <c r="F783" t="s">
        <v>51</v>
      </c>
      <c r="G783" t="s">
        <v>787</v>
      </c>
      <c r="H783">
        <v>0.71132596685082905</v>
      </c>
      <c r="I783">
        <v>0.875</v>
      </c>
    </row>
    <row r="784" spans="1:10" x14ac:dyDescent="0.3">
      <c r="A784" t="s">
        <v>792</v>
      </c>
      <c r="B784" s="2">
        <v>5.8494444444444444E-3</v>
      </c>
      <c r="C784" s="2">
        <v>5.83787037037037E-3</v>
      </c>
      <c r="D784" s="2">
        <v>5.8610185185185189E-3</v>
      </c>
      <c r="E784" t="s">
        <v>26</v>
      </c>
      <c r="F784" t="s">
        <v>42</v>
      </c>
      <c r="G784" t="s">
        <v>787</v>
      </c>
      <c r="H784">
        <v>0.66712707182320397</v>
      </c>
      <c r="I784">
        <v>0.85344827586206895</v>
      </c>
    </row>
    <row r="785" spans="1:9" x14ac:dyDescent="0.3">
      <c r="A785" t="s">
        <v>793</v>
      </c>
      <c r="B785" s="2">
        <v>6.1947222222222221E-3</v>
      </c>
      <c r="C785" s="2">
        <v>6.1831481481481486E-3</v>
      </c>
      <c r="D785" s="2">
        <v>6.2062962962962966E-3</v>
      </c>
      <c r="E785" t="s">
        <v>26</v>
      </c>
      <c r="F785" t="s">
        <v>46</v>
      </c>
      <c r="G785" t="s">
        <v>787</v>
      </c>
      <c r="H785">
        <v>0.31629834254143602</v>
      </c>
      <c r="I785">
        <v>0.556034482758621</v>
      </c>
    </row>
    <row r="786" spans="1:9" x14ac:dyDescent="0.3">
      <c r="A786" t="s">
        <v>794</v>
      </c>
      <c r="B786" s="2">
        <v>6.9409490740740742E-3</v>
      </c>
      <c r="C786" s="2">
        <v>6.9293749999999998E-3</v>
      </c>
      <c r="D786" s="2">
        <v>6.9525231481481478E-3</v>
      </c>
      <c r="E786" t="s">
        <v>26</v>
      </c>
      <c r="F786" t="s">
        <v>38</v>
      </c>
      <c r="G786" t="s">
        <v>789</v>
      </c>
      <c r="H786">
        <v>0.34392265193370197</v>
      </c>
      <c r="I786">
        <v>0.26724137931034497</v>
      </c>
    </row>
    <row r="787" spans="1:9" x14ac:dyDescent="0.3">
      <c r="A787" t="s">
        <v>795</v>
      </c>
      <c r="B787" s="2">
        <v>9.1426273148148152E-3</v>
      </c>
      <c r="C787" s="2">
        <v>9.1310532407407399E-3</v>
      </c>
      <c r="D787" s="2">
        <v>9.1542013888888888E-3</v>
      </c>
      <c r="E787" t="s">
        <v>26</v>
      </c>
      <c r="F787" t="s">
        <v>42</v>
      </c>
      <c r="G787" t="s">
        <v>787</v>
      </c>
      <c r="H787">
        <v>0.32182320441988899</v>
      </c>
      <c r="I787">
        <v>0.36637931034482796</v>
      </c>
    </row>
    <row r="788" spans="1:9" x14ac:dyDescent="0.3">
      <c r="A788" t="s">
        <v>796</v>
      </c>
      <c r="B788" s="2">
        <v>1.1801064814814815E-2</v>
      </c>
      <c r="C788" s="2">
        <v>1.1789490740740741E-2</v>
      </c>
      <c r="D788" s="2">
        <v>1.1812638888888888E-2</v>
      </c>
      <c r="E788" t="s">
        <v>26</v>
      </c>
      <c r="F788" t="s">
        <v>44</v>
      </c>
      <c r="G788" t="s">
        <v>787</v>
      </c>
      <c r="H788">
        <v>0.28591160220994499</v>
      </c>
      <c r="I788">
        <v>0.47413793103448298</v>
      </c>
    </row>
    <row r="789" spans="1:9" x14ac:dyDescent="0.3">
      <c r="A789" t="s">
        <v>797</v>
      </c>
      <c r="B789" s="2">
        <v>1.9134976851851851E-2</v>
      </c>
      <c r="C789" s="2">
        <v>1.9123402777777777E-2</v>
      </c>
      <c r="D789" s="2">
        <v>1.9146550925925925E-2</v>
      </c>
      <c r="E789" t="s">
        <v>26</v>
      </c>
      <c r="F789" t="s">
        <v>44</v>
      </c>
      <c r="G789" t="s">
        <v>787</v>
      </c>
      <c r="H789">
        <v>0.58701657458563505</v>
      </c>
      <c r="I789">
        <v>0.14224137931034497</v>
      </c>
    </row>
    <row r="790" spans="1:9" x14ac:dyDescent="0.3">
      <c r="A790" t="s">
        <v>798</v>
      </c>
      <c r="B790" s="2">
        <v>2.5433969907407407E-2</v>
      </c>
      <c r="C790" s="2">
        <v>2.5422395833333333E-2</v>
      </c>
      <c r="D790" s="2">
        <v>2.544554398148148E-2</v>
      </c>
      <c r="E790" t="s">
        <v>26</v>
      </c>
      <c r="F790" t="s">
        <v>51</v>
      </c>
      <c r="G790" t="s">
        <v>789</v>
      </c>
      <c r="H790">
        <v>0.40745856353591198</v>
      </c>
      <c r="I790">
        <v>0.99568965517241381</v>
      </c>
    </row>
    <row r="791" spans="1:9" x14ac:dyDescent="0.3">
      <c r="A791" t="s">
        <v>799</v>
      </c>
      <c r="B791" s="2">
        <v>3.1690798611111112E-2</v>
      </c>
      <c r="C791" s="2">
        <v>3.1679224537037039E-2</v>
      </c>
      <c r="D791" s="2">
        <v>3.1702372685185186E-2</v>
      </c>
      <c r="E791" t="s">
        <v>26</v>
      </c>
      <c r="F791" t="s">
        <v>38</v>
      </c>
      <c r="G791" t="s">
        <v>787</v>
      </c>
      <c r="H791">
        <v>0.462707182320442</v>
      </c>
      <c r="I791">
        <v>0.65086206896551702</v>
      </c>
    </row>
    <row r="792" spans="1:9" x14ac:dyDescent="0.3">
      <c r="A792" t="s">
        <v>800</v>
      </c>
      <c r="B792" s="2">
        <v>3.169864583333333E-2</v>
      </c>
      <c r="C792" s="2">
        <v>3.1687071759259257E-2</v>
      </c>
      <c r="D792" s="2">
        <v>3.1710219907407404E-2</v>
      </c>
      <c r="E792" t="s">
        <v>26</v>
      </c>
      <c r="F792" t="s">
        <v>38</v>
      </c>
      <c r="G792" t="s">
        <v>787</v>
      </c>
      <c r="H792">
        <v>0.45718232044198898</v>
      </c>
      <c r="I792">
        <v>0.65948275862068995</v>
      </c>
    </row>
    <row r="793" spans="1:9" x14ac:dyDescent="0.3">
      <c r="A793" t="s">
        <v>801</v>
      </c>
      <c r="B793" s="2">
        <v>3.2999560185185184E-2</v>
      </c>
      <c r="C793" s="2">
        <v>3.298798611111111E-2</v>
      </c>
      <c r="D793" s="2">
        <v>3.3011134259259257E-2</v>
      </c>
      <c r="E793" t="s">
        <v>26</v>
      </c>
      <c r="F793" t="s">
        <v>51</v>
      </c>
      <c r="G793" t="s">
        <v>789</v>
      </c>
      <c r="H793">
        <v>0.83287292817679603</v>
      </c>
      <c r="I793">
        <v>0.556034482758621</v>
      </c>
    </row>
    <row r="794" spans="1:9" x14ac:dyDescent="0.3">
      <c r="A794" t="s">
        <v>802</v>
      </c>
      <c r="B794" s="2">
        <v>3.3035324074074071E-2</v>
      </c>
      <c r="C794" s="2">
        <v>3.3023749999999998E-2</v>
      </c>
      <c r="D794" s="2">
        <v>3.3046898148148145E-2</v>
      </c>
      <c r="E794" t="s">
        <v>26</v>
      </c>
      <c r="F794" t="s">
        <v>51</v>
      </c>
      <c r="G794" t="s">
        <v>787</v>
      </c>
      <c r="H794">
        <v>0.88259668508287303</v>
      </c>
      <c r="I794">
        <v>0.71982758620689702</v>
      </c>
    </row>
    <row r="795" spans="1:9" x14ac:dyDescent="0.3">
      <c r="A795" t="s">
        <v>803</v>
      </c>
      <c r="B795" s="2">
        <v>3.8731342592592595E-2</v>
      </c>
      <c r="C795" s="2">
        <v>3.8719768518518521E-2</v>
      </c>
      <c r="D795" s="2">
        <v>3.8742916666666669E-2</v>
      </c>
      <c r="E795" t="s">
        <v>26</v>
      </c>
      <c r="F795" t="s">
        <v>42</v>
      </c>
      <c r="G795" t="s">
        <v>789</v>
      </c>
      <c r="H795">
        <v>0.55939226519337004</v>
      </c>
      <c r="I795">
        <v>0.80172413793103403</v>
      </c>
    </row>
    <row r="796" spans="1:9" x14ac:dyDescent="0.3">
      <c r="A796" t="s">
        <v>804</v>
      </c>
      <c r="B796" s="2">
        <v>4.3488831018518519E-2</v>
      </c>
      <c r="C796" s="2">
        <v>4.3477256944444445E-2</v>
      </c>
      <c r="D796" s="2">
        <v>4.3500405092592592E-2</v>
      </c>
      <c r="E796" t="s">
        <v>26</v>
      </c>
      <c r="F796" t="s">
        <v>38</v>
      </c>
      <c r="G796" t="s">
        <v>787</v>
      </c>
      <c r="H796">
        <v>0.91850828729281797</v>
      </c>
      <c r="I796">
        <v>0.70689655172413801</v>
      </c>
    </row>
    <row r="797" spans="1:9" x14ac:dyDescent="0.3">
      <c r="A797" t="s">
        <v>805</v>
      </c>
      <c r="B797" s="2">
        <v>4.3542881944444445E-2</v>
      </c>
      <c r="C797" s="2">
        <v>4.3531307870370371E-2</v>
      </c>
      <c r="D797" s="2">
        <v>4.3554456018518518E-2</v>
      </c>
      <c r="E797" t="s">
        <v>26</v>
      </c>
      <c r="F797" t="s">
        <v>38</v>
      </c>
      <c r="G797" t="s">
        <v>787</v>
      </c>
      <c r="H797">
        <v>0.97099447513812198</v>
      </c>
      <c r="I797">
        <v>0.68534482758620707</v>
      </c>
    </row>
    <row r="798" spans="1:9" x14ac:dyDescent="0.3">
      <c r="A798" t="s">
        <v>806</v>
      </c>
      <c r="B798" s="2">
        <v>4.3571458333333334E-2</v>
      </c>
      <c r="C798" s="2">
        <v>4.355988425925926E-2</v>
      </c>
      <c r="D798" s="2">
        <v>4.3583032407407407E-2</v>
      </c>
      <c r="E798" t="s">
        <v>26</v>
      </c>
      <c r="F798" t="s">
        <v>38</v>
      </c>
      <c r="G798" t="s">
        <v>787</v>
      </c>
      <c r="H798">
        <v>0.96270718232044195</v>
      </c>
      <c r="I798">
        <v>0.66810344827586199</v>
      </c>
    </row>
    <row r="799" spans="1:9" x14ac:dyDescent="0.3">
      <c r="A799" t="s">
        <v>807</v>
      </c>
      <c r="B799" s="2">
        <v>4.7601574074074074E-2</v>
      </c>
      <c r="C799" s="2">
        <v>4.759E-2</v>
      </c>
      <c r="D799" s="2">
        <v>4.7613148148148147E-2</v>
      </c>
      <c r="E799" t="s">
        <v>26</v>
      </c>
      <c r="F799" t="s">
        <v>38</v>
      </c>
      <c r="G799" t="s">
        <v>787</v>
      </c>
      <c r="H799">
        <v>0.21685082872928199</v>
      </c>
      <c r="I799">
        <v>5.6034482758620996E-2</v>
      </c>
    </row>
    <row r="800" spans="1:9" x14ac:dyDescent="0.3">
      <c r="A800" t="s">
        <v>808</v>
      </c>
      <c r="B800" s="2">
        <v>5.2353888888888887E-2</v>
      </c>
      <c r="C800" s="2">
        <v>5.2342314814814814E-2</v>
      </c>
      <c r="D800" s="2">
        <v>5.2365462962962961E-2</v>
      </c>
      <c r="E800" t="s">
        <v>26</v>
      </c>
      <c r="F800" t="s">
        <v>32</v>
      </c>
      <c r="G800" t="s">
        <v>787</v>
      </c>
      <c r="H800">
        <v>0.74723756906077299</v>
      </c>
      <c r="I800">
        <v>0.59051724137931005</v>
      </c>
    </row>
    <row r="801" spans="1:9" x14ac:dyDescent="0.3">
      <c r="A801" t="s">
        <v>809</v>
      </c>
      <c r="B801" s="2">
        <v>5.2911747685185188E-2</v>
      </c>
      <c r="C801" s="2">
        <v>5.2900173611111108E-2</v>
      </c>
      <c r="D801" s="2">
        <v>5.2923321759259262E-2</v>
      </c>
      <c r="E801" t="s">
        <v>26</v>
      </c>
      <c r="F801" t="s">
        <v>42</v>
      </c>
      <c r="G801" t="s">
        <v>789</v>
      </c>
      <c r="H801">
        <v>0.437845303867403</v>
      </c>
      <c r="I801">
        <v>0.62068965517241392</v>
      </c>
    </row>
    <row r="802" spans="1:9" x14ac:dyDescent="0.3">
      <c r="A802" t="s">
        <v>810</v>
      </c>
      <c r="B802" s="2">
        <v>5.3910208333333334E-2</v>
      </c>
      <c r="C802" s="2">
        <v>5.3898634259259261E-2</v>
      </c>
      <c r="D802" s="2">
        <v>5.3921782407407408E-2</v>
      </c>
      <c r="E802" t="s">
        <v>26</v>
      </c>
      <c r="F802" t="s">
        <v>38</v>
      </c>
      <c r="G802" t="s">
        <v>787</v>
      </c>
      <c r="H802">
        <v>0.21132596685082899</v>
      </c>
      <c r="I802">
        <v>0.21120689655172398</v>
      </c>
    </row>
    <row r="803" spans="1:9" x14ac:dyDescent="0.3">
      <c r="A803" t="s">
        <v>811</v>
      </c>
      <c r="B803" s="2">
        <v>5.3945162037037038E-2</v>
      </c>
      <c r="C803" s="2">
        <v>5.3933587962962964E-2</v>
      </c>
      <c r="D803" s="2">
        <v>5.3956736111111112E-2</v>
      </c>
      <c r="E803" t="s">
        <v>26</v>
      </c>
      <c r="F803" t="s">
        <v>38</v>
      </c>
      <c r="G803" t="s">
        <v>787</v>
      </c>
      <c r="H803">
        <v>0.21685082872928199</v>
      </c>
      <c r="I803">
        <v>8.6206896551723977E-2</v>
      </c>
    </row>
    <row r="804" spans="1:9" x14ac:dyDescent="0.3">
      <c r="A804" t="s">
        <v>812</v>
      </c>
      <c r="B804" s="2">
        <v>5.6489050925925925E-2</v>
      </c>
      <c r="C804" s="2">
        <v>5.6477476851851852E-2</v>
      </c>
      <c r="D804" s="2">
        <v>5.6500624999999999E-2</v>
      </c>
      <c r="E804" t="s">
        <v>26</v>
      </c>
      <c r="F804" t="s">
        <v>264</v>
      </c>
      <c r="G804" t="s">
        <v>789</v>
      </c>
      <c r="H804">
        <v>0.41682974559686897</v>
      </c>
      <c r="I804">
        <v>0.94189602446483178</v>
      </c>
    </row>
    <row r="805" spans="1:9" x14ac:dyDescent="0.3">
      <c r="A805" t="s">
        <v>813</v>
      </c>
      <c r="B805" s="2">
        <v>5.7046296296296296E-2</v>
      </c>
      <c r="C805" s="2">
        <v>5.7034722222222223E-2</v>
      </c>
      <c r="D805" s="2">
        <v>5.705787037037037E-2</v>
      </c>
      <c r="E805" t="s">
        <v>26</v>
      </c>
      <c r="F805" t="s">
        <v>44</v>
      </c>
      <c r="G805" t="s">
        <v>787</v>
      </c>
      <c r="H805">
        <v>0.40469613259668502</v>
      </c>
      <c r="I805">
        <v>0.72413793103448298</v>
      </c>
    </row>
    <row r="806" spans="1:9" x14ac:dyDescent="0.3">
      <c r="A806" t="s">
        <v>814</v>
      </c>
      <c r="B806" s="2">
        <v>5.7610983796296297E-2</v>
      </c>
      <c r="C806" s="2">
        <v>5.7599409722222224E-2</v>
      </c>
      <c r="D806" s="2">
        <v>5.7622557870370371E-2</v>
      </c>
      <c r="E806" t="s">
        <v>26</v>
      </c>
      <c r="F806" t="s">
        <v>32</v>
      </c>
      <c r="G806" t="s">
        <v>787</v>
      </c>
      <c r="H806">
        <v>0.76933701657458597</v>
      </c>
      <c r="I806">
        <v>0.86206896551724099</v>
      </c>
    </row>
    <row r="807" spans="1:9" x14ac:dyDescent="0.3">
      <c r="A807" t="s">
        <v>815</v>
      </c>
      <c r="B807" s="2">
        <v>5.9719386574074072E-2</v>
      </c>
      <c r="C807" s="2">
        <v>5.9707812499999999E-2</v>
      </c>
      <c r="D807" s="2">
        <v>5.9730960648148146E-2</v>
      </c>
      <c r="E807" t="s">
        <v>26</v>
      </c>
      <c r="F807" t="s">
        <v>32</v>
      </c>
      <c r="G807" t="s">
        <v>787</v>
      </c>
      <c r="H807">
        <v>0.81353591160220995</v>
      </c>
      <c r="I807">
        <v>2.5862068965517016E-2</v>
      </c>
    </row>
    <row r="808" spans="1:9" x14ac:dyDescent="0.3">
      <c r="A808" t="s">
        <v>816</v>
      </c>
      <c r="B808" s="2">
        <v>6.2794548611111112E-2</v>
      </c>
      <c r="C808" s="2">
        <v>6.2782974537037031E-2</v>
      </c>
      <c r="D808" s="2">
        <v>6.2806122685185178E-2</v>
      </c>
      <c r="E808" t="s">
        <v>26</v>
      </c>
      <c r="F808" t="s">
        <v>44</v>
      </c>
      <c r="G808" t="s">
        <v>787</v>
      </c>
      <c r="H808">
        <v>0.26381215469613301</v>
      </c>
      <c r="I808">
        <v>0.76724137931034497</v>
      </c>
    </row>
    <row r="809" spans="1:9" x14ac:dyDescent="0.3">
      <c r="A809" t="s">
        <v>817</v>
      </c>
      <c r="B809" s="2">
        <v>6.294788194444445E-2</v>
      </c>
      <c r="C809" s="2">
        <v>6.293630787037037E-2</v>
      </c>
      <c r="D809" s="2">
        <v>6.2959456018518517E-2</v>
      </c>
      <c r="E809" t="s">
        <v>26</v>
      </c>
      <c r="F809" t="s">
        <v>46</v>
      </c>
      <c r="G809" t="s">
        <v>787</v>
      </c>
      <c r="H809">
        <v>0.17265193370165699</v>
      </c>
      <c r="I809">
        <v>0.875</v>
      </c>
    </row>
    <row r="810" spans="1:9" x14ac:dyDescent="0.3">
      <c r="A810" t="s">
        <v>818</v>
      </c>
      <c r="B810" s="2">
        <v>6.6392071759259264E-2</v>
      </c>
      <c r="C810" s="2">
        <v>6.6380497685185183E-2</v>
      </c>
      <c r="D810" s="2">
        <v>6.640364583333333E-2</v>
      </c>
      <c r="E810" t="s">
        <v>26</v>
      </c>
      <c r="F810" t="s">
        <v>51</v>
      </c>
      <c r="G810" t="s">
        <v>787</v>
      </c>
      <c r="H810">
        <v>0.75828729281768004</v>
      </c>
      <c r="I810">
        <v>0.93534482758620685</v>
      </c>
    </row>
    <row r="811" spans="1:9" x14ac:dyDescent="0.3">
      <c r="A811" t="s">
        <v>819</v>
      </c>
      <c r="B811" s="2">
        <v>6.6409432870370363E-2</v>
      </c>
      <c r="C811" s="2">
        <v>6.6397858796296297E-2</v>
      </c>
      <c r="D811" s="2">
        <v>6.6421006944444444E-2</v>
      </c>
      <c r="E811" t="s">
        <v>26</v>
      </c>
      <c r="F811" t="s">
        <v>51</v>
      </c>
      <c r="G811" t="s">
        <v>789</v>
      </c>
      <c r="H811">
        <v>0.68093922651933703</v>
      </c>
      <c r="I811">
        <v>0.93534482758620685</v>
      </c>
    </row>
    <row r="812" spans="1:9" x14ac:dyDescent="0.3">
      <c r="A812" t="s">
        <v>820</v>
      </c>
      <c r="B812" s="2">
        <v>6.70184375E-2</v>
      </c>
      <c r="C812" s="2">
        <v>6.7006863425925919E-2</v>
      </c>
      <c r="D812" s="2">
        <v>6.703001157407408E-2</v>
      </c>
      <c r="E812" t="s">
        <v>26</v>
      </c>
      <c r="F812" t="s">
        <v>51</v>
      </c>
      <c r="G812" t="s">
        <v>787</v>
      </c>
      <c r="H812">
        <v>0.92955801104972402</v>
      </c>
      <c r="I812">
        <v>0.86637931034482807</v>
      </c>
    </row>
    <row r="813" spans="1:9" x14ac:dyDescent="0.3">
      <c r="A813" t="s">
        <v>821</v>
      </c>
      <c r="B813" s="2">
        <v>6.7526527777777776E-2</v>
      </c>
      <c r="C813" s="2">
        <v>6.7514953703703709E-2</v>
      </c>
      <c r="D813" s="2">
        <v>6.7538101851851856E-2</v>
      </c>
      <c r="E813" t="s">
        <v>26</v>
      </c>
      <c r="F813" t="s">
        <v>38</v>
      </c>
      <c r="G813" t="s">
        <v>787</v>
      </c>
      <c r="H813">
        <v>0.69198895027624296</v>
      </c>
      <c r="I813">
        <v>0.25431034482758597</v>
      </c>
    </row>
    <row r="815" spans="1:9" ht="23.4" x14ac:dyDescent="0.45">
      <c r="A815" s="43" t="s">
        <v>822</v>
      </c>
      <c r="B815" s="44"/>
      <c r="C815" s="44"/>
      <c r="D815" s="44"/>
    </row>
    <row r="816" spans="1:9" x14ac:dyDescent="0.3">
      <c r="A816" s="1" t="s">
        <v>16</v>
      </c>
      <c r="B816" s="1" t="s">
        <v>17</v>
      </c>
      <c r="C816" s="1" t="s">
        <v>18</v>
      </c>
      <c r="D816" s="1" t="s">
        <v>19</v>
      </c>
      <c r="E816" s="1" t="s">
        <v>20</v>
      </c>
      <c r="F816" s="1" t="s">
        <v>21</v>
      </c>
      <c r="G816" s="1" t="s">
        <v>822</v>
      </c>
      <c r="H816" s="1"/>
    </row>
    <row r="817" spans="1:7" x14ac:dyDescent="0.3">
      <c r="A817" t="s">
        <v>823</v>
      </c>
      <c r="B817" s="2">
        <v>2.276457175925926E-2</v>
      </c>
      <c r="C817" s="2">
        <v>2.2648831018518518E-2</v>
      </c>
      <c r="D817" s="2">
        <v>2.2776145833333334E-2</v>
      </c>
      <c r="E817" t="s">
        <v>26</v>
      </c>
      <c r="F817" t="s">
        <v>824</v>
      </c>
      <c r="G817">
        <v>1</v>
      </c>
    </row>
    <row r="818" spans="1:7" x14ac:dyDescent="0.3">
      <c r="A818" t="s">
        <v>825</v>
      </c>
      <c r="B818" s="2">
        <v>2.6085104166666668E-2</v>
      </c>
      <c r="C818" s="2">
        <v>2.5969363425925925E-2</v>
      </c>
      <c r="D818" s="2">
        <v>2.6096678240740741E-2</v>
      </c>
      <c r="E818" t="s">
        <v>26</v>
      </c>
      <c r="F818" t="s">
        <v>824</v>
      </c>
      <c r="G818">
        <v>1</v>
      </c>
    </row>
    <row r="819" spans="1:7" x14ac:dyDescent="0.3">
      <c r="A819" t="s">
        <v>826</v>
      </c>
      <c r="B819" s="2">
        <v>2.8998148148148148E-2</v>
      </c>
      <c r="C819" s="2">
        <v>2.8882407407407409E-2</v>
      </c>
      <c r="D819" s="2">
        <v>2.9009722222222221E-2</v>
      </c>
      <c r="E819" t="s">
        <v>26</v>
      </c>
      <c r="F819" t="s">
        <v>32</v>
      </c>
      <c r="G819">
        <v>1</v>
      </c>
    </row>
    <row r="820" spans="1:7" x14ac:dyDescent="0.3">
      <c r="A820" t="s">
        <v>827</v>
      </c>
      <c r="B820" s="2">
        <v>3.3181099537037038E-2</v>
      </c>
      <c r="C820" s="2">
        <v>3.3065358796296296E-2</v>
      </c>
      <c r="D820" s="2">
        <v>3.3192673611111112E-2</v>
      </c>
      <c r="E820" t="s">
        <v>26</v>
      </c>
      <c r="F820" t="s">
        <v>51</v>
      </c>
      <c r="G820">
        <v>1</v>
      </c>
    </row>
    <row r="821" spans="1:7" x14ac:dyDescent="0.3">
      <c r="A821" t="s">
        <v>828</v>
      </c>
      <c r="B821" s="2">
        <v>3.705232638888889E-2</v>
      </c>
      <c r="C821" s="2">
        <v>3.6936585648148147E-2</v>
      </c>
      <c r="D821" s="2">
        <v>3.7063900462962963E-2</v>
      </c>
      <c r="E821" t="s">
        <v>26</v>
      </c>
      <c r="F821" t="s">
        <v>829</v>
      </c>
      <c r="G821">
        <v>1</v>
      </c>
    </row>
    <row r="823" spans="1:7" x14ac:dyDescent="0.3">
      <c r="G823" t="s">
        <v>26</v>
      </c>
    </row>
    <row r="824" spans="1:7" x14ac:dyDescent="0.3">
      <c r="G824" t="s">
        <v>26</v>
      </c>
    </row>
    <row r="825" spans="1:7" x14ac:dyDescent="0.3">
      <c r="G825" t="s">
        <v>26</v>
      </c>
    </row>
    <row r="826" spans="1:7" x14ac:dyDescent="0.3">
      <c r="G826" t="s">
        <v>26</v>
      </c>
    </row>
    <row r="827" spans="1:7" x14ac:dyDescent="0.3">
      <c r="G827" t="s">
        <v>26</v>
      </c>
    </row>
    <row r="828" spans="1:7" x14ac:dyDescent="0.3">
      <c r="G828" t="s">
        <v>26</v>
      </c>
    </row>
    <row r="829" spans="1:7" x14ac:dyDescent="0.3">
      <c r="G829" t="s">
        <v>26</v>
      </c>
    </row>
    <row r="830" spans="1:7" x14ac:dyDescent="0.3">
      <c r="G830" t="s">
        <v>26</v>
      </c>
    </row>
    <row r="831" spans="1:7" ht="23.4" x14ac:dyDescent="0.45">
      <c r="A831" s="43" t="s">
        <v>830</v>
      </c>
      <c r="B831" s="44"/>
      <c r="C831" s="44"/>
      <c r="D831" s="44"/>
    </row>
    <row r="832" spans="1:7" x14ac:dyDescent="0.3">
      <c r="A832" s="1" t="s">
        <v>16</v>
      </c>
      <c r="B832" s="1" t="s">
        <v>17</v>
      </c>
      <c r="C832" s="1" t="s">
        <v>18</v>
      </c>
      <c r="D832" s="1" t="s">
        <v>19</v>
      </c>
      <c r="E832" s="1" t="s">
        <v>20</v>
      </c>
      <c r="F832" s="1" t="s">
        <v>21</v>
      </c>
      <c r="G832" s="1"/>
    </row>
    <row r="833" spans="1:9" x14ac:dyDescent="0.3">
      <c r="A833" t="s">
        <v>831</v>
      </c>
      <c r="B833" s="2">
        <v>0</v>
      </c>
      <c r="C833" s="2">
        <v>0</v>
      </c>
      <c r="D833" s="2">
        <v>0</v>
      </c>
      <c r="E833" t="s">
        <v>26</v>
      </c>
      <c r="F833" t="s">
        <v>26</v>
      </c>
    </row>
    <row r="834" spans="1:9" x14ac:dyDescent="0.3">
      <c r="A834" t="s">
        <v>832</v>
      </c>
      <c r="B834" s="2">
        <v>3.9553321759259262E-2</v>
      </c>
      <c r="C834" s="2">
        <v>3.9553321759259262E-2</v>
      </c>
      <c r="D834" s="2">
        <v>3.9553321759259262E-2</v>
      </c>
      <c r="E834" t="s">
        <v>833</v>
      </c>
      <c r="F834" t="s">
        <v>26</v>
      </c>
    </row>
    <row r="835" spans="1:9" x14ac:dyDescent="0.3">
      <c r="A835" t="s">
        <v>834</v>
      </c>
      <c r="B835" s="2">
        <v>3.9553321759259262E-2</v>
      </c>
      <c r="C835" s="2">
        <v>3.9553321759259262E-2</v>
      </c>
      <c r="D835" s="2">
        <v>3.9553321759259262E-2</v>
      </c>
      <c r="E835" t="s">
        <v>833</v>
      </c>
      <c r="F835" t="s">
        <v>26</v>
      </c>
    </row>
    <row r="836" spans="1:9" x14ac:dyDescent="0.3">
      <c r="A836" t="s">
        <v>834</v>
      </c>
      <c r="B836" s="2">
        <v>3.9553321759259262E-2</v>
      </c>
      <c r="C836" s="2">
        <v>3.9553321759259262E-2</v>
      </c>
      <c r="D836" s="2">
        <v>3.9553321759259262E-2</v>
      </c>
      <c r="E836" t="s">
        <v>833</v>
      </c>
      <c r="F836" t="s">
        <v>26</v>
      </c>
    </row>
    <row r="837" spans="1:9" x14ac:dyDescent="0.3">
      <c r="A837" t="s">
        <v>834</v>
      </c>
      <c r="B837" s="2">
        <v>3.9553321759259262E-2</v>
      </c>
      <c r="C837" s="2">
        <v>3.9553321759259262E-2</v>
      </c>
      <c r="D837" s="2">
        <v>3.9553321759259262E-2</v>
      </c>
      <c r="E837" t="s">
        <v>833</v>
      </c>
      <c r="F837" t="s">
        <v>26</v>
      </c>
    </row>
    <row r="838" spans="1:9" x14ac:dyDescent="0.3">
      <c r="A838" t="s">
        <v>832</v>
      </c>
      <c r="B838" s="2">
        <v>5.6121122685185182E-2</v>
      </c>
      <c r="C838" s="2">
        <v>5.6121122685185182E-2</v>
      </c>
      <c r="D838" s="2">
        <v>5.6121122685185182E-2</v>
      </c>
      <c r="E838" t="s">
        <v>833</v>
      </c>
      <c r="F838" t="s">
        <v>26</v>
      </c>
    </row>
    <row r="840" spans="1:9" x14ac:dyDescent="0.3">
      <c r="F840" t="s">
        <v>26</v>
      </c>
    </row>
    <row r="841" spans="1:9" x14ac:dyDescent="0.3">
      <c r="F841" t="s">
        <v>26</v>
      </c>
    </row>
    <row r="842" spans="1:9" x14ac:dyDescent="0.3">
      <c r="F842" t="s">
        <v>26</v>
      </c>
    </row>
    <row r="843" spans="1:9" x14ac:dyDescent="0.3">
      <c r="F843" t="s">
        <v>26</v>
      </c>
    </row>
    <row r="844" spans="1:9" x14ac:dyDescent="0.3">
      <c r="F844" t="s">
        <v>26</v>
      </c>
    </row>
    <row r="845" spans="1:9" x14ac:dyDescent="0.3">
      <c r="F845" t="s">
        <v>26</v>
      </c>
    </row>
    <row r="846" spans="1:9" x14ac:dyDescent="0.3">
      <c r="F846" t="s">
        <v>26</v>
      </c>
    </row>
    <row r="847" spans="1:9" ht="23.4" x14ac:dyDescent="0.45">
      <c r="A847" s="43" t="s">
        <v>835</v>
      </c>
      <c r="B847" s="44"/>
      <c r="C847" s="44"/>
      <c r="D847" s="44"/>
      <c r="G847" s="45" t="s">
        <v>15</v>
      </c>
      <c r="H847" s="45" t="s">
        <v>15</v>
      </c>
    </row>
    <row r="848" spans="1:9" x14ac:dyDescent="0.3">
      <c r="A848" s="1" t="s">
        <v>16</v>
      </c>
      <c r="B848" s="1" t="s">
        <v>17</v>
      </c>
      <c r="C848" s="1" t="s">
        <v>18</v>
      </c>
      <c r="D848" s="1" t="s">
        <v>19</v>
      </c>
      <c r="E848" s="1" t="s">
        <v>20</v>
      </c>
      <c r="F848" s="1" t="s">
        <v>21</v>
      </c>
      <c r="G848" s="1" t="s">
        <v>23</v>
      </c>
      <c r="H848" s="1" t="s">
        <v>24</v>
      </c>
      <c r="I848" s="1"/>
    </row>
    <row r="849" spans="1:8" x14ac:dyDescent="0.3">
      <c r="A849" t="s">
        <v>836</v>
      </c>
      <c r="B849" s="2">
        <v>2.5882870370370369E-3</v>
      </c>
      <c r="C849" s="2">
        <v>2.5767129629629629E-3</v>
      </c>
      <c r="D849" s="2">
        <v>2.5882870370370369E-3</v>
      </c>
      <c r="E849" t="s">
        <v>26</v>
      </c>
      <c r="F849" t="s">
        <v>38</v>
      </c>
      <c r="G849">
        <v>0.54629629629629595</v>
      </c>
      <c r="H849">
        <v>0.26033057851239705</v>
      </c>
    </row>
    <row r="850" spans="1:8" x14ac:dyDescent="0.3">
      <c r="A850" t="s">
        <v>837</v>
      </c>
      <c r="B850" s="2">
        <v>5.348657407407407E-3</v>
      </c>
      <c r="C850" s="2">
        <v>5.3370833333333334E-3</v>
      </c>
      <c r="D850" s="2">
        <v>5.348657407407407E-3</v>
      </c>
      <c r="E850" t="s">
        <v>26</v>
      </c>
      <c r="F850" t="s">
        <v>51</v>
      </c>
      <c r="G850">
        <v>0.81084656084656104</v>
      </c>
      <c r="H850">
        <v>0.73966942148760295</v>
      </c>
    </row>
    <row r="851" spans="1:8" x14ac:dyDescent="0.3">
      <c r="A851" t="s">
        <v>838</v>
      </c>
      <c r="B851" s="2">
        <v>7.5337268518518522E-3</v>
      </c>
      <c r="C851" s="2">
        <v>7.5221527777777778E-3</v>
      </c>
      <c r="D851" s="2">
        <v>7.5337268518518522E-3</v>
      </c>
      <c r="E851" t="s">
        <v>26</v>
      </c>
      <c r="F851" t="s">
        <v>44</v>
      </c>
      <c r="G851">
        <v>0.40343915343915299</v>
      </c>
      <c r="H851">
        <v>0.27685950413223104</v>
      </c>
    </row>
    <row r="852" spans="1:8" x14ac:dyDescent="0.3">
      <c r="A852" t="s">
        <v>839</v>
      </c>
      <c r="B852" s="2">
        <v>1.4641527777777778E-2</v>
      </c>
      <c r="C852" s="2">
        <v>1.4629953703703704E-2</v>
      </c>
      <c r="D852" s="2">
        <v>1.4641527777777778E-2</v>
      </c>
      <c r="E852" t="s">
        <v>26</v>
      </c>
      <c r="F852" t="s">
        <v>38</v>
      </c>
      <c r="G852">
        <v>0.66798941798941802</v>
      </c>
      <c r="H852">
        <v>0.55371900826446296</v>
      </c>
    </row>
    <row r="853" spans="1:8" x14ac:dyDescent="0.3">
      <c r="A853" t="s">
        <v>840</v>
      </c>
      <c r="B853" s="2">
        <v>1.9680069444444444E-2</v>
      </c>
      <c r="C853" s="2">
        <v>1.9668495370370371E-2</v>
      </c>
      <c r="D853" s="2">
        <v>1.9680069444444444E-2</v>
      </c>
      <c r="E853" t="s">
        <v>26</v>
      </c>
      <c r="F853" t="s">
        <v>51</v>
      </c>
      <c r="G853">
        <v>0.32407407407407401</v>
      </c>
      <c r="H853">
        <v>0.91322314049586784</v>
      </c>
    </row>
    <row r="854" spans="1:8" x14ac:dyDescent="0.3">
      <c r="A854" t="s">
        <v>841</v>
      </c>
      <c r="B854" s="2">
        <v>2.2639849537037036E-2</v>
      </c>
      <c r="C854" s="2">
        <v>2.2628275462962963E-2</v>
      </c>
      <c r="D854" s="2">
        <v>2.2639849537037036E-2</v>
      </c>
      <c r="E854" t="s">
        <v>26</v>
      </c>
      <c r="F854" t="s">
        <v>46</v>
      </c>
      <c r="G854">
        <v>0.28703703703703698</v>
      </c>
      <c r="H854">
        <v>0.26859504132231404</v>
      </c>
    </row>
    <row r="855" spans="1:8" x14ac:dyDescent="0.3">
      <c r="A855" t="s">
        <v>842</v>
      </c>
      <c r="B855" s="2">
        <v>2.2716944444444446E-2</v>
      </c>
      <c r="C855" s="2">
        <v>2.2705370370370369E-2</v>
      </c>
      <c r="D855" s="2">
        <v>2.2716944444444446E-2</v>
      </c>
      <c r="E855" t="s">
        <v>26</v>
      </c>
      <c r="F855" t="s">
        <v>67</v>
      </c>
      <c r="G855">
        <v>8.3333333333333301E-2</v>
      </c>
      <c r="H855">
        <v>0.58264462809917394</v>
      </c>
    </row>
    <row r="856" spans="1:8" x14ac:dyDescent="0.3">
      <c r="A856" t="s">
        <v>843</v>
      </c>
      <c r="B856" s="2">
        <v>2.3662731481481483E-2</v>
      </c>
      <c r="C856" s="2">
        <v>2.3651157407407409E-2</v>
      </c>
      <c r="D856" s="2">
        <v>2.3662731481481483E-2</v>
      </c>
      <c r="E856" t="s">
        <v>26</v>
      </c>
      <c r="F856" t="s">
        <v>46</v>
      </c>
      <c r="G856">
        <v>0.35582010582010598</v>
      </c>
      <c r="H856">
        <v>8.2644628099169948E-3</v>
      </c>
    </row>
    <row r="857" spans="1:8" x14ac:dyDescent="0.3">
      <c r="A857" t="s">
        <v>844</v>
      </c>
      <c r="B857" s="2">
        <v>4.197824074074074E-2</v>
      </c>
      <c r="C857" s="2">
        <v>4.1966666666666666E-2</v>
      </c>
      <c r="D857" s="2">
        <v>4.197824074074074E-2</v>
      </c>
      <c r="E857" t="s">
        <v>26</v>
      </c>
      <c r="F857" t="s">
        <v>67</v>
      </c>
      <c r="G857">
        <v>0.72089947089947104</v>
      </c>
      <c r="H857">
        <v>0.99173553719008267</v>
      </c>
    </row>
    <row r="858" spans="1:8" x14ac:dyDescent="0.3">
      <c r="A858" t="s">
        <v>845</v>
      </c>
      <c r="B858" s="2">
        <v>4.4412037037037035E-2</v>
      </c>
      <c r="C858" s="2">
        <v>4.4400462962962961E-2</v>
      </c>
      <c r="D858" s="2">
        <v>4.4412037037037035E-2</v>
      </c>
      <c r="E858" t="s">
        <v>26</v>
      </c>
      <c r="F858" t="s">
        <v>44</v>
      </c>
      <c r="G858">
        <v>0.26851851851851799</v>
      </c>
      <c r="H858">
        <v>0.97933884297520657</v>
      </c>
    </row>
    <row r="859" spans="1:8" x14ac:dyDescent="0.3">
      <c r="A859" t="s">
        <v>846</v>
      </c>
      <c r="B859" s="2">
        <v>5.3969861111111114E-2</v>
      </c>
      <c r="C859" s="2">
        <v>5.3958287037037034E-2</v>
      </c>
      <c r="D859" s="2">
        <v>5.3969861111111114E-2</v>
      </c>
      <c r="E859" t="s">
        <v>26</v>
      </c>
      <c r="F859" t="s">
        <v>51</v>
      </c>
      <c r="G859">
        <v>0.42724867724867699</v>
      </c>
      <c r="H859">
        <v>6.6115702479338956E-2</v>
      </c>
    </row>
    <row r="860" spans="1:8" x14ac:dyDescent="0.3">
      <c r="A860" t="s">
        <v>847</v>
      </c>
      <c r="B860" s="2">
        <v>5.7006365740740743E-2</v>
      </c>
      <c r="C860" s="2">
        <v>5.6994791666666669E-2</v>
      </c>
      <c r="D860" s="2">
        <v>5.7006365740740743E-2</v>
      </c>
      <c r="E860" t="s">
        <v>26</v>
      </c>
      <c r="F860" t="s">
        <v>264</v>
      </c>
      <c r="G860">
        <v>0.30026455026455001</v>
      </c>
      <c r="H860">
        <v>0.60743801652892593</v>
      </c>
    </row>
    <row r="861" spans="1:8" x14ac:dyDescent="0.3">
      <c r="A861" t="s">
        <v>848</v>
      </c>
      <c r="B861" s="2">
        <v>5.7289004629629631E-2</v>
      </c>
      <c r="C861" s="2">
        <v>5.7277430555555557E-2</v>
      </c>
      <c r="D861" s="2">
        <v>5.7289004629629631E-2</v>
      </c>
      <c r="E861" t="s">
        <v>26</v>
      </c>
      <c r="F861" t="s">
        <v>67</v>
      </c>
      <c r="G861">
        <v>0.82671957671957697</v>
      </c>
      <c r="H861">
        <v>0.93801652892561982</v>
      </c>
    </row>
    <row r="862" spans="1:8" x14ac:dyDescent="0.3">
      <c r="A862" t="s">
        <v>849</v>
      </c>
      <c r="B862" s="2">
        <v>6.2270648148148151E-2</v>
      </c>
      <c r="C862" s="2">
        <v>6.2259074074074071E-2</v>
      </c>
      <c r="D862" s="2">
        <v>6.2270648148148151E-2</v>
      </c>
      <c r="E862" t="s">
        <v>26</v>
      </c>
      <c r="F862" t="s">
        <v>51</v>
      </c>
      <c r="G862">
        <v>0.70767195767195801</v>
      </c>
      <c r="H862">
        <v>0.70661157024793397</v>
      </c>
    </row>
    <row r="863" spans="1:8" x14ac:dyDescent="0.3">
      <c r="A863" t="s">
        <v>850</v>
      </c>
      <c r="B863" s="2">
        <v>6.5333229166666673E-2</v>
      </c>
      <c r="C863" s="2">
        <v>6.5321655092592593E-2</v>
      </c>
      <c r="D863" s="2">
        <v>6.5333229166666673E-2</v>
      </c>
      <c r="E863" t="s">
        <v>26</v>
      </c>
      <c r="F863" t="s">
        <v>51</v>
      </c>
      <c r="G863">
        <v>0.29232804232804199</v>
      </c>
      <c r="H863">
        <v>0.87190082644628097</v>
      </c>
    </row>
    <row r="864" spans="1:8" x14ac:dyDescent="0.3">
      <c r="A864" t="s">
        <v>851</v>
      </c>
      <c r="B864" s="2">
        <v>6.7603321759259261E-2</v>
      </c>
      <c r="C864" s="2">
        <v>6.759174768518518E-2</v>
      </c>
      <c r="D864" s="2">
        <v>6.7603321759259261E-2</v>
      </c>
      <c r="E864" t="s">
        <v>26</v>
      </c>
      <c r="F864" t="s">
        <v>51</v>
      </c>
      <c r="G864">
        <v>0.78174603174603197</v>
      </c>
      <c r="H864">
        <v>0.53305785123966898</v>
      </c>
    </row>
    <row r="866" spans="1:9" ht="23.4" x14ac:dyDescent="0.45">
      <c r="A866" s="43" t="s">
        <v>852</v>
      </c>
      <c r="B866" s="44"/>
      <c r="C866" s="44"/>
      <c r="D866" s="44"/>
      <c r="G866" s="45" t="s">
        <v>15</v>
      </c>
      <c r="H866" s="45" t="s">
        <v>15</v>
      </c>
    </row>
    <row r="867" spans="1:9" x14ac:dyDescent="0.3">
      <c r="A867" s="1" t="s">
        <v>16</v>
      </c>
      <c r="B867" s="1" t="s">
        <v>17</v>
      </c>
      <c r="C867" s="1" t="s">
        <v>18</v>
      </c>
      <c r="D867" s="1" t="s">
        <v>19</v>
      </c>
      <c r="E867" s="1" t="s">
        <v>20</v>
      </c>
      <c r="F867" s="1" t="s">
        <v>21</v>
      </c>
      <c r="G867" s="1" t="s">
        <v>23</v>
      </c>
      <c r="H867" s="1" t="s">
        <v>24</v>
      </c>
      <c r="I867" s="1"/>
    </row>
    <row r="868" spans="1:9" x14ac:dyDescent="0.3">
      <c r="A868" t="s">
        <v>853</v>
      </c>
      <c r="B868" s="2">
        <v>8.1659490740740737E-3</v>
      </c>
      <c r="C868" s="2">
        <v>8.1428009259259266E-3</v>
      </c>
      <c r="D868" s="2">
        <v>8.1775231481481473E-3</v>
      </c>
      <c r="E868" t="s">
        <v>26</v>
      </c>
      <c r="F868" t="s">
        <v>42</v>
      </c>
      <c r="G868">
        <v>0.54894179894179895</v>
      </c>
      <c r="H868">
        <v>0.80991735537190102</v>
      </c>
    </row>
    <row r="869" spans="1:9" x14ac:dyDescent="0.3">
      <c r="A869" t="s">
        <v>854</v>
      </c>
      <c r="B869" s="2">
        <v>4.5596099537037034E-2</v>
      </c>
      <c r="C869" s="2">
        <v>4.5572951388888887E-2</v>
      </c>
      <c r="D869" s="2">
        <v>4.5607673611111114E-2</v>
      </c>
      <c r="E869" t="s">
        <v>26</v>
      </c>
      <c r="F869" t="s">
        <v>51</v>
      </c>
      <c r="G869">
        <v>0.794973544973545</v>
      </c>
      <c r="H869">
        <v>0.68181818181818199</v>
      </c>
    </row>
    <row r="871" spans="1:9" x14ac:dyDescent="0.3">
      <c r="H871" t="s">
        <v>26</v>
      </c>
    </row>
    <row r="872" spans="1:9" x14ac:dyDescent="0.3">
      <c r="H872" t="s">
        <v>26</v>
      </c>
    </row>
    <row r="873" spans="1:9" x14ac:dyDescent="0.3">
      <c r="H873" t="s">
        <v>26</v>
      </c>
    </row>
    <row r="874" spans="1:9" x14ac:dyDescent="0.3">
      <c r="H874" t="s">
        <v>26</v>
      </c>
    </row>
    <row r="875" spans="1:9" x14ac:dyDescent="0.3">
      <c r="H875" t="s">
        <v>26</v>
      </c>
    </row>
    <row r="876" spans="1:9" x14ac:dyDescent="0.3">
      <c r="H876" t="s">
        <v>26</v>
      </c>
    </row>
    <row r="877" spans="1:9" x14ac:dyDescent="0.3">
      <c r="H877" t="s">
        <v>26</v>
      </c>
    </row>
    <row r="878" spans="1:9" x14ac:dyDescent="0.3">
      <c r="H878" t="s">
        <v>26</v>
      </c>
    </row>
    <row r="879" spans="1:9" x14ac:dyDescent="0.3">
      <c r="H879" t="s">
        <v>26</v>
      </c>
    </row>
    <row r="880" spans="1:9" x14ac:dyDescent="0.3">
      <c r="H880" t="s">
        <v>26</v>
      </c>
    </row>
    <row r="881" spans="8:8" x14ac:dyDescent="0.3">
      <c r="H881" t="s">
        <v>26</v>
      </c>
    </row>
  </sheetData>
  <mergeCells count="45">
    <mergeCell ref="A1:D1"/>
    <mergeCell ref="B2:F2"/>
    <mergeCell ref="B3:F3"/>
    <mergeCell ref="B4:F4"/>
    <mergeCell ref="B5:F5"/>
    <mergeCell ref="B6:F6"/>
    <mergeCell ref="B7:F7"/>
    <mergeCell ref="B8:F8"/>
    <mergeCell ref="A10:D10"/>
    <mergeCell ref="H10:I10"/>
    <mergeCell ref="A274:D274"/>
    <mergeCell ref="G274:H274"/>
    <mergeCell ref="A373:D373"/>
    <mergeCell ref="H373:I373"/>
    <mergeCell ref="A480:D480"/>
    <mergeCell ref="H480:I480"/>
    <mergeCell ref="A509:D509"/>
    <mergeCell ref="H509:I509"/>
    <mergeCell ref="A532:D532"/>
    <mergeCell ref="G532:H532"/>
    <mergeCell ref="A564:D564"/>
    <mergeCell ref="H564:I564"/>
    <mergeCell ref="J564:K564"/>
    <mergeCell ref="A587:D587"/>
    <mergeCell ref="G587:H587"/>
    <mergeCell ref="I587:J587"/>
    <mergeCell ref="A604:D604"/>
    <mergeCell ref="H604:I604"/>
    <mergeCell ref="A684:D684"/>
    <mergeCell ref="H684:I684"/>
    <mergeCell ref="A700:D700"/>
    <mergeCell ref="G700:H700"/>
    <mergeCell ref="I700:J700"/>
    <mergeCell ref="A717:D717"/>
    <mergeCell ref="G717:H717"/>
    <mergeCell ref="A733:D733"/>
    <mergeCell ref="H733:I733"/>
    <mergeCell ref="A778:D778"/>
    <mergeCell ref="H778:I778"/>
    <mergeCell ref="A815:D815"/>
    <mergeCell ref="A831:D831"/>
    <mergeCell ref="A847:D847"/>
    <mergeCell ref="G847:H847"/>
    <mergeCell ref="A866:D866"/>
    <mergeCell ref="G866:H866"/>
  </mergeCells>
  <pageMargins left="0.7" right="0.7" top="0.75" bottom="0.75" header="0.3" footer="0.3"/>
  <drawing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06"/>
  <sheetViews>
    <sheetView tabSelected="1" topLeftCell="A2" zoomScale="70" zoomScaleNormal="70" workbookViewId="0">
      <selection activeCell="D2" sqref="D2:D43"/>
    </sheetView>
  </sheetViews>
  <sheetFormatPr defaultRowHeight="14.4" x14ac:dyDescent="0.3"/>
  <cols>
    <col min="1" max="1" width="16" customWidth="1"/>
    <col min="2" max="15" width="10.109375" customWidth="1"/>
    <col min="16" max="16" width="21" customWidth="1"/>
    <col min="17" max="49" width="15" customWidth="1"/>
  </cols>
  <sheetData>
    <row r="1" spans="1:19" x14ac:dyDescent="0.3">
      <c r="A1" s="24" t="s">
        <v>881</v>
      </c>
      <c r="B1" s="4" t="s">
        <v>867</v>
      </c>
      <c r="C1" s="4" t="s">
        <v>868</v>
      </c>
      <c r="D1" s="4" t="s">
        <v>869</v>
      </c>
      <c r="E1" s="4" t="s">
        <v>870</v>
      </c>
      <c r="F1" s="4" t="s">
        <v>871</v>
      </c>
      <c r="G1" s="4" t="s">
        <v>872</v>
      </c>
      <c r="H1" s="4" t="s">
        <v>873</v>
      </c>
      <c r="I1" s="4" t="s">
        <v>874</v>
      </c>
      <c r="J1" s="4" t="s">
        <v>875</v>
      </c>
      <c r="K1" s="4" t="s">
        <v>876</v>
      </c>
      <c r="L1" s="4" t="s">
        <v>877</v>
      </c>
      <c r="M1" s="4" t="s">
        <v>878</v>
      </c>
      <c r="N1" s="4" t="s">
        <v>879</v>
      </c>
      <c r="O1" s="24" t="s">
        <v>882</v>
      </c>
      <c r="P1" s="12" t="s">
        <v>880</v>
      </c>
    </row>
    <row r="2" spans="1:19" x14ac:dyDescent="0.3">
      <c r="A2" s="8" t="s">
        <v>14</v>
      </c>
      <c r="B2">
        <f>COUNTIF(Tableda34c751_3c79_47e7_b7a5_791a85b0e429_2[Players],"1-Zsani ")</f>
        <v>11</v>
      </c>
      <c r="C2">
        <f>COUNTIF(Tableda34c751_3c79_47e7_b7a5_791a85b0e429_2[Players],"83-Peó ")</f>
        <v>28</v>
      </c>
      <c r="D2">
        <f>COUNTIF(Tableda34c751_3c79_47e7_b7a5_791a85b0e429_2[Players],"24-Betty ")</f>
        <v>17</v>
      </c>
      <c r="E2">
        <f>COUNTIF(Tableda34c751_3c79_47e7_b7a5_791a85b0e429_2[Players],"13-Kriszti ")</f>
        <v>23</v>
      </c>
      <c r="F2">
        <f>COUNTIF(Tableda34c751_3c79_47e7_b7a5_791a85b0e429_2[Players],"7-Nina ")</f>
        <v>17</v>
      </c>
      <c r="G2">
        <f>COUNTIF(Tableda34c751_3c79_47e7_b7a5_791a85b0e429_2[Players],"10-Slaki ")</f>
        <v>23</v>
      </c>
      <c r="H2">
        <f>COUNTIF(Tableda34c751_3c79_47e7_b7a5_791a85b0e429_2[Players],"22-Sanda ")</f>
        <v>27</v>
      </c>
      <c r="I2">
        <f>COUNTIF(Tableda34c751_3c79_47e7_b7a5_791a85b0e429_2[Players],"8-Szidi ")</f>
        <v>27</v>
      </c>
      <c r="J2">
        <f>COUNTIF(Tableda34c751_3c79_47e7_b7a5_791a85b0e429_2[Players],"21-Milana ")</f>
        <v>18</v>
      </c>
      <c r="K2">
        <f>COUNTIF(Tableda34c751_3c79_47e7_b7a5_791a85b0e429_2[Players],"10-Kicsi ")</f>
        <v>25</v>
      </c>
      <c r="L2">
        <f>COUNTIF(Tableda34c751_3c79_47e7_b7a5_791a85b0e429_2[Players],"77-Ivana ")</f>
        <v>25</v>
      </c>
      <c r="M2">
        <f>COUNTIF(Tableda34c751_3c79_47e7_b7a5_791a85b0e429_2[Players],"3-Puffi ")</f>
        <v>16</v>
      </c>
      <c r="N2">
        <f>COUNTIF(Tableda34c751_3c79_47e7_b7a5_791a85b0e429_2[Players],"30-Dorka ")</f>
        <v>3</v>
      </c>
      <c r="O2" s="9">
        <f>SUM(Táblázat37[[#This Row],[Zsani]:[Dorka]])</f>
        <v>260</v>
      </c>
      <c r="P2" s="28" t="s">
        <v>903</v>
      </c>
    </row>
    <row r="3" spans="1:19" x14ac:dyDescent="0.3">
      <c r="A3" s="6" t="s">
        <v>787</v>
      </c>
      <c r="B3">
        <f>COUNTIFS(Tableda34c751_3c79_47e7_b7a5_791a85b0e429_2[Players],"1-Zsani ",Tableda34c751_3c79_47e7_b7a5_791a85b0e429_2[Outcome],"Success")</f>
        <v>11</v>
      </c>
      <c r="C3">
        <f>COUNTIFS(Tableda34c751_3c79_47e7_b7a5_791a85b0e429_2[Players],"83-Peó ",Tableda34c751_3c79_47e7_b7a5_791a85b0e429_2[Outcome],"Success")</f>
        <v>19</v>
      </c>
      <c r="D3">
        <f>COUNTIFS(Tableda34c751_3c79_47e7_b7a5_791a85b0e429_2[Players],"24-Betty ",Tableda34c751_3c79_47e7_b7a5_791a85b0e429_2[Outcome],"Success")</f>
        <v>16</v>
      </c>
      <c r="E3">
        <f>COUNTIFS(Tableda34c751_3c79_47e7_b7a5_791a85b0e429_2[Players],"13-Kriszti ",Tableda34c751_3c79_47e7_b7a5_791a85b0e429_2[Outcome],"Success")</f>
        <v>15</v>
      </c>
      <c r="F3">
        <f>COUNTIFS(Tableda34c751_3c79_47e7_b7a5_791a85b0e429_2[Players],"7-Nina ",Tableda34c751_3c79_47e7_b7a5_791a85b0e429_2[Outcome],"Success")</f>
        <v>12</v>
      </c>
      <c r="G3">
        <f>COUNTIFS(Tableda34c751_3c79_47e7_b7a5_791a85b0e429_2[Players],"10-Slaki ",Tableda34c751_3c79_47e7_b7a5_791a85b0e429_2[Outcome],"Success")</f>
        <v>22</v>
      </c>
      <c r="H3">
        <f>COUNTIFS(Tableda34c751_3c79_47e7_b7a5_791a85b0e429_2[Players],"22-Sanda ",Tableda34c751_3c79_47e7_b7a5_791a85b0e429_2[Outcome],"Success")</f>
        <v>23</v>
      </c>
      <c r="I3">
        <f>COUNTIFS(Tableda34c751_3c79_47e7_b7a5_791a85b0e429_2[Players],"8-Szidi ",Tableda34c751_3c79_47e7_b7a5_791a85b0e429_2[Outcome],"Success")</f>
        <v>18</v>
      </c>
      <c r="J3">
        <f>COUNTIFS(Tableda34c751_3c79_47e7_b7a5_791a85b0e429_2[Players],"21-Milana ",Tableda34c751_3c79_47e7_b7a5_791a85b0e429_2[Outcome],"Success")</f>
        <v>12</v>
      </c>
      <c r="K3">
        <f>COUNTIFS(Tableda34c751_3c79_47e7_b7a5_791a85b0e429_2[Players],"10-Kicsi ",Tableda34c751_3c79_47e7_b7a5_791a85b0e429_2[Outcome],"Success")</f>
        <v>19</v>
      </c>
      <c r="L3">
        <f>COUNTIFS(Tableda34c751_3c79_47e7_b7a5_791a85b0e429_2[Players],"77-Ivana ",Tableda34c751_3c79_47e7_b7a5_791a85b0e429_2[Outcome],"Success")</f>
        <v>18</v>
      </c>
      <c r="M3">
        <f>COUNTIFS(Tableda34c751_3c79_47e7_b7a5_791a85b0e429_2[Players],"3-Puffi ",Tableda34c751_3c79_47e7_b7a5_791a85b0e429_2[Outcome],"Success")</f>
        <v>12</v>
      </c>
      <c r="N3">
        <f>COUNTIFS(Tableda34c751_3c79_47e7_b7a5_791a85b0e429_2[Players],"30-Dorka ",Tableda34c751_3c79_47e7_b7a5_791a85b0e429_2[Outcome],"Success")</f>
        <v>3</v>
      </c>
      <c r="O3" s="9">
        <f>SUM(Táblázat37[[#This Row],[Zsani]:[Dorka]])</f>
        <v>200</v>
      </c>
      <c r="P3" s="37" t="s">
        <v>904</v>
      </c>
    </row>
    <row r="4" spans="1:19" s="16" customFormat="1" ht="15" thickBot="1" x14ac:dyDescent="0.35">
      <c r="A4" s="38" t="s">
        <v>855</v>
      </c>
      <c r="B4" s="15">
        <f t="shared" ref="B4:O4" si="0">B3/B2</f>
        <v>1</v>
      </c>
      <c r="C4" s="15">
        <f t="shared" si="0"/>
        <v>0.6785714285714286</v>
      </c>
      <c r="D4" s="15">
        <f t="shared" si="0"/>
        <v>0.94117647058823528</v>
      </c>
      <c r="E4" s="15">
        <f t="shared" si="0"/>
        <v>0.65217391304347827</v>
      </c>
      <c r="F4" s="15">
        <f t="shared" si="0"/>
        <v>0.70588235294117652</v>
      </c>
      <c r="G4" s="15">
        <f t="shared" si="0"/>
        <v>0.95652173913043481</v>
      </c>
      <c r="H4" s="15">
        <f t="shared" si="0"/>
        <v>0.85185185185185186</v>
      </c>
      <c r="I4" s="15">
        <f t="shared" si="0"/>
        <v>0.66666666666666663</v>
      </c>
      <c r="J4" s="15">
        <f t="shared" si="0"/>
        <v>0.66666666666666663</v>
      </c>
      <c r="K4" s="15">
        <f t="shared" si="0"/>
        <v>0.76</v>
      </c>
      <c r="L4" s="15">
        <f t="shared" si="0"/>
        <v>0.72</v>
      </c>
      <c r="M4" s="15">
        <f t="shared" si="0"/>
        <v>0.75</v>
      </c>
      <c r="N4" s="15">
        <f t="shared" si="0"/>
        <v>1</v>
      </c>
      <c r="O4" s="25">
        <f t="shared" si="0"/>
        <v>0.76923076923076927</v>
      </c>
      <c r="P4" s="22"/>
    </row>
    <row r="5" spans="1:19" x14ac:dyDescent="0.3">
      <c r="A5" s="8" t="s">
        <v>856</v>
      </c>
      <c r="B5">
        <f>COUNTIF(Table585aa822_e5b9_4c71_8d4b_1b38a2893b5a_2[Players],"1-Zsani ")</f>
        <v>9</v>
      </c>
      <c r="C5">
        <f>COUNTIF(Table585aa822_e5b9_4c71_8d4b_1b38a2893b5a_2[Players],"83-Peó ")</f>
        <v>3</v>
      </c>
      <c r="D5">
        <f>COUNTIF(Table585aa822_e5b9_4c71_8d4b_1b38a2893b5a_2[Players],"24-Betty ")</f>
        <v>11</v>
      </c>
      <c r="E5">
        <f>COUNTIF(Table585aa822_e5b9_4c71_8d4b_1b38a2893b5a_2[Players],"13-Kriszti ")</f>
        <v>9</v>
      </c>
      <c r="F5">
        <f>COUNTIF(Table585aa822_e5b9_4c71_8d4b_1b38a2893b5a_2[Players],"7-Nina ")</f>
        <v>7</v>
      </c>
      <c r="G5">
        <f>COUNTIF(Table585aa822_e5b9_4c71_8d4b_1b38a2893b5a_2[Players],"10-Slaki ")</f>
        <v>3</v>
      </c>
      <c r="H5">
        <f>COUNTIF(Table585aa822_e5b9_4c71_8d4b_1b38a2893b5a_2[Players],"22-Sanda ")</f>
        <v>20</v>
      </c>
      <c r="I5">
        <f>COUNTIF(Table585aa822_e5b9_4c71_8d4b_1b38a2893b5a_2[Players],"8-Szidi ")</f>
        <v>5</v>
      </c>
      <c r="J5">
        <f>COUNTIF(Table585aa822_e5b9_4c71_8d4b_1b38a2893b5a_2[Players],"21-Milana ")</f>
        <v>2</v>
      </c>
      <c r="K5">
        <f>COUNTIF(Table585aa822_e5b9_4c71_8d4b_1b38a2893b5a_2[Players],"10-Kicsi ")</f>
        <v>4</v>
      </c>
      <c r="L5">
        <f>COUNTIF(Table585aa822_e5b9_4c71_8d4b_1b38a2893b5a_2[Players],"77-Ivana ")</f>
        <v>1</v>
      </c>
      <c r="M5">
        <f>COUNTIF(Table585aa822_e5b9_4c71_8d4b_1b38a2893b5a_2[Players],"3-Puffi ")</f>
        <v>1</v>
      </c>
      <c r="N5">
        <f>COUNTIF(Table585aa822_e5b9_4c71_8d4b_1b38a2893b5a_2[Players],"30-Dorka ")</f>
        <v>0</v>
      </c>
      <c r="O5" s="9">
        <f>SUM(Táblázat37[[#This Row],[Zsani]:[Dorka]])</f>
        <v>75</v>
      </c>
      <c r="P5" s="28" t="s">
        <v>902</v>
      </c>
    </row>
    <row r="6" spans="1:19" x14ac:dyDescent="0.3">
      <c r="A6" s="36"/>
      <c r="B6">
        <f>COUNTIFS(Table585aa822_e5b9_4c71_8d4b_1b38a2893b5a_2[Players],"1-Zsani ",Table585aa822_e5b9_4c71_8d4b_1b38a2893b5a_2[Outcome],"Success")</f>
        <v>1</v>
      </c>
      <c r="C6">
        <f>COUNTIFS(Table585aa822_e5b9_4c71_8d4b_1b38a2893b5a_2[Players],"83-Peó ",Table585aa822_e5b9_4c71_8d4b_1b38a2893b5a_2[Outcome],"Success")</f>
        <v>1</v>
      </c>
      <c r="D6">
        <f>COUNTIFS(Table585aa822_e5b9_4c71_8d4b_1b38a2893b5a_2[Players],"24-Betty ",Table585aa822_e5b9_4c71_8d4b_1b38a2893b5a_2[Outcome],"Success")</f>
        <v>1</v>
      </c>
      <c r="E6">
        <f>COUNTIFS(Table585aa822_e5b9_4c71_8d4b_1b38a2893b5a_2[Players],"13-Kriszti ",Table585aa822_e5b9_4c71_8d4b_1b38a2893b5a_2[Outcome],"Success")</f>
        <v>3</v>
      </c>
      <c r="F6">
        <f>COUNTIFS(Table585aa822_e5b9_4c71_8d4b_1b38a2893b5a_2[Players],"7-Nina ",Table585aa822_e5b9_4c71_8d4b_1b38a2893b5a_2[Outcome],"Success")</f>
        <v>1</v>
      </c>
      <c r="G6">
        <f>COUNTIFS(Table585aa822_e5b9_4c71_8d4b_1b38a2893b5a_2[Players],"10-Slaki ",Table585aa822_e5b9_4c71_8d4b_1b38a2893b5a_2[Outcome],"Success")</f>
        <v>2</v>
      </c>
      <c r="H6">
        <f>COUNTIFS(Table585aa822_e5b9_4c71_8d4b_1b38a2893b5a_2[Players],"22-Sanda ",Table585aa822_e5b9_4c71_8d4b_1b38a2893b5a_2[Outcome],"Success")</f>
        <v>4</v>
      </c>
      <c r="I6">
        <f>COUNTIFS(Table585aa822_e5b9_4c71_8d4b_1b38a2893b5a_2[Players],"8-Szidi ",Table585aa822_e5b9_4c71_8d4b_1b38a2893b5a_2[Outcome],"Success")</f>
        <v>2</v>
      </c>
      <c r="J6">
        <f>COUNTIFS(Table585aa822_e5b9_4c71_8d4b_1b38a2893b5a_2[Players],"21-Milana ",Table585aa822_e5b9_4c71_8d4b_1b38a2893b5a_2[Outcome],"Success")</f>
        <v>1</v>
      </c>
      <c r="K6">
        <f>COUNTIFS(Table585aa822_e5b9_4c71_8d4b_1b38a2893b5a_2[Players],"10-Kicsi ",Table585aa822_e5b9_4c71_8d4b_1b38a2893b5a_2[Outcome],"Success")</f>
        <v>1</v>
      </c>
      <c r="L6">
        <f>COUNTIFS(Table585aa822_e5b9_4c71_8d4b_1b38a2893b5a_2[Players],"77-Ivana ",Table585aa822_e5b9_4c71_8d4b_1b38a2893b5a_2[Outcome],"Success")</f>
        <v>1</v>
      </c>
      <c r="M6">
        <f>COUNTIFS(Table585aa822_e5b9_4c71_8d4b_1b38a2893b5a_2[Players],"3-Puffi ",Table585aa822_e5b9_4c71_8d4b_1b38a2893b5a_2[Outcome],"Success")</f>
        <v>0</v>
      </c>
      <c r="O6" s="9">
        <f>SUM(Táblázat37[[#This Row],[Zsani]:[Dorka]])</f>
        <v>18</v>
      </c>
      <c r="P6" s="9"/>
    </row>
    <row r="7" spans="1:19" s="16" customFormat="1" ht="15" thickBot="1" x14ac:dyDescent="0.35">
      <c r="A7" s="17"/>
      <c r="B7" s="15">
        <f t="shared" ref="B7:M7" si="1">B6/B5</f>
        <v>0.1111111111111111</v>
      </c>
      <c r="C7" s="15">
        <f t="shared" si="1"/>
        <v>0.33333333333333331</v>
      </c>
      <c r="D7" s="15">
        <f t="shared" si="1"/>
        <v>9.0909090909090912E-2</v>
      </c>
      <c r="E7" s="15">
        <f t="shared" si="1"/>
        <v>0.33333333333333331</v>
      </c>
      <c r="F7" s="15">
        <f t="shared" si="1"/>
        <v>0.14285714285714285</v>
      </c>
      <c r="G7" s="15">
        <f t="shared" si="1"/>
        <v>0.66666666666666663</v>
      </c>
      <c r="H7" s="15">
        <f t="shared" si="1"/>
        <v>0.2</v>
      </c>
      <c r="I7" s="15">
        <f t="shared" si="1"/>
        <v>0.4</v>
      </c>
      <c r="J7" s="15">
        <f t="shared" si="1"/>
        <v>0.5</v>
      </c>
      <c r="K7" s="15">
        <f t="shared" si="1"/>
        <v>0.25</v>
      </c>
      <c r="L7" s="15">
        <f t="shared" si="1"/>
        <v>1</v>
      </c>
      <c r="M7" s="15">
        <f t="shared" si="1"/>
        <v>0</v>
      </c>
      <c r="N7" s="15"/>
      <c r="O7" s="25">
        <f>O6/O5</f>
        <v>0.24</v>
      </c>
      <c r="P7" s="22"/>
    </row>
    <row r="8" spans="1:19" x14ac:dyDescent="0.3">
      <c r="A8" s="8" t="s">
        <v>857</v>
      </c>
      <c r="B8">
        <f>COUNTIF(Table589a5f54_bbfd_4af0_b954_b4ee5c29f01b_2[Players],"1-Zsani ")</f>
        <v>0</v>
      </c>
      <c r="C8">
        <f>COUNTIF(Table589a5f54_bbfd_4af0_b954_b4ee5c29f01b_2[Players],"83-Peó ")</f>
        <v>1</v>
      </c>
      <c r="D8">
        <f>COUNTIF(Table589a5f54_bbfd_4af0_b954_b4ee5c29f01b_2[Players],"24-Betty ")</f>
        <v>0</v>
      </c>
      <c r="E8">
        <f>COUNTIF(Table589a5f54_bbfd_4af0_b954_b4ee5c29f01b_2[Players],"13-Kriszti ")</f>
        <v>0</v>
      </c>
      <c r="F8">
        <f>COUNTIF(Table589a5f54_bbfd_4af0_b954_b4ee5c29f01b_2[Players],"7-Nina ")</f>
        <v>1</v>
      </c>
      <c r="G8">
        <f>COUNTIF(Table589a5f54_bbfd_4af0_b954_b4ee5c29f01b_2[Players],"10-Slaki ")</f>
        <v>0</v>
      </c>
      <c r="H8">
        <f>COUNTIF(Table589a5f54_bbfd_4af0_b954_b4ee5c29f01b_2[Players],"22-Sanda ")</f>
        <v>4</v>
      </c>
      <c r="I8">
        <f>COUNTIF(Table589a5f54_bbfd_4af0_b954_b4ee5c29f01b_2[Players],"8-Szidi ")</f>
        <v>2</v>
      </c>
      <c r="J8">
        <f>COUNTIF(Table589a5f54_bbfd_4af0_b954_b4ee5c29f01b_2[Players],"21-Milana ")</f>
        <v>3</v>
      </c>
      <c r="K8">
        <f>COUNTIF(Table589a5f54_bbfd_4af0_b954_b4ee5c29f01b_2[Players],"10-Kicsi ")</f>
        <v>5</v>
      </c>
      <c r="L8">
        <f>COUNTIF(Table589a5f54_bbfd_4af0_b954_b4ee5c29f01b_2[Players],"77-Ivana ")</f>
        <v>2</v>
      </c>
      <c r="M8">
        <f>COUNTIF(Table589a5f54_bbfd_4af0_b954_b4ee5c29f01b_2[Players],"3-Puffi ")</f>
        <v>1</v>
      </c>
      <c r="N8">
        <f>COUNTIF(Table589a5f54_bbfd_4af0_b954_b4ee5c29f01b_2[Players],"30-Dorka ")</f>
        <v>1</v>
      </c>
      <c r="O8" s="9">
        <f>SUM(Táblázat37[[#This Row],[Zsani]:[Dorka]])</f>
        <v>20</v>
      </c>
      <c r="P8" s="28" t="s">
        <v>901</v>
      </c>
    </row>
    <row r="9" spans="1:19" ht="15" thickBot="1" x14ac:dyDescent="0.35">
      <c r="A9" s="6"/>
      <c r="C9">
        <f>COUNTIFS(Table589a5f54_bbfd_4af0_b954_b4ee5c29f01b_2[Players],"83-Peó ",Table589a5f54_bbfd_4af0_b954_b4ee5c29f01b_2[Outcome],"Success")</f>
        <v>0</v>
      </c>
      <c r="F9">
        <f>COUNTIFS(Table589a5f54_bbfd_4af0_b954_b4ee5c29f01b_2[Players],"7-Nina ",Table589a5f54_bbfd_4af0_b954_b4ee5c29f01b_2[Outcome],"Success")</f>
        <v>0</v>
      </c>
      <c r="H9">
        <f>COUNTIFS(Table589a5f54_bbfd_4af0_b954_b4ee5c29f01b_2[Players],"22-Sanda ",Table589a5f54_bbfd_4af0_b954_b4ee5c29f01b_2[Outcome],"Success")</f>
        <v>1</v>
      </c>
      <c r="I9">
        <f>COUNTIFS(Table589a5f54_bbfd_4af0_b954_b4ee5c29f01b_2[Players],"8-Szidi ",Table589a5f54_bbfd_4af0_b954_b4ee5c29f01b_2[Outcome],"Success")</f>
        <v>1</v>
      </c>
      <c r="J9">
        <f>COUNTIFS(Table589a5f54_bbfd_4af0_b954_b4ee5c29f01b_2[Players],"21-Milana ",Table589a5f54_bbfd_4af0_b954_b4ee5c29f01b_2[Outcome],"Success")</f>
        <v>1</v>
      </c>
      <c r="K9">
        <f>COUNTIFS(Table589a5f54_bbfd_4af0_b954_b4ee5c29f01b_2[Players],"10-Kicsi ",Table589a5f54_bbfd_4af0_b954_b4ee5c29f01b_2[Outcome],"Success")</f>
        <v>0</v>
      </c>
      <c r="L9">
        <f>COUNTIFS(Table589a5f54_bbfd_4af0_b954_b4ee5c29f01b_2[Players],"77-Ivana ",Table589a5f54_bbfd_4af0_b954_b4ee5c29f01b_2[Outcome],"Success")</f>
        <v>0</v>
      </c>
      <c r="M9">
        <f>COUNTIFS(Table589a5f54_bbfd_4af0_b954_b4ee5c29f01b_2[Players],"3-Puffi ",Table589a5f54_bbfd_4af0_b954_b4ee5c29f01b_2[Outcome],"Success")</f>
        <v>0</v>
      </c>
      <c r="N9">
        <f>COUNTIFS(Table589a5f54_bbfd_4af0_b954_b4ee5c29f01b_2[Players],"30-Dorka ",Table589a5f54_bbfd_4af0_b954_b4ee5c29f01b_2[Outcome],"Success")</f>
        <v>0</v>
      </c>
      <c r="O9" s="9">
        <f>SUM(Táblázat37[[#This Row],[Zsani]:[Dorka]])</f>
        <v>3</v>
      </c>
      <c r="P9" s="9"/>
      <c r="S9" s="16"/>
    </row>
    <row r="10" spans="1:19" s="16" customFormat="1" ht="15" thickBot="1" x14ac:dyDescent="0.35">
      <c r="A10" s="38"/>
      <c r="C10" s="15">
        <f>C9/C8</f>
        <v>0</v>
      </c>
      <c r="F10" s="15">
        <f>F9/F8</f>
        <v>0</v>
      </c>
      <c r="H10" s="15">
        <f t="shared" ref="H10:O10" si="2">H9/H8</f>
        <v>0.25</v>
      </c>
      <c r="I10" s="15">
        <f t="shared" si="2"/>
        <v>0.5</v>
      </c>
      <c r="J10" s="15">
        <f t="shared" si="2"/>
        <v>0.33333333333333331</v>
      </c>
      <c r="K10" s="15">
        <f t="shared" si="2"/>
        <v>0</v>
      </c>
      <c r="L10" s="15">
        <f t="shared" si="2"/>
        <v>0</v>
      </c>
      <c r="M10" s="15">
        <f t="shared" si="2"/>
        <v>0</v>
      </c>
      <c r="N10" s="15">
        <f t="shared" si="2"/>
        <v>0</v>
      </c>
      <c r="O10" s="25">
        <f t="shared" si="2"/>
        <v>0.15</v>
      </c>
      <c r="P10" s="22"/>
    </row>
    <row r="11" spans="1:19" x14ac:dyDescent="0.3">
      <c r="A11" s="8" t="s">
        <v>859</v>
      </c>
      <c r="B11">
        <f t="shared" ref="B11:N11" si="3">SUM(B2,B5,B8,B40)</f>
        <v>20</v>
      </c>
      <c r="C11">
        <f t="shared" si="3"/>
        <v>32</v>
      </c>
      <c r="D11">
        <f t="shared" si="3"/>
        <v>28</v>
      </c>
      <c r="E11">
        <f t="shared" si="3"/>
        <v>32</v>
      </c>
      <c r="F11">
        <f t="shared" si="3"/>
        <v>26</v>
      </c>
      <c r="G11">
        <f t="shared" si="3"/>
        <v>26</v>
      </c>
      <c r="H11">
        <f t="shared" si="3"/>
        <v>51</v>
      </c>
      <c r="I11">
        <f t="shared" si="3"/>
        <v>38</v>
      </c>
      <c r="J11">
        <f t="shared" si="3"/>
        <v>26</v>
      </c>
      <c r="K11">
        <f t="shared" si="3"/>
        <v>34</v>
      </c>
      <c r="L11">
        <f t="shared" si="3"/>
        <v>30</v>
      </c>
      <c r="M11">
        <f t="shared" si="3"/>
        <v>18</v>
      </c>
      <c r="N11">
        <f t="shared" si="3"/>
        <v>4</v>
      </c>
      <c r="O11" s="9">
        <f>SUM(Táblázat37[[#This Row],[Zsani]:[Dorka]])</f>
        <v>365</v>
      </c>
      <c r="P11" s="29" t="s">
        <v>900</v>
      </c>
    </row>
    <row r="12" spans="1:19" x14ac:dyDescent="0.3">
      <c r="A12" s="36"/>
      <c r="B12">
        <f t="shared" ref="B12:N12" si="4">SUM(B3,B6,B9,B40)</f>
        <v>12</v>
      </c>
      <c r="C12">
        <f t="shared" si="4"/>
        <v>20</v>
      </c>
      <c r="D12">
        <f t="shared" si="4"/>
        <v>17</v>
      </c>
      <c r="E12">
        <f t="shared" si="4"/>
        <v>18</v>
      </c>
      <c r="F12">
        <f t="shared" si="4"/>
        <v>14</v>
      </c>
      <c r="G12">
        <f t="shared" si="4"/>
        <v>24</v>
      </c>
      <c r="H12">
        <f t="shared" si="4"/>
        <v>28</v>
      </c>
      <c r="I12">
        <f t="shared" si="4"/>
        <v>25</v>
      </c>
      <c r="J12">
        <f t="shared" si="4"/>
        <v>17</v>
      </c>
      <c r="K12">
        <f t="shared" si="4"/>
        <v>20</v>
      </c>
      <c r="L12">
        <f t="shared" si="4"/>
        <v>21</v>
      </c>
      <c r="M12">
        <f t="shared" si="4"/>
        <v>12</v>
      </c>
      <c r="N12">
        <f t="shared" si="4"/>
        <v>3</v>
      </c>
      <c r="O12" s="9">
        <f>SUM(Táblázat37[[#This Row],[Zsani]:[Dorka]])</f>
        <v>231</v>
      </c>
      <c r="P12" s="9"/>
    </row>
    <row r="13" spans="1:19" s="16" customFormat="1" ht="15" thickBot="1" x14ac:dyDescent="0.35">
      <c r="A13" s="17"/>
      <c r="B13" s="15">
        <f t="shared" ref="B13:O13" si="5">B12/B11</f>
        <v>0.6</v>
      </c>
      <c r="C13" s="15">
        <f t="shared" si="5"/>
        <v>0.625</v>
      </c>
      <c r="D13" s="15">
        <f t="shared" si="5"/>
        <v>0.6071428571428571</v>
      </c>
      <c r="E13" s="15">
        <f t="shared" si="5"/>
        <v>0.5625</v>
      </c>
      <c r="F13" s="15">
        <f t="shared" si="5"/>
        <v>0.53846153846153844</v>
      </c>
      <c r="G13" s="15">
        <f t="shared" si="5"/>
        <v>0.92307692307692313</v>
      </c>
      <c r="H13" s="15">
        <f t="shared" si="5"/>
        <v>0.5490196078431373</v>
      </c>
      <c r="I13" s="15">
        <f t="shared" si="5"/>
        <v>0.65789473684210531</v>
      </c>
      <c r="J13" s="15">
        <f t="shared" si="5"/>
        <v>0.65384615384615385</v>
      </c>
      <c r="K13" s="15">
        <f t="shared" si="5"/>
        <v>0.58823529411764708</v>
      </c>
      <c r="L13" s="15">
        <f t="shared" si="5"/>
        <v>0.7</v>
      </c>
      <c r="M13" s="15">
        <f t="shared" si="5"/>
        <v>0.66666666666666663</v>
      </c>
      <c r="N13" s="15">
        <f t="shared" si="5"/>
        <v>0.75</v>
      </c>
      <c r="O13" s="25">
        <f t="shared" si="5"/>
        <v>0.63287671232876708</v>
      </c>
      <c r="P13" s="22"/>
    </row>
    <row r="14" spans="1:19" x14ac:dyDescent="0.3">
      <c r="A14" s="8" t="s">
        <v>398</v>
      </c>
      <c r="B14">
        <f>COUNTIF(Table84a4c27d_488c_4fa7_ad51_50cb6cc99cc5_2[Players],"1-Zsani ")</f>
        <v>0</v>
      </c>
      <c r="C14">
        <f>COUNTIF(Table84a4c27d_488c_4fa7_ad51_50cb6cc99cc5_2[Players],"83-Peó ")</f>
        <v>12</v>
      </c>
      <c r="D14">
        <f>COUNTIF(Table84a4c27d_488c_4fa7_ad51_50cb6cc99cc5_2[Players],"24-Betty ")</f>
        <v>8</v>
      </c>
      <c r="E14">
        <f>COUNTIF(Table84a4c27d_488c_4fa7_ad51_50cb6cc99cc5_2[Players],"13-Kriszti ")</f>
        <v>10</v>
      </c>
      <c r="F14">
        <f>COUNTIF(Table84a4c27d_488c_4fa7_ad51_50cb6cc99cc5_2[Players],"7-Nina ")</f>
        <v>7</v>
      </c>
      <c r="G14">
        <f>COUNTIF(Table84a4c27d_488c_4fa7_ad51_50cb6cc99cc5_2[Players],"10-Slaki ")</f>
        <v>5</v>
      </c>
      <c r="H14">
        <f>COUNTIF(Table84a4c27d_488c_4fa7_ad51_50cb6cc99cc5_2[Players],"22-Sanda ")</f>
        <v>14</v>
      </c>
      <c r="I14">
        <f>COUNTIF(Table84a4c27d_488c_4fa7_ad51_50cb6cc99cc5_2[Players],"8-Szidi ")</f>
        <v>8</v>
      </c>
      <c r="J14">
        <f>COUNTIF(Table84a4c27d_488c_4fa7_ad51_50cb6cc99cc5_2[Players],"21-Milana ")</f>
        <v>8</v>
      </c>
      <c r="K14">
        <f>COUNTIF(Table84a4c27d_488c_4fa7_ad51_50cb6cc99cc5_2[Players],"10-Kicsi ")</f>
        <v>13</v>
      </c>
      <c r="L14">
        <f>COUNTIF(Table84a4c27d_488c_4fa7_ad51_50cb6cc99cc5_2[Players],"77-Ivana ")</f>
        <v>4</v>
      </c>
      <c r="M14">
        <f>COUNTIF(Table84a4c27d_488c_4fa7_ad51_50cb6cc99cc5_2[Players],"3-Puffi ")</f>
        <v>6</v>
      </c>
      <c r="N14">
        <f>COUNTIF(Table84a4c27d_488c_4fa7_ad51_50cb6cc99cc5_2[Players],"30-Dorka ")</f>
        <v>4</v>
      </c>
      <c r="O14" s="9">
        <f>SUM(Táblázat37[[#This Row],[Zsani]:[Dorka]])</f>
        <v>99</v>
      </c>
      <c r="P14" s="28" t="s">
        <v>899</v>
      </c>
    </row>
    <row r="15" spans="1:19" x14ac:dyDescent="0.3">
      <c r="A15" s="7" t="s">
        <v>402</v>
      </c>
      <c r="C15">
        <f>COUNTIFS(Table84a4c27d_488c_4fa7_ad51_50cb6cc99cc5_2[Players],"83-Peó ",Table84a4c27d_488c_4fa7_ad51_50cb6cc99cc5_2[Outcome],"won")</f>
        <v>7</v>
      </c>
      <c r="D15">
        <f>COUNTIFS(Table84a4c27d_488c_4fa7_ad51_50cb6cc99cc5_2[Players],"24-Betty ",Table84a4c27d_488c_4fa7_ad51_50cb6cc99cc5_2[Outcome],"won")</f>
        <v>4</v>
      </c>
      <c r="E15">
        <f>COUNTIFS(Table84a4c27d_488c_4fa7_ad51_50cb6cc99cc5_2[Players],"13-Kriszti ",Table84a4c27d_488c_4fa7_ad51_50cb6cc99cc5_2[Outcome],"won")</f>
        <v>7</v>
      </c>
      <c r="F15">
        <f>COUNTIFS(Table84a4c27d_488c_4fa7_ad51_50cb6cc99cc5_2[Players],"7-Nina ",Table84a4c27d_488c_4fa7_ad51_50cb6cc99cc5_2[Outcome],"won")</f>
        <v>5</v>
      </c>
      <c r="G15">
        <f>COUNTIFS(Table84a4c27d_488c_4fa7_ad51_50cb6cc99cc5_2[Players],"10-Slaki ",Table84a4c27d_488c_4fa7_ad51_50cb6cc99cc5_2[Outcome],"won")</f>
        <v>4</v>
      </c>
      <c r="H15">
        <f>COUNTIFS(Table84a4c27d_488c_4fa7_ad51_50cb6cc99cc5_2[Players],"22-Sanda ",Table84a4c27d_488c_4fa7_ad51_50cb6cc99cc5_2[Outcome],"won")</f>
        <v>9</v>
      </c>
      <c r="I15">
        <f>COUNTIFS(Table84a4c27d_488c_4fa7_ad51_50cb6cc99cc5_2[Players],"8-Szidi ",Table84a4c27d_488c_4fa7_ad51_50cb6cc99cc5_2[Outcome],"won")</f>
        <v>4</v>
      </c>
      <c r="J15">
        <f>COUNTIFS(Table84a4c27d_488c_4fa7_ad51_50cb6cc99cc5_2[Players],"21-Milana ",Table84a4c27d_488c_4fa7_ad51_50cb6cc99cc5_2[Outcome],"won")</f>
        <v>3</v>
      </c>
      <c r="K15">
        <f>COUNTIFS(Table84a4c27d_488c_4fa7_ad51_50cb6cc99cc5_2[Players],"10-Kicsi ",Table84a4c27d_488c_4fa7_ad51_50cb6cc99cc5_2[Outcome],"won")</f>
        <v>6</v>
      </c>
      <c r="L15">
        <f>COUNTIFS(Table84a4c27d_488c_4fa7_ad51_50cb6cc99cc5_2[Players],"77-Ivana ",Table84a4c27d_488c_4fa7_ad51_50cb6cc99cc5_2[Outcome],"won")</f>
        <v>2</v>
      </c>
      <c r="M15">
        <f>COUNTIFS(Table84a4c27d_488c_4fa7_ad51_50cb6cc99cc5_2[Players],"3-Puffi ",Table84a4c27d_488c_4fa7_ad51_50cb6cc99cc5_2[Outcome],"won")</f>
        <v>2</v>
      </c>
      <c r="N15">
        <f>COUNTIFS(Table84a4c27d_488c_4fa7_ad51_50cb6cc99cc5_2[Players],"30-Dorka ",Table84a4c27d_488c_4fa7_ad51_50cb6cc99cc5_2[Outcome],"won")</f>
        <v>2</v>
      </c>
      <c r="O15" s="9">
        <f>SUM(Táblázat37[[#This Row],[Zsani]:[Dorka]])</f>
        <v>55</v>
      </c>
      <c r="P15" s="9"/>
    </row>
    <row r="16" spans="1:19" s="16" customFormat="1" ht="15" thickBot="1" x14ac:dyDescent="0.35">
      <c r="A16" s="17" t="s">
        <v>855</v>
      </c>
      <c r="B16" s="15"/>
      <c r="C16" s="15">
        <f t="shared" ref="C16:O16" si="6">C15/C14</f>
        <v>0.58333333333333337</v>
      </c>
      <c r="D16" s="15">
        <f t="shared" si="6"/>
        <v>0.5</v>
      </c>
      <c r="E16" s="15">
        <f t="shared" si="6"/>
        <v>0.7</v>
      </c>
      <c r="F16" s="15">
        <f t="shared" si="6"/>
        <v>0.7142857142857143</v>
      </c>
      <c r="G16" s="15">
        <f t="shared" si="6"/>
        <v>0.8</v>
      </c>
      <c r="H16" s="15">
        <f t="shared" si="6"/>
        <v>0.6428571428571429</v>
      </c>
      <c r="I16" s="15">
        <f t="shared" si="6"/>
        <v>0.5</v>
      </c>
      <c r="J16" s="15">
        <f t="shared" si="6"/>
        <v>0.375</v>
      </c>
      <c r="K16" s="15">
        <f t="shared" si="6"/>
        <v>0.46153846153846156</v>
      </c>
      <c r="L16" s="15">
        <f t="shared" si="6"/>
        <v>0.5</v>
      </c>
      <c r="M16" s="15">
        <f t="shared" si="6"/>
        <v>0.33333333333333331</v>
      </c>
      <c r="N16" s="15">
        <f t="shared" si="6"/>
        <v>0.5</v>
      </c>
      <c r="O16" s="25">
        <f t="shared" si="6"/>
        <v>0.55555555555555558</v>
      </c>
      <c r="P16" s="22"/>
    </row>
    <row r="17" spans="1:16" x14ac:dyDescent="0.3">
      <c r="A17" s="8" t="s">
        <v>505</v>
      </c>
      <c r="B17">
        <f>COUNTIF(Table361694ab_fb6a_4cb9_a3a4_92c356bab0a4_2[Players],"1-Zsani ")</f>
        <v>0</v>
      </c>
      <c r="C17">
        <f>COUNTIF(Table361694ab_fb6a_4cb9_a3a4_92c356bab0a4_2[Players],"83-Peó ")</f>
        <v>5</v>
      </c>
      <c r="D17">
        <f>COUNTIF(Table361694ab_fb6a_4cb9_a3a4_92c356bab0a4_2[Players],"24-Betty ")</f>
        <v>1</v>
      </c>
      <c r="E17">
        <f>COUNTIF(Table361694ab_fb6a_4cb9_a3a4_92c356bab0a4_2[Players],"213-Kriszti ")</f>
        <v>0</v>
      </c>
      <c r="F17">
        <f>COUNTIF(Table361694ab_fb6a_4cb9_a3a4_92c356bab0a4_2[Players],"7-Nina ")</f>
        <v>2</v>
      </c>
      <c r="G17">
        <f>COUNTIF(Table361694ab_fb6a_4cb9_a3a4_92c356bab0a4_2[Players],"10-Slaki ")</f>
        <v>2</v>
      </c>
      <c r="H17">
        <f>COUNTIF(Table361694ab_fb6a_4cb9_a3a4_92c356bab0a4_2[Players],"22-Sanda ")</f>
        <v>0</v>
      </c>
      <c r="I17">
        <f>COUNTIF(Table361694ab_fb6a_4cb9_a3a4_92c356bab0a4_2[Players],"8-Szidi ")</f>
        <v>3</v>
      </c>
      <c r="J17">
        <f>COUNTIF(Table361694ab_fb6a_4cb9_a3a4_92c356bab0a4_2[Players],"21-Milana ")</f>
        <v>2</v>
      </c>
      <c r="K17">
        <f>COUNTIF(Table361694ab_fb6a_4cb9_a3a4_92c356bab0a4_2[Players],"10-Kicsi ")</f>
        <v>1</v>
      </c>
      <c r="L17">
        <f>COUNTIF(Table361694ab_fb6a_4cb9_a3a4_92c356bab0a4_2[Players],"77-Ivana ")</f>
        <v>4</v>
      </c>
      <c r="M17">
        <f>COUNTIF(Table361694ab_fb6a_4cb9_a3a4_92c356bab0a4_2[Players],"3-Puffi ")</f>
        <v>3</v>
      </c>
      <c r="N17">
        <f>COUNTIF(Table361694ab_fb6a_4cb9_a3a4_92c356bab0a4_2[Players],"30-Dorka ")</f>
        <v>0</v>
      </c>
      <c r="O17" s="9">
        <f>SUM(Táblázat37[[#This Row],[Zsani]:[Dorka]])</f>
        <v>23</v>
      </c>
      <c r="P17" s="28" t="s">
        <v>898</v>
      </c>
    </row>
    <row r="18" spans="1:16" x14ac:dyDescent="0.3">
      <c r="A18" s="10"/>
      <c r="C18">
        <f>COUNTIFS(Table361694ab_fb6a_4cb9_a3a4_92c356bab0a4_2[Players],"83-Peó ",Table361694ab_fb6a_4cb9_a3a4_92c356bab0a4_2[Outcome],"won")</f>
        <v>4</v>
      </c>
      <c r="D18">
        <f>COUNTIFS(Table361694ab_fb6a_4cb9_a3a4_92c356bab0a4_2[Players],"24-Betty ",Table361694ab_fb6a_4cb9_a3a4_92c356bab0a4_2[Outcome],"won")</f>
        <v>0</v>
      </c>
      <c r="F18">
        <f>COUNTIFS(Table361694ab_fb6a_4cb9_a3a4_92c356bab0a4_2[Players],"7-Nina ",Table361694ab_fb6a_4cb9_a3a4_92c356bab0a4_2[Outcome],"won")</f>
        <v>1</v>
      </c>
      <c r="G18">
        <f>COUNTIFS(Table361694ab_fb6a_4cb9_a3a4_92c356bab0a4_2[Players],"10-Slaki ",Table361694ab_fb6a_4cb9_a3a4_92c356bab0a4_2[Outcome],"won")</f>
        <v>2</v>
      </c>
      <c r="I18">
        <f>COUNTIFS(Table361694ab_fb6a_4cb9_a3a4_92c356bab0a4_2[Players],"8-Szidi ",Table361694ab_fb6a_4cb9_a3a4_92c356bab0a4_2[Outcome],"won")</f>
        <v>2</v>
      </c>
      <c r="J18">
        <f>COUNTIFS(Table361694ab_fb6a_4cb9_a3a4_92c356bab0a4_2[Players],"21-Milana ",Table361694ab_fb6a_4cb9_a3a4_92c356bab0a4_2[Outcome],"won")</f>
        <v>0</v>
      </c>
      <c r="K18">
        <f>COUNTIFS(Table361694ab_fb6a_4cb9_a3a4_92c356bab0a4_2[Players],"10-Kicsi ",Table361694ab_fb6a_4cb9_a3a4_92c356bab0a4_2[Outcome],"won")</f>
        <v>0</v>
      </c>
      <c r="L18">
        <f>COUNTIFS(Table361694ab_fb6a_4cb9_a3a4_92c356bab0a4_2[Players],"77-Ivana ",Table361694ab_fb6a_4cb9_a3a4_92c356bab0a4_2[Outcome],"won")</f>
        <v>1</v>
      </c>
      <c r="M18">
        <f>COUNTIFS(Table361694ab_fb6a_4cb9_a3a4_92c356bab0a4_2[Players],"3-Puffi ",Table361694ab_fb6a_4cb9_a3a4_92c356bab0a4_2[Outcome],"won")</f>
        <v>3</v>
      </c>
      <c r="O18" s="9">
        <f>SUM(Táblázat37[[#This Row],[Zsani]:[Dorka]])</f>
        <v>13</v>
      </c>
      <c r="P18" s="9"/>
    </row>
    <row r="19" spans="1:16" s="16" customFormat="1" ht="15" thickBot="1" x14ac:dyDescent="0.35">
      <c r="A19" s="18"/>
      <c r="B19" s="15"/>
      <c r="C19" s="15">
        <f>C18/C17</f>
        <v>0.8</v>
      </c>
      <c r="D19" s="15">
        <f>D18/D17</f>
        <v>0</v>
      </c>
      <c r="E19" s="15"/>
      <c r="F19" s="15">
        <f>F18/F17</f>
        <v>0.5</v>
      </c>
      <c r="G19" s="15">
        <f>G18/G17</f>
        <v>1</v>
      </c>
      <c r="H19" s="15"/>
      <c r="I19" s="15">
        <f>I18/I17</f>
        <v>0.66666666666666663</v>
      </c>
      <c r="J19" s="15">
        <f>J18/J17</f>
        <v>0</v>
      </c>
      <c r="K19" s="15">
        <f>K18/K17</f>
        <v>0</v>
      </c>
      <c r="L19" s="15">
        <f>L18/L17</f>
        <v>0.25</v>
      </c>
      <c r="M19" s="15">
        <f>M18/M17</f>
        <v>1</v>
      </c>
      <c r="N19" s="15"/>
      <c r="O19" s="25">
        <f>O18/O17</f>
        <v>0.56521739130434778</v>
      </c>
      <c r="P19" s="22"/>
    </row>
    <row r="20" spans="1:16" x14ac:dyDescent="0.3">
      <c r="A20" s="8" t="s">
        <v>859</v>
      </c>
      <c r="B20">
        <f t="shared" ref="B20:N20" si="7">SUM(B14,B17)</f>
        <v>0</v>
      </c>
      <c r="C20">
        <f t="shared" si="7"/>
        <v>17</v>
      </c>
      <c r="D20">
        <f t="shared" si="7"/>
        <v>9</v>
      </c>
      <c r="E20">
        <f t="shared" si="7"/>
        <v>10</v>
      </c>
      <c r="F20">
        <f t="shared" si="7"/>
        <v>9</v>
      </c>
      <c r="G20">
        <f t="shared" si="7"/>
        <v>7</v>
      </c>
      <c r="H20">
        <f t="shared" si="7"/>
        <v>14</v>
      </c>
      <c r="I20">
        <f t="shared" si="7"/>
        <v>11</v>
      </c>
      <c r="J20">
        <f t="shared" si="7"/>
        <v>10</v>
      </c>
      <c r="K20">
        <f t="shared" si="7"/>
        <v>14</v>
      </c>
      <c r="L20">
        <f t="shared" si="7"/>
        <v>8</v>
      </c>
      <c r="M20">
        <f t="shared" si="7"/>
        <v>9</v>
      </c>
      <c r="N20">
        <f t="shared" si="7"/>
        <v>4</v>
      </c>
      <c r="O20" s="9">
        <f>SUM(Táblázat37[[#This Row],[Zsani]:[Dorka]])</f>
        <v>122</v>
      </c>
      <c r="P20" s="30" t="s">
        <v>897</v>
      </c>
    </row>
    <row r="21" spans="1:16" x14ac:dyDescent="0.3">
      <c r="A21" s="7"/>
      <c r="C21">
        <f t="shared" ref="C21:N21" si="8">SUM(C18,C15)</f>
        <v>11</v>
      </c>
      <c r="D21">
        <f t="shared" si="8"/>
        <v>4</v>
      </c>
      <c r="E21">
        <f t="shared" si="8"/>
        <v>7</v>
      </c>
      <c r="F21">
        <f t="shared" si="8"/>
        <v>6</v>
      </c>
      <c r="G21">
        <f t="shared" si="8"/>
        <v>6</v>
      </c>
      <c r="H21">
        <f t="shared" si="8"/>
        <v>9</v>
      </c>
      <c r="I21">
        <f t="shared" si="8"/>
        <v>6</v>
      </c>
      <c r="J21">
        <f t="shared" si="8"/>
        <v>3</v>
      </c>
      <c r="K21">
        <f t="shared" si="8"/>
        <v>6</v>
      </c>
      <c r="L21">
        <f t="shared" si="8"/>
        <v>3</v>
      </c>
      <c r="M21">
        <f t="shared" si="8"/>
        <v>5</v>
      </c>
      <c r="N21">
        <f t="shared" si="8"/>
        <v>2</v>
      </c>
      <c r="O21" s="9">
        <f>SUM(Táblázat37[[#This Row],[Zsani]:[Dorka]])</f>
        <v>68</v>
      </c>
      <c r="P21" s="26"/>
    </row>
    <row r="22" spans="1:16" s="16" customFormat="1" ht="15" thickBot="1" x14ac:dyDescent="0.35">
      <c r="A22" s="17"/>
      <c r="C22" s="15">
        <f t="shared" ref="C22:O22" si="9">C21/C20</f>
        <v>0.6470588235294118</v>
      </c>
      <c r="D22" s="15">
        <f t="shared" si="9"/>
        <v>0.44444444444444442</v>
      </c>
      <c r="E22" s="15">
        <f t="shared" si="9"/>
        <v>0.7</v>
      </c>
      <c r="F22" s="15">
        <f t="shared" si="9"/>
        <v>0.66666666666666663</v>
      </c>
      <c r="G22" s="15">
        <f t="shared" si="9"/>
        <v>0.8571428571428571</v>
      </c>
      <c r="H22" s="15">
        <f t="shared" si="9"/>
        <v>0.6428571428571429</v>
      </c>
      <c r="I22" s="15">
        <f t="shared" si="9"/>
        <v>0.54545454545454541</v>
      </c>
      <c r="J22" s="15">
        <f t="shared" si="9"/>
        <v>0.3</v>
      </c>
      <c r="K22" s="15">
        <f t="shared" si="9"/>
        <v>0.42857142857142855</v>
      </c>
      <c r="L22" s="15">
        <f t="shared" si="9"/>
        <v>0.375</v>
      </c>
      <c r="M22" s="15">
        <f t="shared" si="9"/>
        <v>0.55555555555555558</v>
      </c>
      <c r="N22" s="15">
        <f t="shared" si="9"/>
        <v>0.5</v>
      </c>
      <c r="O22" s="25">
        <f t="shared" si="9"/>
        <v>0.55737704918032782</v>
      </c>
      <c r="P22" s="27"/>
    </row>
    <row r="23" spans="1:16" s="19" customFormat="1" ht="15" thickBot="1" x14ac:dyDescent="0.35">
      <c r="A23" s="3" t="s">
        <v>301</v>
      </c>
      <c r="B23" s="19">
        <f>COUNTIF(Tabled398149f_c829_4b40_bdf6_4d4b1881f6d6_2[Players],"1-Zsani ")</f>
        <v>0</v>
      </c>
      <c r="C23" s="19">
        <f>COUNTIF(Tabled398149f_c829_4b40_bdf6_4d4b1881f6d6_2[Players],"83-Peó ")</f>
        <v>15</v>
      </c>
      <c r="D23" s="19">
        <f>COUNTIF(Tabled398149f_c829_4b40_bdf6_4d4b1881f6d6_2[Players],"24-Betty ")</f>
        <v>4</v>
      </c>
      <c r="E23" s="19">
        <f>COUNTIF(Tabled398149f_c829_4b40_bdf6_4d4b1881f6d6_2[Players],"13-Kriszti ")</f>
        <v>12</v>
      </c>
      <c r="F23" s="19">
        <f>COUNTIF(Tabled398149f_c829_4b40_bdf6_4d4b1881f6d6_2[Players],"7-Nina ")</f>
        <v>8</v>
      </c>
      <c r="G23" s="19">
        <f>COUNTIF(Tabled398149f_c829_4b40_bdf6_4d4b1881f6d6_2[Players],"10-Slaki ")</f>
        <v>8</v>
      </c>
      <c r="H23" s="19">
        <f>COUNTIF(Tabled398149f_c829_4b40_bdf6_4d4b1881f6d6_2[Players],"22-Sanda ")</f>
        <v>15</v>
      </c>
      <c r="I23" s="19">
        <f>COUNTIF(Tabled398149f_c829_4b40_bdf6_4d4b1881f6d6_2[Players],"8-Szidi ")</f>
        <v>7</v>
      </c>
      <c r="J23" s="19">
        <f>COUNTIF(Tabled398149f_c829_4b40_bdf6_4d4b1881f6d6_2[Players],"21-Milana ")</f>
        <v>3</v>
      </c>
      <c r="K23" s="19">
        <f>COUNTIF(Tabled398149f_c829_4b40_bdf6_4d4b1881f6d6_2[Players],"10-Kicsi ")</f>
        <v>10</v>
      </c>
      <c r="L23" s="19">
        <f>COUNTIF(Tabled398149f_c829_4b40_bdf6_4d4b1881f6d6_2[Players],"77-Ivana ")</f>
        <v>5</v>
      </c>
      <c r="M23" s="19">
        <f>COUNTIF(Tabled398149f_c829_4b40_bdf6_4d4b1881f6d6_2[Players],"3-Puffi ")</f>
        <v>6</v>
      </c>
      <c r="N23" s="19">
        <f>COUNTIF(Tabled398149f_c829_4b40_bdf6_4d4b1881f6d6_2[Players],"30-Dorka ")</f>
        <v>1</v>
      </c>
      <c r="O23" s="23">
        <f>SUM(Táblázat37[[#This Row],[Zsani]:[Dorka]])</f>
        <v>94</v>
      </c>
      <c r="P23" s="31" t="s">
        <v>896</v>
      </c>
    </row>
    <row r="24" spans="1:16" s="16" customFormat="1" ht="15" thickBot="1" x14ac:dyDescent="0.35">
      <c r="A24" s="20" t="s">
        <v>860</v>
      </c>
      <c r="B24" s="16">
        <f>COUNTIF(Tableb64dd8be_98bb_4cd6_a2f4_1d11ff3bf4ed_2[Players],"1-Zsani ")</f>
        <v>0</v>
      </c>
      <c r="C24" s="16">
        <f>COUNTIF(Tableb64dd8be_98bb_4cd6_a2f4_1d11ff3bf4ed_2[Players],"83-Peó ")</f>
        <v>0</v>
      </c>
      <c r="D24" s="16">
        <f>COUNTIF(Tableb64dd8be_98bb_4cd6_a2f4_1d11ff3bf4ed_2[Players],"24-Betty ")</f>
        <v>2</v>
      </c>
      <c r="E24" s="16">
        <f>COUNTIF(Tableb64dd8be_98bb_4cd6_a2f4_1d11ff3bf4ed_2[Players],"13-Kriszti ")</f>
        <v>0</v>
      </c>
      <c r="F24" s="16">
        <f>COUNTIF(Tableb64dd8be_98bb_4cd6_a2f4_1d11ff3bf4ed_2[Players],"7-Nina ")</f>
        <v>0</v>
      </c>
      <c r="G24" s="16">
        <f>COUNTIF(Tableb64dd8be_98bb_4cd6_a2f4_1d11ff3bf4ed_2[Players],"10-Slaki ")</f>
        <v>1</v>
      </c>
      <c r="H24" s="16">
        <f>COUNTIF(Tableb64dd8be_98bb_4cd6_a2f4_1d11ff3bf4ed_2[Players],"22-Sanda ")</f>
        <v>2</v>
      </c>
      <c r="I24" s="16">
        <f>COUNTIF(Tableb64dd8be_98bb_4cd6_a2f4_1d11ff3bf4ed_2[Players],"8-Szidi ")</f>
        <v>2</v>
      </c>
      <c r="J24" s="16">
        <f>COUNTIF(Tableb64dd8be_98bb_4cd6_a2f4_1d11ff3bf4ed_2[Players],"21-Milana ")</f>
        <v>0</v>
      </c>
      <c r="K24" s="16">
        <f>COUNTIF(Tableb64dd8be_98bb_4cd6_a2f4_1d11ff3bf4ed_2[Players],"10-Kicsi ")</f>
        <v>0</v>
      </c>
      <c r="L24" s="16">
        <f>COUNTIF(Tableb64dd8be_98bb_4cd6_a2f4_1d11ff3bf4ed_2[Players],"77-Ivana ")</f>
        <v>5</v>
      </c>
      <c r="M24" s="16">
        <f>COUNTIF(Tableb64dd8be_98bb_4cd6_a2f4_1d11ff3bf4ed_2[Players],"3-Puffi ")</f>
        <v>1</v>
      </c>
      <c r="N24" s="16">
        <f>COUNTIF(Tableb64dd8be_98bb_4cd6_a2f4_1d11ff3bf4ed_2[Players],"30-Dorka ")</f>
        <v>1</v>
      </c>
      <c r="O24" s="22">
        <f>SUM(Táblázat37[[#This Row],[Zsani]:[Dorka]])</f>
        <v>14</v>
      </c>
      <c r="P24" s="32" t="s">
        <v>905</v>
      </c>
    </row>
    <row r="25" spans="1:16" s="16" customFormat="1" ht="15" thickBot="1" x14ac:dyDescent="0.35">
      <c r="A25" s="20" t="s">
        <v>861</v>
      </c>
      <c r="B25" s="16">
        <f>COUNTIF(Table61a4fab7_73b8_4116_89ab_20b1c0c132c3_2[Players],"1-Zsani ")</f>
        <v>0</v>
      </c>
      <c r="C25" s="16">
        <f>COUNTIF(Table61a4fab7_73b8_4116_89ab_20b1c0c132c3_2[Players],"83-Peó ")</f>
        <v>2</v>
      </c>
      <c r="D25" s="16">
        <f>COUNTIF(Table61a4fab7_73b8_4116_89ab_20b1c0c132c3_2[Players],"24-Betty ")</f>
        <v>0</v>
      </c>
      <c r="E25" s="16">
        <f>COUNTIF(Table61a4fab7_73b8_4116_89ab_20b1c0c132c3_2[Players],"13-Kriszti ")</f>
        <v>0</v>
      </c>
      <c r="F25" s="16">
        <f>COUNTIF(Table61a4fab7_73b8_4116_89ab_20b1c0c132c3_2[Players],"7-Nina ")</f>
        <v>1</v>
      </c>
      <c r="G25" s="16">
        <f>COUNTIF(Table61a4fab7_73b8_4116_89ab_20b1c0c132c3_2[Players],"10-Slaki ")</f>
        <v>4</v>
      </c>
      <c r="H25" s="16">
        <f>COUNTIF(Table61a4fab7_73b8_4116_89ab_20b1c0c132c3_2[Players],"22-Sanda ")</f>
        <v>4</v>
      </c>
      <c r="I25" s="16">
        <f>COUNTIF(Table61a4fab7_73b8_4116_89ab_20b1c0c132c3_2[Players],"8-Szidi ")</f>
        <v>1</v>
      </c>
      <c r="J25" s="16">
        <f>COUNTIF(Table61a4fab7_73b8_4116_89ab_20b1c0c132c3_2[Players],"21-Milana ")</f>
        <v>1</v>
      </c>
      <c r="K25" s="16">
        <f>COUNTIF(Table61a4fab7_73b8_4116_89ab_20b1c0c132c3_2[Players],"10-Kicsi ")</f>
        <v>0</v>
      </c>
      <c r="L25" s="16">
        <f>COUNTIF(Table61a4fab7_73b8_4116_89ab_20b1c0c132c3_2[Players],"77-Ivana ")</f>
        <v>0</v>
      </c>
      <c r="M25" s="16">
        <f>COUNTIF(Table61a4fab7_73b8_4116_89ab_20b1c0c132c3_2[Players],"3-Puffi ")</f>
        <v>0</v>
      </c>
      <c r="N25" s="16">
        <f>COUNTIF(Table61a4fab7_73b8_4116_89ab_20b1c0c132c3_2[Players],"30-Dorka ")</f>
        <v>0</v>
      </c>
      <c r="O25" s="22">
        <f>SUM(Táblázat37[[#This Row],[Zsani]:[Dorka]])</f>
        <v>13</v>
      </c>
      <c r="P25" s="32" t="s">
        <v>906</v>
      </c>
    </row>
    <row r="26" spans="1:16" s="16" customFormat="1" ht="15" thickBot="1" x14ac:dyDescent="0.35">
      <c r="A26" s="21" t="s">
        <v>734</v>
      </c>
      <c r="B26" s="16">
        <f>ROWS(Tableb73d4628_0fcf_4ab6_9c2e_5cc80e5a1775_2[Players])</f>
        <v>5</v>
      </c>
      <c r="O26" s="22">
        <f>SUM(Táblázat37[[#This Row],[Zsani]:[Dorka]])</f>
        <v>5</v>
      </c>
      <c r="P26" s="32" t="s">
        <v>895</v>
      </c>
    </row>
    <row r="27" spans="1:16" s="16" customFormat="1" ht="15" thickBot="1" x14ac:dyDescent="0.35">
      <c r="A27" s="20" t="s">
        <v>862</v>
      </c>
      <c r="B27" s="16">
        <f>COUNTIF(Tableb6582a76_2a12_446f_a06e_43d53b982cad_2[Players],"1-Zsani ")</f>
        <v>4</v>
      </c>
      <c r="C27" s="16">
        <f>COUNTIF(Tableb6582a76_2a12_446f_a06e_43d53b982cad_2[Players],"83-Peó ")</f>
        <v>5</v>
      </c>
      <c r="D27" s="16">
        <f>COUNTIF(Tableb6582a76_2a12_446f_a06e_43d53b982cad_2[Players],"24-Betty ")</f>
        <v>8</v>
      </c>
      <c r="E27" s="16">
        <f>COUNTIF(Tableb6582a76_2a12_446f_a06e_43d53b982cad_2[Players],"13-Kriszti ")</f>
        <v>6</v>
      </c>
      <c r="F27" s="16">
        <f>COUNTIF(Tableb6582a76_2a12_446f_a06e_43d53b982cad_2[Players],"7-Nina ")</f>
        <v>2</v>
      </c>
      <c r="G27" s="16">
        <f>COUNTIF(Tableb6582a76_2a12_446f_a06e_43d53b982cad_2[Players],"10-Slaki ")</f>
        <v>4</v>
      </c>
      <c r="H27" s="16">
        <f>COUNTIF(Tableb6582a76_2a12_446f_a06e_43d53b982cad_2[Players],"22-Sanda ")</f>
        <v>0</v>
      </c>
      <c r="I27" s="16">
        <f>COUNTIF(Tableb6582a76_2a12_446f_a06e_43d53b982cad_2[Players],"8-Szidi ")</f>
        <v>0</v>
      </c>
      <c r="J27" s="16">
        <f>COUNTIF(Tableb6582a76_2a12_446f_a06e_43d53b982cad_2[Players],"21-Milana ")</f>
        <v>0</v>
      </c>
      <c r="K27" s="16">
        <f>COUNTIF(Tableb6582a76_2a12_446f_a06e_43d53b982cad_2[Players],"10-Kicsi ")</f>
        <v>0</v>
      </c>
      <c r="L27" s="16">
        <f>COUNTIF(Tableb6582a76_2a12_446f_a06e_43d53b982cad_2[Players],"77-Ivana ")</f>
        <v>0</v>
      </c>
      <c r="M27" s="16">
        <f>COUNTIF(Tableb6582a76_2a12_446f_a06e_43d53b982cad_2[Players],"3-Puffi ")</f>
        <v>0</v>
      </c>
      <c r="N27" s="16">
        <f>COUNTIF(Tableb6582a76_2a12_446f_a06e_43d53b982cad_2[Players],"30-Dorka ")</f>
        <v>0</v>
      </c>
      <c r="O27" s="22">
        <f>SUM(Táblázat37[[#This Row],[Zsani]:[Dorka]])</f>
        <v>29</v>
      </c>
      <c r="P27" s="32" t="s">
        <v>894</v>
      </c>
    </row>
    <row r="28" spans="1:16" x14ac:dyDescent="0.3">
      <c r="A28" s="39" t="s">
        <v>583</v>
      </c>
      <c r="C28">
        <f>COUNTIF(Table895bb942_24c4_487e_98b1_b3ff3b1ae971_2[Players],"83-Peó ")</f>
        <v>0</v>
      </c>
      <c r="D28">
        <f>COUNTIF(Table895bb942_24c4_487e_98b1_b3ff3b1ae971_2[Players],"24-Betty ")</f>
        <v>0</v>
      </c>
      <c r="E28">
        <f>COUNTIF(Table895bb942_24c4_487e_98b1_b3ff3b1ae971_2[Players],"13-Kriszti ")</f>
        <v>0</v>
      </c>
      <c r="F28">
        <f>COUNTIF(Table895bb942_24c4_487e_98b1_b3ff3b1ae971_2[Players],"7-Nina ")</f>
        <v>0</v>
      </c>
      <c r="G28">
        <f>COUNTIF(Table895bb942_24c4_487e_98b1_b3ff3b1ae971_2[Players],"10-Slaki ")</f>
        <v>0</v>
      </c>
      <c r="H28">
        <f>COUNTIF(Table895bb942_24c4_487e_98b1_b3ff3b1ae971_2[Players],"22-Sanda ")</f>
        <v>1</v>
      </c>
      <c r="I28">
        <f>COUNTIF(Table895bb942_24c4_487e_98b1_b3ff3b1ae971_2[Players],"8-Szidi ")</f>
        <v>2</v>
      </c>
      <c r="J28">
        <f>COUNTIF(Table895bb942_24c4_487e_98b1_b3ff3b1ae971_2[Players],"21-Milana ")</f>
        <v>4</v>
      </c>
      <c r="K28">
        <f>COUNTIF(Table895bb942_24c4_487e_98b1_b3ff3b1ae971_2[Players],"10-Kicsi ")</f>
        <v>1</v>
      </c>
      <c r="L28">
        <f>COUNTIF(Table895bb942_24c4_487e_98b1_b3ff3b1ae971_2[Players],"77-Ivana ")</f>
        <v>8</v>
      </c>
      <c r="M28">
        <f>COUNTIF(Table895bb942_24c4_487e_98b1_b3ff3b1ae971_2[Players],"3-Puffi ")</f>
        <v>2</v>
      </c>
      <c r="N28">
        <f>COUNTIF(Table895bb942_24c4_487e_98b1_b3ff3b1ae971_2[Players],"30-Dorka ")</f>
        <v>1</v>
      </c>
      <c r="O28" s="42">
        <f>SUM(Táblázat37[[#This Row],[Zsani]:[Dorka]])</f>
        <v>19</v>
      </c>
      <c r="P28" s="33" t="s">
        <v>889</v>
      </c>
    </row>
    <row r="29" spans="1:16" x14ac:dyDescent="0.3">
      <c r="A29" s="7" t="s">
        <v>598</v>
      </c>
      <c r="L29">
        <f>COUNTIFS(Table895bb942_24c4_487e_98b1_b3ff3b1ae971_2[Players],"77-Ivana ",Table895bb942_24c4_487e_98b1_b3ff3b1ae971_2[Outcome],"on target")</f>
        <v>2</v>
      </c>
      <c r="O29" s="9">
        <f>SUM(Táblázat37[[#This Row],[Zsani]:[Dorka]])</f>
        <v>2</v>
      </c>
      <c r="P29" s="37" t="s">
        <v>890</v>
      </c>
    </row>
    <row r="30" spans="1:16" x14ac:dyDescent="0.3">
      <c r="A30" s="6" t="s">
        <v>588</v>
      </c>
      <c r="H30">
        <f>COUNTIFS(Table895bb942_24c4_487e_98b1_b3ff3b1ae971_2[Players],"22-Sanda ",Table895bb942_24c4_487e_98b1_b3ff3b1ae971_2[Outcome],"off target")</f>
        <v>1</v>
      </c>
      <c r="I30">
        <f>COUNTIFS(Table895bb942_24c4_487e_98b1_b3ff3b1ae971_2[Players],"8-Szidi ",Table895bb942_24c4_487e_98b1_b3ff3b1ae971_2[Outcome],"off target")</f>
        <v>2</v>
      </c>
      <c r="J30">
        <f>COUNTIFS(Table895bb942_24c4_487e_98b1_b3ff3b1ae971_2[Players],"21-Milana ",Table895bb942_24c4_487e_98b1_b3ff3b1ae971_2[Outcome],"off target")</f>
        <v>3</v>
      </c>
      <c r="K30">
        <f>COUNTIFS(Table895bb942_24c4_487e_98b1_b3ff3b1ae971_2[Players],"10-Kicsi ",Table895bb942_24c4_487e_98b1_b3ff3b1ae971_2[Outcome],"off target")</f>
        <v>1</v>
      </c>
      <c r="L30">
        <f>COUNTIFS(Table895bb942_24c4_487e_98b1_b3ff3b1ae971_2[Players],"77-Ivana ",Table895bb942_24c4_487e_98b1_b3ff3b1ae971_2[Outcome],"off target")</f>
        <v>5</v>
      </c>
      <c r="M30">
        <f>COUNTIFS(Table895bb942_24c4_487e_98b1_b3ff3b1ae971_2[Players],"3-Puffi ",Table895bb942_24c4_487e_98b1_b3ff3b1ae971_2[Outcome],"off target")</f>
        <v>2</v>
      </c>
      <c r="N30">
        <f>COUNTIFS(Table895bb942_24c4_487e_98b1_b3ff3b1ae971_2[Players],"30-Dorka ",Table895bb942_24c4_487e_98b1_b3ff3b1ae971_2[Outcome],"off target")</f>
        <v>1</v>
      </c>
      <c r="O30" s="9">
        <f>SUM(Táblázat37[[#This Row],[Zsani]:[Dorka]])</f>
        <v>15</v>
      </c>
      <c r="P30" s="36" t="s">
        <v>891</v>
      </c>
    </row>
    <row r="31" spans="1:16" x14ac:dyDescent="0.3">
      <c r="A31" s="7" t="s">
        <v>865</v>
      </c>
      <c r="O31" s="9">
        <f>SUM(Táblázat37[[#This Row],[Zsani]:[Dorka]])</f>
        <v>0</v>
      </c>
      <c r="P31" s="37" t="s">
        <v>892</v>
      </c>
    </row>
    <row r="32" spans="1:16" s="16" customFormat="1" ht="15" thickBot="1" x14ac:dyDescent="0.35">
      <c r="A32" s="13" t="s">
        <v>593</v>
      </c>
      <c r="J32" s="16">
        <f>COUNTIFS(Table895bb942_24c4_487e_98b1_b3ff3b1ae971_2[Players],"21-Milana ",Table895bb942_24c4_487e_98b1_b3ff3b1ae971_2[Outcome],"goal")</f>
        <v>1</v>
      </c>
      <c r="L32" s="16">
        <f>COUNTIFS(Table895bb942_24c4_487e_98b1_b3ff3b1ae971_2[Players],"77-Ivana ",Table895bb942_24c4_487e_98b1_b3ff3b1ae971_2[Outcome],"goal")</f>
        <v>1</v>
      </c>
      <c r="O32" s="22">
        <f>SUM(Táblázat37[[#This Row],[Zsani]:[Dorka]])</f>
        <v>2</v>
      </c>
      <c r="P32" s="38" t="s">
        <v>893</v>
      </c>
    </row>
    <row r="33" spans="1:16" x14ac:dyDescent="0.3">
      <c r="A33" s="8" t="s">
        <v>785</v>
      </c>
      <c r="B33">
        <f>COUNTIF(Table94a1bf78_bf9c_4e98_9c15_26d640b90420_2[Players],"1-Zsani ")</f>
        <v>0</v>
      </c>
      <c r="C33">
        <f>COUNTIF(Table94a1bf78_bf9c_4e98_9c15_26d640b90420_2[Players],"83-Peó ")</f>
        <v>0</v>
      </c>
      <c r="D33">
        <f>COUNTIF(Table94a1bf78_bf9c_4e98_9c15_26d640b90420_2[Players],"24-Betty ")</f>
        <v>0</v>
      </c>
      <c r="E33">
        <f>COUNTIF(Table94a1bf78_bf9c_4e98_9c15_26d640b90420_2[Players],"13-Kriszti ")</f>
        <v>3</v>
      </c>
      <c r="F33">
        <f>COUNTIF(Table94a1bf78_bf9c_4e98_9c15_26d640b90420_2[Players],"7-Nina ")</f>
        <v>1</v>
      </c>
      <c r="G33">
        <f>COUNTIF(Table94a1bf78_bf9c_4e98_9c15_26d640b90420_2[Players],"10-Slaki ")</f>
        <v>0</v>
      </c>
      <c r="H33">
        <f>COUNTIF(Table94a1bf78_bf9c_4e98_9c15_26d640b90420_2[Players],"22-Sanda ")</f>
        <v>4</v>
      </c>
      <c r="I33">
        <f>COUNTIF(Table94a1bf78_bf9c_4e98_9c15_26d640b90420_2[Players],"8-Szidi ")</f>
        <v>11</v>
      </c>
      <c r="J33">
        <f>COUNTIF(Table94a1bf78_bf9c_4e98_9c15_26d640b90420_2[Players],"21-Milana ")</f>
        <v>7</v>
      </c>
      <c r="K33">
        <f>COUNTIF(Table94a1bf78_bf9c_4e98_9c15_26d640b90420_2[Players],"10-Kicsi ")</f>
        <v>4</v>
      </c>
      <c r="L33">
        <f>COUNTIF(Table94a1bf78_bf9c_4e98_9c15_26d640b90420_2[Players],"77-Ivana ")</f>
        <v>3</v>
      </c>
      <c r="M33">
        <f>COUNTIF(Table94a1bf78_bf9c_4e98_9c15_26d640b90420_2[Players],"3-Puffi ")</f>
        <v>0</v>
      </c>
      <c r="N33">
        <f>COUNTIF(Table94a1bf78_bf9c_4e98_9c15_26d640b90420_2[Players],"30-Dorka ")</f>
        <v>1</v>
      </c>
      <c r="O33" s="9">
        <f>SUM(Táblázat37[[#This Row],[Zsani]:[Dorka]])</f>
        <v>34</v>
      </c>
      <c r="P33" s="28" t="s">
        <v>888</v>
      </c>
    </row>
    <row r="34" spans="1:16" x14ac:dyDescent="0.3">
      <c r="A34" s="6" t="s">
        <v>787</v>
      </c>
      <c r="E34">
        <f>COUNTIFS(Table94a1bf78_bf9c_4e98_9c15_26d640b90420_2[Players],"13-Kriszti ",Table94a1bf78_bf9c_4e98_9c15_26d640b90420_2[Outcome],"successful")</f>
        <v>2</v>
      </c>
      <c r="F34">
        <f>COUNTIFS(Table94a1bf78_bf9c_4e98_9c15_26d640b90420_2[Players],"7-Nina ",Table94a1bf78_bf9c_4e98_9c15_26d640b90420_2[Outcome],"successful")</f>
        <v>1</v>
      </c>
      <c r="H34">
        <f>COUNTIFS(Table94a1bf78_bf9c_4e98_9c15_26d640b90420_2[Players],"22-Sanda ",Table94a1bf78_bf9c_4e98_9c15_26d640b90420_2[Outcome],"successful")</f>
        <v>2</v>
      </c>
      <c r="I34">
        <f>COUNTIFS(Table94a1bf78_bf9c_4e98_9c15_26d640b90420_2[Players],"8-Szidi ",Table94a1bf78_bf9c_4e98_9c15_26d640b90420_2[Outcome],"successful")</f>
        <v>10</v>
      </c>
      <c r="J34">
        <f>COUNTIFS(Table94a1bf78_bf9c_4e98_9c15_26d640b90420_2[Players],"21-Milana ",Table94a1bf78_bf9c_4e98_9c15_26d640b90420_2[Outcome],"successful")</f>
        <v>4</v>
      </c>
      <c r="K34">
        <f>COUNTIFS(Table94a1bf78_bf9c_4e98_9c15_26d640b90420_2[Players],"10-Kicsi ",Table94a1bf78_bf9c_4e98_9c15_26d640b90420_2[Outcome],"successful")</f>
        <v>4</v>
      </c>
      <c r="L34">
        <f>COUNTIFS(Table94a1bf78_bf9c_4e98_9c15_26d640b90420_2[Players],"77-Ivana ",Table94a1bf78_bf9c_4e98_9c15_26d640b90420_2[Outcome],"successful")</f>
        <v>3</v>
      </c>
      <c r="N34">
        <f>COUNTIFS(Table94a1bf78_bf9c_4e98_9c15_26d640b90420_2[Players],"30-Dorka ",Table94a1bf78_bf9c_4e98_9c15_26d640b90420_2[Outcome],"successful")</f>
        <v>0</v>
      </c>
      <c r="O34" s="9">
        <f>SUM(Táblázat37[[#This Row],[Zsani]:[Dorka]])</f>
        <v>26</v>
      </c>
      <c r="P34" s="9"/>
    </row>
    <row r="35" spans="1:16" s="16" customFormat="1" ht="15" thickBot="1" x14ac:dyDescent="0.35">
      <c r="A35" s="14" t="s">
        <v>855</v>
      </c>
      <c r="E35" s="15">
        <f>E34/E33</f>
        <v>0.66666666666666663</v>
      </c>
      <c r="F35" s="15">
        <f>F34/F33</f>
        <v>1</v>
      </c>
      <c r="H35" s="15">
        <f>H34/H33</f>
        <v>0.5</v>
      </c>
      <c r="I35" s="15">
        <f>I34/I33</f>
        <v>0.90909090909090906</v>
      </c>
      <c r="J35" s="15">
        <f>J34/J33</f>
        <v>0.5714285714285714</v>
      </c>
      <c r="K35" s="15">
        <f>K34/K33</f>
        <v>1</v>
      </c>
      <c r="L35" s="15">
        <f>L34/L33</f>
        <v>1</v>
      </c>
      <c r="N35" s="15">
        <f>N34/N33</f>
        <v>0</v>
      </c>
      <c r="O35" s="25">
        <f>O34/O33</f>
        <v>0.76470588235294112</v>
      </c>
      <c r="P35" s="22"/>
    </row>
    <row r="36" spans="1:16" x14ac:dyDescent="0.3">
      <c r="A36" s="8" t="s">
        <v>863</v>
      </c>
      <c r="B36">
        <f>COUNTIF(Table578f4f9c_5cc8_4a47_acaa_01ddd27af172_2[Players],"1-Zsani ")</f>
        <v>0</v>
      </c>
      <c r="C36">
        <f>COUNTIF(Table578f4f9c_5cc8_4a47_acaa_01ddd27af172_2[Players],"83-Peó ")</f>
        <v>18</v>
      </c>
      <c r="D36">
        <f>COUNTIF(Table578f4f9c_5cc8_4a47_acaa_01ddd27af172_2[Players],"24-Betty ")</f>
        <v>6</v>
      </c>
      <c r="E36">
        <f>COUNTIF(Table578f4f9c_5cc8_4a47_acaa_01ddd27af172_2[Players],"13-Kriszti ")</f>
        <v>1</v>
      </c>
      <c r="F36">
        <f>COUNTIF(Table578f4f9c_5cc8_4a47_acaa_01ddd27af172_2[Players],"7-Nina ")</f>
        <v>12</v>
      </c>
      <c r="G36">
        <f>COUNTIF(Table578f4f9c_5cc8_4a47_acaa_01ddd27af172_2[Players],"10-Slaki ")</f>
        <v>0</v>
      </c>
      <c r="H36">
        <f>COUNTIF(Table578f4f9c_5cc8_4a47_acaa_01ddd27af172_2[Players],"22-Sanda ")</f>
        <v>0</v>
      </c>
      <c r="I36">
        <f>COUNTIF(Table578f4f9c_5cc8_4a47_acaa_01ddd27af172_2[Players],"8-Szidi ")</f>
        <v>1</v>
      </c>
      <c r="J36">
        <f>COUNTIF(Table578f4f9c_5cc8_4a47_acaa_01ddd27af172_2[Players],"21-Milana ")</f>
        <v>1</v>
      </c>
      <c r="K36">
        <f>COUNTIF(Table578f4f9c_5cc8_4a47_acaa_01ddd27af172_2[Players],"10-Kicsi ")</f>
        <v>1</v>
      </c>
      <c r="L36">
        <f>COUNTIF(Table578f4f9c_5cc8_4a47_acaa_01ddd27af172_2[Players],"77-Ivana ")</f>
        <v>0</v>
      </c>
      <c r="M36">
        <f>COUNTIF(Table578f4f9c_5cc8_4a47_acaa_01ddd27af172_2[Players],"3-Puffi ")</f>
        <v>1</v>
      </c>
      <c r="N36">
        <f>COUNTIF(Table578f4f9c_5cc8_4a47_acaa_01ddd27af172_2[Players],"30-Dorka ")</f>
        <v>1</v>
      </c>
      <c r="O36" s="9">
        <f>SUM(Táblázat37[[#This Row],[Zsani]:[Dorka]])</f>
        <v>42</v>
      </c>
      <c r="P36" s="28" t="s">
        <v>887</v>
      </c>
    </row>
    <row r="37" spans="1:16" x14ac:dyDescent="0.3">
      <c r="A37" s="6" t="s">
        <v>787</v>
      </c>
      <c r="C37">
        <f>COUNTIFS(Table578f4f9c_5cc8_4a47_acaa_01ddd27af172_2[Players],"83-Peó ",Table578f4f9c_5cc8_4a47_acaa_01ddd27af172_2[Outcome],"success")</f>
        <v>15</v>
      </c>
      <c r="D37">
        <f>COUNTIFS(Table578f4f9c_5cc8_4a47_acaa_01ddd27af172_2[Players],"24-Betty ",Table578f4f9c_5cc8_4a47_acaa_01ddd27af172_2[Outcome],"success")</f>
        <v>5</v>
      </c>
      <c r="E37">
        <f>COUNTIFS(Table578f4f9c_5cc8_4a47_acaa_01ddd27af172_2[Players],"13-Kriszti ",Table578f4f9c_5cc8_4a47_acaa_01ddd27af172_2[Outcome],"success")</f>
        <v>1</v>
      </c>
      <c r="F37">
        <f>COUNTIFS(Table578f4f9c_5cc8_4a47_acaa_01ddd27af172_2[Players],"7-Nina ",Table578f4f9c_5cc8_4a47_acaa_01ddd27af172_2[Outcome],"success")</f>
        <v>12</v>
      </c>
      <c r="I37">
        <f>COUNTIFS(Table578f4f9c_5cc8_4a47_acaa_01ddd27af172_2[Players],"8-Szidi ",Table578f4f9c_5cc8_4a47_acaa_01ddd27af172_2[Outcome],"success")</f>
        <v>1</v>
      </c>
      <c r="J37">
        <f>COUNTIFS(Table578f4f9c_5cc8_4a47_acaa_01ddd27af172_2[Players],"21-Milana ",Table578f4f9c_5cc8_4a47_acaa_01ddd27af172_2[Outcome],"success")</f>
        <v>1</v>
      </c>
      <c r="K37">
        <f>COUNTIFS(Table578f4f9c_5cc8_4a47_acaa_01ddd27af172_2[Players],"10-Kicsi ",Table578f4f9c_5cc8_4a47_acaa_01ddd27af172_2[Outcome],"success")</f>
        <v>1</v>
      </c>
      <c r="M37">
        <f>COUNTIFS(Table578f4f9c_5cc8_4a47_acaa_01ddd27af172_2[Players],"3-Puffi ",Table578f4f9c_5cc8_4a47_acaa_01ddd27af172_2[Outcome],"success")</f>
        <v>0</v>
      </c>
      <c r="N37">
        <f>COUNTIFS(Table578f4f9c_5cc8_4a47_acaa_01ddd27af172_2[Players],"30-Dorka ",Table578f4f9c_5cc8_4a47_acaa_01ddd27af172_2[Outcome],"success")</f>
        <v>1</v>
      </c>
      <c r="O37" s="9">
        <f>SUM(Táblázat37[[#This Row],[Zsani]:[Dorka]])</f>
        <v>37</v>
      </c>
      <c r="P37" s="9"/>
    </row>
    <row r="38" spans="1:16" s="16" customFormat="1" ht="15" thickBot="1" x14ac:dyDescent="0.35">
      <c r="A38" s="18" t="s">
        <v>855</v>
      </c>
      <c r="C38" s="15">
        <f>C37/C36</f>
        <v>0.83333333333333337</v>
      </c>
      <c r="D38" s="15">
        <f>D37/D36</f>
        <v>0.83333333333333337</v>
      </c>
      <c r="E38" s="15">
        <f>E37/E36</f>
        <v>1</v>
      </c>
      <c r="F38" s="15">
        <f>F37/F36</f>
        <v>1</v>
      </c>
      <c r="G38" s="15"/>
      <c r="H38" s="15"/>
      <c r="I38" s="15">
        <f>I37/I36</f>
        <v>1</v>
      </c>
      <c r="J38" s="15">
        <f>J37/J36</f>
        <v>1</v>
      </c>
      <c r="K38" s="15">
        <f>K37/K36</f>
        <v>1</v>
      </c>
      <c r="L38" s="15"/>
      <c r="M38" s="15">
        <f>M37/M36</f>
        <v>0</v>
      </c>
      <c r="N38" s="15">
        <f>N37/N36</f>
        <v>1</v>
      </c>
      <c r="O38" s="25">
        <f>O37/O36</f>
        <v>0.88095238095238093</v>
      </c>
      <c r="P38" s="22"/>
    </row>
    <row r="39" spans="1:16" s="16" customFormat="1" ht="15" thickBot="1" x14ac:dyDescent="0.35">
      <c r="A39" s="20" t="s">
        <v>864</v>
      </c>
      <c r="B39" s="16">
        <f>COUNTIF(Table7492f3d1_99c8_4b87_8944_e6bc9a4ba3d3_2[Players],"1-Zsani ")</f>
        <v>0</v>
      </c>
      <c r="C39" s="16">
        <f>COUNTIF(Table7492f3d1_99c8_4b87_8944_e6bc9a4ba3d3_2[Players],"83-Peó ")</f>
        <v>0</v>
      </c>
      <c r="D39" s="16">
        <f>COUNTIF(Table7492f3d1_99c8_4b87_8944_e6bc9a4ba3d3_2[Players],"24-Betty ")</f>
        <v>0</v>
      </c>
      <c r="E39" s="16">
        <f>COUNTIF(Table7492f3d1_99c8_4b87_8944_e6bc9a4ba3d3_2[Players],"13-Kriszti ")</f>
        <v>0</v>
      </c>
      <c r="F39" s="16">
        <f>COUNTIF(Table7492f3d1_99c8_4b87_8944_e6bc9a4ba3d3_2[Players],"7-Nina ")</f>
        <v>0</v>
      </c>
      <c r="G39" s="16">
        <f>COUNTIF(Table7492f3d1_99c8_4b87_8944_e6bc9a4ba3d3_2[Players],"10-Slaki ")</f>
        <v>0</v>
      </c>
      <c r="H39" s="16">
        <f>COUNTIF(Table7492f3d1_99c8_4b87_8944_e6bc9a4ba3d3_2[Players],"22-Sanda ")</f>
        <v>1</v>
      </c>
      <c r="I39" s="16">
        <f>COUNTIF(Table7492f3d1_99c8_4b87_8944_e6bc9a4ba3d3_2[Players],"8-Szidi ")</f>
        <v>0</v>
      </c>
      <c r="J39" s="16">
        <f>COUNTIF(Table7492f3d1_99c8_4b87_8944_e6bc9a4ba3d3_2[Players],"21-Milana ")</f>
        <v>1</v>
      </c>
      <c r="K39" s="16">
        <f>COUNTIF(Table7492f3d1_99c8_4b87_8944_e6bc9a4ba3d3_2[Players],"10-Kicsi ")</f>
        <v>0</v>
      </c>
      <c r="L39" s="16">
        <f>COUNTIF(Table7492f3d1_99c8_4b87_8944_e6bc9a4ba3d3_2[Players],"77-Ivana ")</f>
        <v>0</v>
      </c>
      <c r="M39" s="16">
        <f>COUNTIF(Table7492f3d1_99c8_4b87_8944_e6bc9a4ba3d3_2[Players],"3-Puffi ")</f>
        <v>0</v>
      </c>
      <c r="N39" s="16">
        <f>COUNTIF(Table7492f3d1_99c8_4b87_8944_e6bc9a4ba3d3_2[Players],"30-Dorka ")</f>
        <v>0</v>
      </c>
      <c r="O39" s="22">
        <f>SUM(Táblázat37[[#This Row],[Zsani]:[Dorka]])</f>
        <v>2</v>
      </c>
      <c r="P39" s="34" t="s">
        <v>886</v>
      </c>
    </row>
    <row r="40" spans="1:16" x14ac:dyDescent="0.3">
      <c r="A40" s="11" t="s">
        <v>858</v>
      </c>
      <c r="B40">
        <f>COUNTIF(Tablec5683f71_6c87_493e_848b_9ce3ab05f9c2_2[Players],"1-Zsani ")</f>
        <v>0</v>
      </c>
      <c r="C40">
        <f>COUNTIF(Tablec5683f71_6c87_493e_848b_9ce3ab05f9c2_2[Players],"83-Peó ")</f>
        <v>0</v>
      </c>
      <c r="D40">
        <f>COUNTIF(Tablec5683f71_6c87_493e_848b_9ce3ab05f9c2_2[Players],"24-Betty ")</f>
        <v>0</v>
      </c>
      <c r="E40">
        <f>COUNTIF(Tablec5683f71_6c87_493e_848b_9ce3ab05f9c2_2[Players],"13-Kriszti ")</f>
        <v>0</v>
      </c>
      <c r="F40">
        <f>COUNTIF(Tablec5683f71_6c87_493e_848b_9ce3ab05f9c2_2[Players],"7-Nina ")</f>
        <v>1</v>
      </c>
      <c r="G40">
        <f>COUNTIF(Tablec5683f71_6c87_493e_848b_9ce3ab05f9c2_2[Players],"10-Slaki ")</f>
        <v>0</v>
      </c>
      <c r="H40">
        <f>COUNTIF(Tablec5683f71_6c87_493e_848b_9ce3ab05f9c2_2[Players],"22-Sanda ")</f>
        <v>0</v>
      </c>
      <c r="I40">
        <f>COUNTIF(Tablec5683f71_6c87_493e_848b_9ce3ab05f9c2_2[Players],"8-Szidi ")</f>
        <v>4</v>
      </c>
      <c r="J40">
        <f>COUNTIF(Tablec5683f71_6c87_493e_848b_9ce3ab05f9c2_2[Players],"21-Milana ")</f>
        <v>3</v>
      </c>
      <c r="K40">
        <f>COUNTIF(Tablec5683f71_6c87_493e_848b_9ce3ab05f9c2_2[Players],"10-Kicsi ")</f>
        <v>0</v>
      </c>
      <c r="L40">
        <f>COUNTIF(Tablec5683f71_6c87_493e_848b_9ce3ab05f9c2_2[Players],"77-Ivana ")</f>
        <v>2</v>
      </c>
      <c r="M40">
        <f>COUNTIF(Tablec5683f71_6c87_493e_848b_9ce3ab05f9c2_2[Players],"3-Puffi ")</f>
        <v>0</v>
      </c>
      <c r="N40">
        <f>COUNTIF(Tablec5683f71_6c87_493e_848b_9ce3ab05f9c2_2[Players],"30-Dorka ")</f>
        <v>0</v>
      </c>
      <c r="O40" s="9">
        <f>SUM(Táblázat37[[#This Row],[Zsani]:[Dorka]])</f>
        <v>10</v>
      </c>
      <c r="P40" s="28" t="s">
        <v>884</v>
      </c>
    </row>
    <row r="41" spans="1:16" s="16" customFormat="1" ht="15" thickBot="1" x14ac:dyDescent="0.35">
      <c r="A41" s="17" t="s">
        <v>713</v>
      </c>
      <c r="J41" s="16">
        <f>COUNTIFS(Tablec5683f71_6c87_493e_848b_9ce3ab05f9c2_2[Players],"21-Milana ",Tablec5683f71_6c87_493e_848b_9ce3ab05f9c2_2[New subcategory 1],"assist")</f>
        <v>1</v>
      </c>
      <c r="O41" s="22">
        <f>SUM(Táblázat37[[#This Row],[Zsani]:[Dorka]])</f>
        <v>1</v>
      </c>
      <c r="P41" s="41" t="s">
        <v>885</v>
      </c>
    </row>
    <row r="42" spans="1:16" s="19" customFormat="1" ht="15" thickBot="1" x14ac:dyDescent="0.35">
      <c r="A42" s="3" t="s">
        <v>866</v>
      </c>
      <c r="B42" s="19">
        <f>COUNTIF(Tablefb531703_7efd_4582_949f_b033c3b75f39_2[Players],"1-Zsani ")</f>
        <v>0</v>
      </c>
      <c r="C42" s="19">
        <f>COUNTIF(Tablefb531703_7efd_4582_949f_b033c3b75f39_2[Players],"83-Peó ")</f>
        <v>3</v>
      </c>
      <c r="D42" s="19">
        <f>COUNTIF(Tablefb531703_7efd_4582_949f_b033c3b75f39_2[Players],"24-Betty ")</f>
        <v>0</v>
      </c>
      <c r="E42" s="19">
        <f>COUNTIF(Tablefb531703_7efd_4582_949f_b033c3b75f39_2[Players],"13-Kriszti ")</f>
        <v>2</v>
      </c>
      <c r="F42" s="19">
        <f>COUNTIF(Tablefb531703_7efd_4582_949f_b033c3b75f39_2[Players],"7-Nina ")</f>
        <v>0</v>
      </c>
      <c r="G42" s="19">
        <f>COUNTIF(Tablefb531703_7efd_4582_949f_b033c3b75f39_2[Players],"10-Slaki ")</f>
        <v>0</v>
      </c>
      <c r="H42" s="19">
        <f>COUNTIF(Tablefb531703_7efd_4582_949f_b033c3b75f39_2[Players],"22-Sanda ")</f>
        <v>0</v>
      </c>
      <c r="I42" s="19">
        <f>COUNTIF(Tablefb531703_7efd_4582_949f_b033c3b75f39_2[Players],"8-Szidi ")</f>
        <v>2</v>
      </c>
      <c r="J42" s="19">
        <f>COUNTIF(Tablefb531703_7efd_4582_949f_b033c3b75f39_2[Players],"21-Milana ")</f>
        <v>6</v>
      </c>
      <c r="K42" s="19">
        <f>COUNTIF(Tablefb531703_7efd_4582_949f_b033c3b75f39_2[Players],"10-Kicsi ")</f>
        <v>2</v>
      </c>
      <c r="L42" s="19">
        <f>COUNTIF(Tablefb531703_7efd_4582_949f_b033c3b75f39_2[Players],"77-Ivana ")</f>
        <v>0</v>
      </c>
      <c r="M42" s="19">
        <f>COUNTIF(Tablefb531703_7efd_4582_949f_b033c3b75f39_2[Players],"3-Puffi ")</f>
        <v>0</v>
      </c>
      <c r="N42" s="19">
        <f>COUNTIF(Tablefb531703_7efd_4582_949f_b033c3b75f39_2[Players],"30-Dorka ")</f>
        <v>1</v>
      </c>
      <c r="O42" s="5">
        <f>SUM(Táblázat37[[#This Row],[Zsani]:[Dorka]])</f>
        <v>16</v>
      </c>
      <c r="P42" s="35" t="s">
        <v>883</v>
      </c>
    </row>
    <row r="43" spans="1:16" x14ac:dyDescent="0.3">
      <c r="A43" s="12" t="s">
        <v>907</v>
      </c>
      <c r="O43" s="40"/>
    </row>
    <row r="44" spans="1:16" x14ac:dyDescent="0.3">
      <c r="A44" s="4"/>
    </row>
    <row r="48" spans="1:16" ht="23.4" x14ac:dyDescent="0.45">
      <c r="A48" s="43" t="s">
        <v>14</v>
      </c>
      <c r="B48" s="44"/>
      <c r="C48" s="44"/>
      <c r="D48" s="44"/>
      <c r="G48" s="45" t="s">
        <v>15</v>
      </c>
      <c r="H48" s="45" t="s">
        <v>15</v>
      </c>
    </row>
    <row r="49" spans="1:9" x14ac:dyDescent="0.3">
      <c r="A49" s="1" t="s">
        <v>16</v>
      </c>
      <c r="B49" s="1" t="s">
        <v>17</v>
      </c>
      <c r="C49" s="1" t="s">
        <v>18</v>
      </c>
      <c r="D49" s="1" t="s">
        <v>19</v>
      </c>
      <c r="E49" s="1" t="s">
        <v>21</v>
      </c>
      <c r="F49" s="1" t="s">
        <v>22</v>
      </c>
      <c r="G49" s="1" t="s">
        <v>23</v>
      </c>
      <c r="H49" s="1" t="s">
        <v>24</v>
      </c>
      <c r="I49" s="1"/>
    </row>
    <row r="50" spans="1:9" x14ac:dyDescent="0.3">
      <c r="A50" t="s">
        <v>25</v>
      </c>
      <c r="B50" s="2">
        <v>9.5834490740740743E-4</v>
      </c>
      <c r="C50" s="2">
        <v>9.4677083333333332E-4</v>
      </c>
      <c r="D50" s="2">
        <v>9.5834490740740743E-4</v>
      </c>
      <c r="E50" t="s">
        <v>27</v>
      </c>
      <c r="F50" t="s">
        <v>28</v>
      </c>
      <c r="G50">
        <v>5.3867403314917101E-2</v>
      </c>
      <c r="H50">
        <v>0.48706896551724099</v>
      </c>
    </row>
    <row r="51" spans="1:9" x14ac:dyDescent="0.3">
      <c r="A51" t="s">
        <v>29</v>
      </c>
      <c r="B51" s="2">
        <v>1.0318055555555556E-3</v>
      </c>
      <c r="C51" s="2">
        <v>1.0202314814814816E-3</v>
      </c>
      <c r="D51" s="2">
        <v>1.0318055555555556E-3</v>
      </c>
      <c r="E51" t="s">
        <v>30</v>
      </c>
      <c r="F51" t="s">
        <v>28</v>
      </c>
      <c r="G51">
        <v>0.26657458563535902</v>
      </c>
      <c r="H51">
        <v>0.28017241379310298</v>
      </c>
    </row>
    <row r="52" spans="1:9" x14ac:dyDescent="0.3">
      <c r="A52" t="s">
        <v>31</v>
      </c>
      <c r="B52" s="2">
        <v>1.0478356481481482E-3</v>
      </c>
      <c r="C52" s="2">
        <v>1.036261574074074E-3</v>
      </c>
      <c r="D52" s="2">
        <v>1.0478356481481482E-3</v>
      </c>
      <c r="E52" t="s">
        <v>32</v>
      </c>
      <c r="F52" t="s">
        <v>28</v>
      </c>
      <c r="G52">
        <v>0.34392265193370197</v>
      </c>
      <c r="H52">
        <v>0.38793103448275901</v>
      </c>
    </row>
    <row r="53" spans="1:9" hidden="1" x14ac:dyDescent="0.3">
      <c r="A53" t="s">
        <v>33</v>
      </c>
      <c r="B53" s="2">
        <v>1.5379050925925927E-3</v>
      </c>
      <c r="C53" s="2">
        <v>1.5263310185185184E-3</v>
      </c>
      <c r="D53" s="2">
        <v>1.5379050925925927E-3</v>
      </c>
      <c r="E53" t="s">
        <v>30</v>
      </c>
      <c r="F53" t="s">
        <v>34</v>
      </c>
      <c r="G53">
        <v>0.299723756906077</v>
      </c>
      <c r="H53">
        <v>0.14224137931034497</v>
      </c>
    </row>
    <row r="54" spans="1:9" x14ac:dyDescent="0.3">
      <c r="A54" t="s">
        <v>35</v>
      </c>
      <c r="B54" s="2">
        <v>2.1729513888888888E-3</v>
      </c>
      <c r="C54" s="2">
        <v>2.1613773148148148E-3</v>
      </c>
      <c r="D54" s="2">
        <v>2.1729513888888888E-3</v>
      </c>
      <c r="E54" t="s">
        <v>27</v>
      </c>
      <c r="F54" t="s">
        <v>28</v>
      </c>
      <c r="G54">
        <v>5.3867403314917101E-2</v>
      </c>
      <c r="H54">
        <v>0.50431034482758608</v>
      </c>
    </row>
    <row r="55" spans="1:9" x14ac:dyDescent="0.3">
      <c r="A55" t="s">
        <v>36</v>
      </c>
      <c r="B55" s="2">
        <v>2.4531828703703703E-3</v>
      </c>
      <c r="C55" s="2">
        <v>2.4416087962962963E-3</v>
      </c>
      <c r="D55" s="2">
        <v>2.4531828703703703E-3</v>
      </c>
      <c r="E55" t="s">
        <v>30</v>
      </c>
      <c r="F55" t="s">
        <v>28</v>
      </c>
      <c r="G55">
        <v>0.31077348066298299</v>
      </c>
      <c r="H55">
        <v>0.15517241379310298</v>
      </c>
    </row>
    <row r="56" spans="1:9" hidden="1" x14ac:dyDescent="0.3">
      <c r="A56" t="s">
        <v>37</v>
      </c>
      <c r="B56" s="2">
        <v>2.4828587962962964E-3</v>
      </c>
      <c r="C56" s="2">
        <v>2.4712847222222224E-3</v>
      </c>
      <c r="D56" s="2">
        <v>2.4828587962962964E-3</v>
      </c>
      <c r="E56" t="s">
        <v>38</v>
      </c>
      <c r="F56" t="s">
        <v>34</v>
      </c>
      <c r="G56">
        <v>0.37707182320442001</v>
      </c>
      <c r="H56">
        <v>0.26724137931034497</v>
      </c>
    </row>
    <row r="57" spans="1:9" x14ac:dyDescent="0.3">
      <c r="A57" t="s">
        <v>39</v>
      </c>
      <c r="B57" s="2">
        <v>2.5761342592592593E-3</v>
      </c>
      <c r="C57" s="2">
        <v>2.5645601851851853E-3</v>
      </c>
      <c r="D57" s="2">
        <v>2.5761342592592593E-3</v>
      </c>
      <c r="E57" t="s">
        <v>40</v>
      </c>
      <c r="F57" t="s">
        <v>28</v>
      </c>
      <c r="G57">
        <v>0.48480662983425399</v>
      </c>
      <c r="H57">
        <v>0.37068965517241403</v>
      </c>
    </row>
    <row r="58" spans="1:9" x14ac:dyDescent="0.3">
      <c r="A58" t="s">
        <v>41</v>
      </c>
      <c r="B58" s="2">
        <v>3.0899421296296295E-3</v>
      </c>
      <c r="C58" s="2">
        <v>3.0783680555555555E-3</v>
      </c>
      <c r="D58" s="2">
        <v>3.0899421296296295E-3</v>
      </c>
      <c r="E58" t="s">
        <v>42</v>
      </c>
      <c r="F58" t="s">
        <v>28</v>
      </c>
      <c r="G58">
        <v>0.98756906077348094</v>
      </c>
      <c r="H58">
        <v>1.2931034482759007E-2</v>
      </c>
    </row>
    <row r="59" spans="1:9" x14ac:dyDescent="0.3">
      <c r="A59" t="s">
        <v>43</v>
      </c>
      <c r="B59" s="2">
        <v>3.1015046296296298E-3</v>
      </c>
      <c r="C59" s="2">
        <v>3.0899305555555554E-3</v>
      </c>
      <c r="D59" s="2">
        <v>3.1015046296296298E-3</v>
      </c>
      <c r="E59" t="s">
        <v>44</v>
      </c>
      <c r="F59" t="s">
        <v>28</v>
      </c>
      <c r="G59">
        <v>0.94613259668508298</v>
      </c>
      <c r="H59">
        <v>0.25</v>
      </c>
    </row>
    <row r="60" spans="1:9" x14ac:dyDescent="0.3">
      <c r="A60" t="s">
        <v>45</v>
      </c>
      <c r="B60" s="2">
        <v>3.3177430555555555E-3</v>
      </c>
      <c r="C60" s="2">
        <v>3.3061689814814815E-3</v>
      </c>
      <c r="D60" s="2">
        <v>3.3177430555555555E-3</v>
      </c>
      <c r="E60" t="s">
        <v>46</v>
      </c>
      <c r="F60" t="s">
        <v>28</v>
      </c>
      <c r="G60">
        <v>0.399171270718232</v>
      </c>
      <c r="H60">
        <v>7.7586206896552046E-2</v>
      </c>
    </row>
    <row r="61" spans="1:9" x14ac:dyDescent="0.3">
      <c r="A61" t="s">
        <v>47</v>
      </c>
      <c r="B61" s="2">
        <v>3.3404976851851851E-3</v>
      </c>
      <c r="C61" s="2">
        <v>3.3289236111111111E-3</v>
      </c>
      <c r="D61" s="2">
        <v>3.3404976851851851E-3</v>
      </c>
      <c r="E61" t="s">
        <v>42</v>
      </c>
      <c r="F61" t="s">
        <v>28</v>
      </c>
      <c r="G61">
        <v>0.42127071823204398</v>
      </c>
      <c r="H61">
        <v>0.15086206896551702</v>
      </c>
    </row>
    <row r="62" spans="1:9" x14ac:dyDescent="0.3">
      <c r="A62" t="s">
        <v>48</v>
      </c>
      <c r="B62" s="2">
        <v>3.3790162037037035E-3</v>
      </c>
      <c r="C62" s="2">
        <v>3.3674421296296295E-3</v>
      </c>
      <c r="D62" s="2">
        <v>3.3790162037037035E-3</v>
      </c>
      <c r="E62" t="s">
        <v>46</v>
      </c>
      <c r="F62" t="s">
        <v>28</v>
      </c>
      <c r="G62">
        <v>0.38259668508287298</v>
      </c>
      <c r="H62">
        <v>3.4482758620689946E-2</v>
      </c>
    </row>
    <row r="63" spans="1:9" x14ac:dyDescent="0.3">
      <c r="A63" t="s">
        <v>49</v>
      </c>
      <c r="B63" s="2">
        <v>3.3836458333333331E-3</v>
      </c>
      <c r="C63" s="2">
        <v>3.3720717592592591E-3</v>
      </c>
      <c r="D63" s="2">
        <v>3.3836458333333331E-3</v>
      </c>
      <c r="E63" t="s">
        <v>30</v>
      </c>
      <c r="F63" t="s">
        <v>28</v>
      </c>
      <c r="G63">
        <v>0.35497237569060802</v>
      </c>
      <c r="H63">
        <v>3.0172413793102981E-2</v>
      </c>
    </row>
    <row r="64" spans="1:9" x14ac:dyDescent="0.3">
      <c r="A64" t="s">
        <v>50</v>
      </c>
      <c r="B64" s="2">
        <v>4.0782523148148149E-3</v>
      </c>
      <c r="C64" s="2">
        <v>4.0666782407407405E-3</v>
      </c>
      <c r="D64" s="2">
        <v>4.0782523148148149E-3</v>
      </c>
      <c r="E64" t="s">
        <v>51</v>
      </c>
      <c r="F64" t="s">
        <v>28</v>
      </c>
      <c r="G64">
        <v>0.73342541436464104</v>
      </c>
      <c r="H64">
        <v>0.49568965517241403</v>
      </c>
    </row>
    <row r="65" spans="1:8" x14ac:dyDescent="0.3">
      <c r="A65" t="s">
        <v>52</v>
      </c>
      <c r="B65" s="2">
        <v>4.0924884259259256E-3</v>
      </c>
      <c r="C65" s="2">
        <v>4.0809143518518521E-3</v>
      </c>
      <c r="D65" s="2">
        <v>4.0924884259259256E-3</v>
      </c>
      <c r="E65" t="s">
        <v>40</v>
      </c>
      <c r="F65" t="s">
        <v>28</v>
      </c>
      <c r="G65">
        <v>0.64779005524861899</v>
      </c>
      <c r="H65">
        <v>0.47844827586206895</v>
      </c>
    </row>
    <row r="66" spans="1:8" x14ac:dyDescent="0.3">
      <c r="A66" t="s">
        <v>53</v>
      </c>
      <c r="B66" s="2">
        <v>4.3948379629629632E-3</v>
      </c>
      <c r="C66" s="2">
        <v>4.3832638888888888E-3</v>
      </c>
      <c r="D66" s="2">
        <v>4.3948379629629632E-3</v>
      </c>
      <c r="E66" t="s">
        <v>30</v>
      </c>
      <c r="F66" t="s">
        <v>28</v>
      </c>
      <c r="G66">
        <v>0.27762430939226501</v>
      </c>
      <c r="H66">
        <v>0.22413793103448298</v>
      </c>
    </row>
    <row r="67" spans="1:8" x14ac:dyDescent="0.3">
      <c r="A67" t="s">
        <v>54</v>
      </c>
      <c r="B67" s="2">
        <v>4.4266782407407406E-3</v>
      </c>
      <c r="C67" s="2">
        <v>4.415104166666667E-3</v>
      </c>
      <c r="D67" s="2">
        <v>4.4266782407407406E-3</v>
      </c>
      <c r="E67" t="s">
        <v>44</v>
      </c>
      <c r="F67" t="s">
        <v>28</v>
      </c>
      <c r="G67">
        <v>0.31077348066298299</v>
      </c>
      <c r="H67">
        <v>0.28879310344827602</v>
      </c>
    </row>
    <row r="68" spans="1:8" x14ac:dyDescent="0.3">
      <c r="A68" t="s">
        <v>55</v>
      </c>
      <c r="B68" s="2">
        <v>4.4787037037037035E-3</v>
      </c>
      <c r="C68" s="2">
        <v>4.4671296296296299E-3</v>
      </c>
      <c r="D68" s="2">
        <v>4.4787037037037035E-3</v>
      </c>
      <c r="E68" t="s">
        <v>40</v>
      </c>
      <c r="F68" t="s">
        <v>28</v>
      </c>
      <c r="G68">
        <v>0.41574585635359101</v>
      </c>
      <c r="H68">
        <v>0.27586206896551702</v>
      </c>
    </row>
    <row r="69" spans="1:8" x14ac:dyDescent="0.3">
      <c r="A69" t="s">
        <v>56</v>
      </c>
      <c r="B69" s="2">
        <v>4.6417592592592595E-3</v>
      </c>
      <c r="C69" s="2">
        <v>4.6301851851851851E-3</v>
      </c>
      <c r="D69" s="2">
        <v>4.6417592592592595E-3</v>
      </c>
      <c r="E69" t="s">
        <v>44</v>
      </c>
      <c r="F69" t="s">
        <v>28</v>
      </c>
      <c r="G69">
        <v>0.69751381215469599</v>
      </c>
      <c r="H69">
        <v>3.0172413793102981E-2</v>
      </c>
    </row>
    <row r="70" spans="1:8" x14ac:dyDescent="0.3">
      <c r="A70" t="s">
        <v>57</v>
      </c>
      <c r="B70" s="2">
        <v>4.7196180555555559E-3</v>
      </c>
      <c r="C70" s="2">
        <v>4.7080439814814815E-3</v>
      </c>
      <c r="D70" s="2">
        <v>4.7196180555555559E-3</v>
      </c>
      <c r="E70" t="s">
        <v>58</v>
      </c>
      <c r="F70" t="s">
        <v>28</v>
      </c>
      <c r="G70">
        <v>0.45994475138121499</v>
      </c>
      <c r="H70">
        <v>0.43965517241379304</v>
      </c>
    </row>
    <row r="71" spans="1:8" x14ac:dyDescent="0.3">
      <c r="A71" t="s">
        <v>59</v>
      </c>
      <c r="B71" s="2">
        <v>4.7346527777777777E-3</v>
      </c>
      <c r="C71" s="2">
        <v>4.7230787037037033E-3</v>
      </c>
      <c r="D71" s="2">
        <v>4.7346527777777777E-3</v>
      </c>
      <c r="E71" t="s">
        <v>38</v>
      </c>
      <c r="F71" t="s">
        <v>28</v>
      </c>
      <c r="G71">
        <v>0.56767955801104997</v>
      </c>
      <c r="H71">
        <v>0.41810344827586199</v>
      </c>
    </row>
    <row r="72" spans="1:8" hidden="1" x14ac:dyDescent="0.3">
      <c r="A72" t="s">
        <v>60</v>
      </c>
      <c r="B72" s="2">
        <v>4.8383217592592592E-3</v>
      </c>
      <c r="C72" s="2">
        <v>4.8267476851851848E-3</v>
      </c>
      <c r="D72" s="2">
        <v>4.8383217592592592E-3</v>
      </c>
      <c r="E72" t="s">
        <v>51</v>
      </c>
      <c r="F72" t="s">
        <v>34</v>
      </c>
      <c r="G72">
        <v>0.78867403314917095</v>
      </c>
      <c r="H72">
        <v>0.57327586206896597</v>
      </c>
    </row>
    <row r="73" spans="1:8" x14ac:dyDescent="0.3">
      <c r="A73" t="s">
        <v>61</v>
      </c>
      <c r="B73" s="2">
        <v>4.947025462962963E-3</v>
      </c>
      <c r="C73" s="2">
        <v>4.9354513888888885E-3</v>
      </c>
      <c r="D73" s="2">
        <v>4.947025462962963E-3</v>
      </c>
      <c r="E73" t="s">
        <v>46</v>
      </c>
      <c r="F73" t="s">
        <v>28</v>
      </c>
      <c r="G73">
        <v>0.23342541436464101</v>
      </c>
      <c r="H73">
        <v>0.72844827586206895</v>
      </c>
    </row>
    <row r="74" spans="1:8" x14ac:dyDescent="0.3">
      <c r="A74" t="s">
        <v>62</v>
      </c>
      <c r="B74" s="2">
        <v>5.3282291666666669E-3</v>
      </c>
      <c r="C74" s="2">
        <v>5.3166550925925924E-3</v>
      </c>
      <c r="D74" s="2">
        <v>5.3282291666666669E-3</v>
      </c>
      <c r="E74" t="s">
        <v>51</v>
      </c>
      <c r="F74" t="s">
        <v>28</v>
      </c>
      <c r="G74">
        <v>0.72237569060773499</v>
      </c>
      <c r="H74">
        <v>0.75431034482758597</v>
      </c>
    </row>
    <row r="75" spans="1:8" x14ac:dyDescent="0.3">
      <c r="A75" t="s">
        <v>63</v>
      </c>
      <c r="B75" s="2">
        <v>5.3401851851851848E-3</v>
      </c>
      <c r="C75" s="2">
        <v>5.3286111111111112E-3</v>
      </c>
      <c r="D75" s="2">
        <v>5.3401851851851848E-3</v>
      </c>
      <c r="E75" t="s">
        <v>32</v>
      </c>
      <c r="F75" t="s">
        <v>28</v>
      </c>
      <c r="G75">
        <v>0.76657458563535896</v>
      </c>
      <c r="H75">
        <v>0.59051724137931005</v>
      </c>
    </row>
    <row r="76" spans="1:8" hidden="1" x14ac:dyDescent="0.3">
      <c r="A76" t="s">
        <v>64</v>
      </c>
      <c r="B76" s="2">
        <v>5.6338888888888888E-3</v>
      </c>
      <c r="C76" s="2">
        <v>5.6223148148148152E-3</v>
      </c>
      <c r="D76" s="2">
        <v>5.6338888888888888E-3</v>
      </c>
      <c r="E76" t="s">
        <v>32</v>
      </c>
      <c r="F76" t="s">
        <v>34</v>
      </c>
      <c r="G76">
        <v>0.76381215469613295</v>
      </c>
      <c r="H76">
        <v>0.86206896551724099</v>
      </c>
    </row>
    <row r="77" spans="1:8" x14ac:dyDescent="0.3">
      <c r="A77" t="s">
        <v>65</v>
      </c>
      <c r="B77" s="2">
        <v>5.6928703703703707E-3</v>
      </c>
      <c r="C77" s="2">
        <v>5.6812962962962963E-3</v>
      </c>
      <c r="D77" s="2">
        <v>5.6928703703703707E-3</v>
      </c>
      <c r="E77" t="s">
        <v>51</v>
      </c>
      <c r="F77" t="s">
        <v>28</v>
      </c>
      <c r="G77">
        <v>0.71408839779005495</v>
      </c>
      <c r="H77">
        <v>0.97413793103448276</v>
      </c>
    </row>
    <row r="78" spans="1:8" x14ac:dyDescent="0.3">
      <c r="A78" t="s">
        <v>66</v>
      </c>
      <c r="B78" s="2">
        <v>5.7171412037037034E-3</v>
      </c>
      <c r="C78" s="2">
        <v>5.7055671296296299E-3</v>
      </c>
      <c r="D78" s="2">
        <v>5.7171412037037034E-3</v>
      </c>
      <c r="E78" t="s">
        <v>67</v>
      </c>
      <c r="F78" t="s">
        <v>28</v>
      </c>
      <c r="G78">
        <v>0.65331491712707201</v>
      </c>
      <c r="H78">
        <v>0.94827586206896552</v>
      </c>
    </row>
    <row r="79" spans="1:8" x14ac:dyDescent="0.3">
      <c r="A79" t="s">
        <v>68</v>
      </c>
      <c r="B79" s="2">
        <v>5.7325694444444446E-3</v>
      </c>
      <c r="C79" s="2">
        <v>5.7209953703703702E-3</v>
      </c>
      <c r="D79" s="2">
        <v>5.7325694444444446E-3</v>
      </c>
      <c r="E79" t="s">
        <v>32</v>
      </c>
      <c r="F79" t="s">
        <v>28</v>
      </c>
      <c r="G79">
        <v>0.74723756906077299</v>
      </c>
      <c r="H79">
        <v>0.87931034482758597</v>
      </c>
    </row>
    <row r="80" spans="1:8" x14ac:dyDescent="0.3">
      <c r="A80" t="s">
        <v>69</v>
      </c>
      <c r="B80" s="2">
        <v>5.8142361111111112E-3</v>
      </c>
      <c r="C80" s="2">
        <v>5.8026620370370367E-3</v>
      </c>
      <c r="D80" s="2">
        <v>5.8142361111111112E-3</v>
      </c>
      <c r="E80" t="s">
        <v>58</v>
      </c>
      <c r="F80" t="s">
        <v>28</v>
      </c>
      <c r="G80">
        <v>0.675414364640884</v>
      </c>
      <c r="H80">
        <v>0.72413793103448298</v>
      </c>
    </row>
    <row r="81" spans="1:8" x14ac:dyDescent="0.3">
      <c r="A81" t="s">
        <v>70</v>
      </c>
      <c r="B81" s="2">
        <v>6.1554050925925925E-3</v>
      </c>
      <c r="C81" s="2">
        <v>6.1438310185185181E-3</v>
      </c>
      <c r="D81" s="2">
        <v>6.1554050925925925E-3</v>
      </c>
      <c r="E81" t="s">
        <v>67</v>
      </c>
      <c r="F81" t="s">
        <v>28</v>
      </c>
      <c r="G81">
        <v>0.34116022099447502</v>
      </c>
      <c r="H81">
        <v>0.74568965517241392</v>
      </c>
    </row>
    <row r="82" spans="1:8" x14ac:dyDescent="0.3">
      <c r="A82" t="s">
        <v>71</v>
      </c>
      <c r="B82" s="2">
        <v>6.2355787037037041E-3</v>
      </c>
      <c r="C82" s="2">
        <v>6.2240046296296297E-3</v>
      </c>
      <c r="D82" s="2">
        <v>6.2355787037037041E-3</v>
      </c>
      <c r="E82" t="s">
        <v>46</v>
      </c>
      <c r="F82" t="s">
        <v>28</v>
      </c>
      <c r="G82">
        <v>0.31906077348066297</v>
      </c>
      <c r="H82">
        <v>0.70689655172413801</v>
      </c>
    </row>
    <row r="83" spans="1:8" x14ac:dyDescent="0.3">
      <c r="A83" t="s">
        <v>72</v>
      </c>
      <c r="B83" s="2">
        <v>6.2517708333333331E-3</v>
      </c>
      <c r="C83" s="2">
        <v>6.2401967592592596E-3</v>
      </c>
      <c r="D83" s="2">
        <v>6.2517708333333331E-3</v>
      </c>
      <c r="E83" t="s">
        <v>67</v>
      </c>
      <c r="F83" t="s">
        <v>28</v>
      </c>
      <c r="G83">
        <v>0.33563535911602199</v>
      </c>
      <c r="H83">
        <v>0.77586206896551702</v>
      </c>
    </row>
    <row r="84" spans="1:8" x14ac:dyDescent="0.3">
      <c r="A84" t="s">
        <v>73</v>
      </c>
      <c r="B84" s="2">
        <v>6.2930092592592595E-3</v>
      </c>
      <c r="C84" s="2">
        <v>6.281435185185185E-3</v>
      </c>
      <c r="D84" s="2">
        <v>6.2930092592592595E-3</v>
      </c>
      <c r="E84" t="s">
        <v>46</v>
      </c>
      <c r="F84" t="s">
        <v>28</v>
      </c>
      <c r="G84">
        <v>0.299723756906077</v>
      </c>
      <c r="H84">
        <v>0.79741379310344795</v>
      </c>
    </row>
    <row r="85" spans="1:8" x14ac:dyDescent="0.3">
      <c r="A85" t="s">
        <v>74</v>
      </c>
      <c r="B85" s="2">
        <v>6.345439814814815E-3</v>
      </c>
      <c r="C85" s="2">
        <v>6.3338657407407406E-3</v>
      </c>
      <c r="D85" s="2">
        <v>6.345439814814815E-3</v>
      </c>
      <c r="E85" t="s">
        <v>58</v>
      </c>
      <c r="F85" t="s">
        <v>28</v>
      </c>
      <c r="G85">
        <v>0.24723756906077299</v>
      </c>
      <c r="H85">
        <v>0.5</v>
      </c>
    </row>
    <row r="86" spans="1:8" x14ac:dyDescent="0.3">
      <c r="A86" t="s">
        <v>75</v>
      </c>
      <c r="B86" s="2">
        <v>6.3646990740740738E-3</v>
      </c>
      <c r="C86" s="2">
        <v>6.3531250000000003E-3</v>
      </c>
      <c r="D86" s="2">
        <v>6.3646990740740738E-3</v>
      </c>
      <c r="E86" t="s">
        <v>30</v>
      </c>
      <c r="F86" t="s">
        <v>28</v>
      </c>
      <c r="G86">
        <v>0.26657458563535902</v>
      </c>
      <c r="H86">
        <v>0.24137931034482796</v>
      </c>
    </row>
    <row r="87" spans="1:8" x14ac:dyDescent="0.3">
      <c r="A87" t="s">
        <v>76</v>
      </c>
      <c r="B87" s="2">
        <v>6.637986111111111E-3</v>
      </c>
      <c r="C87" s="2">
        <v>6.6264120370370374E-3</v>
      </c>
      <c r="D87" s="2">
        <v>6.637986111111111E-3</v>
      </c>
      <c r="E87" t="s">
        <v>38</v>
      </c>
      <c r="F87" t="s">
        <v>28</v>
      </c>
      <c r="G87">
        <v>0.161602209944751</v>
      </c>
      <c r="H87">
        <v>8.1896551724138011E-2</v>
      </c>
    </row>
    <row r="88" spans="1:8" x14ac:dyDescent="0.3">
      <c r="A88" t="s">
        <v>77</v>
      </c>
      <c r="B88" s="2">
        <v>6.6765393518518519E-3</v>
      </c>
      <c r="C88" s="2">
        <v>6.6649652777777775E-3</v>
      </c>
      <c r="D88" s="2">
        <v>6.6765393518518519E-3</v>
      </c>
      <c r="E88" t="s">
        <v>58</v>
      </c>
      <c r="F88" t="s">
        <v>28</v>
      </c>
      <c r="G88">
        <v>5.3867403314917101E-2</v>
      </c>
      <c r="H88">
        <v>0.13793103448275901</v>
      </c>
    </row>
    <row r="89" spans="1:8" x14ac:dyDescent="0.3">
      <c r="A89" t="s">
        <v>78</v>
      </c>
      <c r="B89" s="2">
        <v>6.695034722222222E-3</v>
      </c>
      <c r="C89" s="2">
        <v>6.6834606481481484E-3</v>
      </c>
      <c r="D89" s="2">
        <v>6.695034722222222E-3</v>
      </c>
      <c r="E89" t="s">
        <v>30</v>
      </c>
      <c r="F89" t="s">
        <v>28</v>
      </c>
      <c r="G89">
        <v>0.12845303867403299</v>
      </c>
      <c r="H89">
        <v>4.7413793103447954E-2</v>
      </c>
    </row>
    <row r="90" spans="1:8" x14ac:dyDescent="0.3">
      <c r="A90" t="s">
        <v>79</v>
      </c>
      <c r="B90" s="2">
        <v>6.720474537037037E-3</v>
      </c>
      <c r="C90" s="2">
        <v>6.7089004629629634E-3</v>
      </c>
      <c r="D90" s="2">
        <v>6.720474537037037E-3</v>
      </c>
      <c r="E90" t="s">
        <v>42</v>
      </c>
      <c r="F90" t="s">
        <v>28</v>
      </c>
      <c r="G90">
        <v>0.31629834254143602</v>
      </c>
      <c r="H90">
        <v>0.38362068965517204</v>
      </c>
    </row>
    <row r="91" spans="1:8" x14ac:dyDescent="0.3">
      <c r="A91" t="s">
        <v>80</v>
      </c>
      <c r="B91" s="2">
        <v>6.7563194444444441E-3</v>
      </c>
      <c r="C91" s="2">
        <v>6.7447453703703706E-3</v>
      </c>
      <c r="D91" s="2">
        <v>6.7563194444444441E-3</v>
      </c>
      <c r="E91" t="s">
        <v>40</v>
      </c>
      <c r="F91" t="s">
        <v>28</v>
      </c>
      <c r="G91">
        <v>0.26657458563535902</v>
      </c>
      <c r="H91">
        <v>0.37931034482758597</v>
      </c>
    </row>
    <row r="92" spans="1:8" x14ac:dyDescent="0.3">
      <c r="A92" t="s">
        <v>81</v>
      </c>
      <c r="B92" s="2">
        <v>6.7898495370370369E-3</v>
      </c>
      <c r="C92" s="2">
        <v>6.7782754629629634E-3</v>
      </c>
      <c r="D92" s="2">
        <v>6.7898495370370369E-3</v>
      </c>
      <c r="E92" t="s">
        <v>38</v>
      </c>
      <c r="F92" t="s">
        <v>28</v>
      </c>
      <c r="G92">
        <v>0.29419889502762397</v>
      </c>
      <c r="H92">
        <v>0.25431034482758597</v>
      </c>
    </row>
    <row r="93" spans="1:8" hidden="1" x14ac:dyDescent="0.3">
      <c r="A93" t="s">
        <v>82</v>
      </c>
      <c r="B93" s="2">
        <v>6.8110532407407408E-3</v>
      </c>
      <c r="C93" s="2">
        <v>6.7994791666666663E-3</v>
      </c>
      <c r="D93" s="2">
        <v>6.8110532407407408E-3</v>
      </c>
      <c r="E93" t="s">
        <v>30</v>
      </c>
      <c r="F93" t="s">
        <v>34</v>
      </c>
      <c r="G93">
        <v>0.31629834254143602</v>
      </c>
      <c r="H93">
        <v>3.8793103448276023E-2</v>
      </c>
    </row>
    <row r="94" spans="1:8" x14ac:dyDescent="0.3">
      <c r="A94" t="s">
        <v>83</v>
      </c>
      <c r="B94" s="2">
        <v>6.9124189814814812E-3</v>
      </c>
      <c r="C94" s="2">
        <v>6.9008449074074076E-3</v>
      </c>
      <c r="D94" s="2">
        <v>6.9124189814814812E-3</v>
      </c>
      <c r="E94" t="s">
        <v>30</v>
      </c>
      <c r="F94" t="s">
        <v>28</v>
      </c>
      <c r="G94">
        <v>0.29143646408839802</v>
      </c>
      <c r="H94">
        <v>0.13362068965517204</v>
      </c>
    </row>
    <row r="95" spans="1:8" x14ac:dyDescent="0.3">
      <c r="A95" t="s">
        <v>84</v>
      </c>
      <c r="B95" s="2">
        <v>6.9297685185185183E-3</v>
      </c>
      <c r="C95" s="2">
        <v>6.9181944444444447E-3</v>
      </c>
      <c r="D95" s="2">
        <v>6.9297685185185183E-3</v>
      </c>
      <c r="E95" t="s">
        <v>58</v>
      </c>
      <c r="F95" t="s">
        <v>28</v>
      </c>
      <c r="G95">
        <v>0.244475138121547</v>
      </c>
      <c r="H95">
        <v>0.24137931034482796</v>
      </c>
    </row>
    <row r="96" spans="1:8" hidden="1" x14ac:dyDescent="0.3">
      <c r="A96" t="s">
        <v>85</v>
      </c>
      <c r="B96" s="2">
        <v>7.0203587962962962E-3</v>
      </c>
      <c r="C96" s="2">
        <v>7.0087847222222218E-3</v>
      </c>
      <c r="D96" s="2">
        <v>7.0203587962962962E-3</v>
      </c>
      <c r="E96" t="s">
        <v>30</v>
      </c>
      <c r="F96" t="s">
        <v>34</v>
      </c>
      <c r="G96">
        <v>8.9779005524861899E-2</v>
      </c>
      <c r="H96">
        <v>4.7413793103447954E-2</v>
      </c>
    </row>
    <row r="97" spans="1:8" hidden="1" x14ac:dyDescent="0.3">
      <c r="A97" t="s">
        <v>86</v>
      </c>
      <c r="B97" s="2">
        <v>7.1806944444444444E-3</v>
      </c>
      <c r="C97" s="2">
        <v>7.16912037037037E-3</v>
      </c>
      <c r="D97" s="2">
        <v>7.1806944444444444E-3</v>
      </c>
      <c r="E97" t="s">
        <v>30</v>
      </c>
      <c r="F97" t="s">
        <v>34</v>
      </c>
      <c r="G97">
        <v>0.111878453038674</v>
      </c>
      <c r="H97">
        <v>0.15948275862068995</v>
      </c>
    </row>
    <row r="98" spans="1:8" x14ac:dyDescent="0.3">
      <c r="A98" t="s">
        <v>87</v>
      </c>
      <c r="B98" s="2">
        <v>7.4663194444444447E-3</v>
      </c>
      <c r="C98" s="2">
        <v>7.4547453703703703E-3</v>
      </c>
      <c r="D98" s="2">
        <v>7.4663194444444447E-3</v>
      </c>
      <c r="E98" t="s">
        <v>40</v>
      </c>
      <c r="F98" t="s">
        <v>28</v>
      </c>
      <c r="G98">
        <v>0.31353591160221</v>
      </c>
      <c r="H98">
        <v>0.45689655172413801</v>
      </c>
    </row>
    <row r="99" spans="1:8" x14ac:dyDescent="0.3">
      <c r="A99" t="s">
        <v>88</v>
      </c>
      <c r="B99" s="2">
        <v>7.5202777777777776E-3</v>
      </c>
      <c r="C99" s="2">
        <v>7.5087037037037041E-3</v>
      </c>
      <c r="D99" s="2">
        <v>7.5202777777777776E-3</v>
      </c>
      <c r="E99" t="s">
        <v>42</v>
      </c>
      <c r="F99" t="s">
        <v>28</v>
      </c>
      <c r="G99">
        <v>0.42679558011049701</v>
      </c>
      <c r="H99">
        <v>0.40948275862068995</v>
      </c>
    </row>
    <row r="100" spans="1:8" x14ac:dyDescent="0.3">
      <c r="A100" t="s">
        <v>89</v>
      </c>
      <c r="B100" s="2">
        <v>8.8800694444444439E-3</v>
      </c>
      <c r="C100" s="2">
        <v>8.8684953703703703E-3</v>
      </c>
      <c r="D100" s="2">
        <v>8.8800694444444439E-3</v>
      </c>
      <c r="E100" t="s">
        <v>27</v>
      </c>
      <c r="F100" t="s">
        <v>28</v>
      </c>
      <c r="G100">
        <v>5.6629834254143599E-2</v>
      </c>
      <c r="H100">
        <v>0.48275862068965503</v>
      </c>
    </row>
    <row r="101" spans="1:8" x14ac:dyDescent="0.3">
      <c r="A101" t="s">
        <v>90</v>
      </c>
      <c r="B101" s="2">
        <v>8.8940740740740733E-3</v>
      </c>
      <c r="C101" s="2">
        <v>8.8824999999999998E-3</v>
      </c>
      <c r="D101" s="2">
        <v>8.8940740740740733E-3</v>
      </c>
      <c r="E101" t="s">
        <v>38</v>
      </c>
      <c r="F101" t="s">
        <v>28</v>
      </c>
      <c r="G101">
        <v>0.17817679558010999</v>
      </c>
      <c r="H101">
        <v>0.56465517241379293</v>
      </c>
    </row>
    <row r="102" spans="1:8" x14ac:dyDescent="0.3">
      <c r="A102" t="s">
        <v>91</v>
      </c>
      <c r="B102" s="2">
        <v>9.0376851851851851E-3</v>
      </c>
      <c r="C102" s="2">
        <v>9.0261111111111115E-3</v>
      </c>
      <c r="D102" s="2">
        <v>9.0376851851851851E-3</v>
      </c>
      <c r="E102" t="s">
        <v>42</v>
      </c>
      <c r="F102" t="s">
        <v>28</v>
      </c>
      <c r="G102">
        <v>0.29696132596685099</v>
      </c>
      <c r="H102">
        <v>0.57758620689655205</v>
      </c>
    </row>
    <row r="103" spans="1:8" x14ac:dyDescent="0.3">
      <c r="A103" t="s">
        <v>92</v>
      </c>
      <c r="B103" s="2">
        <v>9.1305092592592601E-3</v>
      </c>
      <c r="C103" s="2">
        <v>9.1189351851851848E-3</v>
      </c>
      <c r="D103" s="2">
        <v>9.1305092592592601E-3</v>
      </c>
      <c r="E103" t="s">
        <v>30</v>
      </c>
      <c r="F103" t="s">
        <v>28</v>
      </c>
      <c r="G103">
        <v>0.24171270718231999</v>
      </c>
      <c r="H103">
        <v>0.21120689655172398</v>
      </c>
    </row>
    <row r="104" spans="1:8" x14ac:dyDescent="0.3">
      <c r="A104" t="s">
        <v>93</v>
      </c>
      <c r="B104" s="2">
        <v>9.2362962962962963E-3</v>
      </c>
      <c r="C104" s="2">
        <v>9.2247222222222227E-3</v>
      </c>
      <c r="D104" s="2">
        <v>9.2362962962962963E-3</v>
      </c>
      <c r="E104" t="s">
        <v>40</v>
      </c>
      <c r="F104" t="s">
        <v>28</v>
      </c>
      <c r="G104">
        <v>0.30524861878453002</v>
      </c>
      <c r="H104">
        <v>0.46120689655172398</v>
      </c>
    </row>
    <row r="105" spans="1:8" x14ac:dyDescent="0.3">
      <c r="A105" t="s">
        <v>94</v>
      </c>
      <c r="B105" s="2">
        <v>9.4360185185185189E-3</v>
      </c>
      <c r="C105" s="2">
        <v>9.4244444444444436E-3</v>
      </c>
      <c r="D105" s="2">
        <v>9.4360185185185189E-3</v>
      </c>
      <c r="E105" t="s">
        <v>67</v>
      </c>
      <c r="F105" t="s">
        <v>28</v>
      </c>
      <c r="G105">
        <v>0.18646408839779</v>
      </c>
      <c r="H105">
        <v>0.65086206896551702</v>
      </c>
    </row>
    <row r="106" spans="1:8" x14ac:dyDescent="0.3">
      <c r="A106" t="s">
        <v>95</v>
      </c>
      <c r="B106" s="2">
        <v>9.4472453703703697E-3</v>
      </c>
      <c r="C106" s="2">
        <v>9.4356712962962962E-3</v>
      </c>
      <c r="D106" s="2">
        <v>9.4472453703703697E-3</v>
      </c>
      <c r="E106" t="s">
        <v>38</v>
      </c>
      <c r="F106" t="s">
        <v>28</v>
      </c>
      <c r="G106">
        <v>0.299723756906077</v>
      </c>
      <c r="H106">
        <v>0.55172413793103403</v>
      </c>
    </row>
    <row r="107" spans="1:8" x14ac:dyDescent="0.3">
      <c r="A107" t="s">
        <v>96</v>
      </c>
      <c r="B107" s="2">
        <v>9.4607870370370366E-3</v>
      </c>
      <c r="C107" s="2">
        <v>9.4492129629629631E-3</v>
      </c>
      <c r="D107" s="2">
        <v>9.4607870370370366E-3</v>
      </c>
      <c r="E107" t="s">
        <v>40</v>
      </c>
      <c r="F107" t="s">
        <v>28</v>
      </c>
      <c r="G107">
        <v>0.21408839779005501</v>
      </c>
      <c r="H107">
        <v>0.49137931034482796</v>
      </c>
    </row>
    <row r="108" spans="1:8" x14ac:dyDescent="0.3">
      <c r="A108" t="s">
        <v>97</v>
      </c>
      <c r="B108" s="2">
        <v>1.046082175925926E-2</v>
      </c>
      <c r="C108" s="2">
        <v>1.0449247685185185E-2</v>
      </c>
      <c r="D108" s="2">
        <v>1.046082175925926E-2</v>
      </c>
      <c r="E108" t="s">
        <v>67</v>
      </c>
      <c r="F108" t="s">
        <v>28</v>
      </c>
      <c r="G108">
        <v>0.205801104972376</v>
      </c>
      <c r="H108">
        <v>0.85775862068965503</v>
      </c>
    </row>
    <row r="109" spans="1:8" hidden="1" x14ac:dyDescent="0.3">
      <c r="A109" t="s">
        <v>98</v>
      </c>
      <c r="B109" s="2">
        <v>1.0474398148148148E-2</v>
      </c>
      <c r="C109" s="2">
        <v>1.0462824074074074E-2</v>
      </c>
      <c r="D109" s="2">
        <v>1.0474398148148148E-2</v>
      </c>
      <c r="E109" t="s">
        <v>38</v>
      </c>
      <c r="F109" t="s">
        <v>34</v>
      </c>
      <c r="G109">
        <v>0.31353591160221</v>
      </c>
      <c r="H109">
        <v>0.818965517241379</v>
      </c>
    </row>
    <row r="110" spans="1:8" x14ac:dyDescent="0.3">
      <c r="A110" t="s">
        <v>99</v>
      </c>
      <c r="B110" s="2">
        <v>1.1768587962962963E-2</v>
      </c>
      <c r="C110" s="2">
        <v>1.1757013888888888E-2</v>
      </c>
      <c r="D110" s="2">
        <v>1.1768587962962963E-2</v>
      </c>
      <c r="E110" t="s">
        <v>27</v>
      </c>
      <c r="F110" t="s">
        <v>28</v>
      </c>
      <c r="G110">
        <v>5.9392265193370201E-2</v>
      </c>
      <c r="H110">
        <v>0.49137931034482796</v>
      </c>
    </row>
    <row r="111" spans="1:8" x14ac:dyDescent="0.3">
      <c r="A111" t="s">
        <v>100</v>
      </c>
      <c r="B111" s="2">
        <v>1.1768680555555555E-2</v>
      </c>
      <c r="C111" s="2">
        <v>1.1757106481481481E-2</v>
      </c>
      <c r="D111" s="2">
        <v>1.1768680555555555E-2</v>
      </c>
      <c r="E111" t="s">
        <v>42</v>
      </c>
      <c r="F111" t="s">
        <v>28</v>
      </c>
      <c r="G111">
        <v>5.6629834254143599E-2</v>
      </c>
      <c r="H111">
        <v>0.50431034482758608</v>
      </c>
    </row>
    <row r="112" spans="1:8" x14ac:dyDescent="0.3">
      <c r="A112" t="s">
        <v>101</v>
      </c>
      <c r="B112" s="2">
        <v>1.1909907407407407E-2</v>
      </c>
      <c r="C112" s="2">
        <v>1.1898333333333334E-2</v>
      </c>
      <c r="D112" s="2">
        <v>1.1909907407407407E-2</v>
      </c>
      <c r="E112" t="s">
        <v>30</v>
      </c>
      <c r="F112" t="s">
        <v>28</v>
      </c>
      <c r="G112">
        <v>0.86602209944751396</v>
      </c>
      <c r="H112">
        <v>0.13362068965517204</v>
      </c>
    </row>
    <row r="113" spans="1:8" x14ac:dyDescent="0.3">
      <c r="A113" t="s">
        <v>102</v>
      </c>
      <c r="B113" s="2">
        <v>1.1966041666666666E-2</v>
      </c>
      <c r="C113" s="2">
        <v>1.1954467592592593E-2</v>
      </c>
      <c r="D113" s="2">
        <v>1.1966041666666666E-2</v>
      </c>
      <c r="E113" t="s">
        <v>38</v>
      </c>
      <c r="F113" t="s">
        <v>28</v>
      </c>
      <c r="G113">
        <v>0.71408839779005495</v>
      </c>
      <c r="H113">
        <v>0.21982758620689602</v>
      </c>
    </row>
    <row r="114" spans="1:8" x14ac:dyDescent="0.3">
      <c r="A114" t="s">
        <v>103</v>
      </c>
      <c r="B114" s="2">
        <v>1.2341527777777778E-2</v>
      </c>
      <c r="C114" s="2">
        <v>1.2329953703703704E-2</v>
      </c>
      <c r="D114" s="2">
        <v>1.2341527777777778E-2</v>
      </c>
      <c r="E114" t="s">
        <v>42</v>
      </c>
      <c r="F114" t="s">
        <v>28</v>
      </c>
      <c r="G114">
        <v>0.39640883977900598</v>
      </c>
      <c r="H114">
        <v>0.74568965517241392</v>
      </c>
    </row>
    <row r="115" spans="1:8" x14ac:dyDescent="0.3">
      <c r="A115" t="s">
        <v>104</v>
      </c>
      <c r="B115" s="2">
        <v>1.2366516203703704E-2</v>
      </c>
      <c r="C115" s="2">
        <v>1.2354942129629629E-2</v>
      </c>
      <c r="D115" s="2">
        <v>1.2366516203703704E-2</v>
      </c>
      <c r="E115" t="s">
        <v>67</v>
      </c>
      <c r="F115" t="s">
        <v>28</v>
      </c>
      <c r="G115">
        <v>0.33011049723756902</v>
      </c>
      <c r="H115">
        <v>0.82758620689655205</v>
      </c>
    </row>
    <row r="116" spans="1:8" x14ac:dyDescent="0.3">
      <c r="A116" t="s">
        <v>105</v>
      </c>
      <c r="B116" s="2">
        <v>1.3008715277777777E-2</v>
      </c>
      <c r="C116" s="2">
        <v>1.2997141203703703E-2</v>
      </c>
      <c r="D116" s="2">
        <v>1.3008715277777777E-2</v>
      </c>
      <c r="E116" t="s">
        <v>46</v>
      </c>
      <c r="F116" t="s">
        <v>28</v>
      </c>
      <c r="G116">
        <v>0.39640883977900598</v>
      </c>
      <c r="H116">
        <v>0.61637931034482807</v>
      </c>
    </row>
    <row r="117" spans="1:8" x14ac:dyDescent="0.3">
      <c r="A117" t="s">
        <v>106</v>
      </c>
      <c r="B117" s="2">
        <v>1.3022928240740741E-2</v>
      </c>
      <c r="C117" s="2">
        <v>1.3011354166666666E-2</v>
      </c>
      <c r="D117" s="2">
        <v>1.3022928240740741E-2</v>
      </c>
      <c r="E117" t="s">
        <v>44</v>
      </c>
      <c r="F117" t="s">
        <v>28</v>
      </c>
      <c r="G117">
        <v>0.49585635359115998</v>
      </c>
      <c r="H117">
        <v>0.49137931034482796</v>
      </c>
    </row>
    <row r="118" spans="1:8" x14ac:dyDescent="0.3">
      <c r="A118" t="s">
        <v>108</v>
      </c>
      <c r="B118" s="2">
        <v>1.3552604166666666E-2</v>
      </c>
      <c r="C118" s="2">
        <v>1.3541030092592592E-2</v>
      </c>
      <c r="D118" s="2">
        <v>1.3552604166666666E-2</v>
      </c>
      <c r="E118" t="s">
        <v>40</v>
      </c>
      <c r="F118" t="s">
        <v>28</v>
      </c>
      <c r="G118">
        <v>0.338397790055249</v>
      </c>
      <c r="H118">
        <v>0.38793103448275901</v>
      </c>
    </row>
    <row r="119" spans="1:8" hidden="1" x14ac:dyDescent="0.3">
      <c r="A119" t="s">
        <v>109</v>
      </c>
      <c r="B119" s="2">
        <v>1.4030462962962963E-2</v>
      </c>
      <c r="C119" s="2">
        <v>1.4018888888888888E-2</v>
      </c>
      <c r="D119" s="2">
        <v>1.4030462962962963E-2</v>
      </c>
      <c r="E119" t="s">
        <v>32</v>
      </c>
      <c r="F119" t="s">
        <v>34</v>
      </c>
      <c r="G119">
        <v>0.68922651933701695</v>
      </c>
      <c r="H119">
        <v>0.72844827586206895</v>
      </c>
    </row>
    <row r="120" spans="1:8" x14ac:dyDescent="0.3">
      <c r="A120" t="s">
        <v>110</v>
      </c>
      <c r="B120" s="2">
        <v>1.4140729166666666E-2</v>
      </c>
      <c r="C120" s="2">
        <v>1.4129155092592592E-2</v>
      </c>
      <c r="D120" s="2">
        <v>1.4140729166666666E-2</v>
      </c>
      <c r="E120" t="s">
        <v>42</v>
      </c>
      <c r="F120" t="s">
        <v>28</v>
      </c>
      <c r="G120">
        <v>0.62016574585635398</v>
      </c>
      <c r="H120">
        <v>0.96551724137931028</v>
      </c>
    </row>
    <row r="121" spans="1:8" x14ac:dyDescent="0.3">
      <c r="A121" t="s">
        <v>111</v>
      </c>
      <c r="B121" s="2">
        <v>1.4497650462962962E-2</v>
      </c>
      <c r="C121" s="2">
        <v>1.4486076388888889E-2</v>
      </c>
      <c r="D121" s="2">
        <v>1.4497650462962962E-2</v>
      </c>
      <c r="E121" t="s">
        <v>67</v>
      </c>
      <c r="F121" t="s">
        <v>28</v>
      </c>
      <c r="G121">
        <v>0.219613259668508</v>
      </c>
      <c r="H121">
        <v>0.93534482758620685</v>
      </c>
    </row>
    <row r="122" spans="1:8" x14ac:dyDescent="0.3">
      <c r="A122" t="s">
        <v>112</v>
      </c>
      <c r="B122" s="2">
        <v>1.4557789351851851E-2</v>
      </c>
      <c r="C122" s="2">
        <v>1.4546215277777778E-2</v>
      </c>
      <c r="D122" s="2">
        <v>1.4557789351851851E-2</v>
      </c>
      <c r="E122" t="s">
        <v>42</v>
      </c>
      <c r="F122" t="s">
        <v>28</v>
      </c>
      <c r="G122">
        <v>0.36049723756906099</v>
      </c>
      <c r="H122">
        <v>0.78017241379310298</v>
      </c>
    </row>
    <row r="123" spans="1:8" x14ac:dyDescent="0.3">
      <c r="A123" t="s">
        <v>113</v>
      </c>
      <c r="B123" s="2">
        <v>1.4636805555555556E-2</v>
      </c>
      <c r="C123" s="2">
        <v>1.4625231481481482E-2</v>
      </c>
      <c r="D123" s="2">
        <v>1.4636805555555556E-2</v>
      </c>
      <c r="E123" t="s">
        <v>32</v>
      </c>
      <c r="F123" t="s">
        <v>28</v>
      </c>
      <c r="G123">
        <v>0.71132596685082905</v>
      </c>
      <c r="H123">
        <v>0.62931034482758608</v>
      </c>
    </row>
    <row r="124" spans="1:8" x14ac:dyDescent="0.3">
      <c r="A124" t="s">
        <v>114</v>
      </c>
      <c r="B124" s="2">
        <v>1.4962118055555555E-2</v>
      </c>
      <c r="C124" s="2">
        <v>1.4950543981481481E-2</v>
      </c>
      <c r="D124" s="2">
        <v>1.4962118055555555E-2</v>
      </c>
      <c r="E124" t="s">
        <v>32</v>
      </c>
      <c r="F124" t="s">
        <v>28</v>
      </c>
      <c r="G124">
        <v>0.45441988950276202</v>
      </c>
      <c r="H124">
        <v>0.68534482758620707</v>
      </c>
    </row>
    <row r="125" spans="1:8" x14ac:dyDescent="0.3">
      <c r="A125" t="s">
        <v>115</v>
      </c>
      <c r="B125" s="2">
        <v>1.4996041666666666E-2</v>
      </c>
      <c r="C125" s="2">
        <v>1.4984467592592593E-2</v>
      </c>
      <c r="D125" s="2">
        <v>1.4996041666666666E-2</v>
      </c>
      <c r="E125" t="s">
        <v>51</v>
      </c>
      <c r="F125" t="s">
        <v>28</v>
      </c>
      <c r="G125">
        <v>0.42955801104972402</v>
      </c>
      <c r="H125">
        <v>0.96120689655172409</v>
      </c>
    </row>
    <row r="126" spans="1:8" hidden="1" x14ac:dyDescent="0.3">
      <c r="A126" t="s">
        <v>116</v>
      </c>
      <c r="B126" s="2">
        <v>1.6761307870370369E-2</v>
      </c>
      <c r="C126" s="2">
        <v>1.6749733796296296E-2</v>
      </c>
      <c r="D126" s="2">
        <v>1.6761307870370369E-2</v>
      </c>
      <c r="E126" t="s">
        <v>46</v>
      </c>
      <c r="F126" t="s">
        <v>34</v>
      </c>
      <c r="G126">
        <v>0.36049723756906099</v>
      </c>
      <c r="H126">
        <v>0.32327586206896597</v>
      </c>
    </row>
    <row r="127" spans="1:8" x14ac:dyDescent="0.3">
      <c r="A127" t="s">
        <v>117</v>
      </c>
      <c r="B127" s="2">
        <v>1.6881770833333334E-2</v>
      </c>
      <c r="C127" s="2">
        <v>1.687019675925926E-2</v>
      </c>
      <c r="D127" s="2">
        <v>1.6881770833333334E-2</v>
      </c>
      <c r="E127" t="s">
        <v>30</v>
      </c>
      <c r="F127" t="s">
        <v>28</v>
      </c>
      <c r="G127">
        <v>0.19198895027624299</v>
      </c>
      <c r="H127">
        <v>0.22413793103448298</v>
      </c>
    </row>
    <row r="128" spans="1:8" x14ac:dyDescent="0.3">
      <c r="A128" t="s">
        <v>118</v>
      </c>
      <c r="B128" s="2">
        <v>1.6918657407407407E-2</v>
      </c>
      <c r="C128" s="2">
        <v>1.6907083333333333E-2</v>
      </c>
      <c r="D128" s="2">
        <v>1.6918657407407407E-2</v>
      </c>
      <c r="E128" t="s">
        <v>40</v>
      </c>
      <c r="F128" t="s">
        <v>28</v>
      </c>
      <c r="G128">
        <v>0.25828729281767998</v>
      </c>
      <c r="H128">
        <v>0.34051724137931005</v>
      </c>
    </row>
    <row r="129" spans="1:8" hidden="1" x14ac:dyDescent="0.3">
      <c r="A129" t="s">
        <v>119</v>
      </c>
      <c r="B129" s="2">
        <v>1.7221608796296296E-2</v>
      </c>
      <c r="C129" s="2">
        <v>1.7210034722222222E-2</v>
      </c>
      <c r="D129" s="2">
        <v>1.7221608796296296E-2</v>
      </c>
      <c r="E129" t="s">
        <v>46</v>
      </c>
      <c r="F129" t="s">
        <v>34</v>
      </c>
      <c r="G129">
        <v>8.1491712707182307E-2</v>
      </c>
      <c r="H129">
        <v>0.13362068965517204</v>
      </c>
    </row>
    <row r="130" spans="1:8" hidden="1" x14ac:dyDescent="0.3">
      <c r="A130" t="s">
        <v>120</v>
      </c>
      <c r="B130" s="2">
        <v>1.7262476851851852E-2</v>
      </c>
      <c r="C130" s="2">
        <v>1.7250902777777778E-2</v>
      </c>
      <c r="D130" s="2">
        <v>1.7262476851851852E-2</v>
      </c>
      <c r="E130" t="s">
        <v>46</v>
      </c>
      <c r="F130" t="s">
        <v>34</v>
      </c>
      <c r="G130">
        <v>0.15883977900552501</v>
      </c>
      <c r="H130">
        <v>7.7586206896552046E-2</v>
      </c>
    </row>
    <row r="131" spans="1:8" x14ac:dyDescent="0.3">
      <c r="A131" t="s">
        <v>121</v>
      </c>
      <c r="B131" s="2">
        <v>1.7790740740740742E-2</v>
      </c>
      <c r="C131" s="2">
        <v>1.7779166666666665E-2</v>
      </c>
      <c r="D131" s="2">
        <v>1.7790740740740742E-2</v>
      </c>
      <c r="E131" t="s">
        <v>67</v>
      </c>
      <c r="F131" t="s">
        <v>28</v>
      </c>
      <c r="G131">
        <v>0.17817679558010999</v>
      </c>
      <c r="H131">
        <v>0.66379310344827602</v>
      </c>
    </row>
    <row r="132" spans="1:8" x14ac:dyDescent="0.3">
      <c r="A132" t="s">
        <v>122</v>
      </c>
      <c r="B132" s="2">
        <v>1.8368506944444446E-2</v>
      </c>
      <c r="C132" s="2">
        <v>1.8356932870370369E-2</v>
      </c>
      <c r="D132" s="2">
        <v>1.8368506944444446E-2</v>
      </c>
      <c r="E132" t="s">
        <v>27</v>
      </c>
      <c r="F132" t="s">
        <v>28</v>
      </c>
      <c r="G132">
        <v>0.125690607734807</v>
      </c>
      <c r="H132">
        <v>0.45258620689655205</v>
      </c>
    </row>
    <row r="133" spans="1:8" x14ac:dyDescent="0.3">
      <c r="A133" t="s">
        <v>123</v>
      </c>
      <c r="B133" s="2">
        <v>1.8388356481481481E-2</v>
      </c>
      <c r="C133" s="2">
        <v>1.8376782407407408E-2</v>
      </c>
      <c r="D133" s="2">
        <v>1.8388356481481481E-2</v>
      </c>
      <c r="E133" t="s">
        <v>46</v>
      </c>
      <c r="F133" t="s">
        <v>28</v>
      </c>
      <c r="G133">
        <v>0.14779005524861899</v>
      </c>
      <c r="H133">
        <v>0.29741379310344795</v>
      </c>
    </row>
    <row r="134" spans="1:8" x14ac:dyDescent="0.3">
      <c r="A134" t="s">
        <v>124</v>
      </c>
      <c r="B134" s="2">
        <v>1.8439467592592594E-2</v>
      </c>
      <c r="C134" s="2">
        <v>1.8427893518518517E-2</v>
      </c>
      <c r="D134" s="2">
        <v>1.8439467592592594E-2</v>
      </c>
      <c r="E134" t="s">
        <v>27</v>
      </c>
      <c r="F134" t="s">
        <v>28</v>
      </c>
      <c r="G134">
        <v>0.12016574585635401</v>
      </c>
      <c r="H134">
        <v>0.52586206896551702</v>
      </c>
    </row>
    <row r="135" spans="1:8" x14ac:dyDescent="0.3">
      <c r="A135" t="s">
        <v>125</v>
      </c>
      <c r="B135" s="2">
        <v>1.845775462962963E-2</v>
      </c>
      <c r="C135" s="2">
        <v>1.8446180555555556E-2</v>
      </c>
      <c r="D135" s="2">
        <v>1.845775462962963E-2</v>
      </c>
      <c r="E135" t="s">
        <v>58</v>
      </c>
      <c r="F135" t="s">
        <v>28</v>
      </c>
      <c r="G135">
        <v>0.15883977900552501</v>
      </c>
      <c r="H135">
        <v>0.70258620689655205</v>
      </c>
    </row>
    <row r="136" spans="1:8" x14ac:dyDescent="0.3">
      <c r="A136" t="s">
        <v>126</v>
      </c>
      <c r="B136" s="2">
        <v>1.848318287037037E-2</v>
      </c>
      <c r="C136" s="2">
        <v>1.8471608796296297E-2</v>
      </c>
      <c r="D136" s="2">
        <v>1.848318287037037E-2</v>
      </c>
      <c r="E136" t="s">
        <v>38</v>
      </c>
      <c r="F136" t="s">
        <v>28</v>
      </c>
      <c r="G136">
        <v>0.24171270718231999</v>
      </c>
      <c r="H136">
        <v>0.681034482758621</v>
      </c>
    </row>
    <row r="137" spans="1:8" hidden="1" x14ac:dyDescent="0.3">
      <c r="A137" t="s">
        <v>127</v>
      </c>
      <c r="B137" s="2">
        <v>1.8551412037037036E-2</v>
      </c>
      <c r="C137" s="2">
        <v>1.8539837962962963E-2</v>
      </c>
      <c r="D137" s="2">
        <v>1.8551412037037036E-2</v>
      </c>
      <c r="E137" t="s">
        <v>44</v>
      </c>
      <c r="F137" t="s">
        <v>34</v>
      </c>
      <c r="G137">
        <v>0.551104972375691</v>
      </c>
      <c r="H137">
        <v>0.44827586206896597</v>
      </c>
    </row>
    <row r="138" spans="1:8" x14ac:dyDescent="0.3">
      <c r="A138" t="s">
        <v>128</v>
      </c>
      <c r="B138" s="2">
        <v>1.908255787037037E-2</v>
      </c>
      <c r="C138" s="2">
        <v>1.9070983796296296E-2</v>
      </c>
      <c r="D138" s="2">
        <v>1.908255787037037E-2</v>
      </c>
      <c r="E138" t="s">
        <v>32</v>
      </c>
      <c r="F138" t="s">
        <v>28</v>
      </c>
      <c r="G138">
        <v>0.53729281767955805</v>
      </c>
      <c r="H138">
        <v>3.0172413793102981E-2</v>
      </c>
    </row>
    <row r="139" spans="1:8" x14ac:dyDescent="0.3">
      <c r="A139" t="s">
        <v>129</v>
      </c>
      <c r="B139" s="2">
        <v>1.9102986111111112E-2</v>
      </c>
      <c r="C139" s="2">
        <v>1.9091412037037039E-2</v>
      </c>
      <c r="D139" s="2">
        <v>1.9102986111111112E-2</v>
      </c>
      <c r="E139" t="s">
        <v>30</v>
      </c>
      <c r="F139" t="s">
        <v>28</v>
      </c>
      <c r="G139">
        <v>0.45441988950276202</v>
      </c>
      <c r="H139">
        <v>4.7413793103447954E-2</v>
      </c>
    </row>
    <row r="140" spans="1:8" hidden="1" x14ac:dyDescent="0.3">
      <c r="A140" t="s">
        <v>130</v>
      </c>
      <c r="B140" s="2">
        <v>1.9181365740740742E-2</v>
      </c>
      <c r="C140" s="2">
        <v>1.9169791666666668E-2</v>
      </c>
      <c r="D140" s="2">
        <v>1.9181365740740742E-2</v>
      </c>
      <c r="E140" t="s">
        <v>44</v>
      </c>
      <c r="F140" t="s">
        <v>34</v>
      </c>
      <c r="G140">
        <v>0.57872928176795602</v>
      </c>
      <c r="H140">
        <v>0.181034482758621</v>
      </c>
    </row>
    <row r="141" spans="1:8" x14ac:dyDescent="0.3">
      <c r="A141" t="s">
        <v>131</v>
      </c>
      <c r="B141" s="2">
        <v>1.9630659722222221E-2</v>
      </c>
      <c r="C141" s="2">
        <v>1.9619085648148148E-2</v>
      </c>
      <c r="D141" s="2">
        <v>1.9630659722222221E-2</v>
      </c>
      <c r="E141" t="s">
        <v>67</v>
      </c>
      <c r="F141" t="s">
        <v>28</v>
      </c>
      <c r="G141">
        <v>0.21685082872928199</v>
      </c>
      <c r="H141">
        <v>0.70258620689655205</v>
      </c>
    </row>
    <row r="142" spans="1:8" hidden="1" x14ac:dyDescent="0.3">
      <c r="A142" t="s">
        <v>132</v>
      </c>
      <c r="B142" s="2">
        <v>1.9872337962962963E-2</v>
      </c>
      <c r="C142" s="2">
        <v>1.986076388888889E-2</v>
      </c>
      <c r="D142" s="2">
        <v>1.9872337962962963E-2</v>
      </c>
      <c r="E142" t="s">
        <v>46</v>
      </c>
      <c r="F142" t="s">
        <v>34</v>
      </c>
      <c r="G142">
        <v>9.6685082872928207E-3</v>
      </c>
      <c r="H142">
        <v>0.90948275862068972</v>
      </c>
    </row>
    <row r="143" spans="1:8" x14ac:dyDescent="0.3">
      <c r="A143" t="s">
        <v>133</v>
      </c>
      <c r="B143" s="2">
        <v>2.0265150462962962E-2</v>
      </c>
      <c r="C143" s="2">
        <v>2.0253576388888889E-2</v>
      </c>
      <c r="D143" s="2">
        <v>2.0265150462962962E-2</v>
      </c>
      <c r="E143" t="s">
        <v>27</v>
      </c>
      <c r="F143" t="s">
        <v>28</v>
      </c>
      <c r="G143">
        <v>5.6629834254143599E-2</v>
      </c>
      <c r="H143">
        <v>0.48706896551724099</v>
      </c>
    </row>
    <row r="144" spans="1:8" hidden="1" x14ac:dyDescent="0.3">
      <c r="A144" t="s">
        <v>134</v>
      </c>
      <c r="B144" s="2">
        <v>2.0387546296296296E-2</v>
      </c>
      <c r="C144" s="2">
        <v>2.0375972222222222E-2</v>
      </c>
      <c r="D144" s="2">
        <v>2.0387546296296296E-2</v>
      </c>
      <c r="E144" t="s">
        <v>51</v>
      </c>
      <c r="F144" t="s">
        <v>34</v>
      </c>
      <c r="G144">
        <v>0.72790055248618801</v>
      </c>
      <c r="H144">
        <v>0.74137931034482807</v>
      </c>
    </row>
    <row r="145" spans="1:8" x14ac:dyDescent="0.3">
      <c r="A145" t="s">
        <v>135</v>
      </c>
      <c r="B145" s="2">
        <v>2.0529155092592594E-2</v>
      </c>
      <c r="C145" s="2">
        <v>2.051758101851852E-2</v>
      </c>
      <c r="D145" s="2">
        <v>2.0529155092592594E-2</v>
      </c>
      <c r="E145" t="s">
        <v>58</v>
      </c>
      <c r="F145" t="s">
        <v>28</v>
      </c>
      <c r="G145">
        <v>0.43232044198894998</v>
      </c>
      <c r="H145">
        <v>0.88793103448275901</v>
      </c>
    </row>
    <row r="146" spans="1:8" x14ac:dyDescent="0.3">
      <c r="A146" t="s">
        <v>136</v>
      </c>
      <c r="B146" s="2">
        <v>2.0559976851851854E-2</v>
      </c>
      <c r="C146" s="2">
        <v>2.0548402777777777E-2</v>
      </c>
      <c r="D146" s="2">
        <v>2.0559976851851854E-2</v>
      </c>
      <c r="E146" t="s">
        <v>67</v>
      </c>
      <c r="F146" t="s">
        <v>28</v>
      </c>
      <c r="G146">
        <v>0.424033149171271</v>
      </c>
      <c r="H146">
        <v>0.96551724137931028</v>
      </c>
    </row>
    <row r="147" spans="1:8" x14ac:dyDescent="0.3">
      <c r="A147" t="s">
        <v>137</v>
      </c>
      <c r="B147" s="2">
        <v>2.0986666666666667E-2</v>
      </c>
      <c r="C147" s="2">
        <v>2.0975092592592594E-2</v>
      </c>
      <c r="D147" s="2">
        <v>2.0986666666666667E-2</v>
      </c>
      <c r="E147" t="s">
        <v>42</v>
      </c>
      <c r="F147" t="s">
        <v>28</v>
      </c>
      <c r="G147">
        <v>0.424033149171271</v>
      </c>
      <c r="H147">
        <v>0.72844827586206895</v>
      </c>
    </row>
    <row r="148" spans="1:8" x14ac:dyDescent="0.3">
      <c r="A148" t="s">
        <v>138</v>
      </c>
      <c r="B148" s="2">
        <v>2.1012881944444443E-2</v>
      </c>
      <c r="C148" s="2">
        <v>2.100130787037037E-2</v>
      </c>
      <c r="D148" s="2">
        <v>2.1012881944444443E-2</v>
      </c>
      <c r="E148" t="s">
        <v>32</v>
      </c>
      <c r="F148" t="s">
        <v>28</v>
      </c>
      <c r="G148">
        <v>0.60635359116022103</v>
      </c>
      <c r="H148">
        <v>0.58620689655172398</v>
      </c>
    </row>
    <row r="149" spans="1:8" hidden="1" x14ac:dyDescent="0.3">
      <c r="A149" t="s">
        <v>139</v>
      </c>
      <c r="B149" s="2">
        <v>2.103369212962963E-2</v>
      </c>
      <c r="C149" s="2">
        <v>2.1022118055555556E-2</v>
      </c>
      <c r="D149" s="2">
        <v>2.103369212962963E-2</v>
      </c>
      <c r="E149" t="s">
        <v>38</v>
      </c>
      <c r="F149" t="s">
        <v>34</v>
      </c>
      <c r="G149">
        <v>0.66988950276243098</v>
      </c>
      <c r="H149">
        <v>0.33620689655172398</v>
      </c>
    </row>
    <row r="150" spans="1:8" hidden="1" x14ac:dyDescent="0.3">
      <c r="A150" t="s">
        <v>140</v>
      </c>
      <c r="B150" s="2">
        <v>2.1534780092592593E-2</v>
      </c>
      <c r="C150" s="2">
        <v>2.152320601851852E-2</v>
      </c>
      <c r="D150" s="2">
        <v>2.1534780092592593E-2</v>
      </c>
      <c r="E150" t="s">
        <v>44</v>
      </c>
      <c r="F150" t="s">
        <v>34</v>
      </c>
      <c r="G150">
        <v>0.70580110497237603</v>
      </c>
      <c r="H150">
        <v>3.0172413793102981E-2</v>
      </c>
    </row>
    <row r="151" spans="1:8" x14ac:dyDescent="0.3">
      <c r="A151" t="s">
        <v>141</v>
      </c>
      <c r="B151" s="2">
        <v>2.1819618055555556E-2</v>
      </c>
      <c r="C151" s="2">
        <v>2.1808043981481482E-2</v>
      </c>
      <c r="D151" s="2">
        <v>2.1819618055555556E-2</v>
      </c>
      <c r="E151" t="s">
        <v>46</v>
      </c>
      <c r="F151" t="s">
        <v>28</v>
      </c>
      <c r="G151">
        <v>0.30248618784530401</v>
      </c>
      <c r="H151">
        <v>5.1724137931034031E-2</v>
      </c>
    </row>
    <row r="152" spans="1:8" x14ac:dyDescent="0.3">
      <c r="A152" t="s">
        <v>142</v>
      </c>
      <c r="B152" s="2">
        <v>2.1875127314814814E-2</v>
      </c>
      <c r="C152" s="2">
        <v>2.1863553240740741E-2</v>
      </c>
      <c r="D152" s="2">
        <v>2.1875127314814814E-2</v>
      </c>
      <c r="E152" t="s">
        <v>32</v>
      </c>
      <c r="F152" t="s">
        <v>28</v>
      </c>
      <c r="G152">
        <v>0.55386740331491702</v>
      </c>
      <c r="H152">
        <v>0.10775862068965503</v>
      </c>
    </row>
    <row r="153" spans="1:8" hidden="1" x14ac:dyDescent="0.3">
      <c r="A153" t="s">
        <v>143</v>
      </c>
      <c r="B153" s="2">
        <v>2.2464502314814814E-2</v>
      </c>
      <c r="C153" s="2">
        <v>2.245292824074074E-2</v>
      </c>
      <c r="D153" s="2">
        <v>2.2464502314814814E-2</v>
      </c>
      <c r="E153" t="s">
        <v>32</v>
      </c>
      <c r="F153" t="s">
        <v>34</v>
      </c>
      <c r="G153">
        <v>0.36602209944751402</v>
      </c>
      <c r="H153">
        <v>0.29310344827586199</v>
      </c>
    </row>
    <row r="154" spans="1:8" x14ac:dyDescent="0.3">
      <c r="A154" t="s">
        <v>144</v>
      </c>
      <c r="B154" s="2">
        <v>2.2594305555555555E-2</v>
      </c>
      <c r="C154" s="2">
        <v>2.2582731481481481E-2</v>
      </c>
      <c r="D154" s="2">
        <v>2.2594305555555555E-2</v>
      </c>
      <c r="E154" t="s">
        <v>46</v>
      </c>
      <c r="F154" t="s">
        <v>28</v>
      </c>
      <c r="G154">
        <v>0.23895027624309401</v>
      </c>
      <c r="H154">
        <v>0.18534482758620696</v>
      </c>
    </row>
    <row r="155" spans="1:8" x14ac:dyDescent="0.3">
      <c r="A155" t="s">
        <v>145</v>
      </c>
      <c r="B155" s="2">
        <v>2.2618958333333335E-2</v>
      </c>
      <c r="C155" s="2">
        <v>2.2607384259259258E-2</v>
      </c>
      <c r="D155" s="2">
        <v>2.2618958333333335E-2</v>
      </c>
      <c r="E155" t="s">
        <v>44</v>
      </c>
      <c r="F155" t="s">
        <v>28</v>
      </c>
      <c r="G155">
        <v>0.24171270718231999</v>
      </c>
      <c r="H155">
        <v>6.8965517241379004E-2</v>
      </c>
    </row>
    <row r="156" spans="1:8" x14ac:dyDescent="0.3">
      <c r="A156" t="s">
        <v>146</v>
      </c>
      <c r="B156" s="2">
        <v>2.2627129629629629E-2</v>
      </c>
      <c r="C156" s="2">
        <v>2.2615555555555555E-2</v>
      </c>
      <c r="D156" s="2">
        <v>2.2627129629629629E-2</v>
      </c>
      <c r="E156" t="s">
        <v>30</v>
      </c>
      <c r="F156" t="s">
        <v>28</v>
      </c>
      <c r="G156">
        <v>0.18922651933701701</v>
      </c>
      <c r="H156">
        <v>0.125</v>
      </c>
    </row>
    <row r="157" spans="1:8" x14ac:dyDescent="0.3">
      <c r="A157" t="s">
        <v>147</v>
      </c>
      <c r="B157" s="2">
        <v>2.3299409722222223E-2</v>
      </c>
      <c r="C157" s="2">
        <v>2.328783564814815E-2</v>
      </c>
      <c r="D157" s="2">
        <v>2.3299409722222223E-2</v>
      </c>
      <c r="E157" t="s">
        <v>32</v>
      </c>
      <c r="F157" t="s">
        <v>28</v>
      </c>
      <c r="G157">
        <v>0.50138121546961301</v>
      </c>
      <c r="H157">
        <v>0.49568965517241403</v>
      </c>
    </row>
    <row r="158" spans="1:8" hidden="1" x14ac:dyDescent="0.3">
      <c r="A158" t="s">
        <v>148</v>
      </c>
      <c r="B158" s="2">
        <v>2.3534097222222224E-2</v>
      </c>
      <c r="C158" s="2">
        <v>2.3522523148148147E-2</v>
      </c>
      <c r="D158" s="2">
        <v>2.3534097222222224E-2</v>
      </c>
      <c r="E158" t="s">
        <v>42</v>
      </c>
      <c r="F158" t="s">
        <v>34</v>
      </c>
      <c r="G158">
        <v>0.79419889502762397</v>
      </c>
      <c r="H158">
        <v>0.10344827586206895</v>
      </c>
    </row>
    <row r="159" spans="1:8" x14ac:dyDescent="0.3">
      <c r="A159" t="s">
        <v>149</v>
      </c>
      <c r="B159" s="2">
        <v>2.3639259259259259E-2</v>
      </c>
      <c r="C159" s="2">
        <v>2.3627685185185186E-2</v>
      </c>
      <c r="D159" s="2">
        <v>2.3639259259259259E-2</v>
      </c>
      <c r="E159" t="s">
        <v>58</v>
      </c>
      <c r="F159" t="s">
        <v>28</v>
      </c>
      <c r="G159">
        <v>0.23618784530386699</v>
      </c>
      <c r="H159">
        <v>0.11206896551724099</v>
      </c>
    </row>
    <row r="160" spans="1:8" hidden="1" x14ac:dyDescent="0.3">
      <c r="A160" t="s">
        <v>150</v>
      </c>
      <c r="B160" s="2">
        <v>2.3861782407407408E-2</v>
      </c>
      <c r="C160" s="2">
        <v>2.3850208333333334E-2</v>
      </c>
      <c r="D160" s="2">
        <v>2.3861782407407408E-2</v>
      </c>
      <c r="E160" t="s">
        <v>30</v>
      </c>
      <c r="F160" t="s">
        <v>34</v>
      </c>
      <c r="G160">
        <v>0.22790055248618801</v>
      </c>
      <c r="H160">
        <v>0.10344827586206895</v>
      </c>
    </row>
    <row r="161" spans="1:8" x14ac:dyDescent="0.3">
      <c r="A161" t="s">
        <v>151</v>
      </c>
      <c r="B161" s="2">
        <v>2.4701018518518518E-2</v>
      </c>
      <c r="C161" s="2">
        <v>2.4689444444444444E-2</v>
      </c>
      <c r="D161" s="2">
        <v>2.4701018518518518E-2</v>
      </c>
      <c r="E161" t="s">
        <v>58</v>
      </c>
      <c r="F161" t="s">
        <v>28</v>
      </c>
      <c r="G161">
        <v>0.11740331491712699</v>
      </c>
      <c r="H161">
        <v>0.70689655172413801</v>
      </c>
    </row>
    <row r="162" spans="1:8" x14ac:dyDescent="0.3">
      <c r="A162" t="s">
        <v>152</v>
      </c>
      <c r="B162" s="2">
        <v>2.4719351851851853E-2</v>
      </c>
      <c r="C162" s="2">
        <v>2.4707777777777776E-2</v>
      </c>
      <c r="D162" s="2">
        <v>2.4719351851851853E-2</v>
      </c>
      <c r="E162" t="s">
        <v>67</v>
      </c>
      <c r="F162" t="s">
        <v>28</v>
      </c>
      <c r="G162">
        <v>0.23342541436464101</v>
      </c>
      <c r="H162">
        <v>0.96982758620689657</v>
      </c>
    </row>
    <row r="163" spans="1:8" x14ac:dyDescent="0.3">
      <c r="A163" t="s">
        <v>153</v>
      </c>
      <c r="B163" s="2">
        <v>2.5412453703703704E-2</v>
      </c>
      <c r="C163" s="2">
        <v>2.5400879629629631E-2</v>
      </c>
      <c r="D163" s="2">
        <v>2.5412453703703704E-2</v>
      </c>
      <c r="E163" t="s">
        <v>67</v>
      </c>
      <c r="F163" t="s">
        <v>28</v>
      </c>
      <c r="G163">
        <v>0.24723756906077299</v>
      </c>
      <c r="H163">
        <v>0.98706896551724144</v>
      </c>
    </row>
    <row r="164" spans="1:8" x14ac:dyDescent="0.3">
      <c r="A164" t="s">
        <v>154</v>
      </c>
      <c r="B164" s="2">
        <v>2.6522500000000001E-2</v>
      </c>
      <c r="C164" s="2">
        <v>2.6510925925925927E-2</v>
      </c>
      <c r="D164" s="2">
        <v>2.6522500000000001E-2</v>
      </c>
      <c r="E164" t="s">
        <v>32</v>
      </c>
      <c r="F164" t="s">
        <v>28</v>
      </c>
      <c r="G164">
        <v>0.50138121546961301</v>
      </c>
      <c r="H164">
        <v>0.5</v>
      </c>
    </row>
    <row r="165" spans="1:8" x14ac:dyDescent="0.3">
      <c r="A165" t="s">
        <v>155</v>
      </c>
      <c r="B165" s="2">
        <v>2.6550995370370371E-2</v>
      </c>
      <c r="C165" s="2">
        <v>2.6539421296296297E-2</v>
      </c>
      <c r="D165" s="2">
        <v>2.6550995370370371E-2</v>
      </c>
      <c r="E165" t="s">
        <v>42</v>
      </c>
      <c r="F165" t="s">
        <v>28</v>
      </c>
      <c r="G165">
        <v>0.324585635359116</v>
      </c>
      <c r="H165">
        <v>0.568965517241379</v>
      </c>
    </row>
    <row r="166" spans="1:8" hidden="1" x14ac:dyDescent="0.3">
      <c r="A166" t="s">
        <v>156</v>
      </c>
      <c r="B166" s="2">
        <v>2.6581782407407408E-2</v>
      </c>
      <c r="C166" s="2">
        <v>2.6570208333333335E-2</v>
      </c>
      <c r="D166" s="2">
        <v>2.6581782407407408E-2</v>
      </c>
      <c r="E166" t="s">
        <v>46</v>
      </c>
      <c r="F166" t="s">
        <v>34</v>
      </c>
      <c r="G166">
        <v>0.23618784530386699</v>
      </c>
      <c r="H166">
        <v>0.35775862068965503</v>
      </c>
    </row>
    <row r="167" spans="1:8" x14ac:dyDescent="0.3">
      <c r="A167" t="s">
        <v>157</v>
      </c>
      <c r="B167" s="2">
        <v>2.7349270833333335E-2</v>
      </c>
      <c r="C167" s="2">
        <v>2.7337696759259258E-2</v>
      </c>
      <c r="D167" s="2">
        <v>2.7349270833333335E-2</v>
      </c>
      <c r="E167" t="s">
        <v>27</v>
      </c>
      <c r="F167" t="s">
        <v>28</v>
      </c>
      <c r="G167">
        <v>5.3867403314917101E-2</v>
      </c>
      <c r="H167">
        <v>0.48275862068965503</v>
      </c>
    </row>
    <row r="168" spans="1:8" hidden="1" x14ac:dyDescent="0.3">
      <c r="A168" t="s">
        <v>158</v>
      </c>
      <c r="B168" s="2">
        <v>2.7438298611111109E-2</v>
      </c>
      <c r="C168" s="2">
        <v>2.7426724537037036E-2</v>
      </c>
      <c r="D168" s="2">
        <v>2.7438298611111109E-2</v>
      </c>
      <c r="E168" t="s">
        <v>32</v>
      </c>
      <c r="F168" t="s">
        <v>34</v>
      </c>
      <c r="G168">
        <v>0.39088397790055202</v>
      </c>
      <c r="H168">
        <v>0.65948275862068995</v>
      </c>
    </row>
    <row r="169" spans="1:8" x14ac:dyDescent="0.3">
      <c r="A169" t="s">
        <v>159</v>
      </c>
      <c r="B169" s="2">
        <v>2.8229236111111111E-2</v>
      </c>
      <c r="C169" s="2">
        <v>2.8217662037037038E-2</v>
      </c>
      <c r="D169" s="2">
        <v>2.8229236111111111E-2</v>
      </c>
      <c r="E169" t="s">
        <v>51</v>
      </c>
      <c r="F169" t="s">
        <v>28</v>
      </c>
      <c r="G169">
        <v>0.33563535911602199</v>
      </c>
      <c r="H169">
        <v>0.97844827586206895</v>
      </c>
    </row>
    <row r="170" spans="1:8" x14ac:dyDescent="0.3">
      <c r="A170" t="s">
        <v>160</v>
      </c>
      <c r="B170" s="2">
        <v>2.8512673611111112E-2</v>
      </c>
      <c r="C170" s="2">
        <v>2.8501099537037038E-2</v>
      </c>
      <c r="D170" s="2">
        <v>2.8512673611111112E-2</v>
      </c>
      <c r="E170" t="s">
        <v>27</v>
      </c>
      <c r="F170" t="s">
        <v>28</v>
      </c>
      <c r="G170">
        <v>0.136740331491713</v>
      </c>
      <c r="H170">
        <v>0.74568965517241392</v>
      </c>
    </row>
    <row r="171" spans="1:8" x14ac:dyDescent="0.3">
      <c r="A171" t="s">
        <v>161</v>
      </c>
      <c r="B171" s="2">
        <v>2.8855659722222222E-2</v>
      </c>
      <c r="C171" s="2">
        <v>2.8844085648148148E-2</v>
      </c>
      <c r="D171" s="2">
        <v>2.8855659722222222E-2</v>
      </c>
      <c r="E171" t="s">
        <v>40</v>
      </c>
      <c r="F171" t="s">
        <v>28</v>
      </c>
      <c r="G171">
        <v>0.37154696132596698</v>
      </c>
      <c r="H171">
        <v>0.90517241379310343</v>
      </c>
    </row>
    <row r="172" spans="1:8" x14ac:dyDescent="0.3">
      <c r="A172" t="s">
        <v>162</v>
      </c>
      <c r="B172" s="2">
        <v>2.8890729166666667E-2</v>
      </c>
      <c r="C172" s="2">
        <v>2.8879155092592593E-2</v>
      </c>
      <c r="D172" s="2">
        <v>2.8890729166666667E-2</v>
      </c>
      <c r="E172" t="s">
        <v>42</v>
      </c>
      <c r="F172" t="s">
        <v>28</v>
      </c>
      <c r="G172">
        <v>0.38535911602209899</v>
      </c>
      <c r="H172">
        <v>0.87931034482758597</v>
      </c>
    </row>
    <row r="173" spans="1:8" x14ac:dyDescent="0.3">
      <c r="A173" t="s">
        <v>163</v>
      </c>
      <c r="B173" s="2">
        <v>3.0850069444444444E-2</v>
      </c>
      <c r="C173" s="2">
        <v>3.083849537037037E-2</v>
      </c>
      <c r="D173" s="2">
        <v>3.0850069444444444E-2</v>
      </c>
      <c r="E173" t="s">
        <v>51</v>
      </c>
      <c r="F173" t="s">
        <v>28</v>
      </c>
      <c r="G173">
        <v>0.75276243093922701</v>
      </c>
      <c r="H173">
        <v>0.11206896551724099</v>
      </c>
    </row>
    <row r="174" spans="1:8" x14ac:dyDescent="0.3">
      <c r="A174" t="s">
        <v>164</v>
      </c>
      <c r="B174" s="2">
        <v>3.1422060185185188E-2</v>
      </c>
      <c r="C174" s="2">
        <v>3.1410486111111108E-2</v>
      </c>
      <c r="D174" s="2">
        <v>3.1422060185185188E-2</v>
      </c>
      <c r="E174" t="s">
        <v>46</v>
      </c>
      <c r="F174" t="s">
        <v>28</v>
      </c>
      <c r="G174">
        <v>0.20856353591160201</v>
      </c>
      <c r="H174">
        <v>0.70258620689655205</v>
      </c>
    </row>
    <row r="175" spans="1:8" x14ac:dyDescent="0.3">
      <c r="A175" t="s">
        <v>165</v>
      </c>
      <c r="B175" s="2">
        <v>3.1657928240740742E-2</v>
      </c>
      <c r="C175" s="2">
        <v>3.1646354166666668E-2</v>
      </c>
      <c r="D175" s="2">
        <v>3.1657928240740742E-2</v>
      </c>
      <c r="E175" t="s">
        <v>67</v>
      </c>
      <c r="F175" t="s">
        <v>28</v>
      </c>
      <c r="G175">
        <v>0.40469613259668502</v>
      </c>
      <c r="H175">
        <v>0.61206896551724099</v>
      </c>
    </row>
    <row r="176" spans="1:8" x14ac:dyDescent="0.3">
      <c r="A176" t="s">
        <v>166</v>
      </c>
      <c r="B176" s="2">
        <v>3.2091030092592593E-2</v>
      </c>
      <c r="C176" s="2">
        <v>3.2079456018518519E-2</v>
      </c>
      <c r="D176" s="2">
        <v>3.2091030092592593E-2</v>
      </c>
      <c r="E176" t="s">
        <v>42</v>
      </c>
      <c r="F176" t="s">
        <v>28</v>
      </c>
      <c r="G176">
        <v>0.28591160220994499</v>
      </c>
      <c r="H176">
        <v>8.6206896551723977E-2</v>
      </c>
    </row>
    <row r="177" spans="1:8" x14ac:dyDescent="0.3">
      <c r="A177" t="s">
        <v>167</v>
      </c>
      <c r="B177" s="2">
        <v>3.2354756944444445E-2</v>
      </c>
      <c r="C177" s="2">
        <v>3.2343182870370371E-2</v>
      </c>
      <c r="D177" s="2">
        <v>3.2354756944444445E-2</v>
      </c>
      <c r="E177" t="s">
        <v>42</v>
      </c>
      <c r="F177" t="s">
        <v>28</v>
      </c>
      <c r="G177">
        <v>0.363259668508287</v>
      </c>
      <c r="H177">
        <v>6.4655172413793038E-2</v>
      </c>
    </row>
    <row r="178" spans="1:8" hidden="1" x14ac:dyDescent="0.3">
      <c r="A178" t="s">
        <v>168</v>
      </c>
      <c r="B178" s="2">
        <v>3.2383680555555558E-2</v>
      </c>
      <c r="C178" s="2">
        <v>3.2372106481481484E-2</v>
      </c>
      <c r="D178" s="2">
        <v>3.2383680555555558E-2</v>
      </c>
      <c r="E178" t="s">
        <v>40</v>
      </c>
      <c r="F178" t="s">
        <v>34</v>
      </c>
      <c r="G178">
        <v>0.30801104972375698</v>
      </c>
      <c r="H178">
        <v>0.11637931034482796</v>
      </c>
    </row>
    <row r="179" spans="1:8" x14ac:dyDescent="0.3">
      <c r="A179" t="s">
        <v>169</v>
      </c>
      <c r="B179" s="2">
        <v>3.2850185185185184E-2</v>
      </c>
      <c r="C179" s="2">
        <v>3.283861111111111E-2</v>
      </c>
      <c r="D179" s="2">
        <v>3.2850185185185184E-2</v>
      </c>
      <c r="E179" t="s">
        <v>40</v>
      </c>
      <c r="F179" t="s">
        <v>28</v>
      </c>
      <c r="G179">
        <v>5.1104972375690602E-2</v>
      </c>
      <c r="H179">
        <v>0.125</v>
      </c>
    </row>
    <row r="180" spans="1:8" x14ac:dyDescent="0.3">
      <c r="A180" t="s">
        <v>170</v>
      </c>
      <c r="B180" s="2">
        <v>3.2860578703703701E-2</v>
      </c>
      <c r="C180" s="2">
        <v>3.2849004629629627E-2</v>
      </c>
      <c r="D180" s="2">
        <v>3.2860578703703701E-2</v>
      </c>
      <c r="E180" t="s">
        <v>42</v>
      </c>
      <c r="F180" t="s">
        <v>28</v>
      </c>
      <c r="G180">
        <v>9.2541436464088397E-2</v>
      </c>
      <c r="H180">
        <v>3.4482758620689946E-2</v>
      </c>
    </row>
    <row r="181" spans="1:8" x14ac:dyDescent="0.3">
      <c r="A181" t="s">
        <v>171</v>
      </c>
      <c r="B181" s="2">
        <v>3.2874849537037037E-2</v>
      </c>
      <c r="C181" s="2">
        <v>3.2863275462962964E-2</v>
      </c>
      <c r="D181" s="2">
        <v>3.2874849537037037E-2</v>
      </c>
      <c r="E181" t="s">
        <v>40</v>
      </c>
      <c r="F181" t="s">
        <v>28</v>
      </c>
      <c r="G181">
        <v>0.136740331491713</v>
      </c>
      <c r="H181">
        <v>0.14655172413793105</v>
      </c>
    </row>
    <row r="182" spans="1:8" x14ac:dyDescent="0.3">
      <c r="A182" t="s">
        <v>172</v>
      </c>
      <c r="B182" s="2">
        <v>3.2897060185185185E-2</v>
      </c>
      <c r="C182" s="2">
        <v>3.2885486111111112E-2</v>
      </c>
      <c r="D182" s="2">
        <v>3.2897060185185185E-2</v>
      </c>
      <c r="E182" t="s">
        <v>42</v>
      </c>
      <c r="F182" t="s">
        <v>28</v>
      </c>
      <c r="G182">
        <v>0.18922651933701701</v>
      </c>
      <c r="H182">
        <v>3.8793103448276023E-2</v>
      </c>
    </row>
    <row r="183" spans="1:8" hidden="1" x14ac:dyDescent="0.3">
      <c r="A183" t="s">
        <v>173</v>
      </c>
      <c r="B183" s="2">
        <v>3.5644131944444442E-2</v>
      </c>
      <c r="C183" s="2">
        <v>3.5632557870370368E-2</v>
      </c>
      <c r="D183" s="2">
        <v>3.5644131944444442E-2</v>
      </c>
      <c r="E183" t="s">
        <v>32</v>
      </c>
      <c r="F183" t="s">
        <v>28</v>
      </c>
      <c r="G183">
        <v>0.49861878453038699</v>
      </c>
      <c r="H183">
        <v>0.49568965517241403</v>
      </c>
    </row>
    <row r="184" spans="1:8" hidden="1" x14ac:dyDescent="0.3">
      <c r="A184" t="s">
        <v>174</v>
      </c>
      <c r="B184" s="2">
        <v>3.5730254629629629E-2</v>
      </c>
      <c r="C184" s="2">
        <v>3.5718680555555556E-2</v>
      </c>
      <c r="D184" s="2">
        <v>3.5730254629629629E-2</v>
      </c>
      <c r="E184" t="s">
        <v>38</v>
      </c>
      <c r="F184" t="s">
        <v>34</v>
      </c>
      <c r="G184">
        <v>0.725138121546961</v>
      </c>
      <c r="H184">
        <v>0.31034482758620696</v>
      </c>
    </row>
    <row r="185" spans="1:8" hidden="1" x14ac:dyDescent="0.3">
      <c r="A185" t="s">
        <v>175</v>
      </c>
      <c r="B185" s="2">
        <v>3.5968865740740742E-2</v>
      </c>
      <c r="C185" s="2">
        <v>3.5957291666666669E-2</v>
      </c>
      <c r="D185" s="2">
        <v>3.5968865740740742E-2</v>
      </c>
      <c r="E185" t="s">
        <v>32</v>
      </c>
      <c r="F185" t="s">
        <v>34</v>
      </c>
      <c r="G185">
        <v>0.84392265193370197</v>
      </c>
      <c r="H185">
        <v>0.84051724137931005</v>
      </c>
    </row>
    <row r="186" spans="1:8" hidden="1" x14ac:dyDescent="0.3">
      <c r="A186" t="s">
        <v>176</v>
      </c>
      <c r="B186" s="2">
        <v>3.7427291666666668E-2</v>
      </c>
      <c r="C186" s="2">
        <v>3.7415717592592594E-2</v>
      </c>
      <c r="D186" s="2">
        <v>3.7427291666666668E-2</v>
      </c>
      <c r="E186" t="s">
        <v>32</v>
      </c>
      <c r="F186" t="s">
        <v>28</v>
      </c>
      <c r="G186">
        <v>0.49585635359115998</v>
      </c>
      <c r="H186">
        <v>0.5</v>
      </c>
    </row>
    <row r="187" spans="1:8" hidden="1" x14ac:dyDescent="0.3">
      <c r="A187" t="s">
        <v>177</v>
      </c>
      <c r="B187" s="2">
        <v>3.8495057870370372E-2</v>
      </c>
      <c r="C187" s="2">
        <v>3.8483483796296299E-2</v>
      </c>
      <c r="D187" s="2">
        <v>3.8495057870370372E-2</v>
      </c>
      <c r="E187" t="s">
        <v>67</v>
      </c>
      <c r="F187" t="s">
        <v>28</v>
      </c>
      <c r="G187">
        <v>0.50414364640884002</v>
      </c>
      <c r="H187">
        <v>0.87068965517241403</v>
      </c>
    </row>
    <row r="188" spans="1:8" hidden="1" x14ac:dyDescent="0.3">
      <c r="A188" t="s">
        <v>178</v>
      </c>
      <c r="B188" s="2">
        <v>3.8511307870370368E-2</v>
      </c>
      <c r="C188" s="2">
        <v>3.8499733796296294E-2</v>
      </c>
      <c r="D188" s="2">
        <v>3.8511307870370368E-2</v>
      </c>
      <c r="E188" t="s">
        <v>51</v>
      </c>
      <c r="F188" t="s">
        <v>34</v>
      </c>
      <c r="G188">
        <v>0.57872928176795602</v>
      </c>
      <c r="H188">
        <v>0.84913793103448298</v>
      </c>
    </row>
    <row r="189" spans="1:8" hidden="1" x14ac:dyDescent="0.3">
      <c r="A189" t="s">
        <v>179</v>
      </c>
      <c r="B189" s="2">
        <v>3.8898541666666668E-2</v>
      </c>
      <c r="C189" s="2">
        <v>3.8886967592592595E-2</v>
      </c>
      <c r="D189" s="2">
        <v>3.8898541666666668E-2</v>
      </c>
      <c r="E189" t="s">
        <v>44</v>
      </c>
      <c r="F189" t="s">
        <v>28</v>
      </c>
      <c r="G189">
        <v>0.33287292817679598</v>
      </c>
      <c r="H189">
        <v>0.10775862068965503</v>
      </c>
    </row>
    <row r="190" spans="1:8" hidden="1" x14ac:dyDescent="0.3">
      <c r="A190" t="s">
        <v>180</v>
      </c>
      <c r="B190" s="2">
        <v>3.9791712962962966E-2</v>
      </c>
      <c r="C190" s="2">
        <v>3.9780138888888886E-2</v>
      </c>
      <c r="D190" s="2">
        <v>3.9791712962962966E-2</v>
      </c>
      <c r="E190" t="s">
        <v>51</v>
      </c>
      <c r="F190" t="s">
        <v>28</v>
      </c>
      <c r="G190">
        <v>0.14502762430939201</v>
      </c>
      <c r="H190">
        <v>0.83620689655172398</v>
      </c>
    </row>
    <row r="191" spans="1:8" hidden="1" x14ac:dyDescent="0.3">
      <c r="A191" t="s">
        <v>181</v>
      </c>
      <c r="B191" s="2">
        <v>4.1024965277777777E-2</v>
      </c>
      <c r="C191" s="2">
        <v>4.1013391203703703E-2</v>
      </c>
      <c r="D191" s="2">
        <v>4.1024965277777777E-2</v>
      </c>
      <c r="E191" t="s">
        <v>38</v>
      </c>
      <c r="F191" t="s">
        <v>28</v>
      </c>
      <c r="G191">
        <v>0.67817679558011001</v>
      </c>
      <c r="H191">
        <v>5.6034482758620996E-2</v>
      </c>
    </row>
    <row r="192" spans="1:8" hidden="1" x14ac:dyDescent="0.3">
      <c r="A192" t="s">
        <v>182</v>
      </c>
      <c r="B192" s="2">
        <v>4.1033298611111109E-2</v>
      </c>
      <c r="C192" s="2">
        <v>4.1021724537037035E-2</v>
      </c>
      <c r="D192" s="2">
        <v>4.1033298611111109E-2</v>
      </c>
      <c r="E192" t="s">
        <v>58</v>
      </c>
      <c r="F192" t="s">
        <v>28</v>
      </c>
      <c r="G192">
        <v>0.58149171270718203</v>
      </c>
      <c r="H192">
        <v>5.6034482758620996E-2</v>
      </c>
    </row>
    <row r="193" spans="1:8" hidden="1" x14ac:dyDescent="0.3">
      <c r="A193" t="s">
        <v>183</v>
      </c>
      <c r="B193" s="2">
        <v>4.1906886574074077E-2</v>
      </c>
      <c r="C193" s="2">
        <v>4.1895312499999997E-2</v>
      </c>
      <c r="D193" s="2">
        <v>4.1906886574074077E-2</v>
      </c>
      <c r="E193" t="s">
        <v>42</v>
      </c>
      <c r="F193" t="s">
        <v>28</v>
      </c>
      <c r="G193">
        <v>0.57320441988950299</v>
      </c>
      <c r="H193">
        <v>0.375</v>
      </c>
    </row>
    <row r="194" spans="1:8" hidden="1" x14ac:dyDescent="0.3">
      <c r="A194" t="s">
        <v>184</v>
      </c>
      <c r="B194" s="2">
        <v>4.1939050925925925E-2</v>
      </c>
      <c r="C194" s="2">
        <v>4.1927476851851851E-2</v>
      </c>
      <c r="D194" s="2">
        <v>4.1939050925925925E-2</v>
      </c>
      <c r="E194" t="s">
        <v>44</v>
      </c>
      <c r="F194" t="s">
        <v>28</v>
      </c>
      <c r="G194">
        <v>0.575966850828729</v>
      </c>
      <c r="H194">
        <v>0.67241379310344795</v>
      </c>
    </row>
    <row r="195" spans="1:8" hidden="1" x14ac:dyDescent="0.3">
      <c r="A195" t="s">
        <v>185</v>
      </c>
      <c r="B195" s="2">
        <v>4.2226736111111114E-2</v>
      </c>
      <c r="C195" s="2">
        <v>4.2215162037037034E-2</v>
      </c>
      <c r="D195" s="2">
        <v>4.2226736111111114E-2</v>
      </c>
      <c r="E195" t="s">
        <v>38</v>
      </c>
      <c r="F195" t="s">
        <v>34</v>
      </c>
      <c r="G195">
        <v>0.551104972375691</v>
      </c>
      <c r="H195">
        <v>0.82327586206896497</v>
      </c>
    </row>
    <row r="196" spans="1:8" hidden="1" x14ac:dyDescent="0.3">
      <c r="A196" t="s">
        <v>186</v>
      </c>
      <c r="B196" s="2">
        <v>4.2269768518518519E-2</v>
      </c>
      <c r="C196" s="2">
        <v>4.2258194444444445E-2</v>
      </c>
      <c r="D196" s="2">
        <v>4.2269768518518519E-2</v>
      </c>
      <c r="E196" t="s">
        <v>67</v>
      </c>
      <c r="F196" t="s">
        <v>34</v>
      </c>
      <c r="G196">
        <v>0.57044198895027598</v>
      </c>
      <c r="H196">
        <v>0.95258620689655171</v>
      </c>
    </row>
    <row r="197" spans="1:8" hidden="1" x14ac:dyDescent="0.3">
      <c r="A197" t="s">
        <v>187</v>
      </c>
      <c r="B197" s="2">
        <v>4.2749606481481482E-2</v>
      </c>
      <c r="C197" s="2">
        <v>4.2738032407407409E-2</v>
      </c>
      <c r="D197" s="2">
        <v>4.2749606481481482E-2</v>
      </c>
      <c r="E197" t="s">
        <v>38</v>
      </c>
      <c r="F197" t="s">
        <v>28</v>
      </c>
      <c r="G197">
        <v>0.36049723756906099</v>
      </c>
      <c r="H197">
        <v>0.95258620689655171</v>
      </c>
    </row>
    <row r="198" spans="1:8" hidden="1" x14ac:dyDescent="0.3">
      <c r="A198" t="s">
        <v>188</v>
      </c>
      <c r="B198" s="2">
        <v>4.282540509259259E-2</v>
      </c>
      <c r="C198" s="2">
        <v>4.2813831018518517E-2</v>
      </c>
      <c r="D198" s="2">
        <v>4.282540509259259E-2</v>
      </c>
      <c r="E198" t="s">
        <v>38</v>
      </c>
      <c r="F198" t="s">
        <v>34</v>
      </c>
      <c r="G198">
        <v>0.39640883977900598</v>
      </c>
      <c r="H198">
        <v>0.78448275862068995</v>
      </c>
    </row>
    <row r="199" spans="1:8" hidden="1" x14ac:dyDescent="0.3">
      <c r="A199" t="s">
        <v>189</v>
      </c>
      <c r="B199" s="2">
        <v>4.3295046296296297E-2</v>
      </c>
      <c r="C199" s="2">
        <v>4.3283472222222223E-2</v>
      </c>
      <c r="D199" s="2">
        <v>4.3295046296296297E-2</v>
      </c>
      <c r="E199" t="s">
        <v>67</v>
      </c>
      <c r="F199" t="s">
        <v>34</v>
      </c>
      <c r="G199">
        <v>0.64779005524861899</v>
      </c>
      <c r="H199">
        <v>0.86206896551724099</v>
      </c>
    </row>
    <row r="200" spans="1:8" hidden="1" x14ac:dyDescent="0.3">
      <c r="A200" t="s">
        <v>190</v>
      </c>
      <c r="B200" s="2">
        <v>4.4156909722222221E-2</v>
      </c>
      <c r="C200" s="2">
        <v>4.4145335648148147E-2</v>
      </c>
      <c r="D200" s="2">
        <v>4.4156909722222221E-2</v>
      </c>
      <c r="E200" t="s">
        <v>42</v>
      </c>
      <c r="F200" t="s">
        <v>34</v>
      </c>
      <c r="G200">
        <v>0.50138121546961301</v>
      </c>
      <c r="H200">
        <v>0.44827586206896597</v>
      </c>
    </row>
    <row r="201" spans="1:8" hidden="1" x14ac:dyDescent="0.3">
      <c r="A201" t="s">
        <v>191</v>
      </c>
      <c r="B201" s="2">
        <v>4.449358796296296E-2</v>
      </c>
      <c r="C201" s="2">
        <v>4.4482013888888887E-2</v>
      </c>
      <c r="D201" s="2">
        <v>4.449358796296296E-2</v>
      </c>
      <c r="E201" t="s">
        <v>67</v>
      </c>
      <c r="F201" t="s">
        <v>34</v>
      </c>
      <c r="G201">
        <v>0.13121546961326</v>
      </c>
      <c r="H201">
        <v>0.95258620689655171</v>
      </c>
    </row>
    <row r="202" spans="1:8" hidden="1" x14ac:dyDescent="0.3">
      <c r="A202" t="s">
        <v>192</v>
      </c>
      <c r="B202" s="2">
        <v>4.4698078703703702E-2</v>
      </c>
      <c r="C202" s="2">
        <v>4.4686504629629628E-2</v>
      </c>
      <c r="D202" s="2">
        <v>4.4698078703703702E-2</v>
      </c>
      <c r="E202" t="s">
        <v>40</v>
      </c>
      <c r="F202" t="s">
        <v>28</v>
      </c>
      <c r="G202">
        <v>0.19751381215469599</v>
      </c>
      <c r="H202">
        <v>0.50862068965517193</v>
      </c>
    </row>
    <row r="203" spans="1:8" hidden="1" x14ac:dyDescent="0.3">
      <c r="A203" t="s">
        <v>193</v>
      </c>
      <c r="B203" s="2">
        <v>4.4730451388888891E-2</v>
      </c>
      <c r="C203" s="2">
        <v>4.4718877314814817E-2</v>
      </c>
      <c r="D203" s="2">
        <v>4.4730451388888891E-2</v>
      </c>
      <c r="E203" t="s">
        <v>32</v>
      </c>
      <c r="F203" t="s">
        <v>28</v>
      </c>
      <c r="G203">
        <v>0.43232044198894998</v>
      </c>
      <c r="H203">
        <v>0.63362068965517193</v>
      </c>
    </row>
    <row r="204" spans="1:8" hidden="1" x14ac:dyDescent="0.3">
      <c r="A204" t="s">
        <v>194</v>
      </c>
      <c r="B204" s="2">
        <v>4.5566631944444443E-2</v>
      </c>
      <c r="C204" s="2">
        <v>4.5555057870370369E-2</v>
      </c>
      <c r="D204" s="2">
        <v>4.5566631944444443E-2</v>
      </c>
      <c r="E204" t="s">
        <v>32</v>
      </c>
      <c r="F204" t="s">
        <v>28</v>
      </c>
      <c r="G204">
        <v>0.54281767955801097</v>
      </c>
      <c r="H204">
        <v>0.76724137931034497</v>
      </c>
    </row>
    <row r="205" spans="1:8" hidden="1" x14ac:dyDescent="0.3">
      <c r="A205" t="s">
        <v>195</v>
      </c>
      <c r="B205" s="2">
        <v>4.6030312499999997E-2</v>
      </c>
      <c r="C205" s="2">
        <v>4.6018738425925923E-2</v>
      </c>
      <c r="D205" s="2">
        <v>4.6030312499999997E-2</v>
      </c>
      <c r="E205" t="s">
        <v>42</v>
      </c>
      <c r="F205" t="s">
        <v>34</v>
      </c>
      <c r="G205">
        <v>0.52624309392265201</v>
      </c>
      <c r="H205">
        <v>0.90086206896551724</v>
      </c>
    </row>
    <row r="206" spans="1:8" hidden="1" x14ac:dyDescent="0.3">
      <c r="A206" t="s">
        <v>196</v>
      </c>
      <c r="B206" s="2">
        <v>4.6166145833333332E-2</v>
      </c>
      <c r="C206" s="2">
        <v>4.6154571759259258E-2</v>
      </c>
      <c r="D206" s="2">
        <v>4.6166145833333332E-2</v>
      </c>
      <c r="E206" t="s">
        <v>44</v>
      </c>
      <c r="F206" t="s">
        <v>28</v>
      </c>
      <c r="G206">
        <v>0.66712707182320397</v>
      </c>
      <c r="H206">
        <v>0.87068965517241403</v>
      </c>
    </row>
    <row r="207" spans="1:8" hidden="1" x14ac:dyDescent="0.3">
      <c r="A207" t="s">
        <v>197</v>
      </c>
      <c r="B207" s="2">
        <v>4.6180127314814814E-2</v>
      </c>
      <c r="C207" s="2">
        <v>4.6168553240740741E-2</v>
      </c>
      <c r="D207" s="2">
        <v>4.6180127314814814E-2</v>
      </c>
      <c r="E207" t="s">
        <v>198</v>
      </c>
      <c r="F207" t="s">
        <v>28</v>
      </c>
      <c r="G207">
        <v>0.69475138121546998</v>
      </c>
      <c r="H207">
        <v>0.81465517241379304</v>
      </c>
    </row>
    <row r="208" spans="1:8" hidden="1" x14ac:dyDescent="0.3">
      <c r="A208" t="s">
        <v>199</v>
      </c>
      <c r="B208" s="2">
        <v>4.7055937499999999E-2</v>
      </c>
      <c r="C208" s="2">
        <v>4.7044363425925925E-2</v>
      </c>
      <c r="D208" s="2">
        <v>4.7055937499999999E-2</v>
      </c>
      <c r="E208" t="s">
        <v>58</v>
      </c>
      <c r="F208" t="s">
        <v>28</v>
      </c>
      <c r="G208">
        <v>0.22790055248618801</v>
      </c>
      <c r="H208">
        <v>3.8793103448276023E-2</v>
      </c>
    </row>
    <row r="209" spans="1:8" hidden="1" x14ac:dyDescent="0.3">
      <c r="A209" t="s">
        <v>200</v>
      </c>
      <c r="B209" s="2">
        <v>4.7553113425925927E-2</v>
      </c>
      <c r="C209" s="2">
        <v>4.7541539351851854E-2</v>
      </c>
      <c r="D209" s="2">
        <v>4.7553113425925927E-2</v>
      </c>
      <c r="E209" t="s">
        <v>38</v>
      </c>
      <c r="F209" t="s">
        <v>34</v>
      </c>
      <c r="G209">
        <v>0.15331491712707199</v>
      </c>
      <c r="H209">
        <v>2.5862068965517016E-2</v>
      </c>
    </row>
    <row r="210" spans="1:8" hidden="1" x14ac:dyDescent="0.3">
      <c r="A210" t="s">
        <v>201</v>
      </c>
      <c r="B210" s="2">
        <v>4.7627627314814812E-2</v>
      </c>
      <c r="C210" s="2">
        <v>4.7616053240740738E-2</v>
      </c>
      <c r="D210" s="2">
        <v>4.7627627314814812E-2</v>
      </c>
      <c r="E210" t="s">
        <v>38</v>
      </c>
      <c r="F210" t="s">
        <v>28</v>
      </c>
      <c r="G210">
        <v>0.20856353591160201</v>
      </c>
      <c r="H210">
        <v>5.1724137931034031E-2</v>
      </c>
    </row>
    <row r="211" spans="1:8" hidden="1" x14ac:dyDescent="0.3">
      <c r="A211" t="s">
        <v>202</v>
      </c>
      <c r="B211" s="2">
        <v>4.7649351851851852E-2</v>
      </c>
      <c r="C211" s="2">
        <v>4.7637777777777779E-2</v>
      </c>
      <c r="D211" s="2">
        <v>4.7649351851851852E-2</v>
      </c>
      <c r="E211" t="s">
        <v>32</v>
      </c>
      <c r="F211" t="s">
        <v>34</v>
      </c>
      <c r="G211">
        <v>0.424033149171271</v>
      </c>
      <c r="H211">
        <v>9.9137931034482984E-2</v>
      </c>
    </row>
    <row r="212" spans="1:8" hidden="1" x14ac:dyDescent="0.3">
      <c r="A212" t="s">
        <v>203</v>
      </c>
      <c r="B212" s="2">
        <v>4.792170138888889E-2</v>
      </c>
      <c r="C212" s="2">
        <v>4.7910127314814817E-2</v>
      </c>
      <c r="D212" s="2">
        <v>4.792170138888889E-2</v>
      </c>
      <c r="E212" t="s">
        <v>51</v>
      </c>
      <c r="F212" t="s">
        <v>28</v>
      </c>
      <c r="G212">
        <v>0.25552486187845302</v>
      </c>
      <c r="H212">
        <v>3.8793103448276023E-2</v>
      </c>
    </row>
    <row r="213" spans="1:8" hidden="1" x14ac:dyDescent="0.3">
      <c r="A213" t="s">
        <v>204</v>
      </c>
      <c r="B213" s="2">
        <v>4.8218946759259258E-2</v>
      </c>
      <c r="C213" s="2">
        <v>4.8207372685185185E-2</v>
      </c>
      <c r="D213" s="2">
        <v>4.8218946759259258E-2</v>
      </c>
      <c r="E213" t="s">
        <v>46</v>
      </c>
      <c r="F213" t="s">
        <v>28</v>
      </c>
      <c r="G213">
        <v>0.21685082872928199</v>
      </c>
      <c r="H213">
        <v>0.26293103448275901</v>
      </c>
    </row>
    <row r="214" spans="1:8" hidden="1" x14ac:dyDescent="0.3">
      <c r="A214" t="s">
        <v>205</v>
      </c>
      <c r="B214" s="2">
        <v>4.8250590277777776E-2</v>
      </c>
      <c r="C214" s="2">
        <v>4.8239016203703702E-2</v>
      </c>
      <c r="D214" s="2">
        <v>4.8250590277777776E-2</v>
      </c>
      <c r="E214" t="s">
        <v>38</v>
      </c>
      <c r="F214" t="s">
        <v>28</v>
      </c>
      <c r="G214">
        <v>0.28314917127071798</v>
      </c>
      <c r="H214">
        <v>0.17672413793103403</v>
      </c>
    </row>
    <row r="215" spans="1:8" hidden="1" x14ac:dyDescent="0.3">
      <c r="A215" t="s">
        <v>206</v>
      </c>
      <c r="B215" s="2">
        <v>4.8467881944444444E-2</v>
      </c>
      <c r="C215" s="2">
        <v>4.845630787037037E-2</v>
      </c>
      <c r="D215" s="2">
        <v>4.8467881944444444E-2</v>
      </c>
      <c r="E215" t="s">
        <v>40</v>
      </c>
      <c r="F215" t="s">
        <v>28</v>
      </c>
      <c r="G215">
        <v>0.39088397790055202</v>
      </c>
      <c r="H215">
        <v>0.32327586206896597</v>
      </c>
    </row>
    <row r="216" spans="1:8" hidden="1" x14ac:dyDescent="0.3">
      <c r="A216" t="s">
        <v>207</v>
      </c>
      <c r="B216" s="2">
        <v>4.8495532407407407E-2</v>
      </c>
      <c r="C216" s="2">
        <v>4.8483958333333334E-2</v>
      </c>
      <c r="D216" s="2">
        <v>4.8495532407407407E-2</v>
      </c>
      <c r="E216" t="s">
        <v>42</v>
      </c>
      <c r="F216" t="s">
        <v>28</v>
      </c>
      <c r="G216">
        <v>0.55939226519337004</v>
      </c>
      <c r="H216">
        <v>0.38362068965517204</v>
      </c>
    </row>
    <row r="217" spans="1:8" hidden="1" x14ac:dyDescent="0.3">
      <c r="A217" t="s">
        <v>208</v>
      </c>
      <c r="B217" s="2">
        <v>4.8714247685185189E-2</v>
      </c>
      <c r="C217" s="2">
        <v>4.8702673611111108E-2</v>
      </c>
      <c r="D217" s="2">
        <v>4.8714247685185189E-2</v>
      </c>
      <c r="E217" t="s">
        <v>42</v>
      </c>
      <c r="F217" t="s">
        <v>28</v>
      </c>
      <c r="G217">
        <v>0.63121546961326003</v>
      </c>
      <c r="H217">
        <v>0.38362068965517204</v>
      </c>
    </row>
    <row r="218" spans="1:8" hidden="1" x14ac:dyDescent="0.3">
      <c r="A218" t="s">
        <v>209</v>
      </c>
      <c r="B218" s="2">
        <v>4.8728020833333337E-2</v>
      </c>
      <c r="C218" s="2">
        <v>4.8716446759259256E-2</v>
      </c>
      <c r="D218" s="2">
        <v>4.8728020833333337E-2</v>
      </c>
      <c r="E218" t="s">
        <v>32</v>
      </c>
      <c r="F218" t="s">
        <v>28</v>
      </c>
      <c r="G218">
        <v>0.68370165745856404</v>
      </c>
      <c r="H218">
        <v>0.46982758620689702</v>
      </c>
    </row>
    <row r="219" spans="1:8" hidden="1" x14ac:dyDescent="0.3">
      <c r="A219" t="s">
        <v>210</v>
      </c>
      <c r="B219" s="2">
        <v>4.9097511574074076E-2</v>
      </c>
      <c r="C219" s="2">
        <v>4.9085937500000003E-2</v>
      </c>
      <c r="D219" s="2">
        <v>4.9097511574074076E-2</v>
      </c>
      <c r="E219" t="s">
        <v>67</v>
      </c>
      <c r="F219" t="s">
        <v>34</v>
      </c>
      <c r="G219">
        <v>0.24171270718231999</v>
      </c>
      <c r="H219">
        <v>0.96982758620689657</v>
      </c>
    </row>
    <row r="220" spans="1:8" hidden="1" x14ac:dyDescent="0.3">
      <c r="A220" t="s">
        <v>211</v>
      </c>
      <c r="B220" s="2">
        <v>4.9448819444444445E-2</v>
      </c>
      <c r="C220" s="2">
        <v>4.9437245370370371E-2</v>
      </c>
      <c r="D220" s="2">
        <v>4.9448819444444445E-2</v>
      </c>
      <c r="E220" t="s">
        <v>198</v>
      </c>
      <c r="F220" t="s">
        <v>28</v>
      </c>
      <c r="G220">
        <v>0.28314917127071798</v>
      </c>
      <c r="H220">
        <v>0.90948275862068972</v>
      </c>
    </row>
    <row r="221" spans="1:8" hidden="1" x14ac:dyDescent="0.3">
      <c r="A221" t="s">
        <v>212</v>
      </c>
      <c r="B221" s="2">
        <v>4.9456782407407404E-2</v>
      </c>
      <c r="C221" s="2">
        <v>4.9445208333333331E-2</v>
      </c>
      <c r="D221" s="2">
        <v>4.9456782407407404E-2</v>
      </c>
      <c r="E221" t="s">
        <v>67</v>
      </c>
      <c r="F221" t="s">
        <v>28</v>
      </c>
      <c r="G221">
        <v>0.219613259668508</v>
      </c>
      <c r="H221">
        <v>0.97844827586206895</v>
      </c>
    </row>
    <row r="222" spans="1:8" hidden="1" x14ac:dyDescent="0.3">
      <c r="A222" t="s">
        <v>213</v>
      </c>
      <c r="B222" s="2">
        <v>4.9472291666666668E-2</v>
      </c>
      <c r="C222" s="2">
        <v>4.9460717592592594E-2</v>
      </c>
      <c r="D222" s="2">
        <v>4.9472291666666668E-2</v>
      </c>
      <c r="E222" t="s">
        <v>198</v>
      </c>
      <c r="F222" t="s">
        <v>28</v>
      </c>
      <c r="G222">
        <v>0.25828729281767998</v>
      </c>
      <c r="H222">
        <v>0.98706896551724144</v>
      </c>
    </row>
    <row r="223" spans="1:8" hidden="1" x14ac:dyDescent="0.3">
      <c r="A223" t="s">
        <v>214</v>
      </c>
      <c r="B223" s="2">
        <v>4.9484664351851851E-2</v>
      </c>
      <c r="C223" s="2">
        <v>4.9473090277777777E-2</v>
      </c>
      <c r="D223" s="2">
        <v>4.9484664351851851E-2</v>
      </c>
      <c r="E223" t="s">
        <v>44</v>
      </c>
      <c r="F223" t="s">
        <v>28</v>
      </c>
      <c r="G223">
        <v>0.31906077348066297</v>
      </c>
      <c r="H223">
        <v>0.97844827586206895</v>
      </c>
    </row>
    <row r="224" spans="1:8" hidden="1" x14ac:dyDescent="0.3">
      <c r="A224" t="s">
        <v>215</v>
      </c>
      <c r="B224" s="2">
        <v>4.9508865740740739E-2</v>
      </c>
      <c r="C224" s="2">
        <v>4.9497291666666665E-2</v>
      </c>
      <c r="D224" s="2">
        <v>4.9508865740740739E-2</v>
      </c>
      <c r="E224" t="s">
        <v>42</v>
      </c>
      <c r="F224" t="s">
        <v>28</v>
      </c>
      <c r="G224">
        <v>0.38535911602209899</v>
      </c>
      <c r="H224">
        <v>0.90948275862068972</v>
      </c>
    </row>
    <row r="225" spans="1:8" hidden="1" x14ac:dyDescent="0.3">
      <c r="A225" t="s">
        <v>216</v>
      </c>
      <c r="B225" s="2">
        <v>4.9554699074074074E-2</v>
      </c>
      <c r="C225" s="2">
        <v>4.9543125E-2</v>
      </c>
      <c r="D225" s="2">
        <v>4.9554699074074074E-2</v>
      </c>
      <c r="E225" t="s">
        <v>44</v>
      </c>
      <c r="F225" t="s">
        <v>28</v>
      </c>
      <c r="G225">
        <v>0.68370165745856404</v>
      </c>
      <c r="H225">
        <v>0.82327586206896497</v>
      </c>
    </row>
    <row r="226" spans="1:8" hidden="1" x14ac:dyDescent="0.3">
      <c r="A226" t="s">
        <v>217</v>
      </c>
      <c r="B226" s="2">
        <v>4.9602407407407408E-2</v>
      </c>
      <c r="C226" s="2">
        <v>4.9590833333333334E-2</v>
      </c>
      <c r="D226" s="2">
        <v>4.9602407407407408E-2</v>
      </c>
      <c r="E226" t="s">
        <v>198</v>
      </c>
      <c r="F226" t="s">
        <v>28</v>
      </c>
      <c r="G226">
        <v>0.74171270718231996</v>
      </c>
      <c r="H226">
        <v>0.72844827586206895</v>
      </c>
    </row>
    <row r="227" spans="1:8" hidden="1" x14ac:dyDescent="0.3">
      <c r="A227" t="s">
        <v>218</v>
      </c>
      <c r="B227" s="2">
        <v>4.9660914351851854E-2</v>
      </c>
      <c r="C227" s="2">
        <v>4.964934027777778E-2</v>
      </c>
      <c r="D227" s="2">
        <v>4.9660914351851854E-2</v>
      </c>
      <c r="E227" t="s">
        <v>32</v>
      </c>
      <c r="F227" t="s">
        <v>28</v>
      </c>
      <c r="G227">
        <v>0.80801104972375704</v>
      </c>
      <c r="H227">
        <v>0.48706896551724099</v>
      </c>
    </row>
    <row r="228" spans="1:8" hidden="1" x14ac:dyDescent="0.3">
      <c r="A228" t="s">
        <v>219</v>
      </c>
      <c r="B228" s="2">
        <v>4.967755787037037E-2</v>
      </c>
      <c r="C228" s="2">
        <v>4.9665983796296297E-2</v>
      </c>
      <c r="D228" s="2">
        <v>4.967755787037037E-2</v>
      </c>
      <c r="E228" t="s">
        <v>51</v>
      </c>
      <c r="F228" t="s">
        <v>28</v>
      </c>
      <c r="G228">
        <v>0.83839779005524895</v>
      </c>
      <c r="H228">
        <v>0.51293103448275901</v>
      </c>
    </row>
    <row r="229" spans="1:8" hidden="1" x14ac:dyDescent="0.3">
      <c r="A229" t="s">
        <v>220</v>
      </c>
      <c r="B229" s="2">
        <v>4.9941527777777779E-2</v>
      </c>
      <c r="C229" s="2">
        <v>4.9929953703703706E-2</v>
      </c>
      <c r="D229" s="2">
        <v>4.9941527777777779E-2</v>
      </c>
      <c r="E229" t="s">
        <v>51</v>
      </c>
      <c r="F229" t="s">
        <v>34</v>
      </c>
      <c r="G229">
        <v>0.66160220994475105</v>
      </c>
      <c r="H229">
        <v>6.0344827586206962E-2</v>
      </c>
    </row>
    <row r="230" spans="1:8" hidden="1" x14ac:dyDescent="0.3">
      <c r="A230" t="s">
        <v>221</v>
      </c>
      <c r="B230" s="2">
        <v>5.0037708333333333E-2</v>
      </c>
      <c r="C230" s="2">
        <v>5.002613425925926E-2</v>
      </c>
      <c r="D230" s="2">
        <v>5.0037708333333333E-2</v>
      </c>
      <c r="E230" t="s">
        <v>40</v>
      </c>
      <c r="F230" t="s">
        <v>28</v>
      </c>
      <c r="G230">
        <v>0.32734806629834301</v>
      </c>
      <c r="H230">
        <v>6.0344827586206962E-2</v>
      </c>
    </row>
    <row r="231" spans="1:8" hidden="1" x14ac:dyDescent="0.3">
      <c r="A231" t="s">
        <v>222</v>
      </c>
      <c r="B231" s="2">
        <v>5.0154131944444444E-2</v>
      </c>
      <c r="C231" s="2">
        <v>5.014255787037037E-2</v>
      </c>
      <c r="D231" s="2">
        <v>5.0154131944444444E-2</v>
      </c>
      <c r="E231" t="s">
        <v>42</v>
      </c>
      <c r="F231" t="s">
        <v>28</v>
      </c>
      <c r="G231">
        <v>0.41022099447513799</v>
      </c>
      <c r="H231">
        <v>0.77586206896551702</v>
      </c>
    </row>
    <row r="232" spans="1:8" hidden="1" x14ac:dyDescent="0.3">
      <c r="A232" t="s">
        <v>223</v>
      </c>
      <c r="B232" s="2">
        <v>5.0177407407407407E-2</v>
      </c>
      <c r="C232" s="2">
        <v>5.0165833333333333E-2</v>
      </c>
      <c r="D232" s="2">
        <v>5.0177407407407407E-2</v>
      </c>
      <c r="E232" t="s">
        <v>67</v>
      </c>
      <c r="F232" t="s">
        <v>28</v>
      </c>
      <c r="G232">
        <v>0.56767955801104997</v>
      </c>
      <c r="H232">
        <v>0.92241379310344829</v>
      </c>
    </row>
    <row r="233" spans="1:8" hidden="1" x14ac:dyDescent="0.3">
      <c r="A233" t="s">
        <v>224</v>
      </c>
      <c r="B233" s="2">
        <v>5.029386574074074E-2</v>
      </c>
      <c r="C233" s="2">
        <v>5.0282291666666666E-2</v>
      </c>
      <c r="D233" s="2">
        <v>5.029386574074074E-2</v>
      </c>
      <c r="E233" t="s">
        <v>198</v>
      </c>
      <c r="F233" t="s">
        <v>28</v>
      </c>
      <c r="G233">
        <v>0.55662983425414403</v>
      </c>
      <c r="H233">
        <v>0.75862068965517193</v>
      </c>
    </row>
    <row r="234" spans="1:8" hidden="1" x14ac:dyDescent="0.3">
      <c r="A234" t="s">
        <v>225</v>
      </c>
      <c r="B234" s="2">
        <v>5.0507037037037038E-2</v>
      </c>
      <c r="C234" s="2">
        <v>5.0495462962962964E-2</v>
      </c>
      <c r="D234" s="2">
        <v>5.0507037037037038E-2</v>
      </c>
      <c r="E234" t="s">
        <v>40</v>
      </c>
      <c r="F234" t="s">
        <v>28</v>
      </c>
      <c r="G234">
        <v>0.50966850828729304</v>
      </c>
      <c r="H234">
        <v>0.50862068965517193</v>
      </c>
    </row>
    <row r="235" spans="1:8" hidden="1" x14ac:dyDescent="0.3">
      <c r="A235" t="s">
        <v>226</v>
      </c>
      <c r="B235" s="2">
        <v>5.0607789351851853E-2</v>
      </c>
      <c r="C235" s="2">
        <v>5.059621527777778E-2</v>
      </c>
      <c r="D235" s="2">
        <v>5.0607789351851853E-2</v>
      </c>
      <c r="E235" t="s">
        <v>46</v>
      </c>
      <c r="F235" t="s">
        <v>28</v>
      </c>
      <c r="G235">
        <v>0.60635359116022103</v>
      </c>
      <c r="H235">
        <v>0.56034482758620707</v>
      </c>
    </row>
    <row r="236" spans="1:8" hidden="1" x14ac:dyDescent="0.3">
      <c r="A236" t="s">
        <v>227</v>
      </c>
      <c r="B236" s="2">
        <v>5.0641956018518522E-2</v>
      </c>
      <c r="C236" s="2">
        <v>5.0630381944444441E-2</v>
      </c>
      <c r="D236" s="2">
        <v>5.0641956018518522E-2</v>
      </c>
      <c r="E236" t="s">
        <v>44</v>
      </c>
      <c r="F236" t="s">
        <v>28</v>
      </c>
      <c r="G236">
        <v>0.68093922651933703</v>
      </c>
      <c r="H236">
        <v>0.73706896551724099</v>
      </c>
    </row>
    <row r="237" spans="1:8" hidden="1" x14ac:dyDescent="0.3">
      <c r="A237" t="s">
        <v>228</v>
      </c>
      <c r="B237" s="2">
        <v>5.0677812500000002E-2</v>
      </c>
      <c r="C237" s="2">
        <v>5.0666238425925929E-2</v>
      </c>
      <c r="D237" s="2">
        <v>5.0677812500000002E-2</v>
      </c>
      <c r="E237" t="s">
        <v>67</v>
      </c>
      <c r="F237" t="s">
        <v>28</v>
      </c>
      <c r="G237">
        <v>0.61740331491712697</v>
      </c>
      <c r="H237">
        <v>0.87068965517241403</v>
      </c>
    </row>
    <row r="238" spans="1:8" hidden="1" x14ac:dyDescent="0.3">
      <c r="A238" t="s">
        <v>229</v>
      </c>
      <c r="B238" s="2">
        <v>5.0705405092592595E-2</v>
      </c>
      <c r="C238" s="2">
        <v>5.0693831018518522E-2</v>
      </c>
      <c r="D238" s="2">
        <v>5.0705405092592595E-2</v>
      </c>
      <c r="E238" t="s">
        <v>198</v>
      </c>
      <c r="F238" t="s">
        <v>28</v>
      </c>
      <c r="G238">
        <v>0.66436464088397795</v>
      </c>
      <c r="H238">
        <v>0.66379310344827602</v>
      </c>
    </row>
    <row r="239" spans="1:8" hidden="1" x14ac:dyDescent="0.3">
      <c r="A239" t="s">
        <v>230</v>
      </c>
      <c r="B239" s="2">
        <v>5.0730150462962961E-2</v>
      </c>
      <c r="C239" s="2">
        <v>5.0718576388888888E-2</v>
      </c>
      <c r="D239" s="2">
        <v>5.0730150462962961E-2</v>
      </c>
      <c r="E239" t="s">
        <v>32</v>
      </c>
      <c r="F239" t="s">
        <v>34</v>
      </c>
      <c r="G239">
        <v>0.74447513812154698</v>
      </c>
      <c r="H239">
        <v>0.54310344827586199</v>
      </c>
    </row>
    <row r="240" spans="1:8" hidden="1" x14ac:dyDescent="0.3">
      <c r="A240" t="s">
        <v>231</v>
      </c>
      <c r="B240" s="2">
        <v>5.0950787037037037E-2</v>
      </c>
      <c r="C240" s="2">
        <v>5.0939212962962964E-2</v>
      </c>
      <c r="D240" s="2">
        <v>5.0950787037037037E-2</v>
      </c>
      <c r="E240" t="s">
        <v>58</v>
      </c>
      <c r="F240" t="s">
        <v>28</v>
      </c>
      <c r="G240">
        <v>0.363259668508287</v>
      </c>
      <c r="H240">
        <v>0.10344827586206895</v>
      </c>
    </row>
    <row r="241" spans="1:8" hidden="1" x14ac:dyDescent="0.3">
      <c r="A241" t="s">
        <v>232</v>
      </c>
      <c r="B241" s="2">
        <v>5.1016064814814813E-2</v>
      </c>
      <c r="C241" s="2">
        <v>5.1004490740740739E-2</v>
      </c>
      <c r="D241" s="2">
        <v>5.1016064814814813E-2</v>
      </c>
      <c r="E241" t="s">
        <v>198</v>
      </c>
      <c r="F241" t="s">
        <v>34</v>
      </c>
      <c r="G241">
        <v>0.43508287292817699</v>
      </c>
      <c r="H241">
        <v>0.51293103448275901</v>
      </c>
    </row>
    <row r="242" spans="1:8" hidden="1" x14ac:dyDescent="0.3">
      <c r="A242" t="s">
        <v>233</v>
      </c>
      <c r="B242" s="2">
        <v>5.1232326388888888E-2</v>
      </c>
      <c r="C242" s="2">
        <v>5.1220752314814814E-2</v>
      </c>
      <c r="D242" s="2">
        <v>5.1232326388888888E-2</v>
      </c>
      <c r="E242" t="s">
        <v>42</v>
      </c>
      <c r="F242" t="s">
        <v>28</v>
      </c>
      <c r="G242">
        <v>0.52348066298342499</v>
      </c>
      <c r="H242">
        <v>0.818965517241379</v>
      </c>
    </row>
    <row r="243" spans="1:8" hidden="1" x14ac:dyDescent="0.3">
      <c r="A243" t="s">
        <v>234</v>
      </c>
      <c r="B243" s="2">
        <v>5.1247974537037035E-2</v>
      </c>
      <c r="C243" s="2">
        <v>5.1236400462962961E-2</v>
      </c>
      <c r="D243" s="2">
        <v>5.1247974537037035E-2</v>
      </c>
      <c r="E243" t="s">
        <v>198</v>
      </c>
      <c r="F243" t="s">
        <v>28</v>
      </c>
      <c r="G243">
        <v>0.50414364640884002</v>
      </c>
      <c r="H243">
        <v>0.81034482758620696</v>
      </c>
    </row>
    <row r="244" spans="1:8" hidden="1" x14ac:dyDescent="0.3">
      <c r="A244" t="s">
        <v>235</v>
      </c>
      <c r="B244" s="2">
        <v>5.1254502314814814E-2</v>
      </c>
      <c r="C244" s="2">
        <v>5.124292824074074E-2</v>
      </c>
      <c r="D244" s="2">
        <v>5.1254502314814814E-2</v>
      </c>
      <c r="E244" t="s">
        <v>38</v>
      </c>
      <c r="F244" t="s">
        <v>34</v>
      </c>
      <c r="G244">
        <v>0.47375690607734799</v>
      </c>
      <c r="H244">
        <v>0.681034482758621</v>
      </c>
    </row>
    <row r="245" spans="1:8" hidden="1" x14ac:dyDescent="0.3">
      <c r="A245" t="s">
        <v>236</v>
      </c>
      <c r="B245" s="2">
        <v>5.1331608796296294E-2</v>
      </c>
      <c r="C245" s="2">
        <v>5.132003472222222E-2</v>
      </c>
      <c r="D245" s="2">
        <v>5.1331608796296294E-2</v>
      </c>
      <c r="E245" t="s">
        <v>67</v>
      </c>
      <c r="F245" t="s">
        <v>34</v>
      </c>
      <c r="G245">
        <v>0.33011049723756902</v>
      </c>
      <c r="H245">
        <v>0.82327586206896497</v>
      </c>
    </row>
    <row r="246" spans="1:8" hidden="1" x14ac:dyDescent="0.3">
      <c r="A246" t="s">
        <v>237</v>
      </c>
      <c r="B246" s="2">
        <v>5.1433587962962962E-2</v>
      </c>
      <c r="C246" s="2">
        <v>5.1422013888888889E-2</v>
      </c>
      <c r="D246" s="2">
        <v>5.1433587962962962E-2</v>
      </c>
      <c r="E246" t="s">
        <v>67</v>
      </c>
      <c r="F246" t="s">
        <v>34</v>
      </c>
      <c r="G246">
        <v>9.8066298342541394E-2</v>
      </c>
      <c r="H246">
        <v>0.69827586206896597</v>
      </c>
    </row>
    <row r="247" spans="1:8" hidden="1" x14ac:dyDescent="0.3">
      <c r="A247" t="s">
        <v>238</v>
      </c>
      <c r="B247" s="2">
        <v>5.1530590277777781E-2</v>
      </c>
      <c r="C247" s="2">
        <v>5.1519016203703701E-2</v>
      </c>
      <c r="D247" s="2">
        <v>5.1530590277777781E-2</v>
      </c>
      <c r="E247" t="s">
        <v>42</v>
      </c>
      <c r="F247" t="s">
        <v>34</v>
      </c>
      <c r="G247">
        <v>0.650552486187845</v>
      </c>
      <c r="H247">
        <v>0.49568965517241403</v>
      </c>
    </row>
    <row r="248" spans="1:8" hidden="1" x14ac:dyDescent="0.3">
      <c r="A248" t="s">
        <v>239</v>
      </c>
      <c r="B248" s="2">
        <v>5.1644421296296296E-2</v>
      </c>
      <c r="C248" s="2">
        <v>5.1632847222222222E-2</v>
      </c>
      <c r="D248" s="2">
        <v>5.1644421296296296E-2</v>
      </c>
      <c r="E248" t="s">
        <v>46</v>
      </c>
      <c r="F248" t="s">
        <v>28</v>
      </c>
      <c r="G248">
        <v>0.26933701657458597</v>
      </c>
      <c r="H248">
        <v>0.76293103448275901</v>
      </c>
    </row>
    <row r="249" spans="1:8" hidden="1" x14ac:dyDescent="0.3">
      <c r="A249" t="s">
        <v>240</v>
      </c>
      <c r="B249" s="2">
        <v>5.1710729166666664E-2</v>
      </c>
      <c r="C249" s="2">
        <v>5.169915509259259E-2</v>
      </c>
      <c r="D249" s="2">
        <v>5.1710729166666664E-2</v>
      </c>
      <c r="E249" t="s">
        <v>44</v>
      </c>
      <c r="F249" t="s">
        <v>34</v>
      </c>
      <c r="G249">
        <v>0.48480662983425399</v>
      </c>
      <c r="H249">
        <v>0.82758620689655205</v>
      </c>
    </row>
    <row r="250" spans="1:8" hidden="1" x14ac:dyDescent="0.3">
      <c r="A250" t="s">
        <v>241</v>
      </c>
      <c r="B250" s="2">
        <v>5.2225451388888885E-2</v>
      </c>
      <c r="C250" s="2">
        <v>5.2213877314814812E-2</v>
      </c>
      <c r="D250" s="2">
        <v>5.2225451388888885E-2</v>
      </c>
      <c r="E250" t="s">
        <v>67</v>
      </c>
      <c r="F250" t="s">
        <v>28</v>
      </c>
      <c r="G250">
        <v>0.205801104972376</v>
      </c>
      <c r="H250">
        <v>0.84482758620689702</v>
      </c>
    </row>
    <row r="251" spans="1:8" hidden="1" x14ac:dyDescent="0.3">
      <c r="A251" t="s">
        <v>242</v>
      </c>
      <c r="B251" s="2">
        <v>5.2254976851851855E-2</v>
      </c>
      <c r="C251" s="2">
        <v>5.2243402777777781E-2</v>
      </c>
      <c r="D251" s="2">
        <v>5.2254976851851855E-2</v>
      </c>
      <c r="E251" t="s">
        <v>198</v>
      </c>
      <c r="F251" t="s">
        <v>28</v>
      </c>
      <c r="G251">
        <v>0.23342541436464101</v>
      </c>
      <c r="H251">
        <v>0.68965517241379293</v>
      </c>
    </row>
    <row r="252" spans="1:8" hidden="1" x14ac:dyDescent="0.3">
      <c r="A252" t="s">
        <v>243</v>
      </c>
      <c r="B252" s="2">
        <v>5.2396828703703706E-2</v>
      </c>
      <c r="C252" s="2">
        <v>5.2385254629629632E-2</v>
      </c>
      <c r="D252" s="2">
        <v>5.2396828703703706E-2</v>
      </c>
      <c r="E252" t="s">
        <v>32</v>
      </c>
      <c r="F252" t="s">
        <v>28</v>
      </c>
      <c r="G252">
        <v>0.76104972375690605</v>
      </c>
      <c r="H252">
        <v>0.53879310344827602</v>
      </c>
    </row>
    <row r="253" spans="1:8" hidden="1" x14ac:dyDescent="0.3">
      <c r="A253" t="s">
        <v>244</v>
      </c>
      <c r="B253" s="2">
        <v>5.2418738425925926E-2</v>
      </c>
      <c r="C253" s="2">
        <v>5.2407164351851852E-2</v>
      </c>
      <c r="D253" s="2">
        <v>5.2418738425925926E-2</v>
      </c>
      <c r="E253" t="s">
        <v>198</v>
      </c>
      <c r="F253" t="s">
        <v>28</v>
      </c>
      <c r="G253">
        <v>0.68646408839779005</v>
      </c>
      <c r="H253">
        <v>0.34482758620689602</v>
      </c>
    </row>
    <row r="254" spans="1:8" hidden="1" x14ac:dyDescent="0.3">
      <c r="A254" t="s">
        <v>245</v>
      </c>
      <c r="B254" s="2">
        <v>5.2476504629629626E-2</v>
      </c>
      <c r="C254" s="2">
        <v>5.2464930555555553E-2</v>
      </c>
      <c r="D254" s="2">
        <v>5.2476504629629626E-2</v>
      </c>
      <c r="E254" t="s">
        <v>58</v>
      </c>
      <c r="F254" t="s">
        <v>28</v>
      </c>
      <c r="G254">
        <v>0.87983425414364602</v>
      </c>
      <c r="H254">
        <v>5.1724137931034031E-2</v>
      </c>
    </row>
    <row r="255" spans="1:8" hidden="1" x14ac:dyDescent="0.3">
      <c r="A255" t="s">
        <v>246</v>
      </c>
      <c r="B255" s="2">
        <v>5.2514583333333337E-2</v>
      </c>
      <c r="C255" s="2">
        <v>5.2503009259259256E-2</v>
      </c>
      <c r="D255" s="2">
        <v>5.2514583333333337E-2</v>
      </c>
      <c r="E255" t="s">
        <v>51</v>
      </c>
      <c r="F255" t="s">
        <v>28</v>
      </c>
      <c r="G255">
        <v>0.78038674033149202</v>
      </c>
      <c r="H255">
        <v>3.4482758620689946E-2</v>
      </c>
    </row>
    <row r="256" spans="1:8" hidden="1" x14ac:dyDescent="0.3">
      <c r="A256" t="s">
        <v>247</v>
      </c>
      <c r="B256" s="2">
        <v>5.2543668981481481E-2</v>
      </c>
      <c r="C256" s="2">
        <v>5.2532094907407408E-2</v>
      </c>
      <c r="D256" s="2">
        <v>5.2543668981481481E-2</v>
      </c>
      <c r="E256" t="s">
        <v>38</v>
      </c>
      <c r="F256" t="s">
        <v>28</v>
      </c>
      <c r="G256">
        <v>0.67817679558011001</v>
      </c>
      <c r="H256">
        <v>0.12931034482758597</v>
      </c>
    </row>
    <row r="257" spans="1:8" hidden="1" x14ac:dyDescent="0.3">
      <c r="A257" t="s">
        <v>248</v>
      </c>
      <c r="B257" s="2">
        <v>5.2557627314814816E-2</v>
      </c>
      <c r="C257" s="2">
        <v>5.2546053240740742E-2</v>
      </c>
      <c r="D257" s="2">
        <v>5.2557627314814816E-2</v>
      </c>
      <c r="E257" t="s">
        <v>58</v>
      </c>
      <c r="F257" t="s">
        <v>28</v>
      </c>
      <c r="G257">
        <v>0.84116022099447496</v>
      </c>
      <c r="H257">
        <v>2.155172413793105E-2</v>
      </c>
    </row>
    <row r="258" spans="1:8" hidden="1" x14ac:dyDescent="0.3">
      <c r="A258" t="s">
        <v>249</v>
      </c>
      <c r="B258" s="2">
        <v>5.2572326388888889E-2</v>
      </c>
      <c r="C258" s="2">
        <v>5.2560752314814815E-2</v>
      </c>
      <c r="D258" s="2">
        <v>5.2572326388888889E-2</v>
      </c>
      <c r="E258" t="s">
        <v>38</v>
      </c>
      <c r="F258" t="s">
        <v>28</v>
      </c>
      <c r="G258">
        <v>0.77209944751381199</v>
      </c>
      <c r="H258">
        <v>0.22844827586206895</v>
      </c>
    </row>
    <row r="259" spans="1:8" hidden="1" x14ac:dyDescent="0.3">
      <c r="A259" t="s">
        <v>250</v>
      </c>
      <c r="B259" s="2">
        <v>5.2580925925925927E-2</v>
      </c>
      <c r="C259" s="2">
        <v>5.2569351851851853E-2</v>
      </c>
      <c r="D259" s="2">
        <v>5.2580925925925927E-2</v>
      </c>
      <c r="E259" t="s">
        <v>42</v>
      </c>
      <c r="F259" t="s">
        <v>28</v>
      </c>
      <c r="G259">
        <v>0.83287292817679603</v>
      </c>
      <c r="H259">
        <v>0.26724137931034497</v>
      </c>
    </row>
    <row r="260" spans="1:8" hidden="1" x14ac:dyDescent="0.3">
      <c r="A260" t="s">
        <v>251</v>
      </c>
      <c r="B260" s="2">
        <v>5.2601111111111112E-2</v>
      </c>
      <c r="C260" s="2">
        <v>5.2589537037037039E-2</v>
      </c>
      <c r="D260" s="2">
        <v>5.2601111111111112E-2</v>
      </c>
      <c r="E260" t="s">
        <v>38</v>
      </c>
      <c r="F260" t="s">
        <v>28</v>
      </c>
      <c r="G260">
        <v>0.76933701657458597</v>
      </c>
      <c r="H260">
        <v>0.34913793103448298</v>
      </c>
    </row>
    <row r="261" spans="1:8" hidden="1" x14ac:dyDescent="0.3">
      <c r="A261" t="s">
        <v>252</v>
      </c>
      <c r="B261" s="2">
        <v>5.2621666666666664E-2</v>
      </c>
      <c r="C261" s="2">
        <v>5.261009259259259E-2</v>
      </c>
      <c r="D261" s="2">
        <v>5.2621666666666664E-2</v>
      </c>
      <c r="E261" t="s">
        <v>44</v>
      </c>
      <c r="F261" t="s">
        <v>34</v>
      </c>
      <c r="G261">
        <v>0.78038674033149202</v>
      </c>
      <c r="H261">
        <v>0.61637931034482807</v>
      </c>
    </row>
    <row r="262" spans="1:8" hidden="1" x14ac:dyDescent="0.3">
      <c r="A262" t="s">
        <v>253</v>
      </c>
      <c r="B262" s="2">
        <v>5.2703680555555556E-2</v>
      </c>
      <c r="C262" s="2">
        <v>5.2692106481481482E-2</v>
      </c>
      <c r="D262" s="2">
        <v>5.2703680555555556E-2</v>
      </c>
      <c r="E262" t="s">
        <v>46</v>
      </c>
      <c r="F262" t="s">
        <v>28</v>
      </c>
      <c r="G262">
        <v>0.64779005524861899</v>
      </c>
      <c r="H262">
        <v>0.73706896551724099</v>
      </c>
    </row>
    <row r="263" spans="1:8" hidden="1" x14ac:dyDescent="0.3">
      <c r="A263" t="s">
        <v>254</v>
      </c>
      <c r="B263" s="2">
        <v>5.2713310185185186E-2</v>
      </c>
      <c r="C263" s="2">
        <v>5.2701736111111112E-2</v>
      </c>
      <c r="D263" s="2">
        <v>5.2713310185185186E-2</v>
      </c>
      <c r="E263" t="s">
        <v>67</v>
      </c>
      <c r="F263" t="s">
        <v>34</v>
      </c>
      <c r="G263">
        <v>0.78314917127071804</v>
      </c>
      <c r="H263">
        <v>0.86637931034482807</v>
      </c>
    </row>
    <row r="264" spans="1:8" hidden="1" x14ac:dyDescent="0.3">
      <c r="A264" t="s">
        <v>255</v>
      </c>
      <c r="B264" s="2">
        <v>5.2863773148148149E-2</v>
      </c>
      <c r="C264" s="2">
        <v>5.2852199074074076E-2</v>
      </c>
      <c r="D264" s="2">
        <v>5.2863773148148149E-2</v>
      </c>
      <c r="E264" t="s">
        <v>40</v>
      </c>
      <c r="F264" t="s">
        <v>28</v>
      </c>
      <c r="G264">
        <v>0.45718232044198898</v>
      </c>
      <c r="H264">
        <v>0.82327586206896497</v>
      </c>
    </row>
    <row r="265" spans="1:8" hidden="1" x14ac:dyDescent="0.3">
      <c r="A265" t="s">
        <v>256</v>
      </c>
      <c r="B265" s="2">
        <v>5.3322037037037036E-2</v>
      </c>
      <c r="C265" s="2">
        <v>5.3310462962962962E-2</v>
      </c>
      <c r="D265" s="2">
        <v>5.3322037037037036E-2</v>
      </c>
      <c r="E265" t="s">
        <v>51</v>
      </c>
      <c r="F265" t="s">
        <v>34</v>
      </c>
      <c r="G265">
        <v>0.32182320441988899</v>
      </c>
      <c r="H265">
        <v>0.34482758620689602</v>
      </c>
    </row>
    <row r="266" spans="1:8" hidden="1" x14ac:dyDescent="0.3">
      <c r="A266" t="s">
        <v>257</v>
      </c>
      <c r="B266" s="2">
        <v>5.4130567129629631E-2</v>
      </c>
      <c r="C266" s="2">
        <v>5.4118993055555557E-2</v>
      </c>
      <c r="D266" s="2">
        <v>5.4130567129629631E-2</v>
      </c>
      <c r="E266" t="s">
        <v>58</v>
      </c>
      <c r="F266" t="s">
        <v>34</v>
      </c>
      <c r="G266">
        <v>0.27762430939226501</v>
      </c>
      <c r="H266">
        <v>8.6206896551720424E-3</v>
      </c>
    </row>
    <row r="267" spans="1:8" hidden="1" x14ac:dyDescent="0.3">
      <c r="A267" t="s">
        <v>258</v>
      </c>
      <c r="B267" s="2">
        <v>5.4621956018518519E-2</v>
      </c>
      <c r="C267" s="2">
        <v>5.4610381944444446E-2</v>
      </c>
      <c r="D267" s="2">
        <v>5.4621956018518519E-2</v>
      </c>
      <c r="E267" t="s">
        <v>51</v>
      </c>
      <c r="F267" t="s">
        <v>28</v>
      </c>
      <c r="G267">
        <v>0.78867403314917095</v>
      </c>
      <c r="H267">
        <v>4.7413793103447954E-2</v>
      </c>
    </row>
    <row r="268" spans="1:8" hidden="1" x14ac:dyDescent="0.3">
      <c r="A268" t="s">
        <v>259</v>
      </c>
      <c r="B268" s="2">
        <v>5.6309039351851851E-2</v>
      </c>
      <c r="C268" s="2">
        <v>5.6297465277777778E-2</v>
      </c>
      <c r="D268" s="2">
        <v>5.6309039351851851E-2</v>
      </c>
      <c r="E268" t="s">
        <v>198</v>
      </c>
      <c r="F268" t="s">
        <v>34</v>
      </c>
      <c r="G268">
        <v>0.55662983425414403</v>
      </c>
      <c r="H268">
        <v>0.71551724137931005</v>
      </c>
    </row>
    <row r="269" spans="1:8" hidden="1" x14ac:dyDescent="0.3">
      <c r="A269" t="s">
        <v>260</v>
      </c>
      <c r="B269" s="2">
        <v>5.6459641203703705E-2</v>
      </c>
      <c r="C269" s="2">
        <v>5.6448067129629631E-2</v>
      </c>
      <c r="D269" s="2">
        <v>5.6459641203703705E-2</v>
      </c>
      <c r="E269" t="s">
        <v>44</v>
      </c>
      <c r="F269" t="s">
        <v>28</v>
      </c>
      <c r="G269">
        <v>0.412983425414365</v>
      </c>
      <c r="H269">
        <v>0.90517241379310343</v>
      </c>
    </row>
    <row r="270" spans="1:8" hidden="1" x14ac:dyDescent="0.3">
      <c r="A270" t="s">
        <v>261</v>
      </c>
      <c r="B270" s="2">
        <v>5.6980509259259259E-2</v>
      </c>
      <c r="C270" s="2">
        <v>5.6968935185185185E-2</v>
      </c>
      <c r="D270" s="2">
        <v>5.6980509259259259E-2</v>
      </c>
      <c r="E270" t="s">
        <v>44</v>
      </c>
      <c r="F270" t="s">
        <v>28</v>
      </c>
      <c r="G270">
        <v>0.180939226519337</v>
      </c>
      <c r="H270">
        <v>0.625</v>
      </c>
    </row>
    <row r="271" spans="1:8" hidden="1" x14ac:dyDescent="0.3">
      <c r="A271" t="s">
        <v>262</v>
      </c>
      <c r="B271" s="2">
        <v>5.8003576388888888E-2</v>
      </c>
      <c r="C271" s="2">
        <v>5.7992002314814814E-2</v>
      </c>
      <c r="D271" s="2">
        <v>5.8003576388888888E-2</v>
      </c>
      <c r="E271" t="s">
        <v>44</v>
      </c>
      <c r="F271" t="s">
        <v>28</v>
      </c>
      <c r="G271">
        <v>0.98756906077348094</v>
      </c>
      <c r="H271">
        <v>0.99568965517241381</v>
      </c>
    </row>
    <row r="272" spans="1:8" hidden="1" x14ac:dyDescent="0.3">
      <c r="A272" t="s">
        <v>263</v>
      </c>
      <c r="B272" s="2">
        <v>5.8710393518518519E-2</v>
      </c>
      <c r="C272" s="2">
        <v>5.8698819444444446E-2</v>
      </c>
      <c r="D272" s="2">
        <v>5.8710393518518519E-2</v>
      </c>
      <c r="E272" t="s">
        <v>264</v>
      </c>
      <c r="F272" t="s">
        <v>28</v>
      </c>
      <c r="G272">
        <v>0.98756906077348094</v>
      </c>
      <c r="H272">
        <v>0.99568965517241381</v>
      </c>
    </row>
    <row r="273" spans="1:8" hidden="1" x14ac:dyDescent="0.3">
      <c r="A273" t="s">
        <v>265</v>
      </c>
      <c r="B273" s="2">
        <v>5.9075844907407409E-2</v>
      </c>
      <c r="C273" s="2">
        <v>5.9064270833333335E-2</v>
      </c>
      <c r="D273" s="2">
        <v>5.9075844907407409E-2</v>
      </c>
      <c r="E273" t="s">
        <v>38</v>
      </c>
      <c r="F273" t="s">
        <v>28</v>
      </c>
      <c r="G273">
        <v>0.874309392265193</v>
      </c>
      <c r="H273">
        <v>0.10344827586206895</v>
      </c>
    </row>
    <row r="274" spans="1:8" hidden="1" x14ac:dyDescent="0.3">
      <c r="A274" t="s">
        <v>266</v>
      </c>
      <c r="B274" s="2">
        <v>5.9089398148148148E-2</v>
      </c>
      <c r="C274" s="2">
        <v>5.9077824074074074E-2</v>
      </c>
      <c r="D274" s="2">
        <v>5.9089398148148148E-2</v>
      </c>
      <c r="E274" t="s">
        <v>51</v>
      </c>
      <c r="F274" t="s">
        <v>28</v>
      </c>
      <c r="G274">
        <v>0.78314917127071804</v>
      </c>
      <c r="H274">
        <v>9.482758620689602E-2</v>
      </c>
    </row>
    <row r="275" spans="1:8" hidden="1" x14ac:dyDescent="0.3">
      <c r="A275" t="s">
        <v>267</v>
      </c>
      <c r="B275" s="2">
        <v>5.9117291666666669E-2</v>
      </c>
      <c r="C275" s="2">
        <v>5.9105717592592595E-2</v>
      </c>
      <c r="D275" s="2">
        <v>5.9117291666666669E-2</v>
      </c>
      <c r="E275" t="s">
        <v>40</v>
      </c>
      <c r="F275" t="s">
        <v>28</v>
      </c>
      <c r="G275">
        <v>0.83011049723756902</v>
      </c>
      <c r="H275">
        <v>0.27155172413793105</v>
      </c>
    </row>
    <row r="276" spans="1:8" hidden="1" x14ac:dyDescent="0.3">
      <c r="A276" t="s">
        <v>268</v>
      </c>
      <c r="B276" s="2">
        <v>5.9440173611111112E-2</v>
      </c>
      <c r="C276" s="2">
        <v>5.9428599537037038E-2</v>
      </c>
      <c r="D276" s="2">
        <v>5.9440173611111112E-2</v>
      </c>
      <c r="E276" t="s">
        <v>198</v>
      </c>
      <c r="F276" t="s">
        <v>34</v>
      </c>
      <c r="G276">
        <v>0.58425414364640904</v>
      </c>
      <c r="H276">
        <v>0.26724137931034497</v>
      </c>
    </row>
    <row r="277" spans="1:8" hidden="1" x14ac:dyDescent="0.3">
      <c r="A277" t="s">
        <v>269</v>
      </c>
      <c r="B277" s="2">
        <v>5.9646550925925926E-2</v>
      </c>
      <c r="C277" s="2">
        <v>5.9634976851851852E-2</v>
      </c>
      <c r="D277" s="2">
        <v>5.9646550925925926E-2</v>
      </c>
      <c r="E277" t="s">
        <v>38</v>
      </c>
      <c r="F277" t="s">
        <v>28</v>
      </c>
      <c r="G277">
        <v>0.68922651933701695</v>
      </c>
      <c r="H277">
        <v>2.155172413793105E-2</v>
      </c>
    </row>
    <row r="278" spans="1:8" hidden="1" x14ac:dyDescent="0.3">
      <c r="A278" t="s">
        <v>269</v>
      </c>
      <c r="B278" s="2">
        <v>5.9673819444444443E-2</v>
      </c>
      <c r="C278" s="2">
        <v>5.9662245370370369E-2</v>
      </c>
      <c r="D278" s="2">
        <v>5.9673819444444443E-2</v>
      </c>
      <c r="E278" t="s">
        <v>58</v>
      </c>
      <c r="F278" t="s">
        <v>28</v>
      </c>
      <c r="G278">
        <v>0.650552486187845</v>
      </c>
      <c r="H278">
        <v>3.0172413793102981E-2</v>
      </c>
    </row>
    <row r="279" spans="1:8" hidden="1" x14ac:dyDescent="0.3">
      <c r="A279" t="s">
        <v>270</v>
      </c>
      <c r="B279" s="2">
        <v>5.9853067129629629E-2</v>
      </c>
      <c r="C279" s="2">
        <v>5.9841493055555556E-2</v>
      </c>
      <c r="D279" s="2">
        <v>5.9853067129629629E-2</v>
      </c>
      <c r="E279" t="s">
        <v>44</v>
      </c>
      <c r="F279" t="s">
        <v>28</v>
      </c>
      <c r="G279">
        <v>0.56491712707182296</v>
      </c>
      <c r="H279">
        <v>0.39655172413793105</v>
      </c>
    </row>
    <row r="280" spans="1:8" hidden="1" x14ac:dyDescent="0.3">
      <c r="A280" t="s">
        <v>271</v>
      </c>
      <c r="B280" s="2">
        <v>5.9880578703703703E-2</v>
      </c>
      <c r="C280" s="2">
        <v>5.986900462962963E-2</v>
      </c>
      <c r="D280" s="2">
        <v>5.9880578703703703E-2</v>
      </c>
      <c r="E280" t="s">
        <v>40</v>
      </c>
      <c r="F280" t="s">
        <v>28</v>
      </c>
      <c r="G280">
        <v>0.49861878453038699</v>
      </c>
      <c r="H280">
        <v>0.34913793103448298</v>
      </c>
    </row>
    <row r="281" spans="1:8" hidden="1" x14ac:dyDescent="0.3">
      <c r="A281" t="s">
        <v>272</v>
      </c>
      <c r="B281" s="2">
        <v>5.9898993055555558E-2</v>
      </c>
      <c r="C281" s="2">
        <v>5.9887418981481484E-2</v>
      </c>
      <c r="D281" s="2">
        <v>5.9898993055555558E-2</v>
      </c>
      <c r="E281" t="s">
        <v>198</v>
      </c>
      <c r="F281" t="s">
        <v>28</v>
      </c>
      <c r="G281">
        <v>0.57320441988950299</v>
      </c>
      <c r="H281">
        <v>0.38362068965517204</v>
      </c>
    </row>
    <row r="282" spans="1:8" hidden="1" x14ac:dyDescent="0.3">
      <c r="A282" t="s">
        <v>273</v>
      </c>
      <c r="B282" s="2">
        <v>5.9906643518518515E-2</v>
      </c>
      <c r="C282" s="2">
        <v>5.9895069444444442E-2</v>
      </c>
      <c r="D282" s="2">
        <v>5.9906643518518515E-2</v>
      </c>
      <c r="E282" t="s">
        <v>44</v>
      </c>
      <c r="F282" t="s">
        <v>28</v>
      </c>
      <c r="G282">
        <v>0.56767955801104997</v>
      </c>
      <c r="H282">
        <v>0.46120689655172398</v>
      </c>
    </row>
    <row r="283" spans="1:8" hidden="1" x14ac:dyDescent="0.3">
      <c r="A283" t="s">
        <v>274</v>
      </c>
      <c r="B283" s="2">
        <v>6.0276331018518516E-2</v>
      </c>
      <c r="C283" s="2">
        <v>6.0264756944444442E-2</v>
      </c>
      <c r="D283" s="2">
        <v>6.0276331018518516E-2</v>
      </c>
      <c r="E283" t="s">
        <v>67</v>
      </c>
      <c r="F283" t="s">
        <v>34</v>
      </c>
      <c r="G283">
        <v>0.47928176795580102</v>
      </c>
      <c r="H283">
        <v>0.83620689655172398</v>
      </c>
    </row>
    <row r="284" spans="1:8" hidden="1" x14ac:dyDescent="0.3">
      <c r="A284" t="s">
        <v>275</v>
      </c>
      <c r="B284" s="2">
        <v>6.1371944444444444E-2</v>
      </c>
      <c r="C284" s="2">
        <v>6.1360370370370371E-2</v>
      </c>
      <c r="D284" s="2">
        <v>6.1371944444444444E-2</v>
      </c>
      <c r="E284" t="s">
        <v>27</v>
      </c>
      <c r="F284" t="s">
        <v>28</v>
      </c>
      <c r="G284">
        <v>5.1104972375690602E-2</v>
      </c>
      <c r="H284">
        <v>0.48706896551724099</v>
      </c>
    </row>
    <row r="285" spans="1:8" hidden="1" x14ac:dyDescent="0.3">
      <c r="A285" t="s">
        <v>276</v>
      </c>
      <c r="B285" s="2">
        <v>6.218238425925926E-2</v>
      </c>
      <c r="C285" s="2">
        <v>6.2170810185185187E-2</v>
      </c>
      <c r="D285" s="2">
        <v>6.218238425925926E-2</v>
      </c>
      <c r="E285" t="s">
        <v>40</v>
      </c>
      <c r="F285" t="s">
        <v>28</v>
      </c>
      <c r="G285">
        <v>0.98480662983425404</v>
      </c>
      <c r="H285">
        <v>0.87931034482758597</v>
      </c>
    </row>
    <row r="286" spans="1:8" hidden="1" x14ac:dyDescent="0.3">
      <c r="A286" t="s">
        <v>277</v>
      </c>
      <c r="B286" s="2">
        <v>6.2761458333333339E-2</v>
      </c>
      <c r="C286" s="2">
        <v>6.2749884259259259E-2</v>
      </c>
      <c r="D286" s="2">
        <v>6.2761458333333339E-2</v>
      </c>
      <c r="E286" t="s">
        <v>40</v>
      </c>
      <c r="F286" t="s">
        <v>28</v>
      </c>
      <c r="G286">
        <v>0.14226519337016599</v>
      </c>
      <c r="H286">
        <v>0.48706896551724099</v>
      </c>
    </row>
    <row r="287" spans="1:8" hidden="1" x14ac:dyDescent="0.3">
      <c r="A287" t="s">
        <v>278</v>
      </c>
      <c r="B287" s="2">
        <v>6.2771585648148151E-2</v>
      </c>
      <c r="C287" s="2">
        <v>6.276001157407407E-2</v>
      </c>
      <c r="D287" s="2">
        <v>6.2771585648148151E-2</v>
      </c>
      <c r="E287" t="s">
        <v>198</v>
      </c>
      <c r="F287" t="s">
        <v>28</v>
      </c>
      <c r="G287">
        <v>0.22237569060773499</v>
      </c>
      <c r="H287">
        <v>0.64224137931034497</v>
      </c>
    </row>
    <row r="288" spans="1:8" hidden="1" x14ac:dyDescent="0.3">
      <c r="A288" t="s">
        <v>279</v>
      </c>
      <c r="B288" s="2">
        <v>6.2809108796296295E-2</v>
      </c>
      <c r="C288" s="2">
        <v>6.2797534722222229E-2</v>
      </c>
      <c r="D288" s="2">
        <v>6.2809108796296295E-2</v>
      </c>
      <c r="E288" t="s">
        <v>44</v>
      </c>
      <c r="F288" t="s">
        <v>28</v>
      </c>
      <c r="G288">
        <v>0.30801104972375698</v>
      </c>
      <c r="H288">
        <v>0.78448275862068995</v>
      </c>
    </row>
    <row r="289" spans="1:8" hidden="1" x14ac:dyDescent="0.3">
      <c r="A289" t="s">
        <v>280</v>
      </c>
      <c r="B289" s="2">
        <v>6.2828877314814818E-2</v>
      </c>
      <c r="C289" s="2">
        <v>6.2817303240740738E-2</v>
      </c>
      <c r="D289" s="2">
        <v>6.2828877314814818E-2</v>
      </c>
      <c r="E289" t="s">
        <v>198</v>
      </c>
      <c r="F289" t="s">
        <v>34</v>
      </c>
      <c r="G289">
        <v>0.41850828729281803</v>
      </c>
      <c r="H289">
        <v>0.71120689655172398</v>
      </c>
    </row>
    <row r="290" spans="1:8" hidden="1" x14ac:dyDescent="0.3">
      <c r="A290" t="s">
        <v>281</v>
      </c>
      <c r="B290" s="2">
        <v>6.2978530092592591E-2</v>
      </c>
      <c r="C290" s="2">
        <v>6.2966956018518525E-2</v>
      </c>
      <c r="D290" s="2">
        <v>6.2978530092592591E-2</v>
      </c>
      <c r="E290" t="s">
        <v>46</v>
      </c>
      <c r="F290" t="s">
        <v>34</v>
      </c>
      <c r="G290">
        <v>0.15883977900552501</v>
      </c>
      <c r="H290">
        <v>0.93103448275862066</v>
      </c>
    </row>
    <row r="291" spans="1:8" hidden="1" x14ac:dyDescent="0.3">
      <c r="A291" t="s">
        <v>282</v>
      </c>
      <c r="B291" s="2">
        <v>6.4869016203703708E-2</v>
      </c>
      <c r="C291" s="2">
        <v>6.4857442129629628E-2</v>
      </c>
      <c r="D291" s="2">
        <v>6.4869016203703708E-2</v>
      </c>
      <c r="E291" t="s">
        <v>40</v>
      </c>
      <c r="F291" t="s">
        <v>28</v>
      </c>
      <c r="G291">
        <v>0.88812154696132595</v>
      </c>
      <c r="H291">
        <v>0.431034482758621</v>
      </c>
    </row>
    <row r="292" spans="1:8" hidden="1" x14ac:dyDescent="0.3">
      <c r="A292" t="s">
        <v>283</v>
      </c>
      <c r="B292" s="2">
        <v>6.4891828703703705E-2</v>
      </c>
      <c r="C292" s="2">
        <v>6.4880254629629625E-2</v>
      </c>
      <c r="D292" s="2">
        <v>6.4891828703703705E-2</v>
      </c>
      <c r="E292" t="s">
        <v>38</v>
      </c>
      <c r="F292" t="s">
        <v>28</v>
      </c>
      <c r="G292">
        <v>0.93784530386740295</v>
      </c>
      <c r="H292">
        <v>0.43965517241379304</v>
      </c>
    </row>
    <row r="293" spans="1:8" hidden="1" x14ac:dyDescent="0.3">
      <c r="A293" t="s">
        <v>284</v>
      </c>
      <c r="B293" s="2">
        <v>6.5272094907407402E-2</v>
      </c>
      <c r="C293" s="2">
        <v>6.5260520833333335E-2</v>
      </c>
      <c r="D293" s="2">
        <v>6.5272094907407402E-2</v>
      </c>
      <c r="E293" t="s">
        <v>264</v>
      </c>
      <c r="F293" t="s">
        <v>28</v>
      </c>
      <c r="G293">
        <v>0.106353591160221</v>
      </c>
      <c r="H293">
        <v>0.65086206896551702</v>
      </c>
    </row>
    <row r="294" spans="1:8" hidden="1" x14ac:dyDescent="0.3">
      <c r="A294" t="s">
        <v>285</v>
      </c>
      <c r="B294" s="2">
        <v>6.5301145833333338E-2</v>
      </c>
      <c r="C294" s="2">
        <v>6.5289571759259257E-2</v>
      </c>
      <c r="D294" s="2">
        <v>6.5301145833333338E-2</v>
      </c>
      <c r="E294" t="s">
        <v>44</v>
      </c>
      <c r="F294" t="s">
        <v>28</v>
      </c>
      <c r="G294">
        <v>0.125690607734807</v>
      </c>
      <c r="H294">
        <v>0.84051724137931005</v>
      </c>
    </row>
    <row r="295" spans="1:8" hidden="1" x14ac:dyDescent="0.3">
      <c r="A295" t="s">
        <v>286</v>
      </c>
      <c r="B295" s="2">
        <v>6.6045983796296295E-2</v>
      </c>
      <c r="C295" s="2">
        <v>6.6034409722222229E-2</v>
      </c>
      <c r="D295" s="2">
        <v>6.6045983796296295E-2</v>
      </c>
      <c r="E295" t="s">
        <v>38</v>
      </c>
      <c r="F295" t="s">
        <v>34</v>
      </c>
      <c r="G295">
        <v>0.324585635359116</v>
      </c>
      <c r="H295">
        <v>0.97413793103448276</v>
      </c>
    </row>
    <row r="296" spans="1:8" hidden="1" x14ac:dyDescent="0.3">
      <c r="A296" t="s">
        <v>287</v>
      </c>
      <c r="B296" s="2">
        <v>6.6145266203703701E-2</v>
      </c>
      <c r="C296" s="2">
        <v>6.6133692129629634E-2</v>
      </c>
      <c r="D296" s="2">
        <v>6.6145266203703701E-2</v>
      </c>
      <c r="E296" t="s">
        <v>44</v>
      </c>
      <c r="F296" t="s">
        <v>34</v>
      </c>
      <c r="G296">
        <v>0.30248618784530401</v>
      </c>
      <c r="H296">
        <v>0.87068965517241403</v>
      </c>
    </row>
    <row r="297" spans="1:8" hidden="1" x14ac:dyDescent="0.3">
      <c r="A297" t="s">
        <v>288</v>
      </c>
      <c r="B297" s="2">
        <v>6.6497187499999999E-2</v>
      </c>
      <c r="C297" s="2">
        <v>6.6485613425925932E-2</v>
      </c>
      <c r="D297" s="2">
        <v>6.6497187499999999E-2</v>
      </c>
      <c r="E297" t="s">
        <v>51</v>
      </c>
      <c r="F297" t="s">
        <v>34</v>
      </c>
      <c r="G297">
        <v>0.73895027624309395</v>
      </c>
      <c r="H297">
        <v>0.84913793103448298</v>
      </c>
    </row>
    <row r="298" spans="1:8" hidden="1" x14ac:dyDescent="0.3">
      <c r="A298" t="s">
        <v>289</v>
      </c>
      <c r="B298" s="2">
        <v>6.6629583333333339E-2</v>
      </c>
      <c r="C298" s="2">
        <v>6.6618009259259259E-2</v>
      </c>
      <c r="D298" s="2">
        <v>6.6629583333333339E-2</v>
      </c>
      <c r="E298" t="s">
        <v>44</v>
      </c>
      <c r="F298" t="s">
        <v>28</v>
      </c>
      <c r="G298">
        <v>0.424033149171271</v>
      </c>
      <c r="H298">
        <v>0.92241379310344829</v>
      </c>
    </row>
    <row r="299" spans="1:8" hidden="1" x14ac:dyDescent="0.3">
      <c r="A299" t="s">
        <v>290</v>
      </c>
      <c r="B299" s="2">
        <v>6.6640104166666672E-2</v>
      </c>
      <c r="C299" s="2">
        <v>6.6628530092592592E-2</v>
      </c>
      <c r="D299" s="2">
        <v>6.6640104166666672E-2</v>
      </c>
      <c r="E299" t="s">
        <v>46</v>
      </c>
      <c r="F299" t="s">
        <v>34</v>
      </c>
      <c r="G299">
        <v>0.324585635359116</v>
      </c>
      <c r="H299">
        <v>0.86206896551724099</v>
      </c>
    </row>
    <row r="300" spans="1:8" hidden="1" x14ac:dyDescent="0.3">
      <c r="A300" t="s">
        <v>291</v>
      </c>
      <c r="B300" s="2">
        <v>6.6970405092592597E-2</v>
      </c>
      <c r="C300" s="2">
        <v>6.6958831018518516E-2</v>
      </c>
      <c r="D300" s="2">
        <v>6.6970405092592597E-2</v>
      </c>
      <c r="E300" t="s">
        <v>32</v>
      </c>
      <c r="F300" t="s">
        <v>28</v>
      </c>
      <c r="G300">
        <v>0.74447513812154698</v>
      </c>
      <c r="H300">
        <v>0.82327586206896497</v>
      </c>
    </row>
    <row r="301" spans="1:8" hidden="1" x14ac:dyDescent="0.3">
      <c r="A301" t="s">
        <v>292</v>
      </c>
      <c r="B301" s="2">
        <v>6.7158946759259264E-2</v>
      </c>
      <c r="C301" s="2">
        <v>6.7147372685185183E-2</v>
      </c>
      <c r="D301" s="2">
        <v>6.7158946759259264E-2</v>
      </c>
      <c r="E301" t="s">
        <v>67</v>
      </c>
      <c r="F301" t="s">
        <v>34</v>
      </c>
      <c r="G301">
        <v>0.54558011049723798</v>
      </c>
      <c r="H301">
        <v>0.94396551724137934</v>
      </c>
    </row>
    <row r="302" spans="1:8" hidden="1" x14ac:dyDescent="0.3">
      <c r="A302" t="s">
        <v>293</v>
      </c>
      <c r="B302" s="2">
        <v>6.7394039351851856E-2</v>
      </c>
      <c r="C302" s="2">
        <v>6.7382465277777776E-2</v>
      </c>
      <c r="D302" s="2">
        <v>6.7394039351851856E-2</v>
      </c>
      <c r="E302" t="s">
        <v>198</v>
      </c>
      <c r="F302" t="s">
        <v>28</v>
      </c>
      <c r="G302">
        <v>0.161602209944751</v>
      </c>
      <c r="H302">
        <v>0.36637931034482796</v>
      </c>
    </row>
    <row r="303" spans="1:8" hidden="1" x14ac:dyDescent="0.3">
      <c r="A303" t="s">
        <v>294</v>
      </c>
      <c r="B303" s="2">
        <v>6.7483275462962969E-2</v>
      </c>
      <c r="C303" s="2">
        <v>6.7471701388888888E-2</v>
      </c>
      <c r="D303" s="2">
        <v>6.7483275462962969E-2</v>
      </c>
      <c r="E303" t="s">
        <v>264</v>
      </c>
      <c r="F303" t="s">
        <v>28</v>
      </c>
      <c r="G303">
        <v>0.55939226519337004</v>
      </c>
      <c r="H303">
        <v>0.28017241379310298</v>
      </c>
    </row>
    <row r="304" spans="1:8" hidden="1" x14ac:dyDescent="0.3">
      <c r="A304" t="s">
        <v>295</v>
      </c>
      <c r="B304" s="2">
        <v>6.750430555555556E-2</v>
      </c>
      <c r="C304" s="2">
        <v>6.749273148148148E-2</v>
      </c>
      <c r="D304" s="2">
        <v>6.750430555555556E-2</v>
      </c>
      <c r="E304" t="s">
        <v>58</v>
      </c>
      <c r="F304" t="s">
        <v>28</v>
      </c>
      <c r="G304">
        <v>0.69848484848484804</v>
      </c>
      <c r="H304">
        <v>0.10900473933649302</v>
      </c>
    </row>
    <row r="305" spans="1:8" hidden="1" x14ac:dyDescent="0.3">
      <c r="A305" t="s">
        <v>296</v>
      </c>
      <c r="B305" s="2">
        <v>6.758173611111111E-2</v>
      </c>
      <c r="C305" s="2">
        <v>6.7570162037037043E-2</v>
      </c>
      <c r="D305" s="2">
        <v>6.758173611111111E-2</v>
      </c>
      <c r="E305" t="s">
        <v>38</v>
      </c>
      <c r="F305" t="s">
        <v>28</v>
      </c>
      <c r="G305">
        <v>0.75828729281768004</v>
      </c>
      <c r="H305">
        <v>0.31465517241379304</v>
      </c>
    </row>
    <row r="306" spans="1:8" hidden="1" x14ac:dyDescent="0.3">
      <c r="A306" t="s">
        <v>297</v>
      </c>
      <c r="B306" s="2">
        <v>6.7736886574074076E-2</v>
      </c>
      <c r="C306" s="2">
        <v>6.7725312499999996E-2</v>
      </c>
      <c r="D306" s="2">
        <v>6.7736886574074076E-2</v>
      </c>
      <c r="E306" t="s">
        <v>67</v>
      </c>
      <c r="F306" t="s">
        <v>28</v>
      </c>
      <c r="G306">
        <v>0.150552486187845</v>
      </c>
      <c r="H306">
        <v>0.85775862068965503</v>
      </c>
    </row>
    <row r="307" spans="1:8" hidden="1" x14ac:dyDescent="0.3">
      <c r="A307" t="s">
        <v>298</v>
      </c>
      <c r="B307" s="2">
        <v>6.7760844907407414E-2</v>
      </c>
      <c r="C307" s="2">
        <v>6.7749270833333333E-2</v>
      </c>
      <c r="D307" s="2">
        <v>6.7760844907407414E-2</v>
      </c>
      <c r="E307" t="s">
        <v>27</v>
      </c>
      <c r="F307" t="s">
        <v>28</v>
      </c>
      <c r="G307">
        <v>3.7292817679557999E-2</v>
      </c>
      <c r="H307">
        <v>0.70258620689655205</v>
      </c>
    </row>
    <row r="308" spans="1:8" hidden="1" x14ac:dyDescent="0.3">
      <c r="A308" t="s">
        <v>299</v>
      </c>
      <c r="B308" s="2">
        <v>6.7834791666666672E-2</v>
      </c>
      <c r="C308" s="2">
        <v>6.7823217592592591E-2</v>
      </c>
      <c r="D308" s="2">
        <v>6.7834791666666672E-2</v>
      </c>
      <c r="E308" t="s">
        <v>46</v>
      </c>
      <c r="F308" t="s">
        <v>28</v>
      </c>
      <c r="G308">
        <v>0.36602209944751402</v>
      </c>
      <c r="H308">
        <v>0.74568965517241392</v>
      </c>
    </row>
    <row r="309" spans="1:8" hidden="1" x14ac:dyDescent="0.3">
      <c r="A309" t="s">
        <v>300</v>
      </c>
      <c r="B309" s="2">
        <v>6.890930555555555E-2</v>
      </c>
      <c r="C309" s="2">
        <v>6.8897731481481483E-2</v>
      </c>
      <c r="D309" s="2">
        <v>6.890930555555555E-2</v>
      </c>
      <c r="E309" t="s">
        <v>46</v>
      </c>
      <c r="F309" t="s">
        <v>34</v>
      </c>
      <c r="G309">
        <v>0.56215469613259705</v>
      </c>
      <c r="H309">
        <v>0.43965517241379304</v>
      </c>
    </row>
    <row r="311" spans="1:8" ht="23.4" x14ac:dyDescent="0.45">
      <c r="A311" s="43" t="s">
        <v>301</v>
      </c>
      <c r="B311" s="44"/>
      <c r="C311" s="44"/>
      <c r="D311" s="44"/>
      <c r="F311" s="45" t="s">
        <v>15</v>
      </c>
      <c r="G311" s="45" t="s">
        <v>15</v>
      </c>
    </row>
    <row r="312" spans="1:8" x14ac:dyDescent="0.3">
      <c r="A312" s="1" t="s">
        <v>16</v>
      </c>
      <c r="B312" s="1" t="s">
        <v>17</v>
      </c>
      <c r="C312" s="1" t="s">
        <v>18</v>
      </c>
      <c r="D312" s="1" t="s">
        <v>19</v>
      </c>
      <c r="E312" s="1" t="s">
        <v>21</v>
      </c>
      <c r="F312" s="1" t="s">
        <v>23</v>
      </c>
      <c r="G312" s="1" t="s">
        <v>24</v>
      </c>
      <c r="H312" s="1"/>
    </row>
    <row r="313" spans="1:8" x14ac:dyDescent="0.3">
      <c r="A313" t="s">
        <v>302</v>
      </c>
      <c r="B313" s="2">
        <v>1.4779976851851853E-3</v>
      </c>
      <c r="C313" s="2">
        <v>1.4664236111111111E-3</v>
      </c>
      <c r="D313" s="2">
        <v>1.4779976851851853E-3</v>
      </c>
      <c r="E313" t="s">
        <v>30</v>
      </c>
      <c r="F313">
        <v>0.316137566137566</v>
      </c>
      <c r="G313">
        <v>0.28925619834710703</v>
      </c>
    </row>
    <row r="314" spans="1:8" x14ac:dyDescent="0.3">
      <c r="A314" t="s">
        <v>303</v>
      </c>
      <c r="B314" s="2">
        <v>2.4354513888888889E-3</v>
      </c>
      <c r="C314" s="2">
        <v>2.4238773148148149E-3</v>
      </c>
      <c r="D314" s="2">
        <v>2.4354513888888889E-3</v>
      </c>
      <c r="E314" t="s">
        <v>40</v>
      </c>
      <c r="F314">
        <v>0.37698412698412698</v>
      </c>
      <c r="G314">
        <v>0.12396694214876003</v>
      </c>
    </row>
    <row r="315" spans="1:8" x14ac:dyDescent="0.3">
      <c r="A315" t="s">
        <v>304</v>
      </c>
      <c r="B315" s="2">
        <v>2.5649537037037038E-3</v>
      </c>
      <c r="C315" s="2">
        <v>2.5533796296296298E-3</v>
      </c>
      <c r="D315" s="2">
        <v>2.5649537037037038E-3</v>
      </c>
      <c r="E315" t="s">
        <v>40</v>
      </c>
      <c r="F315">
        <v>0.456349206349206</v>
      </c>
      <c r="G315">
        <v>0.38016528925619797</v>
      </c>
    </row>
    <row r="316" spans="1:8" x14ac:dyDescent="0.3">
      <c r="A316" t="s">
        <v>305</v>
      </c>
      <c r="B316" s="2">
        <v>2.6092824074074074E-3</v>
      </c>
      <c r="C316" s="2">
        <v>2.5977083333333334E-3</v>
      </c>
      <c r="D316" s="2">
        <v>2.6092824074074074E-3</v>
      </c>
      <c r="E316" t="s">
        <v>38</v>
      </c>
      <c r="F316">
        <v>0.615079365079365</v>
      </c>
      <c r="G316">
        <v>0.30165289256198302</v>
      </c>
    </row>
    <row r="317" spans="1:8" x14ac:dyDescent="0.3">
      <c r="A317" t="s">
        <v>306</v>
      </c>
      <c r="B317" s="2">
        <v>4.0674421296296301E-3</v>
      </c>
      <c r="C317" s="2">
        <v>4.0558680555555556E-3</v>
      </c>
      <c r="D317" s="2">
        <v>4.0674421296296301E-3</v>
      </c>
      <c r="E317" t="s">
        <v>51</v>
      </c>
      <c r="F317">
        <v>0.73677248677248697</v>
      </c>
      <c r="G317">
        <v>0.46694214876033102</v>
      </c>
    </row>
    <row r="318" spans="1:8" x14ac:dyDescent="0.3">
      <c r="A318" t="s">
        <v>307</v>
      </c>
      <c r="B318" s="2">
        <v>4.3842708333333329E-3</v>
      </c>
      <c r="C318" s="2">
        <v>4.3726967592592593E-3</v>
      </c>
      <c r="D318" s="2">
        <v>4.3842708333333329E-3</v>
      </c>
      <c r="E318" t="s">
        <v>30</v>
      </c>
      <c r="F318">
        <v>0.26058201058201103</v>
      </c>
      <c r="G318">
        <v>0.21900826446280997</v>
      </c>
    </row>
    <row r="319" spans="1:8" x14ac:dyDescent="0.3">
      <c r="A319" t="s">
        <v>308</v>
      </c>
      <c r="B319" s="2">
        <v>4.701493055555556E-3</v>
      </c>
      <c r="C319" s="2">
        <v>4.6899189814814815E-3</v>
      </c>
      <c r="D319" s="2">
        <v>4.701493055555556E-3</v>
      </c>
      <c r="E319" t="s">
        <v>58</v>
      </c>
      <c r="F319">
        <v>0.41137566137566101</v>
      </c>
      <c r="G319">
        <v>0.39669421487603296</v>
      </c>
    </row>
    <row r="320" spans="1:8" x14ac:dyDescent="0.3">
      <c r="A320" t="s">
        <v>309</v>
      </c>
      <c r="B320" s="2">
        <v>5.0133333333333332E-3</v>
      </c>
      <c r="C320" s="2">
        <v>5.0017592592592596E-3</v>
      </c>
      <c r="D320" s="2">
        <v>5.0133333333333332E-3</v>
      </c>
      <c r="E320" t="s">
        <v>42</v>
      </c>
      <c r="F320">
        <v>0.39285714285714302</v>
      </c>
      <c r="G320">
        <v>0.64049586776859502</v>
      </c>
    </row>
    <row r="321" spans="1:7" x14ac:dyDescent="0.3">
      <c r="A321" t="s">
        <v>310</v>
      </c>
      <c r="B321" s="2">
        <v>5.650462962962963E-3</v>
      </c>
      <c r="C321" s="2">
        <v>5.6388888888888886E-3</v>
      </c>
      <c r="D321" s="2">
        <v>5.650462962962963E-3</v>
      </c>
      <c r="E321" t="s">
        <v>42</v>
      </c>
      <c r="F321">
        <v>0.72354497354497305</v>
      </c>
      <c r="G321">
        <v>0.93801652892561982</v>
      </c>
    </row>
    <row r="322" spans="1:7" x14ac:dyDescent="0.3">
      <c r="A322" t="s">
        <v>311</v>
      </c>
      <c r="B322" s="2">
        <v>5.7903819444444444E-3</v>
      </c>
      <c r="C322" s="2">
        <v>5.7788078703703708E-3</v>
      </c>
      <c r="D322" s="2">
        <v>5.7903819444444444E-3</v>
      </c>
      <c r="E322" t="s">
        <v>58</v>
      </c>
      <c r="F322">
        <v>0.55687830687830697</v>
      </c>
      <c r="G322">
        <v>0.70247933884297498</v>
      </c>
    </row>
    <row r="323" spans="1:7" x14ac:dyDescent="0.3">
      <c r="A323" t="s">
        <v>312</v>
      </c>
      <c r="B323" s="2">
        <v>6.1434606481481479E-3</v>
      </c>
      <c r="C323" s="2">
        <v>6.1318865740740743E-3</v>
      </c>
      <c r="D323" s="2">
        <v>6.1434606481481479E-3</v>
      </c>
      <c r="E323" t="s">
        <v>67</v>
      </c>
      <c r="F323">
        <v>0.342592592592593</v>
      </c>
      <c r="G323">
        <v>0.76446280991735494</v>
      </c>
    </row>
    <row r="324" spans="1:7" x14ac:dyDescent="0.3">
      <c r="A324" t="s">
        <v>313</v>
      </c>
      <c r="B324" s="2">
        <v>6.9101041666666668E-3</v>
      </c>
      <c r="C324" s="2">
        <v>6.8985300925925924E-3</v>
      </c>
      <c r="D324" s="2">
        <v>6.9101041666666668E-3</v>
      </c>
      <c r="E324" t="s">
        <v>30</v>
      </c>
      <c r="F324">
        <v>0.26587301587301598</v>
      </c>
      <c r="G324">
        <v>8.2644628099173945E-2</v>
      </c>
    </row>
    <row r="325" spans="1:7" x14ac:dyDescent="0.3">
      <c r="A325" t="s">
        <v>314</v>
      </c>
      <c r="B325" s="2">
        <v>7.162962962962963E-3</v>
      </c>
      <c r="C325" s="2">
        <v>7.1513888888888886E-3</v>
      </c>
      <c r="D325" s="2">
        <v>7.162962962962963E-3</v>
      </c>
      <c r="E325" t="s">
        <v>30</v>
      </c>
      <c r="F325">
        <v>0.12830687830687801</v>
      </c>
      <c r="G325">
        <v>0.14049586776859502</v>
      </c>
    </row>
    <row r="326" spans="1:7" x14ac:dyDescent="0.3">
      <c r="A326" t="s">
        <v>315</v>
      </c>
      <c r="B326" s="2">
        <v>7.4354745370370373E-3</v>
      </c>
      <c r="C326" s="2">
        <v>7.4239004629629629E-3</v>
      </c>
      <c r="D326" s="2">
        <v>7.4354745370370373E-3</v>
      </c>
      <c r="E326" t="s">
        <v>40</v>
      </c>
      <c r="F326">
        <v>0.30820105820105798</v>
      </c>
      <c r="G326">
        <v>0.42975206611570205</v>
      </c>
    </row>
    <row r="327" spans="1:7" x14ac:dyDescent="0.3">
      <c r="A327" t="s">
        <v>316</v>
      </c>
      <c r="B327" s="2">
        <v>8.0117245370370377E-3</v>
      </c>
      <c r="C327" s="2">
        <v>8.0001504629629624E-3</v>
      </c>
      <c r="D327" s="2">
        <v>8.0117245370370377E-3</v>
      </c>
      <c r="E327" t="s">
        <v>42</v>
      </c>
      <c r="F327">
        <v>5.95238095238095E-2</v>
      </c>
      <c r="G327">
        <v>0.54545454545454497</v>
      </c>
    </row>
    <row r="328" spans="1:7" x14ac:dyDescent="0.3">
      <c r="A328" t="s">
        <v>317</v>
      </c>
      <c r="B328" s="2">
        <v>8.1354050925925934E-3</v>
      </c>
      <c r="C328" s="2">
        <v>8.1238310185185181E-3</v>
      </c>
      <c r="D328" s="2">
        <v>8.1354050925925934E-3</v>
      </c>
      <c r="E328" t="s">
        <v>38</v>
      </c>
      <c r="F328">
        <v>0.363756613756614</v>
      </c>
      <c r="G328">
        <v>0.47520661157024802</v>
      </c>
    </row>
    <row r="329" spans="1:7" x14ac:dyDescent="0.3">
      <c r="A329" t="s">
        <v>318</v>
      </c>
      <c r="B329" s="2">
        <v>8.9503819444444448E-3</v>
      </c>
      <c r="C329" s="2">
        <v>8.9388078703703695E-3</v>
      </c>
      <c r="D329" s="2">
        <v>8.9503819444444448E-3</v>
      </c>
      <c r="E329" t="s">
        <v>42</v>
      </c>
      <c r="F329">
        <v>0.39021164021164001</v>
      </c>
      <c r="G329">
        <v>0.70661157024793397</v>
      </c>
    </row>
    <row r="330" spans="1:7" x14ac:dyDescent="0.3">
      <c r="A330" t="s">
        <v>319</v>
      </c>
      <c r="B330" s="2">
        <v>9.113726851851852E-3</v>
      </c>
      <c r="C330" s="2">
        <v>9.1021527777777785E-3</v>
      </c>
      <c r="D330" s="2">
        <v>9.113726851851852E-3</v>
      </c>
      <c r="E330" t="s">
        <v>30</v>
      </c>
      <c r="F330">
        <v>0.239417989417989</v>
      </c>
      <c r="G330">
        <v>0.20247933884297498</v>
      </c>
    </row>
    <row r="331" spans="1:7" x14ac:dyDescent="0.3">
      <c r="A331" t="s">
        <v>320</v>
      </c>
      <c r="B331" s="2">
        <v>9.1807870370370376E-3</v>
      </c>
      <c r="C331" s="2">
        <v>9.1692129629629623E-3</v>
      </c>
      <c r="D331" s="2">
        <v>9.1807870370370376E-3</v>
      </c>
      <c r="E331" t="s">
        <v>40</v>
      </c>
      <c r="F331">
        <v>0.316137566137566</v>
      </c>
      <c r="G331">
        <v>0.42975206611570205</v>
      </c>
    </row>
    <row r="332" spans="1:7" x14ac:dyDescent="0.3">
      <c r="A332" t="s">
        <v>321</v>
      </c>
      <c r="B332" s="2">
        <v>9.4015277777777777E-3</v>
      </c>
      <c r="C332" s="2">
        <v>9.3899537037037042E-3</v>
      </c>
      <c r="D332" s="2">
        <v>9.4015277777777777E-3</v>
      </c>
      <c r="E332" t="s">
        <v>67</v>
      </c>
      <c r="F332">
        <v>0.183862433862434</v>
      </c>
      <c r="G332">
        <v>0.70661157024793397</v>
      </c>
    </row>
    <row r="333" spans="1:7" x14ac:dyDescent="0.3">
      <c r="A333" t="s">
        <v>322</v>
      </c>
      <c r="B333" s="2">
        <v>1.2341458333333333E-2</v>
      </c>
      <c r="C333" s="2">
        <v>1.2329884259259259E-2</v>
      </c>
      <c r="D333" s="2">
        <v>1.2341458333333333E-2</v>
      </c>
      <c r="E333" t="s">
        <v>42</v>
      </c>
      <c r="F333">
        <v>0.40608465608465599</v>
      </c>
      <c r="G333">
        <v>0.77272727272727304</v>
      </c>
    </row>
    <row r="334" spans="1:7" x14ac:dyDescent="0.3">
      <c r="A334" t="s">
        <v>323</v>
      </c>
      <c r="B334" s="2">
        <v>1.3004814814814815E-2</v>
      </c>
      <c r="C334" s="2">
        <v>1.2993240740740741E-2</v>
      </c>
      <c r="D334" s="2">
        <v>1.3004814814814815E-2</v>
      </c>
      <c r="E334" t="s">
        <v>46</v>
      </c>
      <c r="F334">
        <v>0.41402116402116401</v>
      </c>
      <c r="G334">
        <v>0.665289256198347</v>
      </c>
    </row>
    <row r="335" spans="1:7" x14ac:dyDescent="0.3">
      <c r="A335" t="s">
        <v>324</v>
      </c>
      <c r="B335" s="2">
        <v>1.3519768518518518E-2</v>
      </c>
      <c r="C335" s="2">
        <v>1.3508194444444444E-2</v>
      </c>
      <c r="D335" s="2">
        <v>1.3519768518518518E-2</v>
      </c>
      <c r="E335" t="s">
        <v>46</v>
      </c>
      <c r="F335">
        <v>0.239417989417989</v>
      </c>
      <c r="G335">
        <v>0.29338842975206603</v>
      </c>
    </row>
    <row r="336" spans="1:7" x14ac:dyDescent="0.3">
      <c r="A336" t="s">
        <v>325</v>
      </c>
      <c r="B336" s="2">
        <v>1.4106041666666666E-2</v>
      </c>
      <c r="C336" s="2">
        <v>1.4094467592592592E-2</v>
      </c>
      <c r="D336" s="2">
        <v>1.4106041666666666E-2</v>
      </c>
      <c r="E336" t="s">
        <v>42</v>
      </c>
      <c r="F336">
        <v>0.62566137566137603</v>
      </c>
      <c r="G336">
        <v>0.95041322314049592</v>
      </c>
    </row>
    <row r="337" spans="1:7" x14ac:dyDescent="0.3">
      <c r="A337" t="s">
        <v>326</v>
      </c>
      <c r="B337" s="2">
        <v>1.4492256944444445E-2</v>
      </c>
      <c r="C337" s="2">
        <v>1.4480682870370371E-2</v>
      </c>
      <c r="D337" s="2">
        <v>1.4492256944444445E-2</v>
      </c>
      <c r="E337" t="s">
        <v>67</v>
      </c>
      <c r="F337">
        <v>0.236772486772487</v>
      </c>
      <c r="G337">
        <v>0.92975206611570249</v>
      </c>
    </row>
    <row r="338" spans="1:7" x14ac:dyDescent="0.3">
      <c r="A338" t="s">
        <v>327</v>
      </c>
      <c r="B338" s="2">
        <v>1.8842037037037036E-2</v>
      </c>
      <c r="C338" s="2">
        <v>1.8830462962962962E-2</v>
      </c>
      <c r="D338" s="2">
        <v>1.8842037037037036E-2</v>
      </c>
      <c r="E338" t="s">
        <v>30</v>
      </c>
      <c r="F338">
        <v>0.44576719576719598</v>
      </c>
      <c r="G338">
        <v>3.3057851239668978E-2</v>
      </c>
    </row>
    <row r="339" spans="1:7" x14ac:dyDescent="0.3">
      <c r="A339" t="s">
        <v>328</v>
      </c>
      <c r="B339" s="2">
        <v>1.9845104166666665E-2</v>
      </c>
      <c r="C339" s="2">
        <v>1.9833530092592592E-2</v>
      </c>
      <c r="D339" s="2">
        <v>1.9845104166666665E-2</v>
      </c>
      <c r="E339" t="s">
        <v>46</v>
      </c>
      <c r="F339">
        <v>2.51322751322751E-2</v>
      </c>
      <c r="G339">
        <v>0.76446280991735494</v>
      </c>
    </row>
    <row r="340" spans="1:7" x14ac:dyDescent="0.3">
      <c r="A340" t="s">
        <v>329</v>
      </c>
      <c r="B340" s="2">
        <v>2.0649432870370372E-2</v>
      </c>
      <c r="C340" s="2">
        <v>2.0637858796296295E-2</v>
      </c>
      <c r="D340" s="2">
        <v>2.0649432870370372E-2</v>
      </c>
      <c r="E340" t="s">
        <v>58</v>
      </c>
      <c r="F340">
        <v>0.30820105820105798</v>
      </c>
      <c r="G340">
        <v>0.63223140495867802</v>
      </c>
    </row>
    <row r="341" spans="1:7" x14ac:dyDescent="0.3">
      <c r="A341" t="s">
        <v>330</v>
      </c>
      <c r="B341" s="2">
        <v>2.0972789351851852E-2</v>
      </c>
      <c r="C341" s="2">
        <v>2.0961215277777778E-2</v>
      </c>
      <c r="D341" s="2">
        <v>2.0972789351851852E-2</v>
      </c>
      <c r="E341" t="s">
        <v>42</v>
      </c>
      <c r="F341">
        <v>0.41666666666666702</v>
      </c>
      <c r="G341">
        <v>0.73553719008264506</v>
      </c>
    </row>
    <row r="342" spans="1:7" x14ac:dyDescent="0.3">
      <c r="A342" t="s">
        <v>331</v>
      </c>
      <c r="B342" s="2">
        <v>2.2573564814814814E-2</v>
      </c>
      <c r="C342" s="2">
        <v>2.256199074074074E-2</v>
      </c>
      <c r="D342" s="2">
        <v>2.2573564814814814E-2</v>
      </c>
      <c r="E342" t="s">
        <v>46</v>
      </c>
      <c r="F342">
        <v>0.215608465608466</v>
      </c>
      <c r="G342">
        <v>0.23140495867768596</v>
      </c>
    </row>
    <row r="343" spans="1:7" x14ac:dyDescent="0.3">
      <c r="A343" t="s">
        <v>332</v>
      </c>
      <c r="B343" s="2">
        <v>2.3843611111111111E-2</v>
      </c>
      <c r="C343" s="2">
        <v>2.3832037037037037E-2</v>
      </c>
      <c r="D343" s="2">
        <v>2.3843611111111111E-2</v>
      </c>
      <c r="E343" t="s">
        <v>30</v>
      </c>
      <c r="F343">
        <v>0.236772486772487</v>
      </c>
      <c r="G343">
        <v>9.5041322314050047E-2</v>
      </c>
    </row>
    <row r="344" spans="1:7" x14ac:dyDescent="0.3">
      <c r="A344" t="s">
        <v>333</v>
      </c>
      <c r="B344" s="2">
        <v>2.4399421296296298E-2</v>
      </c>
      <c r="C344" s="2">
        <v>2.4387847222222224E-2</v>
      </c>
      <c r="D344" s="2">
        <v>2.4399421296296298E-2</v>
      </c>
      <c r="E344" t="s">
        <v>40</v>
      </c>
      <c r="F344">
        <v>0.67328042328042303</v>
      </c>
      <c r="G344">
        <v>0.28925619834710703</v>
      </c>
    </row>
    <row r="345" spans="1:7" x14ac:dyDescent="0.3">
      <c r="A345" t="s">
        <v>335</v>
      </c>
      <c r="B345" s="2">
        <v>2.8366493055555556E-2</v>
      </c>
      <c r="C345" s="2">
        <v>2.8354918981481483E-2</v>
      </c>
      <c r="D345" s="2">
        <v>2.8366493055555556E-2</v>
      </c>
      <c r="E345" t="s">
        <v>67</v>
      </c>
      <c r="F345">
        <v>0.44047619047619002</v>
      </c>
      <c r="G345">
        <v>0.9049586776859504</v>
      </c>
    </row>
    <row r="346" spans="1:7" x14ac:dyDescent="0.3">
      <c r="A346" t="s">
        <v>336</v>
      </c>
      <c r="B346" s="2">
        <v>2.8848657407407406E-2</v>
      </c>
      <c r="C346" s="2">
        <v>2.8837083333333333E-2</v>
      </c>
      <c r="D346" s="2">
        <v>2.8848657407407406E-2</v>
      </c>
      <c r="E346" t="s">
        <v>40</v>
      </c>
      <c r="F346">
        <v>0.35582010582010598</v>
      </c>
      <c r="G346">
        <v>0.89669421487603296</v>
      </c>
    </row>
    <row r="347" spans="1:7" x14ac:dyDescent="0.3">
      <c r="A347" t="s">
        <v>337</v>
      </c>
      <c r="B347" s="2">
        <v>3.1626180555555557E-2</v>
      </c>
      <c r="C347" s="2">
        <v>3.1614606481481483E-2</v>
      </c>
      <c r="D347" s="2">
        <v>3.1626180555555557E-2</v>
      </c>
      <c r="E347" t="s">
        <v>67</v>
      </c>
      <c r="F347">
        <v>0.35317460317460297</v>
      </c>
      <c r="G347">
        <v>0.76859504132231393</v>
      </c>
    </row>
    <row r="348" spans="1:7" x14ac:dyDescent="0.3">
      <c r="A348" t="s">
        <v>338</v>
      </c>
      <c r="B348" s="2">
        <v>3.247224537037037E-2</v>
      </c>
      <c r="C348" s="2">
        <v>3.2460671296296296E-2</v>
      </c>
      <c r="D348" s="2">
        <v>3.247224537037037E-2</v>
      </c>
      <c r="E348" t="s">
        <v>30</v>
      </c>
      <c r="F348">
        <v>0.125661375661376</v>
      </c>
      <c r="G348">
        <v>0.14876033057851201</v>
      </c>
    </row>
    <row r="349" spans="1:7" x14ac:dyDescent="0.3">
      <c r="A349" t="s">
        <v>339</v>
      </c>
      <c r="B349" s="2">
        <v>3.2809328703703705E-2</v>
      </c>
      <c r="C349" s="2">
        <v>3.2797754629629632E-2</v>
      </c>
      <c r="D349" s="2">
        <v>3.2809328703703705E-2</v>
      </c>
      <c r="E349" t="s">
        <v>40</v>
      </c>
      <c r="F349">
        <v>4.6296296296296301E-2</v>
      </c>
      <c r="G349">
        <v>0.21487603305785097</v>
      </c>
    </row>
    <row r="350" spans="1:7" x14ac:dyDescent="0.3">
      <c r="A350" t="s">
        <v>340</v>
      </c>
      <c r="B350" s="2">
        <v>3.8491967592592595E-2</v>
      </c>
      <c r="C350" s="2">
        <v>3.8480393518518521E-2</v>
      </c>
      <c r="D350" s="2">
        <v>3.8491967592592595E-2</v>
      </c>
      <c r="E350" t="s">
        <v>67</v>
      </c>
      <c r="F350">
        <v>0.498677248677249</v>
      </c>
      <c r="G350">
        <v>0.84297520661156999</v>
      </c>
    </row>
    <row r="351" spans="1:7" x14ac:dyDescent="0.3">
      <c r="A351" t="s">
        <v>341</v>
      </c>
      <c r="B351" s="2">
        <v>3.8705659722222223E-2</v>
      </c>
      <c r="C351" s="2">
        <v>3.8694085648148149E-2</v>
      </c>
      <c r="D351" s="2">
        <v>3.8705659722222223E-2</v>
      </c>
      <c r="E351" t="s">
        <v>40</v>
      </c>
      <c r="F351">
        <v>0.54100529100529104</v>
      </c>
      <c r="G351">
        <v>0.834710743801653</v>
      </c>
    </row>
    <row r="352" spans="1:7" x14ac:dyDescent="0.3">
      <c r="A352" t="s">
        <v>342</v>
      </c>
      <c r="B352" s="2">
        <v>3.888861111111111E-2</v>
      </c>
      <c r="C352" s="2">
        <v>3.8877037037037036E-2</v>
      </c>
      <c r="D352" s="2">
        <v>3.888861111111111E-2</v>
      </c>
      <c r="E352" t="s">
        <v>44</v>
      </c>
      <c r="F352">
        <v>0.34523809523809501</v>
      </c>
      <c r="G352">
        <v>0.12809917355371903</v>
      </c>
    </row>
    <row r="353" spans="1:7" x14ac:dyDescent="0.3">
      <c r="A353" t="s">
        <v>343</v>
      </c>
      <c r="B353" s="2">
        <v>3.9179236111111113E-2</v>
      </c>
      <c r="C353" s="2">
        <v>3.9167662037037039E-2</v>
      </c>
      <c r="D353" s="2">
        <v>3.9179236111111113E-2</v>
      </c>
      <c r="E353" t="s">
        <v>67</v>
      </c>
      <c r="F353">
        <v>0.183862433862434</v>
      </c>
      <c r="G353">
        <v>0.90082644628099173</v>
      </c>
    </row>
    <row r="354" spans="1:7" x14ac:dyDescent="0.3">
      <c r="A354" t="s">
        <v>344</v>
      </c>
      <c r="B354" s="2">
        <v>3.9676458333333331E-2</v>
      </c>
      <c r="C354" s="2">
        <v>3.9664884259259257E-2</v>
      </c>
      <c r="D354" s="2">
        <v>3.9676458333333331E-2</v>
      </c>
      <c r="E354" t="s">
        <v>67</v>
      </c>
      <c r="F354">
        <v>9.6560846560846597E-2</v>
      </c>
      <c r="G354">
        <v>0.92561983471074383</v>
      </c>
    </row>
    <row r="355" spans="1:7" x14ac:dyDescent="0.3">
      <c r="A355" t="s">
        <v>345</v>
      </c>
      <c r="B355" s="2">
        <v>3.9782696759259259E-2</v>
      </c>
      <c r="C355" s="2">
        <v>3.9771122685185185E-2</v>
      </c>
      <c r="D355" s="2">
        <v>3.9782696759259259E-2</v>
      </c>
      <c r="E355" t="s">
        <v>51</v>
      </c>
      <c r="F355">
        <v>0.12830687830687801</v>
      </c>
      <c r="G355">
        <v>0.86363636363636398</v>
      </c>
    </row>
    <row r="356" spans="1:7" x14ac:dyDescent="0.3">
      <c r="A356" t="s">
        <v>346</v>
      </c>
      <c r="B356" s="2">
        <v>4.1009108796296295E-2</v>
      </c>
      <c r="C356" s="2">
        <v>4.0997534722222222E-2</v>
      </c>
      <c r="D356" s="2">
        <v>4.1009108796296295E-2</v>
      </c>
      <c r="E356" t="s">
        <v>38</v>
      </c>
      <c r="F356">
        <v>0.67592592592592604</v>
      </c>
      <c r="G356">
        <v>7.4380165289255951E-2</v>
      </c>
    </row>
    <row r="357" spans="1:7" x14ac:dyDescent="0.3">
      <c r="A357" t="s">
        <v>347</v>
      </c>
      <c r="B357" s="2">
        <v>4.111724537037037E-2</v>
      </c>
      <c r="C357" s="2">
        <v>4.1105671296296296E-2</v>
      </c>
      <c r="D357" s="2">
        <v>4.111724537037037E-2</v>
      </c>
      <c r="E357" t="s">
        <v>32</v>
      </c>
      <c r="F357">
        <v>0.87169312169312196</v>
      </c>
      <c r="G357">
        <v>0.661157024793388</v>
      </c>
    </row>
    <row r="358" spans="1:7" x14ac:dyDescent="0.3">
      <c r="A358" t="s">
        <v>348</v>
      </c>
      <c r="B358" s="2">
        <v>4.189170138888889E-2</v>
      </c>
      <c r="C358" s="2">
        <v>4.1880127314814816E-2</v>
      </c>
      <c r="D358" s="2">
        <v>4.189170138888889E-2</v>
      </c>
      <c r="E358" t="s">
        <v>42</v>
      </c>
      <c r="F358">
        <v>0.57010582010582</v>
      </c>
      <c r="G358">
        <v>0.39256198347107396</v>
      </c>
    </row>
    <row r="359" spans="1:7" x14ac:dyDescent="0.3">
      <c r="A359" t="s">
        <v>349</v>
      </c>
      <c r="B359" s="2">
        <v>4.22209375E-2</v>
      </c>
      <c r="C359" s="2">
        <v>4.2209363425925926E-2</v>
      </c>
      <c r="D359" s="2">
        <v>4.22209375E-2</v>
      </c>
      <c r="E359" t="s">
        <v>38</v>
      </c>
      <c r="F359">
        <v>0.55952380952380998</v>
      </c>
      <c r="G359">
        <v>0.85950413223140498</v>
      </c>
    </row>
    <row r="360" spans="1:7" x14ac:dyDescent="0.3">
      <c r="A360" t="s">
        <v>350</v>
      </c>
      <c r="B360" s="2">
        <v>4.2261956018518516E-2</v>
      </c>
      <c r="C360" s="2">
        <v>4.2250381944444443E-2</v>
      </c>
      <c r="D360" s="2">
        <v>4.2261956018518516E-2</v>
      </c>
      <c r="E360" t="s">
        <v>67</v>
      </c>
      <c r="F360">
        <v>0.54365079365079405</v>
      </c>
      <c r="G360">
        <v>0.90082644628099173</v>
      </c>
    </row>
    <row r="361" spans="1:7" x14ac:dyDescent="0.3">
      <c r="A361" t="s">
        <v>351</v>
      </c>
      <c r="B361" s="2">
        <v>4.2435104166666668E-2</v>
      </c>
      <c r="C361" s="2">
        <v>4.2423530092592594E-2</v>
      </c>
      <c r="D361" s="2">
        <v>4.2435104166666668E-2</v>
      </c>
      <c r="E361" t="s">
        <v>46</v>
      </c>
      <c r="F361">
        <v>0.32671957671957702</v>
      </c>
      <c r="G361">
        <v>0.95867768595041325</v>
      </c>
    </row>
    <row r="362" spans="1:7" x14ac:dyDescent="0.3">
      <c r="A362" t="s">
        <v>352</v>
      </c>
      <c r="B362" s="2">
        <v>4.2662476851851851E-2</v>
      </c>
      <c r="C362" s="2">
        <v>4.2650902777777777E-2</v>
      </c>
      <c r="D362" s="2">
        <v>4.2662476851851851E-2</v>
      </c>
      <c r="E362" t="s">
        <v>44</v>
      </c>
      <c r="F362">
        <v>0.25</v>
      </c>
      <c r="G362">
        <v>0.97107438016528935</v>
      </c>
    </row>
    <row r="363" spans="1:7" x14ac:dyDescent="0.3">
      <c r="A363" t="s">
        <v>353</v>
      </c>
      <c r="B363" s="2">
        <v>4.2813622685185182E-2</v>
      </c>
      <c r="C363" s="2">
        <v>4.2802048611111108E-2</v>
      </c>
      <c r="D363" s="2">
        <v>4.2813622685185182E-2</v>
      </c>
      <c r="E363" t="s">
        <v>44</v>
      </c>
      <c r="F363">
        <v>0.408730158730159</v>
      </c>
      <c r="G363">
        <v>0.79752066115702502</v>
      </c>
    </row>
    <row r="364" spans="1:7" x14ac:dyDescent="0.3">
      <c r="A364" t="s">
        <v>354</v>
      </c>
      <c r="B364" s="2">
        <v>4.2816701388888892E-2</v>
      </c>
      <c r="C364" s="2">
        <v>4.2805127314814811E-2</v>
      </c>
      <c r="D364" s="2">
        <v>4.2816701388888892E-2</v>
      </c>
      <c r="E364" t="s">
        <v>44</v>
      </c>
      <c r="F364">
        <v>0.40608465608465599</v>
      </c>
      <c r="G364">
        <v>0.78099173553719003</v>
      </c>
    </row>
    <row r="365" spans="1:7" x14ac:dyDescent="0.3">
      <c r="A365" t="s">
        <v>355</v>
      </c>
      <c r="B365" s="2">
        <v>4.3349363425925928E-2</v>
      </c>
      <c r="C365" s="2">
        <v>4.3337789351851855E-2</v>
      </c>
      <c r="D365" s="2">
        <v>4.3349363425925928E-2</v>
      </c>
      <c r="E365" t="s">
        <v>42</v>
      </c>
      <c r="F365">
        <v>0.55687830687830697</v>
      </c>
      <c r="G365">
        <v>0.97933884297520657</v>
      </c>
    </row>
    <row r="366" spans="1:7" x14ac:dyDescent="0.3">
      <c r="A366" t="s">
        <v>356</v>
      </c>
      <c r="B366" s="2">
        <v>4.426240740740741E-2</v>
      </c>
      <c r="C366" s="2">
        <v>4.4250833333333336E-2</v>
      </c>
      <c r="D366" s="2">
        <v>4.426240740740741E-2</v>
      </c>
      <c r="E366" t="s">
        <v>46</v>
      </c>
      <c r="F366">
        <v>0.23412698412698399</v>
      </c>
      <c r="G366">
        <v>0.98347107438016534</v>
      </c>
    </row>
    <row r="367" spans="1:7" x14ac:dyDescent="0.3">
      <c r="A367" t="s">
        <v>357</v>
      </c>
      <c r="B367" s="2">
        <v>4.4482939814814812E-2</v>
      </c>
      <c r="C367" s="2">
        <v>4.4471365740740738E-2</v>
      </c>
      <c r="D367" s="2">
        <v>4.4482939814814812E-2</v>
      </c>
      <c r="E367" t="s">
        <v>67</v>
      </c>
      <c r="F367">
        <v>0.17592592592592601</v>
      </c>
      <c r="G367">
        <v>0.95454545454545447</v>
      </c>
    </row>
    <row r="368" spans="1:7" x14ac:dyDescent="0.3">
      <c r="A368" t="s">
        <v>358</v>
      </c>
      <c r="B368" s="2">
        <v>4.4551805555555553E-2</v>
      </c>
      <c r="C368" s="2">
        <v>4.4540231481481479E-2</v>
      </c>
      <c r="D368" s="2">
        <v>4.4551805555555553E-2</v>
      </c>
      <c r="E368" t="s">
        <v>198</v>
      </c>
      <c r="F368">
        <v>0.136243386243386</v>
      </c>
      <c r="G368">
        <v>0.97107438016528935</v>
      </c>
    </row>
    <row r="369" spans="1:7" x14ac:dyDescent="0.3">
      <c r="A369" t="s">
        <v>359</v>
      </c>
      <c r="B369" s="2">
        <v>4.5977766203703703E-2</v>
      </c>
      <c r="C369" s="2">
        <v>4.5966192129629629E-2</v>
      </c>
      <c r="D369" s="2">
        <v>4.5977766203703703E-2</v>
      </c>
      <c r="E369" t="s">
        <v>42</v>
      </c>
      <c r="F369">
        <v>0.46957671957671998</v>
      </c>
      <c r="G369">
        <v>0.82231404958677701</v>
      </c>
    </row>
    <row r="370" spans="1:7" x14ac:dyDescent="0.3">
      <c r="A370" t="s">
        <v>360</v>
      </c>
      <c r="B370" s="2">
        <v>4.6150590277777778E-2</v>
      </c>
      <c r="C370" s="2">
        <v>4.6139016203703705E-2</v>
      </c>
      <c r="D370" s="2">
        <v>4.6150590277777778E-2</v>
      </c>
      <c r="E370" t="s">
        <v>44</v>
      </c>
      <c r="F370">
        <v>0.69179894179894197</v>
      </c>
      <c r="G370">
        <v>0.89256198347107396</v>
      </c>
    </row>
    <row r="371" spans="1:7" x14ac:dyDescent="0.3">
      <c r="A371" t="s">
        <v>361</v>
      </c>
      <c r="B371" s="2">
        <v>4.6238495370370371E-2</v>
      </c>
      <c r="C371" s="2">
        <v>4.6226921296296297E-2</v>
      </c>
      <c r="D371" s="2">
        <v>4.6238495370370371E-2</v>
      </c>
      <c r="E371" t="s">
        <v>32</v>
      </c>
      <c r="F371">
        <v>0.76587301587301604</v>
      </c>
      <c r="G371">
        <v>0.62809917355371903</v>
      </c>
    </row>
    <row r="372" spans="1:7" x14ac:dyDescent="0.3">
      <c r="A372" t="s">
        <v>362</v>
      </c>
      <c r="B372" s="2">
        <v>4.7586412037037035E-2</v>
      </c>
      <c r="C372" s="2">
        <v>4.7574837962962961E-2</v>
      </c>
      <c r="D372" s="2">
        <v>4.7586412037037035E-2</v>
      </c>
      <c r="E372" t="s">
        <v>38</v>
      </c>
      <c r="F372">
        <v>0.183862433862434</v>
      </c>
      <c r="G372">
        <v>5.7851239669420962E-2</v>
      </c>
    </row>
    <row r="373" spans="1:7" x14ac:dyDescent="0.3">
      <c r="A373" t="s">
        <v>364</v>
      </c>
      <c r="B373" s="2">
        <v>4.8208668981481483E-2</v>
      </c>
      <c r="C373" s="2">
        <v>4.8197094907407409E-2</v>
      </c>
      <c r="D373" s="2">
        <v>4.8208668981481483E-2</v>
      </c>
      <c r="E373" t="s">
        <v>46</v>
      </c>
      <c r="F373">
        <v>0.19973544973544999</v>
      </c>
      <c r="G373">
        <v>0.23553719008264495</v>
      </c>
    </row>
    <row r="374" spans="1:7" x14ac:dyDescent="0.3">
      <c r="A374" t="s">
        <v>365</v>
      </c>
      <c r="B374" s="2">
        <v>4.9337592592592593E-2</v>
      </c>
      <c r="C374" s="2">
        <v>4.9326018518518519E-2</v>
      </c>
      <c r="D374" s="2">
        <v>4.9337592592592593E-2</v>
      </c>
      <c r="E374" t="s">
        <v>42</v>
      </c>
      <c r="F374">
        <v>0.28968253968253999</v>
      </c>
      <c r="G374">
        <v>0.96280991735537191</v>
      </c>
    </row>
    <row r="375" spans="1:7" x14ac:dyDescent="0.3">
      <c r="A375" t="s">
        <v>366</v>
      </c>
      <c r="B375" s="2">
        <v>4.9653807870370367E-2</v>
      </c>
      <c r="C375" s="2">
        <v>4.9642233796296294E-2</v>
      </c>
      <c r="D375" s="2">
        <v>4.9653807870370367E-2</v>
      </c>
      <c r="E375" t="s">
        <v>32</v>
      </c>
      <c r="F375">
        <v>0.80820105820105803</v>
      </c>
      <c r="G375">
        <v>0.495867768595041</v>
      </c>
    </row>
    <row r="376" spans="1:7" x14ac:dyDescent="0.3">
      <c r="A376" t="s">
        <v>367</v>
      </c>
      <c r="B376" s="2">
        <v>4.9806990740740742E-2</v>
      </c>
      <c r="C376" s="2">
        <v>4.9795416666666668E-2</v>
      </c>
      <c r="D376" s="2">
        <v>4.9806990740740742E-2</v>
      </c>
      <c r="E376" t="s">
        <v>32</v>
      </c>
      <c r="F376">
        <v>0.83994708994709</v>
      </c>
      <c r="G376">
        <v>9.9173553719008045E-2</v>
      </c>
    </row>
    <row r="377" spans="1:7" x14ac:dyDescent="0.3">
      <c r="A377" t="s">
        <v>368</v>
      </c>
      <c r="B377" s="2">
        <v>5.0140219907407406E-2</v>
      </c>
      <c r="C377" s="2">
        <v>5.0128645833333332E-2</v>
      </c>
      <c r="D377" s="2">
        <v>5.0140219907407406E-2</v>
      </c>
      <c r="E377" t="s">
        <v>42</v>
      </c>
      <c r="F377">
        <v>0.42195767195767198</v>
      </c>
      <c r="G377">
        <v>0.69834710743801698</v>
      </c>
    </row>
    <row r="378" spans="1:7" x14ac:dyDescent="0.3">
      <c r="A378" t="s">
        <v>369</v>
      </c>
      <c r="B378" s="2">
        <v>5.0268622685185185E-2</v>
      </c>
      <c r="C378" s="2">
        <v>5.0257048611111112E-2</v>
      </c>
      <c r="D378" s="2">
        <v>5.0268622685185185E-2</v>
      </c>
      <c r="E378" t="s">
        <v>198</v>
      </c>
      <c r="F378">
        <v>0.54629629629629595</v>
      </c>
      <c r="G378">
        <v>0.64876033057851201</v>
      </c>
    </row>
    <row r="379" spans="1:7" x14ac:dyDescent="0.3">
      <c r="A379" t="s">
        <v>370</v>
      </c>
      <c r="B379" s="2">
        <v>5.0386863425925923E-2</v>
      </c>
      <c r="C379" s="2">
        <v>5.037528935185185E-2</v>
      </c>
      <c r="D379" s="2">
        <v>5.0386863425925923E-2</v>
      </c>
      <c r="E379" t="s">
        <v>42</v>
      </c>
      <c r="F379">
        <v>0.59126984126984095</v>
      </c>
      <c r="G379">
        <v>0.58677685950413205</v>
      </c>
    </row>
    <row r="380" spans="1:7" x14ac:dyDescent="0.3">
      <c r="A380" t="s">
        <v>371</v>
      </c>
      <c r="B380" s="2">
        <v>5.0603460648148149E-2</v>
      </c>
      <c r="C380" s="2">
        <v>5.0591886574074076E-2</v>
      </c>
      <c r="D380" s="2">
        <v>5.0603460648148149E-2</v>
      </c>
      <c r="E380" t="s">
        <v>46</v>
      </c>
      <c r="F380">
        <v>0.59391534391534395</v>
      </c>
      <c r="G380">
        <v>0.56611570247933907</v>
      </c>
    </row>
    <row r="381" spans="1:7" x14ac:dyDescent="0.3">
      <c r="A381" t="s">
        <v>372</v>
      </c>
      <c r="B381" s="2">
        <v>5.0918738425925925E-2</v>
      </c>
      <c r="C381" s="2">
        <v>5.0907164351851851E-2</v>
      </c>
      <c r="D381" s="2">
        <v>5.0918738425925925E-2</v>
      </c>
      <c r="E381" t="s">
        <v>58</v>
      </c>
      <c r="F381">
        <v>0.35317460317460297</v>
      </c>
      <c r="G381">
        <v>0.13223140495867802</v>
      </c>
    </row>
    <row r="382" spans="1:7" x14ac:dyDescent="0.3">
      <c r="A382" t="s">
        <v>373</v>
      </c>
      <c r="B382" s="2">
        <v>5.1223518518518515E-2</v>
      </c>
      <c r="C382" s="2">
        <v>5.1211944444444442E-2</v>
      </c>
      <c r="D382" s="2">
        <v>5.1223518518518515E-2</v>
      </c>
      <c r="E382" t="s">
        <v>42</v>
      </c>
      <c r="F382">
        <v>0.53835978835978804</v>
      </c>
      <c r="G382">
        <v>0.81404958677686001</v>
      </c>
    </row>
    <row r="383" spans="1:7" x14ac:dyDescent="0.3">
      <c r="A383" t="s">
        <v>374</v>
      </c>
      <c r="B383" s="2">
        <v>5.1318738425925929E-2</v>
      </c>
      <c r="C383" s="2">
        <v>5.1307164351851849E-2</v>
      </c>
      <c r="D383" s="2">
        <v>5.1318738425925929E-2</v>
      </c>
      <c r="E383" t="s">
        <v>67</v>
      </c>
      <c r="F383">
        <v>0.35317460317460297</v>
      </c>
      <c r="G383">
        <v>0.85123966942148799</v>
      </c>
    </row>
    <row r="384" spans="1:7" x14ac:dyDescent="0.3">
      <c r="A384" t="s">
        <v>375</v>
      </c>
      <c r="B384" s="2">
        <v>5.1397569444444444E-2</v>
      </c>
      <c r="C384" s="2">
        <v>5.138599537037037E-2</v>
      </c>
      <c r="D384" s="2">
        <v>5.1397569444444444E-2</v>
      </c>
      <c r="E384" t="s">
        <v>67</v>
      </c>
      <c r="F384">
        <v>0.112433862433862</v>
      </c>
      <c r="G384">
        <v>0.64876033057851201</v>
      </c>
    </row>
    <row r="385" spans="1:7" x14ac:dyDescent="0.3">
      <c r="A385" t="s">
        <v>376</v>
      </c>
      <c r="B385" s="2">
        <v>5.1532569444444447E-2</v>
      </c>
      <c r="C385" s="2">
        <v>5.1520995370370373E-2</v>
      </c>
      <c r="D385" s="2">
        <v>5.1532569444444447E-2</v>
      </c>
      <c r="E385" t="s">
        <v>42</v>
      </c>
      <c r="F385">
        <v>0.67592592592592604</v>
      </c>
      <c r="G385">
        <v>0.5</v>
      </c>
    </row>
    <row r="386" spans="1:7" x14ac:dyDescent="0.3">
      <c r="A386" t="s">
        <v>377</v>
      </c>
      <c r="B386" s="2">
        <v>5.1629479166666666E-2</v>
      </c>
      <c r="C386" s="2">
        <v>5.1617905092592592E-2</v>
      </c>
      <c r="D386" s="2">
        <v>5.1629479166666666E-2</v>
      </c>
      <c r="E386" t="s">
        <v>46</v>
      </c>
      <c r="F386">
        <v>0.32407407407407401</v>
      </c>
      <c r="G386">
        <v>0.74793388429752095</v>
      </c>
    </row>
    <row r="387" spans="1:7" x14ac:dyDescent="0.3">
      <c r="A387" t="s">
        <v>378</v>
      </c>
      <c r="B387" s="2">
        <v>5.2212581018518521E-2</v>
      </c>
      <c r="C387" s="2">
        <v>5.2201006944444447E-2</v>
      </c>
      <c r="D387" s="2">
        <v>5.2212581018518521E-2</v>
      </c>
      <c r="E387" t="s">
        <v>67</v>
      </c>
      <c r="F387">
        <v>0.18650793650793601</v>
      </c>
      <c r="G387">
        <v>0.85950413223140498</v>
      </c>
    </row>
    <row r="388" spans="1:7" x14ac:dyDescent="0.3">
      <c r="A388" t="s">
        <v>379</v>
      </c>
      <c r="B388" s="2">
        <v>5.2686134259259262E-2</v>
      </c>
      <c r="C388" s="2">
        <v>5.2674560185185182E-2</v>
      </c>
      <c r="D388" s="2">
        <v>5.2686134259259262E-2</v>
      </c>
      <c r="E388" t="s">
        <v>46</v>
      </c>
      <c r="F388">
        <v>0.64417989417989396</v>
      </c>
      <c r="G388">
        <v>0.73966942148760295</v>
      </c>
    </row>
    <row r="389" spans="1:7" x14ac:dyDescent="0.3">
      <c r="A389" t="s">
        <v>380</v>
      </c>
      <c r="B389" s="2">
        <v>5.3901956018518521E-2</v>
      </c>
      <c r="C389" s="2">
        <v>5.3890381944444447E-2</v>
      </c>
      <c r="D389" s="2">
        <v>5.3901956018518521E-2</v>
      </c>
      <c r="E389" t="s">
        <v>38</v>
      </c>
      <c r="F389">
        <v>0.14417989417989399</v>
      </c>
      <c r="G389">
        <v>0.38429752066115697</v>
      </c>
    </row>
    <row r="390" spans="1:7" x14ac:dyDescent="0.3">
      <c r="A390" t="s">
        <v>381</v>
      </c>
      <c r="B390" s="2">
        <v>5.5272164351851852E-2</v>
      </c>
      <c r="C390" s="2">
        <v>5.5260590277777778E-2</v>
      </c>
      <c r="D390" s="2">
        <v>5.5272164351851852E-2</v>
      </c>
      <c r="E390" t="s">
        <v>198</v>
      </c>
      <c r="F390">
        <v>0.87962962962962998</v>
      </c>
      <c r="G390">
        <v>0.95867768595041325</v>
      </c>
    </row>
    <row r="391" spans="1:7" x14ac:dyDescent="0.3">
      <c r="A391" t="s">
        <v>382</v>
      </c>
      <c r="B391" s="2">
        <v>5.6306041666666667E-2</v>
      </c>
      <c r="C391" s="2">
        <v>5.6294467592592594E-2</v>
      </c>
      <c r="D391" s="2">
        <v>5.6306041666666667E-2</v>
      </c>
      <c r="E391" t="s">
        <v>198</v>
      </c>
      <c r="F391">
        <v>0.55158730158730196</v>
      </c>
      <c r="G391">
        <v>0.669421487603306</v>
      </c>
    </row>
    <row r="392" spans="1:7" x14ac:dyDescent="0.3">
      <c r="A392" t="s">
        <v>383</v>
      </c>
      <c r="B392" s="2">
        <v>5.6453078703703703E-2</v>
      </c>
      <c r="C392" s="2">
        <v>5.644150462962963E-2</v>
      </c>
      <c r="D392" s="2">
        <v>5.6453078703703703E-2</v>
      </c>
      <c r="E392" t="s">
        <v>44</v>
      </c>
      <c r="F392">
        <v>0.41402116402116401</v>
      </c>
      <c r="G392">
        <v>0.9049586776859504</v>
      </c>
    </row>
    <row r="393" spans="1:7" x14ac:dyDescent="0.3">
      <c r="A393" t="s">
        <v>384</v>
      </c>
      <c r="B393" s="2">
        <v>5.6962638888888889E-2</v>
      </c>
      <c r="C393" s="2">
        <v>5.6951064814814815E-2</v>
      </c>
      <c r="D393" s="2">
        <v>5.6962638888888889E-2</v>
      </c>
      <c r="E393" t="s">
        <v>44</v>
      </c>
      <c r="F393">
        <v>0.170634920634921</v>
      </c>
      <c r="G393">
        <v>0.64876033057851201</v>
      </c>
    </row>
    <row r="394" spans="1:7" x14ac:dyDescent="0.3">
      <c r="A394" t="s">
        <v>385</v>
      </c>
      <c r="B394" s="2">
        <v>5.7159814814814816E-2</v>
      </c>
      <c r="C394" s="2">
        <v>5.7148240740740743E-2</v>
      </c>
      <c r="D394" s="2">
        <v>5.7159814814814816E-2</v>
      </c>
      <c r="E394" t="s">
        <v>32</v>
      </c>
      <c r="F394">
        <v>0.83201058201058198</v>
      </c>
      <c r="G394">
        <v>0.89669421487603296</v>
      </c>
    </row>
    <row r="395" spans="1:7" x14ac:dyDescent="0.3">
      <c r="A395" t="s">
        <v>386</v>
      </c>
      <c r="B395" s="2">
        <v>5.850488425925926E-2</v>
      </c>
      <c r="C395" s="2">
        <v>5.8493310185185186E-2</v>
      </c>
      <c r="D395" s="2">
        <v>5.850488425925926E-2</v>
      </c>
      <c r="E395" t="s">
        <v>198</v>
      </c>
      <c r="F395">
        <v>0.60714285714285698</v>
      </c>
      <c r="G395">
        <v>0.27685950413223104</v>
      </c>
    </row>
    <row r="396" spans="1:7" x14ac:dyDescent="0.3">
      <c r="A396" t="s">
        <v>387</v>
      </c>
      <c r="B396" s="2">
        <v>5.9805902777777781E-2</v>
      </c>
      <c r="C396" s="2">
        <v>5.9794328703703707E-2</v>
      </c>
      <c r="D396" s="2">
        <v>5.9805902777777781E-2</v>
      </c>
      <c r="E396" t="s">
        <v>44</v>
      </c>
      <c r="F396">
        <v>0.702380952380952</v>
      </c>
      <c r="G396">
        <v>0.26446280991735505</v>
      </c>
    </row>
    <row r="397" spans="1:7" x14ac:dyDescent="0.3">
      <c r="A397" t="s">
        <v>388</v>
      </c>
      <c r="B397" s="2">
        <v>5.9838067129629628E-2</v>
      </c>
      <c r="C397" s="2">
        <v>5.9826493055555555E-2</v>
      </c>
      <c r="D397" s="2">
        <v>5.9838067129629628E-2</v>
      </c>
      <c r="E397" t="s">
        <v>44</v>
      </c>
      <c r="F397">
        <v>0.59656084656084696</v>
      </c>
      <c r="G397">
        <v>0.35537190082644599</v>
      </c>
    </row>
    <row r="398" spans="1:7" x14ac:dyDescent="0.3">
      <c r="A398" t="s">
        <v>389</v>
      </c>
      <c r="B398" s="2">
        <v>6.1483634259259262E-2</v>
      </c>
      <c r="C398" s="2">
        <v>6.1472060185185189E-2</v>
      </c>
      <c r="D398" s="2">
        <v>6.1483634259259262E-2</v>
      </c>
      <c r="E398" t="s">
        <v>198</v>
      </c>
      <c r="F398">
        <v>0.342592592592593</v>
      </c>
      <c r="G398">
        <v>0.54132231404958697</v>
      </c>
    </row>
    <row r="399" spans="1:7" x14ac:dyDescent="0.3">
      <c r="A399" t="s">
        <v>390</v>
      </c>
      <c r="B399" s="2">
        <v>6.2347881944444447E-2</v>
      </c>
      <c r="C399" s="2">
        <v>6.2336307870370374E-2</v>
      </c>
      <c r="D399" s="2">
        <v>6.2347881944444447E-2</v>
      </c>
      <c r="E399" t="s">
        <v>67</v>
      </c>
      <c r="F399">
        <v>0.42195767195767198</v>
      </c>
      <c r="G399">
        <v>0.97107438016528935</v>
      </c>
    </row>
    <row r="400" spans="1:7" x14ac:dyDescent="0.3">
      <c r="A400" t="s">
        <v>391</v>
      </c>
      <c r="B400" s="2">
        <v>6.2935243055555562E-2</v>
      </c>
      <c r="C400" s="2">
        <v>6.2923668981481481E-2</v>
      </c>
      <c r="D400" s="2">
        <v>6.2935243055555562E-2</v>
      </c>
      <c r="E400" t="s">
        <v>46</v>
      </c>
      <c r="F400">
        <v>0.18650793650793601</v>
      </c>
      <c r="G400">
        <v>0.88429752066115697</v>
      </c>
    </row>
    <row r="401" spans="1:9" x14ac:dyDescent="0.3">
      <c r="A401" t="s">
        <v>392</v>
      </c>
      <c r="B401" s="2">
        <v>6.3740219907407414E-2</v>
      </c>
      <c r="C401" s="2">
        <v>6.3728645833333333E-2</v>
      </c>
      <c r="D401" s="2">
        <v>6.3740219907407414E-2</v>
      </c>
      <c r="E401" t="s">
        <v>46</v>
      </c>
      <c r="F401">
        <v>0.456349206349206</v>
      </c>
      <c r="G401">
        <v>0.54958677685950397</v>
      </c>
    </row>
    <row r="402" spans="1:9" x14ac:dyDescent="0.3">
      <c r="A402" t="s">
        <v>393</v>
      </c>
      <c r="B402" s="2">
        <v>6.4489849537037042E-2</v>
      </c>
      <c r="C402" s="2">
        <v>6.4478275462962961E-2</v>
      </c>
      <c r="D402" s="2">
        <v>6.4489849537037042E-2</v>
      </c>
      <c r="E402" t="s">
        <v>51</v>
      </c>
      <c r="F402">
        <v>0.61772486772486801</v>
      </c>
      <c r="G402">
        <v>0.42561983471074405</v>
      </c>
    </row>
    <row r="403" spans="1:9" x14ac:dyDescent="0.3">
      <c r="A403" t="s">
        <v>394</v>
      </c>
      <c r="B403" s="2">
        <v>6.5260474537037039E-2</v>
      </c>
      <c r="C403" s="2">
        <v>6.5248900462962958E-2</v>
      </c>
      <c r="D403" s="2">
        <v>6.5260474537037039E-2</v>
      </c>
      <c r="E403" t="s">
        <v>264</v>
      </c>
      <c r="F403">
        <v>9.6560846560846597E-2</v>
      </c>
      <c r="G403">
        <v>0.67768595041322299</v>
      </c>
    </row>
    <row r="404" spans="1:9" x14ac:dyDescent="0.3">
      <c r="A404" t="s">
        <v>395</v>
      </c>
      <c r="B404" s="2">
        <v>6.6619745370370367E-2</v>
      </c>
      <c r="C404" s="2">
        <v>6.6608171296296301E-2</v>
      </c>
      <c r="D404" s="2">
        <v>6.6619745370370367E-2</v>
      </c>
      <c r="E404" t="s">
        <v>44</v>
      </c>
      <c r="F404">
        <v>0.40343915343915299</v>
      </c>
      <c r="G404">
        <v>0.91735537190082639</v>
      </c>
    </row>
    <row r="405" spans="1:9" x14ac:dyDescent="0.3">
      <c r="A405" t="s">
        <v>396</v>
      </c>
      <c r="B405" s="2">
        <v>6.6800219907407407E-2</v>
      </c>
      <c r="C405" s="2">
        <v>6.6788645833333327E-2</v>
      </c>
      <c r="D405" s="2">
        <v>6.6800219907407407E-2</v>
      </c>
      <c r="E405" t="s">
        <v>38</v>
      </c>
      <c r="F405">
        <v>0.34523809523809501</v>
      </c>
      <c r="G405">
        <v>0.74380165289256195</v>
      </c>
    </row>
    <row r="406" spans="1:9" x14ac:dyDescent="0.3">
      <c r="A406" t="s">
        <v>397</v>
      </c>
      <c r="B406" s="2">
        <v>6.7151307870370366E-2</v>
      </c>
      <c r="C406" s="2">
        <v>6.71397337962963E-2</v>
      </c>
      <c r="D406" s="2">
        <v>6.7151307870370366E-2</v>
      </c>
      <c r="E406" t="s">
        <v>67</v>
      </c>
      <c r="F406">
        <v>0.54365079365079405</v>
      </c>
      <c r="G406">
        <v>0.96280991735537191</v>
      </c>
    </row>
    <row r="408" spans="1:9" ht="23.4" x14ac:dyDescent="0.45">
      <c r="A408" s="43" t="s">
        <v>398</v>
      </c>
      <c r="B408" s="44"/>
      <c r="C408" s="44"/>
      <c r="D408" s="44"/>
      <c r="G408" s="45" t="s">
        <v>15</v>
      </c>
      <c r="H408" s="45" t="s">
        <v>15</v>
      </c>
    </row>
    <row r="409" spans="1:9" x14ac:dyDescent="0.3">
      <c r="A409" s="1" t="s">
        <v>16</v>
      </c>
      <c r="B409" s="1" t="s">
        <v>17</v>
      </c>
      <c r="C409" s="1" t="s">
        <v>18</v>
      </c>
      <c r="D409" s="1" t="s">
        <v>19</v>
      </c>
      <c r="E409" s="1" t="s">
        <v>21</v>
      </c>
      <c r="F409" s="1" t="s">
        <v>22</v>
      </c>
      <c r="G409" s="1" t="s">
        <v>23</v>
      </c>
      <c r="H409" s="1" t="s">
        <v>24</v>
      </c>
      <c r="I409" s="1"/>
    </row>
    <row r="410" spans="1:9" x14ac:dyDescent="0.3">
      <c r="A410" t="s">
        <v>399</v>
      </c>
      <c r="B410" s="2">
        <v>2.0149884259259257E-3</v>
      </c>
      <c r="C410" s="2">
        <v>2.0034143518518517E-3</v>
      </c>
      <c r="D410" s="2">
        <v>2.0265625000000002E-3</v>
      </c>
      <c r="E410" t="s">
        <v>42</v>
      </c>
      <c r="F410" t="s">
        <v>400</v>
      </c>
      <c r="G410">
        <v>0.14226519337016599</v>
      </c>
      <c r="H410">
        <v>0.48275862068965503</v>
      </c>
    </row>
    <row r="411" spans="1:9" x14ac:dyDescent="0.3">
      <c r="A411" t="s">
        <v>401</v>
      </c>
      <c r="B411" s="2">
        <v>2.6115972222222222E-3</v>
      </c>
      <c r="C411" s="2">
        <v>2.6000231481481482E-3</v>
      </c>
      <c r="D411" s="2">
        <v>2.6231712962962962E-3</v>
      </c>
      <c r="E411" t="s">
        <v>38</v>
      </c>
      <c r="F411" t="s">
        <v>402</v>
      </c>
      <c r="G411">
        <v>0.64226519337016597</v>
      </c>
      <c r="H411">
        <v>0.24137931034482796</v>
      </c>
    </row>
    <row r="412" spans="1:9" x14ac:dyDescent="0.3">
      <c r="A412" t="s">
        <v>403</v>
      </c>
      <c r="B412" s="2">
        <v>3.2123263888888887E-3</v>
      </c>
      <c r="C412" s="2">
        <v>3.2007523148148147E-3</v>
      </c>
      <c r="D412" s="2">
        <v>3.2239004629629631E-3</v>
      </c>
      <c r="E412" t="s">
        <v>30</v>
      </c>
      <c r="F412" t="s">
        <v>402</v>
      </c>
      <c r="G412">
        <v>0.59254143646408797</v>
      </c>
      <c r="H412">
        <v>4.3103448275861989E-2</v>
      </c>
    </row>
    <row r="413" spans="1:9" x14ac:dyDescent="0.3">
      <c r="A413" t="s">
        <v>404</v>
      </c>
      <c r="B413" s="2">
        <v>3.7941550925925925E-3</v>
      </c>
      <c r="C413" s="2">
        <v>3.7825810185185185E-3</v>
      </c>
      <c r="D413" s="2">
        <v>3.8057291666666665E-3</v>
      </c>
      <c r="E413" t="s">
        <v>38</v>
      </c>
      <c r="F413" t="s">
        <v>402</v>
      </c>
      <c r="G413">
        <v>0.88812154696132595</v>
      </c>
      <c r="H413">
        <v>0.37931034482758597</v>
      </c>
    </row>
    <row r="414" spans="1:9" x14ac:dyDescent="0.3">
      <c r="A414" t="s">
        <v>405</v>
      </c>
      <c r="B414" s="2">
        <v>4.1082986111111112E-3</v>
      </c>
      <c r="C414" s="2">
        <v>4.0967245370370367E-3</v>
      </c>
      <c r="D414" s="2">
        <v>4.1198726851851856E-3</v>
      </c>
      <c r="E414" t="s">
        <v>42</v>
      </c>
      <c r="F414" t="s">
        <v>400</v>
      </c>
      <c r="G414">
        <v>0.68646408839779005</v>
      </c>
      <c r="H414">
        <v>0.59051724137931005</v>
      </c>
    </row>
    <row r="415" spans="1:9" x14ac:dyDescent="0.3">
      <c r="A415" t="s">
        <v>406</v>
      </c>
      <c r="B415" s="2">
        <v>6.2101388888888892E-3</v>
      </c>
      <c r="C415" s="2">
        <v>6.1985648148148147E-3</v>
      </c>
      <c r="D415" s="2">
        <v>6.2217129629629627E-3</v>
      </c>
      <c r="E415" t="s">
        <v>46</v>
      </c>
      <c r="F415" t="s">
        <v>402</v>
      </c>
      <c r="G415">
        <v>0.34392265193370197</v>
      </c>
      <c r="H415">
        <v>0.57327586206896597</v>
      </c>
    </row>
    <row r="416" spans="1:9" x14ac:dyDescent="0.3">
      <c r="A416" t="s">
        <v>407</v>
      </c>
      <c r="B416" s="2">
        <v>6.4055555555555558E-3</v>
      </c>
      <c r="C416" s="2">
        <v>6.3939814814814814E-3</v>
      </c>
      <c r="D416" s="2">
        <v>6.4171296296296294E-3</v>
      </c>
      <c r="E416" t="s">
        <v>44</v>
      </c>
      <c r="F416" t="s">
        <v>400</v>
      </c>
      <c r="G416">
        <v>0.399171270718232</v>
      </c>
      <c r="H416">
        <v>0.12931034482758597</v>
      </c>
    </row>
    <row r="417" spans="1:8" x14ac:dyDescent="0.3">
      <c r="A417" t="s">
        <v>408</v>
      </c>
      <c r="B417" s="2">
        <v>7.1548379629629627E-3</v>
      </c>
      <c r="C417" s="2">
        <v>7.1432638888888891E-3</v>
      </c>
      <c r="D417" s="2">
        <v>7.1664120370370371E-3</v>
      </c>
      <c r="E417" t="s">
        <v>30</v>
      </c>
      <c r="F417" t="s">
        <v>402</v>
      </c>
      <c r="G417">
        <v>0.125690607734807</v>
      </c>
      <c r="H417">
        <v>0.13793103448275901</v>
      </c>
    </row>
    <row r="418" spans="1:8" x14ac:dyDescent="0.3">
      <c r="A418" t="s">
        <v>409</v>
      </c>
      <c r="B418" s="2">
        <v>7.1930324074074075E-3</v>
      </c>
      <c r="C418" s="2">
        <v>7.1814583333333331E-3</v>
      </c>
      <c r="D418" s="2">
        <v>7.2046064814814811E-3</v>
      </c>
      <c r="E418" t="s">
        <v>44</v>
      </c>
      <c r="F418" t="s">
        <v>400</v>
      </c>
      <c r="G418">
        <v>0.16436464088397801</v>
      </c>
      <c r="H418">
        <v>8.1896551724138011E-2</v>
      </c>
    </row>
    <row r="419" spans="1:8" x14ac:dyDescent="0.3">
      <c r="A419" t="s">
        <v>410</v>
      </c>
      <c r="B419" s="2">
        <v>7.2173148148148144E-3</v>
      </c>
      <c r="C419" s="2">
        <v>7.2057407407407409E-3</v>
      </c>
      <c r="D419" s="2">
        <v>7.2288888888888889E-3</v>
      </c>
      <c r="E419" t="s">
        <v>40</v>
      </c>
      <c r="F419" t="s">
        <v>400</v>
      </c>
      <c r="G419">
        <v>0.19475138121547</v>
      </c>
      <c r="H419">
        <v>0.13362068965517204</v>
      </c>
    </row>
    <row r="420" spans="1:8" x14ac:dyDescent="0.3">
      <c r="A420" t="s">
        <v>411</v>
      </c>
      <c r="B420" s="2">
        <v>7.4844328703703705E-3</v>
      </c>
      <c r="C420" s="2">
        <v>7.472858796296296E-3</v>
      </c>
      <c r="D420" s="2">
        <v>7.496006944444444E-3</v>
      </c>
      <c r="E420" t="s">
        <v>44</v>
      </c>
      <c r="F420" t="s">
        <v>400</v>
      </c>
      <c r="G420">
        <v>0.41574585635359101</v>
      </c>
      <c r="H420">
        <v>0.29741379310344795</v>
      </c>
    </row>
    <row r="421" spans="1:8" x14ac:dyDescent="0.3">
      <c r="A421" t="s">
        <v>412</v>
      </c>
      <c r="B421" s="2">
        <v>7.5006134259259262E-3</v>
      </c>
      <c r="C421" s="2">
        <v>7.4890393518518518E-3</v>
      </c>
      <c r="D421" s="2">
        <v>7.5121874999999998E-3</v>
      </c>
      <c r="E421" t="s">
        <v>42</v>
      </c>
      <c r="F421" t="s">
        <v>402</v>
      </c>
      <c r="G421">
        <v>0.45994475138121499</v>
      </c>
      <c r="H421">
        <v>0.49137931034482796</v>
      </c>
    </row>
    <row r="422" spans="1:8" x14ac:dyDescent="0.3">
      <c r="A422" t="s">
        <v>413</v>
      </c>
      <c r="B422" s="2">
        <v>7.5584375000000001E-3</v>
      </c>
      <c r="C422" s="2">
        <v>7.5468634259259256E-3</v>
      </c>
      <c r="D422" s="2">
        <v>7.5700115740740745E-3</v>
      </c>
      <c r="E422" t="s">
        <v>30</v>
      </c>
      <c r="F422" t="s">
        <v>400</v>
      </c>
      <c r="G422">
        <v>0.33563535911602199</v>
      </c>
      <c r="H422">
        <v>0.193965517241379</v>
      </c>
    </row>
    <row r="423" spans="1:8" x14ac:dyDescent="0.3">
      <c r="A423" t="s">
        <v>414</v>
      </c>
      <c r="B423" s="2">
        <v>7.6270486111111114E-3</v>
      </c>
      <c r="C423" s="2">
        <v>7.6154745370370369E-3</v>
      </c>
      <c r="D423" s="2">
        <v>7.6386226851851849E-3</v>
      </c>
      <c r="E423" t="s">
        <v>44</v>
      </c>
      <c r="F423" t="s">
        <v>402</v>
      </c>
      <c r="G423">
        <v>0.109116022099448</v>
      </c>
      <c r="H423">
        <v>0.10775862068965503</v>
      </c>
    </row>
    <row r="424" spans="1:8" x14ac:dyDescent="0.3">
      <c r="A424" t="s">
        <v>415</v>
      </c>
      <c r="B424" s="2">
        <v>8.1061574074074074E-3</v>
      </c>
      <c r="C424" s="2">
        <v>8.0945833333333338E-3</v>
      </c>
      <c r="D424" s="2">
        <v>8.117731481481481E-3</v>
      </c>
      <c r="E424" t="s">
        <v>51</v>
      </c>
      <c r="F424" t="s">
        <v>400</v>
      </c>
      <c r="G424">
        <v>0.388121546961326</v>
      </c>
      <c r="H424">
        <v>0.74137931034482807</v>
      </c>
    </row>
    <row r="425" spans="1:8" x14ac:dyDescent="0.3">
      <c r="A425" t="s">
        <v>416</v>
      </c>
      <c r="B425" s="2">
        <v>8.9780439814814809E-3</v>
      </c>
      <c r="C425" s="2">
        <v>8.9664699074074074E-3</v>
      </c>
      <c r="D425" s="2">
        <v>8.9896180555555563E-3</v>
      </c>
      <c r="E425" t="s">
        <v>42</v>
      </c>
      <c r="F425" t="s">
        <v>402</v>
      </c>
      <c r="G425">
        <v>0.37983425414364602</v>
      </c>
      <c r="H425">
        <v>0.88793103448275901</v>
      </c>
    </row>
    <row r="426" spans="1:8" x14ac:dyDescent="0.3">
      <c r="A426" t="s">
        <v>418</v>
      </c>
      <c r="B426" s="2">
        <v>9.8620717592592597E-3</v>
      </c>
      <c r="C426" s="2">
        <v>9.8504976851851844E-3</v>
      </c>
      <c r="D426" s="2">
        <v>9.8736458333333332E-3</v>
      </c>
      <c r="E426" t="s">
        <v>42</v>
      </c>
      <c r="F426" t="s">
        <v>402</v>
      </c>
      <c r="G426">
        <v>0.27762430939226501</v>
      </c>
      <c r="H426">
        <v>0.96982758620689657</v>
      </c>
    </row>
    <row r="427" spans="1:8" x14ac:dyDescent="0.3">
      <c r="A427" t="s">
        <v>419</v>
      </c>
      <c r="B427" s="2">
        <v>1.0421712962962962E-2</v>
      </c>
      <c r="C427" s="2">
        <v>1.0410138888888889E-2</v>
      </c>
      <c r="D427" s="2">
        <v>1.0433287037037038E-2</v>
      </c>
      <c r="E427" t="s">
        <v>58</v>
      </c>
      <c r="F427" t="s">
        <v>402</v>
      </c>
      <c r="G427">
        <v>8.7016574585635401E-2</v>
      </c>
      <c r="H427">
        <v>0.80172413793103403</v>
      </c>
    </row>
    <row r="428" spans="1:8" x14ac:dyDescent="0.3">
      <c r="A428" t="s">
        <v>420</v>
      </c>
      <c r="B428" s="2">
        <v>1.0646643518518519E-2</v>
      </c>
      <c r="C428" s="2">
        <v>1.0635069444444445E-2</v>
      </c>
      <c r="D428" s="2">
        <v>1.0658217592592592E-2</v>
      </c>
      <c r="E428" t="s">
        <v>51</v>
      </c>
      <c r="F428" t="s">
        <v>400</v>
      </c>
      <c r="G428">
        <v>0.32734806629834301</v>
      </c>
      <c r="H428">
        <v>0.96982758620689657</v>
      </c>
    </row>
    <row r="429" spans="1:8" x14ac:dyDescent="0.3">
      <c r="A429" t="s">
        <v>421</v>
      </c>
      <c r="B429" s="2">
        <v>1.115775462962963E-2</v>
      </c>
      <c r="C429" s="2">
        <v>1.1146180555555555E-2</v>
      </c>
      <c r="D429" s="2">
        <v>1.1169328703703704E-2</v>
      </c>
      <c r="E429" t="s">
        <v>67</v>
      </c>
      <c r="F429" t="s">
        <v>402</v>
      </c>
      <c r="G429">
        <v>0.22237569060773499</v>
      </c>
      <c r="H429">
        <v>0.97844827586206895</v>
      </c>
    </row>
    <row r="430" spans="1:8" x14ac:dyDescent="0.3">
      <c r="A430" t="s">
        <v>422</v>
      </c>
      <c r="B430" s="2">
        <v>1.2427037037037037E-2</v>
      </c>
      <c r="C430" s="2">
        <v>1.2415462962962963E-2</v>
      </c>
      <c r="D430" s="2">
        <v>1.243861111111111E-2</v>
      </c>
      <c r="E430" t="s">
        <v>38</v>
      </c>
      <c r="F430" t="s">
        <v>402</v>
      </c>
      <c r="G430">
        <v>0.48204419889502798</v>
      </c>
      <c r="H430">
        <v>0.54741379310344795</v>
      </c>
    </row>
    <row r="431" spans="1:8" x14ac:dyDescent="0.3">
      <c r="A431" t="s">
        <v>423</v>
      </c>
      <c r="B431" s="2">
        <v>1.370712962962963E-2</v>
      </c>
      <c r="C431" s="2">
        <v>1.3695555555555556E-2</v>
      </c>
      <c r="D431" s="2">
        <v>1.3718703703703703E-2</v>
      </c>
      <c r="E431" t="s">
        <v>42</v>
      </c>
      <c r="F431" t="s">
        <v>400</v>
      </c>
      <c r="G431">
        <v>0.67265193370165699</v>
      </c>
      <c r="H431">
        <v>0.71120689655172398</v>
      </c>
    </row>
    <row r="432" spans="1:8" x14ac:dyDescent="0.3">
      <c r="A432" t="s">
        <v>426</v>
      </c>
      <c r="B432" s="2">
        <v>1.6810347222222223E-2</v>
      </c>
      <c r="C432" s="2">
        <v>1.6798773148148149E-2</v>
      </c>
      <c r="D432" s="2">
        <v>1.6821921296296297E-2</v>
      </c>
      <c r="E432" t="s">
        <v>46</v>
      </c>
      <c r="F432" t="s">
        <v>400</v>
      </c>
      <c r="G432">
        <v>0.38535911602209899</v>
      </c>
      <c r="H432">
        <v>0.29310344827586199</v>
      </c>
    </row>
    <row r="433" spans="1:8" x14ac:dyDescent="0.3">
      <c r="A433" t="s">
        <v>427</v>
      </c>
      <c r="B433" s="2">
        <v>1.6845659722222222E-2</v>
      </c>
      <c r="C433" s="2">
        <v>1.6834085648148148E-2</v>
      </c>
      <c r="D433" s="2">
        <v>1.6857233796296296E-2</v>
      </c>
      <c r="E433" t="s">
        <v>30</v>
      </c>
      <c r="F433" t="s">
        <v>402</v>
      </c>
      <c r="G433">
        <v>0.22237569060773499</v>
      </c>
      <c r="H433">
        <v>0.30172413793103403</v>
      </c>
    </row>
    <row r="434" spans="1:8" x14ac:dyDescent="0.3">
      <c r="A434" t="s">
        <v>428</v>
      </c>
      <c r="B434" s="2">
        <v>1.7244745370370372E-2</v>
      </c>
      <c r="C434" s="2">
        <v>1.7233171296296295E-2</v>
      </c>
      <c r="D434" s="2">
        <v>1.7256319444444446E-2</v>
      </c>
      <c r="E434" t="s">
        <v>46</v>
      </c>
      <c r="F434" t="s">
        <v>402</v>
      </c>
      <c r="G434">
        <v>0.109116022099448</v>
      </c>
      <c r="H434">
        <v>0.13362068965517204</v>
      </c>
    </row>
    <row r="435" spans="1:8" x14ac:dyDescent="0.3">
      <c r="A435" t="s">
        <v>429</v>
      </c>
      <c r="B435" s="2">
        <v>1.8729490740740741E-2</v>
      </c>
      <c r="C435" s="2">
        <v>1.8717916666666667E-2</v>
      </c>
      <c r="D435" s="2">
        <v>1.8741064814814815E-2</v>
      </c>
      <c r="E435" t="s">
        <v>44</v>
      </c>
      <c r="F435" t="s">
        <v>400</v>
      </c>
      <c r="G435">
        <v>0.74447513812154698</v>
      </c>
      <c r="H435">
        <v>5.6034482758620996E-2</v>
      </c>
    </row>
    <row r="436" spans="1:8" x14ac:dyDescent="0.3">
      <c r="A436" t="s">
        <v>430</v>
      </c>
      <c r="B436" s="2">
        <v>1.9799872685185186E-2</v>
      </c>
      <c r="C436" s="2">
        <v>1.9788298611111112E-2</v>
      </c>
      <c r="D436" s="2">
        <v>1.981144675925926E-2</v>
      </c>
      <c r="E436" t="s">
        <v>51</v>
      </c>
      <c r="F436" t="s">
        <v>400</v>
      </c>
      <c r="G436">
        <v>0.205801104972376</v>
      </c>
      <c r="H436">
        <v>0.93965517241379315</v>
      </c>
    </row>
    <row r="437" spans="1:8" x14ac:dyDescent="0.3">
      <c r="A437" t="s">
        <v>431</v>
      </c>
      <c r="B437" s="2">
        <v>2.0023136574074073E-2</v>
      </c>
      <c r="C437" s="2">
        <v>2.00115625E-2</v>
      </c>
      <c r="D437" s="2">
        <v>2.0034710648148147E-2</v>
      </c>
      <c r="E437" t="s">
        <v>67</v>
      </c>
      <c r="F437" t="s">
        <v>400</v>
      </c>
      <c r="G437">
        <v>3.7292817679557999E-2</v>
      </c>
      <c r="H437">
        <v>0.82327586206896497</v>
      </c>
    </row>
    <row r="438" spans="1:8" x14ac:dyDescent="0.3">
      <c r="A438" t="s">
        <v>432</v>
      </c>
      <c r="B438" s="2">
        <v>2.097048611111111E-2</v>
      </c>
      <c r="C438" s="2">
        <v>2.0958912037037036E-2</v>
      </c>
      <c r="D438" s="2">
        <v>2.0982060185185183E-2</v>
      </c>
      <c r="E438" t="s">
        <v>42</v>
      </c>
      <c r="F438" t="s">
        <v>402</v>
      </c>
      <c r="G438">
        <v>0.41850828729281803</v>
      </c>
      <c r="H438">
        <v>0.73275862068965503</v>
      </c>
    </row>
    <row r="439" spans="1:8" x14ac:dyDescent="0.3">
      <c r="A439" t="s">
        <v>433</v>
      </c>
      <c r="B439" s="2">
        <v>2.1800740740740742E-2</v>
      </c>
      <c r="C439" s="2">
        <v>2.1789166666666665E-2</v>
      </c>
      <c r="D439" s="2">
        <v>2.1812314814814816E-2</v>
      </c>
      <c r="E439" t="s">
        <v>46</v>
      </c>
      <c r="F439" t="s">
        <v>402</v>
      </c>
      <c r="G439">
        <v>0.31629834254143602</v>
      </c>
      <c r="H439">
        <v>7.3275862068965969E-2</v>
      </c>
    </row>
    <row r="440" spans="1:8" x14ac:dyDescent="0.3">
      <c r="A440" t="s">
        <v>434</v>
      </c>
      <c r="B440" s="2">
        <v>2.2396377314814815E-2</v>
      </c>
      <c r="C440" s="2">
        <v>2.2384803240740742E-2</v>
      </c>
      <c r="D440" s="2">
        <v>2.2407951388888889E-2</v>
      </c>
      <c r="E440" t="s">
        <v>40</v>
      </c>
      <c r="F440" t="s">
        <v>402</v>
      </c>
      <c r="G440">
        <v>0.200276243093923</v>
      </c>
      <c r="H440">
        <v>9.482758620689602E-2</v>
      </c>
    </row>
    <row r="441" spans="1:8" x14ac:dyDescent="0.3">
      <c r="A441" t="s">
        <v>435</v>
      </c>
      <c r="B441" s="2">
        <v>2.2573298611111112E-2</v>
      </c>
      <c r="C441" s="2">
        <v>2.2561724537037038E-2</v>
      </c>
      <c r="D441" s="2">
        <v>2.2584872685185185E-2</v>
      </c>
      <c r="E441" t="s">
        <v>46</v>
      </c>
      <c r="F441" t="s">
        <v>402</v>
      </c>
      <c r="G441">
        <v>0.225138121546961</v>
      </c>
      <c r="H441">
        <v>0.193965517241379</v>
      </c>
    </row>
    <row r="442" spans="1:8" x14ac:dyDescent="0.3">
      <c r="A442" t="s">
        <v>436</v>
      </c>
      <c r="B442" s="2">
        <v>2.43859375E-2</v>
      </c>
      <c r="C442" s="2">
        <v>2.4374363425925926E-2</v>
      </c>
      <c r="D442" s="2">
        <v>2.4397511574074073E-2</v>
      </c>
      <c r="E442" t="s">
        <v>40</v>
      </c>
      <c r="F442" t="s">
        <v>402</v>
      </c>
      <c r="G442">
        <v>0.64779005524861899</v>
      </c>
      <c r="H442">
        <v>0.31465517241379304</v>
      </c>
    </row>
    <row r="443" spans="1:8" x14ac:dyDescent="0.3">
      <c r="A443" t="s">
        <v>437</v>
      </c>
      <c r="B443" s="2">
        <v>2.5485625000000001E-2</v>
      </c>
      <c r="C443" s="2">
        <v>2.5474050925925924E-2</v>
      </c>
      <c r="D443" s="2">
        <v>2.5497199074074075E-2</v>
      </c>
      <c r="E443" t="s">
        <v>58</v>
      </c>
      <c r="F443" t="s">
        <v>400</v>
      </c>
      <c r="G443">
        <v>0.24723756906077299</v>
      </c>
      <c r="H443">
        <v>0.92672413793103448</v>
      </c>
    </row>
    <row r="444" spans="1:8" x14ac:dyDescent="0.3">
      <c r="A444" t="s">
        <v>438</v>
      </c>
      <c r="B444" s="2">
        <v>2.5515682870370371E-2</v>
      </c>
      <c r="C444" s="2">
        <v>2.5504108796296297E-2</v>
      </c>
      <c r="D444" s="2">
        <v>2.5527256944444444E-2</v>
      </c>
      <c r="E444" t="s">
        <v>67</v>
      </c>
      <c r="F444" t="s">
        <v>400</v>
      </c>
      <c r="G444">
        <v>5.6629834254143599E-2</v>
      </c>
      <c r="H444">
        <v>0.81034482758620696</v>
      </c>
    </row>
    <row r="445" spans="1:8" x14ac:dyDescent="0.3">
      <c r="A445" t="s">
        <v>439</v>
      </c>
      <c r="B445" s="2">
        <v>2.5552303240740742E-2</v>
      </c>
      <c r="C445" s="2">
        <v>2.5540729166666668E-2</v>
      </c>
      <c r="D445" s="2">
        <v>2.5563877314814815E-2</v>
      </c>
      <c r="E445" t="s">
        <v>58</v>
      </c>
      <c r="F445" t="s">
        <v>400</v>
      </c>
      <c r="G445">
        <v>3.7292817679557999E-2</v>
      </c>
      <c r="H445">
        <v>0.65517241379310298</v>
      </c>
    </row>
    <row r="446" spans="1:8" x14ac:dyDescent="0.3">
      <c r="A446" t="s">
        <v>440</v>
      </c>
      <c r="B446" s="2">
        <v>2.7408414351851852E-2</v>
      </c>
      <c r="C446" s="2">
        <v>2.7396840277777779E-2</v>
      </c>
      <c r="D446" s="2">
        <v>2.7419988425925926E-2</v>
      </c>
      <c r="E446" t="s">
        <v>32</v>
      </c>
      <c r="F446" t="s">
        <v>402</v>
      </c>
      <c r="G446">
        <v>0.363259668508287</v>
      </c>
      <c r="H446">
        <v>0.5</v>
      </c>
    </row>
    <row r="447" spans="1:8" x14ac:dyDescent="0.3">
      <c r="A447" t="s">
        <v>441</v>
      </c>
      <c r="B447" s="2">
        <v>2.7577835648148148E-2</v>
      </c>
      <c r="C447" s="2">
        <v>2.7566261574074075E-2</v>
      </c>
      <c r="D447" s="2">
        <v>2.7589409722222222E-2</v>
      </c>
      <c r="E447" t="s">
        <v>42</v>
      </c>
      <c r="F447" t="s">
        <v>402</v>
      </c>
      <c r="G447">
        <v>4.8342541436464097E-2</v>
      </c>
      <c r="H447">
        <v>0.85344827586206895</v>
      </c>
    </row>
    <row r="448" spans="1:8" x14ac:dyDescent="0.3">
      <c r="A448" t="s">
        <v>442</v>
      </c>
      <c r="B448" s="2">
        <v>2.8754212962962964E-2</v>
      </c>
      <c r="C448" s="2">
        <v>2.874263888888889E-2</v>
      </c>
      <c r="D448" s="2">
        <v>2.8765787037037038E-2</v>
      </c>
      <c r="E448" t="s">
        <v>40</v>
      </c>
      <c r="F448" t="s">
        <v>402</v>
      </c>
      <c r="G448">
        <v>0.31077348066298299</v>
      </c>
      <c r="H448">
        <v>0.84482758620689702</v>
      </c>
    </row>
    <row r="449" spans="1:8" x14ac:dyDescent="0.3">
      <c r="A449" t="s">
        <v>443</v>
      </c>
      <c r="B449" s="2">
        <v>3.1536770833333332E-2</v>
      </c>
      <c r="C449" s="2">
        <v>3.1525196759259258E-2</v>
      </c>
      <c r="D449" s="2">
        <v>3.1548344907407405E-2</v>
      </c>
      <c r="E449" t="s">
        <v>51</v>
      </c>
      <c r="F449" t="s">
        <v>400</v>
      </c>
      <c r="G449">
        <v>0.60635359116022103</v>
      </c>
      <c r="H449">
        <v>0.17672413793103403</v>
      </c>
    </row>
    <row r="450" spans="1:8" x14ac:dyDescent="0.3">
      <c r="A450" t="s">
        <v>444</v>
      </c>
      <c r="B450" s="2">
        <v>3.2425995370370372E-2</v>
      </c>
      <c r="C450" s="2">
        <v>3.2414421296296299E-2</v>
      </c>
      <c r="D450" s="2">
        <v>3.2437569444444446E-2</v>
      </c>
      <c r="E450" t="s">
        <v>58</v>
      </c>
      <c r="F450" t="s">
        <v>402</v>
      </c>
      <c r="G450">
        <v>0.175414364640884</v>
      </c>
      <c r="H450">
        <v>0.37931034482758597</v>
      </c>
    </row>
    <row r="451" spans="1:8" x14ac:dyDescent="0.3">
      <c r="A451" t="s">
        <v>445</v>
      </c>
      <c r="B451" s="2">
        <v>3.2467615740740738E-2</v>
      </c>
      <c r="C451" s="2">
        <v>3.2456041666666664E-2</v>
      </c>
      <c r="D451" s="2">
        <v>3.2479189814814811E-2</v>
      </c>
      <c r="E451" t="s">
        <v>30</v>
      </c>
      <c r="F451" t="s">
        <v>402</v>
      </c>
      <c r="G451">
        <v>0.114640883977901</v>
      </c>
      <c r="H451">
        <v>0.14224137931034497</v>
      </c>
    </row>
    <row r="452" spans="1:8" x14ac:dyDescent="0.3">
      <c r="A452" t="s">
        <v>446</v>
      </c>
      <c r="B452" s="2">
        <v>3.2527002314814812E-2</v>
      </c>
      <c r="C452" s="2">
        <v>3.2515428240740739E-2</v>
      </c>
      <c r="D452" s="2">
        <v>3.2538576388888886E-2</v>
      </c>
      <c r="E452" t="s">
        <v>30</v>
      </c>
      <c r="F452" t="s">
        <v>402</v>
      </c>
      <c r="G452">
        <v>3.7292817679557999E-2</v>
      </c>
      <c r="H452">
        <v>3.4482758620689946E-2</v>
      </c>
    </row>
    <row r="453" spans="1:8" x14ac:dyDescent="0.3">
      <c r="A453" t="s">
        <v>447</v>
      </c>
      <c r="B453" s="2">
        <v>3.2812222222222222E-2</v>
      </c>
      <c r="C453" s="2">
        <v>3.2800648148148148E-2</v>
      </c>
      <c r="D453" s="2">
        <v>3.2823796296296295E-2</v>
      </c>
      <c r="E453" t="s">
        <v>40</v>
      </c>
      <c r="F453" t="s">
        <v>402</v>
      </c>
      <c r="G453">
        <v>4.5580110497237598E-2</v>
      </c>
      <c r="H453">
        <v>0.19827586206896597</v>
      </c>
    </row>
    <row r="454" spans="1:8" x14ac:dyDescent="0.3">
      <c r="A454" t="s">
        <v>448</v>
      </c>
      <c r="B454" s="2">
        <v>3.5711620370370373E-2</v>
      </c>
      <c r="C454" s="2">
        <v>3.5700046296296299E-2</v>
      </c>
      <c r="D454" s="2">
        <v>3.5723194444444446E-2</v>
      </c>
      <c r="E454" t="s">
        <v>44</v>
      </c>
      <c r="F454" t="s">
        <v>402</v>
      </c>
      <c r="G454">
        <v>0.70580110497237603</v>
      </c>
      <c r="H454">
        <v>0.22413793103448298</v>
      </c>
    </row>
    <row r="455" spans="1:8" x14ac:dyDescent="0.3">
      <c r="A455" t="s">
        <v>449</v>
      </c>
      <c r="B455" s="2">
        <v>3.6024930555555557E-2</v>
      </c>
      <c r="C455" s="2">
        <v>3.6013356481481483E-2</v>
      </c>
      <c r="D455" s="2">
        <v>3.603650462962963E-2</v>
      </c>
      <c r="E455" t="s">
        <v>42</v>
      </c>
      <c r="F455" t="s">
        <v>400</v>
      </c>
      <c r="G455">
        <v>0.73342541436464104</v>
      </c>
      <c r="H455">
        <v>0.81034482758620696</v>
      </c>
    </row>
    <row r="456" spans="1:8" x14ac:dyDescent="0.3">
      <c r="A456" t="s">
        <v>450</v>
      </c>
      <c r="B456" s="2">
        <v>3.6075578703703703E-2</v>
      </c>
      <c r="C456" s="2">
        <v>3.606400462962963E-2</v>
      </c>
      <c r="D456" s="2">
        <v>3.6087152777777777E-2</v>
      </c>
      <c r="E456" t="s">
        <v>58</v>
      </c>
      <c r="F456" t="s">
        <v>400</v>
      </c>
      <c r="G456">
        <v>0.45994475138121499</v>
      </c>
      <c r="H456">
        <v>0.84051724137931005</v>
      </c>
    </row>
    <row r="457" spans="1:8" x14ac:dyDescent="0.3">
      <c r="A457" t="s">
        <v>451</v>
      </c>
      <c r="B457" s="2">
        <v>3.6186886574074074E-2</v>
      </c>
      <c r="C457" s="2">
        <v>3.6175312500000001E-2</v>
      </c>
      <c r="D457" s="2">
        <v>3.6198460648148148E-2</v>
      </c>
      <c r="E457" t="s">
        <v>67</v>
      </c>
      <c r="F457" t="s">
        <v>402</v>
      </c>
      <c r="G457">
        <v>4.0055248618784497E-2</v>
      </c>
      <c r="H457">
        <v>0.90948275862068972</v>
      </c>
    </row>
    <row r="458" spans="1:8" x14ac:dyDescent="0.3">
      <c r="A458" t="s">
        <v>452</v>
      </c>
      <c r="B458" s="2">
        <v>3.7974710648148148E-2</v>
      </c>
      <c r="C458" s="2">
        <v>3.7963136574074074E-2</v>
      </c>
      <c r="D458" s="2">
        <v>3.7986284722222222E-2</v>
      </c>
      <c r="E458" t="s">
        <v>58</v>
      </c>
      <c r="F458" t="s">
        <v>400</v>
      </c>
      <c r="G458">
        <v>0.16436464088397801</v>
      </c>
      <c r="H458">
        <v>0.61206896551724099</v>
      </c>
    </row>
    <row r="459" spans="1:8" x14ac:dyDescent="0.3">
      <c r="A459" t="s">
        <v>453</v>
      </c>
      <c r="B459" s="2">
        <v>3.8841574074074077E-2</v>
      </c>
      <c r="C459" s="2">
        <v>3.8830000000000003E-2</v>
      </c>
      <c r="D459" s="2">
        <v>3.8853148148148151E-2</v>
      </c>
      <c r="E459" t="s">
        <v>30</v>
      </c>
      <c r="F459" t="s">
        <v>400</v>
      </c>
      <c r="G459">
        <v>0.29143646408839802</v>
      </c>
      <c r="H459">
        <v>0.16379310344827602</v>
      </c>
    </row>
    <row r="460" spans="1:8" x14ac:dyDescent="0.3">
      <c r="A460" t="s">
        <v>454</v>
      </c>
      <c r="B460" s="2">
        <v>3.9018506944444448E-2</v>
      </c>
      <c r="C460" s="2">
        <v>3.9006932870370367E-2</v>
      </c>
      <c r="D460" s="2">
        <v>3.9030081018518521E-2</v>
      </c>
      <c r="E460" t="s">
        <v>32</v>
      </c>
      <c r="F460" t="s">
        <v>400</v>
      </c>
      <c r="G460">
        <v>0.74447513812154698</v>
      </c>
      <c r="H460">
        <v>3.4482758620689946E-2</v>
      </c>
    </row>
    <row r="461" spans="1:8" x14ac:dyDescent="0.3">
      <c r="A461" t="s">
        <v>455</v>
      </c>
      <c r="B461" s="2">
        <v>3.997111111111111E-2</v>
      </c>
      <c r="C461" s="2">
        <v>3.9959537037037036E-2</v>
      </c>
      <c r="D461" s="2">
        <v>3.9982685185185184E-2</v>
      </c>
      <c r="E461" t="s">
        <v>46</v>
      </c>
      <c r="F461" t="s">
        <v>400</v>
      </c>
      <c r="G461">
        <v>0.156077348066298</v>
      </c>
      <c r="H461">
        <v>0.83620689655172398</v>
      </c>
    </row>
    <row r="462" spans="1:8" x14ac:dyDescent="0.3">
      <c r="A462" t="s">
        <v>456</v>
      </c>
      <c r="B462" s="2">
        <v>4.0034293981481485E-2</v>
      </c>
      <c r="C462" s="2">
        <v>4.0022719907407404E-2</v>
      </c>
      <c r="D462" s="2">
        <v>4.0045868055555559E-2</v>
      </c>
      <c r="E462" t="s">
        <v>198</v>
      </c>
      <c r="F462" t="s">
        <v>400</v>
      </c>
      <c r="G462">
        <v>0.18922651933701701</v>
      </c>
      <c r="H462">
        <v>0.64655172413793105</v>
      </c>
    </row>
    <row r="463" spans="1:8" x14ac:dyDescent="0.3">
      <c r="A463" t="s">
        <v>457</v>
      </c>
      <c r="B463" s="2">
        <v>4.2245243055555555E-2</v>
      </c>
      <c r="C463" s="2">
        <v>4.2233668981481481E-2</v>
      </c>
      <c r="D463" s="2">
        <v>4.2256817129629629E-2</v>
      </c>
      <c r="E463" t="s">
        <v>32</v>
      </c>
      <c r="F463" t="s">
        <v>400</v>
      </c>
      <c r="G463">
        <v>0.59254143646408797</v>
      </c>
      <c r="H463">
        <v>0.81034482758620696</v>
      </c>
    </row>
    <row r="464" spans="1:8" x14ac:dyDescent="0.3">
      <c r="A464" t="s">
        <v>458</v>
      </c>
      <c r="B464" s="2">
        <v>4.2873784722222225E-2</v>
      </c>
      <c r="C464" s="2">
        <v>4.2862210648148151E-2</v>
      </c>
      <c r="D464" s="2">
        <v>4.2885358796296298E-2</v>
      </c>
      <c r="E464" t="s">
        <v>198</v>
      </c>
      <c r="F464" t="s">
        <v>402</v>
      </c>
      <c r="G464">
        <v>0.44337016574585603</v>
      </c>
      <c r="H464">
        <v>0.75</v>
      </c>
    </row>
    <row r="465" spans="1:8" x14ac:dyDescent="0.3">
      <c r="A465" t="s">
        <v>460</v>
      </c>
      <c r="B465" s="2">
        <v>4.3294050925925927E-2</v>
      </c>
      <c r="C465" s="2">
        <v>4.3282476851851853E-2</v>
      </c>
      <c r="D465" s="2">
        <v>4.3305625E-2</v>
      </c>
      <c r="E465" t="s">
        <v>67</v>
      </c>
      <c r="F465" t="s">
        <v>402</v>
      </c>
      <c r="G465">
        <v>0.63950276243093895</v>
      </c>
      <c r="H465">
        <v>0.89224137931034497</v>
      </c>
    </row>
    <row r="466" spans="1:8" x14ac:dyDescent="0.3">
      <c r="A466" t="s">
        <v>461</v>
      </c>
      <c r="B466" s="2">
        <v>4.334269675925926E-2</v>
      </c>
      <c r="C466" s="2">
        <v>4.3331122685185186E-2</v>
      </c>
      <c r="D466" s="2">
        <v>4.3354270833333333E-2</v>
      </c>
      <c r="E466" t="s">
        <v>42</v>
      </c>
      <c r="F466" t="s">
        <v>402</v>
      </c>
      <c r="G466">
        <v>0.57872928176795602</v>
      </c>
      <c r="H466">
        <v>0.9568965517241379</v>
      </c>
    </row>
    <row r="467" spans="1:8" x14ac:dyDescent="0.3">
      <c r="A467" t="s">
        <v>462</v>
      </c>
      <c r="B467" s="2">
        <v>4.4170011574074075E-2</v>
      </c>
      <c r="C467" s="2">
        <v>4.4158437500000002E-2</v>
      </c>
      <c r="D467" s="2">
        <v>4.4181585648148149E-2</v>
      </c>
      <c r="E467" t="s">
        <v>67</v>
      </c>
      <c r="F467" t="s">
        <v>400</v>
      </c>
      <c r="G467">
        <v>0.27209944751381199</v>
      </c>
      <c r="H467">
        <v>0.64655172413793105</v>
      </c>
    </row>
    <row r="468" spans="1:8" x14ac:dyDescent="0.3">
      <c r="A468" t="s">
        <v>463</v>
      </c>
      <c r="B468" s="2">
        <v>4.4249212962962962E-2</v>
      </c>
      <c r="C468" s="2">
        <v>4.4237638888888889E-2</v>
      </c>
      <c r="D468" s="2">
        <v>4.4260787037037036E-2</v>
      </c>
      <c r="E468" t="s">
        <v>46</v>
      </c>
      <c r="F468" t="s">
        <v>402</v>
      </c>
      <c r="G468">
        <v>0.219613259668508</v>
      </c>
      <c r="H468">
        <v>0.94827586206896552</v>
      </c>
    </row>
    <row r="469" spans="1:8" x14ac:dyDescent="0.3">
      <c r="A469" t="s">
        <v>464</v>
      </c>
      <c r="B469" s="2">
        <v>4.4537569444444446E-2</v>
      </c>
      <c r="C469" s="2">
        <v>4.4525995370370372E-2</v>
      </c>
      <c r="D469" s="2">
        <v>4.4549143518518519E-2</v>
      </c>
      <c r="E469" t="s">
        <v>198</v>
      </c>
      <c r="F469" t="s">
        <v>402</v>
      </c>
      <c r="G469">
        <v>0.111878453038674</v>
      </c>
      <c r="H469">
        <v>0.96551724137931028</v>
      </c>
    </row>
    <row r="470" spans="1:8" x14ac:dyDescent="0.3">
      <c r="A470" t="s">
        <v>465</v>
      </c>
      <c r="B470" s="2">
        <v>4.6128703703703706E-2</v>
      </c>
      <c r="C470" s="2">
        <v>4.6117129629629633E-2</v>
      </c>
      <c r="D470" s="2">
        <v>4.614027777777778E-2</v>
      </c>
      <c r="E470" t="s">
        <v>42</v>
      </c>
      <c r="F470" t="s">
        <v>400</v>
      </c>
      <c r="G470">
        <v>0.72790055248618801</v>
      </c>
      <c r="H470">
        <v>0.85344827586206895</v>
      </c>
    </row>
    <row r="471" spans="1:8" x14ac:dyDescent="0.3">
      <c r="A471" t="s">
        <v>466</v>
      </c>
      <c r="B471" s="2">
        <v>4.7042280092592592E-2</v>
      </c>
      <c r="C471" s="2">
        <v>4.7030706018518519E-2</v>
      </c>
      <c r="D471" s="2">
        <v>4.7053854166666666E-2</v>
      </c>
      <c r="E471" t="s">
        <v>58</v>
      </c>
      <c r="F471" t="s">
        <v>402</v>
      </c>
      <c r="G471">
        <v>0.25276243093922701</v>
      </c>
      <c r="H471">
        <v>3.0172413793102981E-2</v>
      </c>
    </row>
    <row r="472" spans="1:8" x14ac:dyDescent="0.3">
      <c r="A472" t="s">
        <v>467</v>
      </c>
      <c r="B472" s="2">
        <v>4.7463518518518516E-2</v>
      </c>
      <c r="C472" s="2">
        <v>4.7451944444444442E-2</v>
      </c>
      <c r="D472" s="2">
        <v>4.747509259259259E-2</v>
      </c>
      <c r="E472" t="s">
        <v>58</v>
      </c>
      <c r="F472" t="s">
        <v>402</v>
      </c>
      <c r="G472">
        <v>7.0441988950276202E-2</v>
      </c>
      <c r="H472">
        <v>2.155172413793105E-2</v>
      </c>
    </row>
    <row r="473" spans="1:8" x14ac:dyDescent="0.3">
      <c r="A473" t="s">
        <v>468</v>
      </c>
      <c r="B473" s="2">
        <v>4.7648877314814812E-2</v>
      </c>
      <c r="C473" s="2">
        <v>4.7637303240740739E-2</v>
      </c>
      <c r="D473" s="2">
        <v>4.7660451388888886E-2</v>
      </c>
      <c r="E473" t="s">
        <v>32</v>
      </c>
      <c r="F473" t="s">
        <v>402</v>
      </c>
      <c r="G473">
        <v>0.39088397790055202</v>
      </c>
      <c r="H473">
        <v>0.12068965517241403</v>
      </c>
    </row>
    <row r="474" spans="1:8" x14ac:dyDescent="0.3">
      <c r="A474" t="s">
        <v>469</v>
      </c>
      <c r="B474" s="2">
        <v>4.7732175925925928E-2</v>
      </c>
      <c r="C474" s="2">
        <v>4.7720601851851854E-2</v>
      </c>
      <c r="D474" s="2">
        <v>4.7743750000000001E-2</v>
      </c>
      <c r="E474" t="s">
        <v>38</v>
      </c>
      <c r="F474" t="s">
        <v>402</v>
      </c>
      <c r="G474">
        <v>0.18922651933701701</v>
      </c>
      <c r="H474">
        <v>7.3275862068965969E-2</v>
      </c>
    </row>
    <row r="475" spans="1:8" x14ac:dyDescent="0.3">
      <c r="A475" t="s">
        <v>470</v>
      </c>
      <c r="B475" s="2">
        <v>4.8202534722222225E-2</v>
      </c>
      <c r="C475" s="2">
        <v>4.8190960648148151E-2</v>
      </c>
      <c r="D475" s="2">
        <v>4.8214108796296298E-2</v>
      </c>
      <c r="E475" t="s">
        <v>46</v>
      </c>
      <c r="F475" t="s">
        <v>402</v>
      </c>
      <c r="G475">
        <v>0.21132596685082899</v>
      </c>
      <c r="H475">
        <v>0.25431034482758597</v>
      </c>
    </row>
    <row r="476" spans="1:8" x14ac:dyDescent="0.3">
      <c r="A476" t="s">
        <v>471</v>
      </c>
      <c r="B476" s="2">
        <v>4.9081898148148145E-2</v>
      </c>
      <c r="C476" s="2">
        <v>4.9070324074074072E-2</v>
      </c>
      <c r="D476" s="2">
        <v>4.9093472222222219E-2</v>
      </c>
      <c r="E476" t="s">
        <v>67</v>
      </c>
      <c r="F476" t="s">
        <v>402</v>
      </c>
      <c r="G476">
        <v>0.23895027624309401</v>
      </c>
      <c r="H476">
        <v>0.96982758620689657</v>
      </c>
    </row>
    <row r="477" spans="1:8" x14ac:dyDescent="0.3">
      <c r="A477" t="s">
        <v>472</v>
      </c>
      <c r="B477" s="2">
        <v>4.9132141203703704E-2</v>
      </c>
      <c r="C477" s="2">
        <v>4.912056712962963E-2</v>
      </c>
      <c r="D477" s="2">
        <v>4.9143715277777777E-2</v>
      </c>
      <c r="E477" t="s">
        <v>67</v>
      </c>
      <c r="F477" t="s">
        <v>402</v>
      </c>
      <c r="G477">
        <v>0.27209944751381199</v>
      </c>
      <c r="H477">
        <v>0.9568965517241379</v>
      </c>
    </row>
    <row r="478" spans="1:8" x14ac:dyDescent="0.3">
      <c r="A478" t="s">
        <v>473</v>
      </c>
      <c r="B478" s="2">
        <v>4.9338993055555558E-2</v>
      </c>
      <c r="C478" s="2">
        <v>4.9327418981481484E-2</v>
      </c>
      <c r="D478" s="2">
        <v>4.9350567129629631E-2</v>
      </c>
      <c r="E478" t="s">
        <v>42</v>
      </c>
      <c r="F478" t="s">
        <v>402</v>
      </c>
      <c r="G478">
        <v>0.31906077348066297</v>
      </c>
      <c r="H478">
        <v>0.96982758620689657</v>
      </c>
    </row>
    <row r="479" spans="1:8" x14ac:dyDescent="0.3">
      <c r="A479" t="s">
        <v>474</v>
      </c>
      <c r="B479" s="2">
        <v>4.9698761574074074E-2</v>
      </c>
      <c r="C479" s="2">
        <v>4.96871875E-2</v>
      </c>
      <c r="D479" s="2">
        <v>4.9710335648148148E-2</v>
      </c>
      <c r="E479" t="s">
        <v>38</v>
      </c>
      <c r="F479" t="s">
        <v>400</v>
      </c>
      <c r="G479">
        <v>0.82182320441988999</v>
      </c>
      <c r="H479">
        <v>0.34913793103448298</v>
      </c>
    </row>
    <row r="480" spans="1:8" x14ac:dyDescent="0.3">
      <c r="A480" t="s">
        <v>475</v>
      </c>
      <c r="B480" s="2">
        <v>5.0255787037037036E-2</v>
      </c>
      <c r="C480" s="2">
        <v>5.0244212962962963E-2</v>
      </c>
      <c r="D480" s="2">
        <v>5.026736111111111E-2</v>
      </c>
      <c r="E480" t="s">
        <v>44</v>
      </c>
      <c r="F480" t="s">
        <v>400</v>
      </c>
      <c r="G480">
        <v>0.57872928176795602</v>
      </c>
      <c r="H480">
        <v>0.69827586206896597</v>
      </c>
    </row>
    <row r="481" spans="1:8" x14ac:dyDescent="0.3">
      <c r="A481" t="s">
        <v>476</v>
      </c>
      <c r="B481" s="2">
        <v>5.0382465277777781E-2</v>
      </c>
      <c r="C481" s="2">
        <v>5.0370891203703701E-2</v>
      </c>
      <c r="D481" s="2">
        <v>5.0394039351851855E-2</v>
      </c>
      <c r="E481" t="s">
        <v>42</v>
      </c>
      <c r="F481" t="s">
        <v>402</v>
      </c>
      <c r="G481">
        <v>0.61187845303867405</v>
      </c>
      <c r="H481">
        <v>0.59051724137931005</v>
      </c>
    </row>
    <row r="482" spans="1:8" x14ac:dyDescent="0.3">
      <c r="A482" t="s">
        <v>477</v>
      </c>
      <c r="B482" s="2">
        <v>5.0787129629629627E-2</v>
      </c>
      <c r="C482" s="2">
        <v>5.0775555555555553E-2</v>
      </c>
      <c r="D482" s="2">
        <v>5.0798703703703707E-2</v>
      </c>
      <c r="E482" t="s">
        <v>67</v>
      </c>
      <c r="F482" t="s">
        <v>400</v>
      </c>
      <c r="G482">
        <v>0.625690607734807</v>
      </c>
      <c r="H482">
        <v>0.82758620689655205</v>
      </c>
    </row>
    <row r="483" spans="1:8" x14ac:dyDescent="0.3">
      <c r="A483" t="s">
        <v>478</v>
      </c>
      <c r="B483" s="2">
        <v>5.1094560185185184E-2</v>
      </c>
      <c r="C483" s="2">
        <v>5.108298611111111E-2</v>
      </c>
      <c r="D483" s="2">
        <v>5.1106134259259257E-2</v>
      </c>
      <c r="E483" t="s">
        <v>44</v>
      </c>
      <c r="F483" t="s">
        <v>402</v>
      </c>
      <c r="G483">
        <v>0.57320441988950299</v>
      </c>
      <c r="H483">
        <v>0.93965517241379315</v>
      </c>
    </row>
    <row r="484" spans="1:8" x14ac:dyDescent="0.3">
      <c r="A484" t="s">
        <v>479</v>
      </c>
      <c r="B484" s="2">
        <v>5.1210092592592592E-2</v>
      </c>
      <c r="C484" s="2">
        <v>5.1198518518518518E-2</v>
      </c>
      <c r="D484" s="2">
        <v>5.1221666666666665E-2</v>
      </c>
      <c r="E484" t="s">
        <v>42</v>
      </c>
      <c r="F484" t="s">
        <v>402</v>
      </c>
      <c r="G484">
        <v>0.58149171270718203</v>
      </c>
      <c r="H484">
        <v>0.82327586206896497</v>
      </c>
    </row>
    <row r="485" spans="1:8" x14ac:dyDescent="0.3">
      <c r="A485" t="s">
        <v>480</v>
      </c>
      <c r="B485" s="2">
        <v>5.1471631944444443E-2</v>
      </c>
      <c r="C485" s="2">
        <v>5.146005787037037E-2</v>
      </c>
      <c r="D485" s="2">
        <v>5.1483206018518517E-2</v>
      </c>
      <c r="E485" t="s">
        <v>46</v>
      </c>
      <c r="F485" t="s">
        <v>400</v>
      </c>
      <c r="G485">
        <v>0.21685082872928199</v>
      </c>
      <c r="H485">
        <v>0.68534482758620707</v>
      </c>
    </row>
    <row r="486" spans="1:8" x14ac:dyDescent="0.3">
      <c r="A486" t="s">
        <v>481</v>
      </c>
      <c r="B486" s="2">
        <v>5.1599444444444448E-2</v>
      </c>
      <c r="C486" s="2">
        <v>5.1587870370370367E-2</v>
      </c>
      <c r="D486" s="2">
        <v>5.1611018518518521E-2</v>
      </c>
      <c r="E486" t="s">
        <v>44</v>
      </c>
      <c r="F486" t="s">
        <v>400</v>
      </c>
      <c r="G486">
        <v>0.41574585635359101</v>
      </c>
      <c r="H486">
        <v>0.88793103448275901</v>
      </c>
    </row>
    <row r="487" spans="1:8" x14ac:dyDescent="0.3">
      <c r="A487" t="s">
        <v>482</v>
      </c>
      <c r="B487" s="2">
        <v>5.4145162037037037E-2</v>
      </c>
      <c r="C487" s="2">
        <v>5.4133587962962963E-2</v>
      </c>
      <c r="D487" s="2">
        <v>5.415673611111111E-2</v>
      </c>
      <c r="E487" t="s">
        <v>38</v>
      </c>
      <c r="F487" t="s">
        <v>400</v>
      </c>
      <c r="G487">
        <v>0.363259668508287</v>
      </c>
      <c r="H487">
        <v>4.7413793103447954E-2</v>
      </c>
    </row>
    <row r="488" spans="1:8" x14ac:dyDescent="0.3">
      <c r="A488" t="s">
        <v>483</v>
      </c>
      <c r="B488" s="2">
        <v>5.4201863425925929E-2</v>
      </c>
      <c r="C488" s="2">
        <v>5.4190289351851849E-2</v>
      </c>
      <c r="D488" s="2">
        <v>5.4213437500000003E-2</v>
      </c>
      <c r="E488" t="s">
        <v>51</v>
      </c>
      <c r="F488" t="s">
        <v>400</v>
      </c>
      <c r="G488">
        <v>0.43232044198894998</v>
      </c>
      <c r="H488">
        <v>4.7413793103447954E-2</v>
      </c>
    </row>
    <row r="489" spans="1:8" x14ac:dyDescent="0.3">
      <c r="A489" t="s">
        <v>484</v>
      </c>
      <c r="B489" s="2">
        <v>5.4236365740740741E-2</v>
      </c>
      <c r="C489" s="2">
        <v>5.4224791666666668E-2</v>
      </c>
      <c r="D489" s="2">
        <v>5.4247939814814815E-2</v>
      </c>
      <c r="E489" t="s">
        <v>51</v>
      </c>
      <c r="F489" t="s">
        <v>402</v>
      </c>
      <c r="G489">
        <v>0.49585635359115998</v>
      </c>
      <c r="H489">
        <v>3.0172413793102981E-2</v>
      </c>
    </row>
    <row r="490" spans="1:8" x14ac:dyDescent="0.3">
      <c r="A490" t="s">
        <v>485</v>
      </c>
      <c r="B490" s="2">
        <v>5.4389571759259257E-2</v>
      </c>
      <c r="C490" s="2">
        <v>5.4377997685185184E-2</v>
      </c>
      <c r="D490" s="2">
        <v>5.4401145833333331E-2</v>
      </c>
      <c r="E490" t="s">
        <v>198</v>
      </c>
      <c r="F490" t="s">
        <v>400</v>
      </c>
      <c r="G490">
        <v>0.50414364640884002</v>
      </c>
      <c r="H490">
        <v>0.49568965517241403</v>
      </c>
    </row>
    <row r="491" spans="1:8" x14ac:dyDescent="0.3">
      <c r="A491" t="s">
        <v>486</v>
      </c>
      <c r="B491" s="2">
        <v>5.4562233796296294E-2</v>
      </c>
      <c r="C491" s="2">
        <v>5.4550659722222221E-2</v>
      </c>
      <c r="D491" s="2">
        <v>5.4573807870370368E-2</v>
      </c>
      <c r="E491" t="s">
        <v>51</v>
      </c>
      <c r="F491" t="s">
        <v>402</v>
      </c>
      <c r="G491">
        <v>0.67265193370165699</v>
      </c>
      <c r="H491">
        <v>0.193965517241379</v>
      </c>
    </row>
    <row r="492" spans="1:8" x14ac:dyDescent="0.3">
      <c r="A492" t="s">
        <v>487</v>
      </c>
      <c r="B492" s="2">
        <v>5.5238020833333332E-2</v>
      </c>
      <c r="C492" s="2">
        <v>5.5226446759259258E-2</v>
      </c>
      <c r="D492" s="2">
        <v>5.5249594907407405E-2</v>
      </c>
      <c r="E492" t="s">
        <v>198</v>
      </c>
      <c r="F492" t="s">
        <v>400</v>
      </c>
      <c r="G492">
        <v>0.85497237569060802</v>
      </c>
      <c r="H492">
        <v>0.92241379310344829</v>
      </c>
    </row>
    <row r="493" spans="1:8" x14ac:dyDescent="0.3">
      <c r="A493" t="s">
        <v>489</v>
      </c>
      <c r="B493" s="2">
        <v>5.6511516203703704E-2</v>
      </c>
      <c r="C493" s="2">
        <v>5.6499942129629631E-2</v>
      </c>
      <c r="D493" s="2">
        <v>5.6523090277777778E-2</v>
      </c>
      <c r="E493" t="s">
        <v>38</v>
      </c>
      <c r="F493" t="s">
        <v>400</v>
      </c>
      <c r="G493">
        <v>0.41574585635359101</v>
      </c>
      <c r="H493">
        <v>0.74137931034482807</v>
      </c>
    </row>
    <row r="494" spans="1:8" x14ac:dyDescent="0.3">
      <c r="A494" t="s">
        <v>490</v>
      </c>
      <c r="B494" s="2">
        <v>5.6632500000000002E-2</v>
      </c>
      <c r="C494" s="2">
        <v>5.6620925925925929E-2</v>
      </c>
      <c r="D494" s="2">
        <v>5.6644074074074076E-2</v>
      </c>
      <c r="E494" t="s">
        <v>67</v>
      </c>
      <c r="F494" t="s">
        <v>402</v>
      </c>
      <c r="G494">
        <v>7.8729281767955794E-2</v>
      </c>
      <c r="H494">
        <v>0.90086206896551724</v>
      </c>
    </row>
    <row r="495" spans="1:8" x14ac:dyDescent="0.3">
      <c r="A495" t="s">
        <v>491</v>
      </c>
      <c r="B495" s="2">
        <v>5.6898078703703704E-2</v>
      </c>
      <c r="C495" s="2">
        <v>5.6886504629629631E-2</v>
      </c>
      <c r="D495" s="2">
        <v>5.6909652777777778E-2</v>
      </c>
      <c r="E495" t="s">
        <v>264</v>
      </c>
      <c r="F495" t="s">
        <v>400</v>
      </c>
      <c r="G495">
        <v>5.1104972375690602E-2</v>
      </c>
      <c r="H495">
        <v>0.806034482758621</v>
      </c>
    </row>
    <row r="496" spans="1:8" x14ac:dyDescent="0.3">
      <c r="A496" t="s">
        <v>492</v>
      </c>
      <c r="B496" s="2">
        <v>5.857023148148148E-2</v>
      </c>
      <c r="C496" s="2">
        <v>5.8558657407407406E-2</v>
      </c>
      <c r="D496" s="2">
        <v>5.8581805555555554E-2</v>
      </c>
      <c r="E496" t="s">
        <v>264</v>
      </c>
      <c r="F496" t="s">
        <v>400</v>
      </c>
      <c r="G496">
        <v>0.85220994475138101</v>
      </c>
      <c r="H496">
        <v>0.61637931034482807</v>
      </c>
    </row>
    <row r="497" spans="1:9" x14ac:dyDescent="0.3">
      <c r="A497" t="s">
        <v>493</v>
      </c>
      <c r="B497" s="2">
        <v>5.9803009259259257E-2</v>
      </c>
      <c r="C497" s="2">
        <v>5.9791435185185184E-2</v>
      </c>
      <c r="D497" s="2">
        <v>5.9814583333333331E-2</v>
      </c>
      <c r="E497" t="s">
        <v>44</v>
      </c>
      <c r="F497" t="s">
        <v>402</v>
      </c>
      <c r="G497">
        <v>0.70580110497237603</v>
      </c>
      <c r="H497">
        <v>0.25862068965517204</v>
      </c>
    </row>
    <row r="498" spans="1:9" x14ac:dyDescent="0.3">
      <c r="A498" t="s">
        <v>494</v>
      </c>
      <c r="B498" s="2">
        <v>5.9832337962962966E-2</v>
      </c>
      <c r="C498" s="2">
        <v>5.9820763888888892E-2</v>
      </c>
      <c r="D498" s="2">
        <v>5.9843912037037039E-2</v>
      </c>
      <c r="E498" t="s">
        <v>38</v>
      </c>
      <c r="F498" t="s">
        <v>400</v>
      </c>
      <c r="G498">
        <v>0.66712707182320397</v>
      </c>
      <c r="H498">
        <v>0.24137931034482796</v>
      </c>
    </row>
    <row r="499" spans="1:9" x14ac:dyDescent="0.3">
      <c r="A499" t="s">
        <v>495</v>
      </c>
      <c r="B499" s="2">
        <v>6.0406631944444442E-2</v>
      </c>
      <c r="C499" s="2">
        <v>6.0395057870370368E-2</v>
      </c>
      <c r="D499" s="2">
        <v>6.0418206018518515E-2</v>
      </c>
      <c r="E499" t="s">
        <v>67</v>
      </c>
      <c r="F499" t="s">
        <v>400</v>
      </c>
      <c r="G499">
        <v>0.274861878453039</v>
      </c>
      <c r="H499">
        <v>0.806034482758621</v>
      </c>
    </row>
    <row r="500" spans="1:9" x14ac:dyDescent="0.3">
      <c r="A500" t="s">
        <v>496</v>
      </c>
      <c r="B500" s="2">
        <v>6.1074050925925924E-2</v>
      </c>
      <c r="C500" s="2">
        <v>6.106247685185185E-2</v>
      </c>
      <c r="D500" s="2">
        <v>6.1085624999999998E-2</v>
      </c>
      <c r="E500" t="s">
        <v>198</v>
      </c>
      <c r="F500" t="s">
        <v>400</v>
      </c>
      <c r="G500">
        <v>8.7016574585635401E-2</v>
      </c>
      <c r="H500">
        <v>0.54310344827586199</v>
      </c>
    </row>
    <row r="501" spans="1:9" x14ac:dyDescent="0.3">
      <c r="A501" t="s">
        <v>497</v>
      </c>
      <c r="B501" s="2">
        <v>6.171553240740741E-2</v>
      </c>
      <c r="C501" s="2">
        <v>6.1703958333333336E-2</v>
      </c>
      <c r="D501" s="2">
        <v>6.1727106481481483E-2</v>
      </c>
      <c r="E501" t="s">
        <v>264</v>
      </c>
      <c r="F501" t="s">
        <v>402</v>
      </c>
      <c r="G501">
        <v>0.80524861878453002</v>
      </c>
      <c r="H501">
        <v>3.0172413793102981E-2</v>
      </c>
    </row>
    <row r="502" spans="1:9" x14ac:dyDescent="0.3">
      <c r="A502" t="s">
        <v>498</v>
      </c>
      <c r="B502" s="2">
        <v>6.2926562500000005E-2</v>
      </c>
      <c r="C502" s="2">
        <v>6.2914988425925925E-2</v>
      </c>
      <c r="D502" s="2">
        <v>6.2938136574074072E-2</v>
      </c>
      <c r="E502" t="s">
        <v>46</v>
      </c>
      <c r="F502" t="s">
        <v>402</v>
      </c>
      <c r="G502">
        <v>0.16988950276243101</v>
      </c>
      <c r="H502">
        <v>0.94396551724137934</v>
      </c>
    </row>
    <row r="503" spans="1:9" x14ac:dyDescent="0.3">
      <c r="A503" t="s">
        <v>499</v>
      </c>
      <c r="B503" s="2">
        <v>6.3337523148148153E-2</v>
      </c>
      <c r="C503" s="2">
        <v>6.3325949074074073E-2</v>
      </c>
      <c r="D503" s="2">
        <v>6.334909722222222E-2</v>
      </c>
      <c r="E503" t="s">
        <v>264</v>
      </c>
      <c r="F503" t="s">
        <v>402</v>
      </c>
      <c r="G503">
        <v>0.374309392265193</v>
      </c>
      <c r="H503">
        <v>7.7586206896552046E-2</v>
      </c>
    </row>
    <row r="504" spans="1:9" x14ac:dyDescent="0.3">
      <c r="A504" t="s">
        <v>500</v>
      </c>
      <c r="B504" s="2">
        <v>6.5212731481481476E-2</v>
      </c>
      <c r="C504" s="2">
        <v>6.5201157407407409E-2</v>
      </c>
      <c r="D504" s="2">
        <v>6.5224305555555556E-2</v>
      </c>
      <c r="E504" t="s">
        <v>67</v>
      </c>
      <c r="F504" t="s">
        <v>402</v>
      </c>
      <c r="G504">
        <v>3.4530386740331501E-2</v>
      </c>
      <c r="H504">
        <v>0.875</v>
      </c>
    </row>
    <row r="505" spans="1:9" x14ac:dyDescent="0.3">
      <c r="A505" t="s">
        <v>501</v>
      </c>
      <c r="B505" s="2">
        <v>6.5282199074074079E-2</v>
      </c>
      <c r="C505" s="2">
        <v>6.5270624999999999E-2</v>
      </c>
      <c r="D505" s="2">
        <v>6.5293773148148146E-2</v>
      </c>
      <c r="E505" t="s">
        <v>44</v>
      </c>
      <c r="F505" t="s">
        <v>402</v>
      </c>
      <c r="G505">
        <v>0.12845303867403299</v>
      </c>
      <c r="H505">
        <v>0.78879310344827602</v>
      </c>
    </row>
    <row r="506" spans="1:9" x14ac:dyDescent="0.3">
      <c r="A506" t="s">
        <v>502</v>
      </c>
      <c r="B506" s="2">
        <v>6.631923611111111E-2</v>
      </c>
      <c r="C506" s="2">
        <v>6.6307662037037043E-2</v>
      </c>
      <c r="D506" s="2">
        <v>6.6330810185185191E-2</v>
      </c>
      <c r="E506" t="s">
        <v>51</v>
      </c>
      <c r="F506" t="s">
        <v>402</v>
      </c>
      <c r="G506">
        <v>0.54281767955801097</v>
      </c>
      <c r="H506">
        <v>0.98706896551724144</v>
      </c>
    </row>
    <row r="507" spans="1:9" x14ac:dyDescent="0.3">
      <c r="A507" t="s">
        <v>503</v>
      </c>
      <c r="B507" s="2">
        <v>6.6618495370370373E-2</v>
      </c>
      <c r="C507" s="2">
        <v>6.6606921296296293E-2</v>
      </c>
      <c r="D507" s="2">
        <v>6.663006944444444E-2</v>
      </c>
      <c r="E507" t="s">
        <v>44</v>
      </c>
      <c r="F507" t="s">
        <v>402</v>
      </c>
      <c r="G507">
        <v>0.37707182320442001</v>
      </c>
      <c r="H507">
        <v>0.93965517241379315</v>
      </c>
    </row>
    <row r="508" spans="1:9" x14ac:dyDescent="0.3">
      <c r="A508" t="s">
        <v>504</v>
      </c>
      <c r="B508" s="2">
        <v>6.7209004629629629E-2</v>
      </c>
      <c r="C508" s="2">
        <v>6.7197430555555562E-2</v>
      </c>
      <c r="D508" s="2">
        <v>6.7220578703703709E-2</v>
      </c>
      <c r="E508" t="s">
        <v>44</v>
      </c>
      <c r="F508" t="s">
        <v>400</v>
      </c>
      <c r="G508">
        <v>0.58977900552486195</v>
      </c>
      <c r="H508">
        <v>0.806034482758621</v>
      </c>
    </row>
    <row r="510" spans="1:9" ht="23.4" x14ac:dyDescent="0.45">
      <c r="A510" s="43" t="s">
        <v>505</v>
      </c>
      <c r="B510" s="44"/>
      <c r="C510" s="44"/>
      <c r="D510" s="44"/>
      <c r="G510" s="45" t="s">
        <v>15</v>
      </c>
      <c r="H510" s="45" t="s">
        <v>15</v>
      </c>
    </row>
    <row r="511" spans="1:9" x14ac:dyDescent="0.3">
      <c r="A511" s="1" t="s">
        <v>16</v>
      </c>
      <c r="B511" s="1" t="s">
        <v>17</v>
      </c>
      <c r="C511" s="1" t="s">
        <v>18</v>
      </c>
      <c r="D511" s="1" t="s">
        <v>19</v>
      </c>
      <c r="E511" s="1" t="s">
        <v>21</v>
      </c>
      <c r="F511" s="1" t="s">
        <v>22</v>
      </c>
      <c r="G511" s="1" t="s">
        <v>23</v>
      </c>
      <c r="H511" s="1" t="s">
        <v>24</v>
      </c>
      <c r="I511" s="1"/>
    </row>
    <row r="512" spans="1:9" x14ac:dyDescent="0.3">
      <c r="A512" t="s">
        <v>506</v>
      </c>
      <c r="B512" s="2">
        <v>1.9960300925925926E-3</v>
      </c>
      <c r="C512" s="2">
        <v>1.9844560185185186E-3</v>
      </c>
      <c r="D512" s="2">
        <v>2.0076041666666667E-3</v>
      </c>
      <c r="E512" t="s">
        <v>40</v>
      </c>
      <c r="F512" t="s">
        <v>402</v>
      </c>
      <c r="G512">
        <v>3.7292817679557999E-2</v>
      </c>
      <c r="H512">
        <v>0.49568965517241403</v>
      </c>
    </row>
    <row r="513" spans="1:8" x14ac:dyDescent="0.3">
      <c r="A513" t="s">
        <v>507</v>
      </c>
      <c r="B513" s="2">
        <v>5.0035185185185183E-3</v>
      </c>
      <c r="C513" s="2">
        <v>4.9919444444444447E-3</v>
      </c>
      <c r="D513" s="2">
        <v>5.0150925925925927E-3</v>
      </c>
      <c r="E513" t="s">
        <v>51</v>
      </c>
      <c r="F513" t="s">
        <v>400</v>
      </c>
      <c r="G513">
        <v>0.55386740331491702</v>
      </c>
      <c r="H513">
        <v>0.79741379310344795</v>
      </c>
    </row>
    <row r="514" spans="1:8" x14ac:dyDescent="0.3">
      <c r="A514" t="s">
        <v>508</v>
      </c>
      <c r="B514" s="2">
        <v>7.4185185185185187E-3</v>
      </c>
      <c r="C514" s="2">
        <v>7.4069444444444443E-3</v>
      </c>
      <c r="D514" s="2">
        <v>7.4300925925925923E-3</v>
      </c>
      <c r="E514" t="s">
        <v>38</v>
      </c>
      <c r="F514" t="s">
        <v>400</v>
      </c>
      <c r="G514">
        <v>0.46546961325966901</v>
      </c>
      <c r="H514">
        <v>0.42241379310344795</v>
      </c>
    </row>
    <row r="515" spans="1:8" x14ac:dyDescent="0.3">
      <c r="A515" t="s">
        <v>509</v>
      </c>
      <c r="B515" s="2">
        <v>1.1456469907407408E-2</v>
      </c>
      <c r="C515" s="2">
        <v>1.1444895833333333E-2</v>
      </c>
      <c r="D515" s="2">
        <v>1.1468043981481482E-2</v>
      </c>
      <c r="E515" t="s">
        <v>67</v>
      </c>
      <c r="F515" t="s">
        <v>400</v>
      </c>
      <c r="G515">
        <v>4.28176795580111E-2</v>
      </c>
      <c r="H515">
        <v>0.625</v>
      </c>
    </row>
    <row r="516" spans="1:8" x14ac:dyDescent="0.3">
      <c r="A516" t="s">
        <v>510</v>
      </c>
      <c r="B516" s="2">
        <v>1.2412002314814815E-2</v>
      </c>
      <c r="C516" s="2">
        <v>1.2400428240740741E-2</v>
      </c>
      <c r="D516" s="2">
        <v>1.2423576388888889E-2</v>
      </c>
      <c r="E516" t="s">
        <v>32</v>
      </c>
      <c r="F516" t="s">
        <v>400</v>
      </c>
      <c r="G516">
        <v>0.56767955801104997</v>
      </c>
      <c r="H516">
        <v>0.72413793103448298</v>
      </c>
    </row>
    <row r="517" spans="1:8" x14ac:dyDescent="0.3">
      <c r="A517" t="s">
        <v>511</v>
      </c>
      <c r="B517" s="2">
        <v>1.7751990740740742E-2</v>
      </c>
      <c r="C517" s="2">
        <v>1.7740416666666668E-2</v>
      </c>
      <c r="D517" s="2">
        <v>1.7763564814814815E-2</v>
      </c>
      <c r="E517" t="s">
        <v>46</v>
      </c>
      <c r="F517" t="s">
        <v>400</v>
      </c>
      <c r="G517">
        <v>0.14502762430939201</v>
      </c>
      <c r="H517">
        <v>0.39655172413793105</v>
      </c>
    </row>
    <row r="518" spans="1:8" x14ac:dyDescent="0.3">
      <c r="A518" t="s">
        <v>512</v>
      </c>
      <c r="B518" s="2">
        <v>1.8529050925925925E-2</v>
      </c>
      <c r="C518" s="2">
        <v>1.8517476851851851E-2</v>
      </c>
      <c r="D518" s="2">
        <v>1.8540625000000002E-2</v>
      </c>
      <c r="E518" t="s">
        <v>32</v>
      </c>
      <c r="F518" t="s">
        <v>400</v>
      </c>
      <c r="G518">
        <v>0.46823204419889503</v>
      </c>
      <c r="H518">
        <v>0.556034482758621</v>
      </c>
    </row>
    <row r="519" spans="1:8" x14ac:dyDescent="0.3">
      <c r="A519" t="s">
        <v>513</v>
      </c>
      <c r="B519" s="2">
        <v>1.9630555555555554E-2</v>
      </c>
      <c r="C519" s="2">
        <v>1.961898148148148E-2</v>
      </c>
      <c r="D519" s="2">
        <v>1.9642129629629631E-2</v>
      </c>
      <c r="E519" t="s">
        <v>67</v>
      </c>
      <c r="F519" t="s">
        <v>402</v>
      </c>
      <c r="G519">
        <v>0.219613259668508</v>
      </c>
      <c r="H519">
        <v>0.67241379310344795</v>
      </c>
    </row>
    <row r="520" spans="1:8" x14ac:dyDescent="0.3">
      <c r="A520" t="s">
        <v>514</v>
      </c>
      <c r="B520" s="2">
        <v>2.2379502314814816E-2</v>
      </c>
      <c r="C520" s="2">
        <v>2.2367928240740742E-2</v>
      </c>
      <c r="D520" s="2">
        <v>2.2391076388888889E-2</v>
      </c>
      <c r="E520" t="s">
        <v>30</v>
      </c>
      <c r="F520" t="s">
        <v>402</v>
      </c>
      <c r="G520">
        <v>0.16436464088397801</v>
      </c>
      <c r="H520">
        <v>3.8793103448276023E-2</v>
      </c>
    </row>
    <row r="521" spans="1:8" x14ac:dyDescent="0.3">
      <c r="A521" t="s">
        <v>516</v>
      </c>
      <c r="B521" s="2">
        <v>2.4533564814814814E-2</v>
      </c>
      <c r="C521" s="2">
        <v>2.452199074074074E-2</v>
      </c>
      <c r="D521" s="2">
        <v>2.4545138888888887E-2</v>
      </c>
      <c r="E521" t="s">
        <v>67</v>
      </c>
      <c r="F521" t="s">
        <v>402</v>
      </c>
      <c r="G521">
        <v>0.62845303867403302</v>
      </c>
      <c r="H521">
        <v>0.75862068965517193</v>
      </c>
    </row>
    <row r="522" spans="1:8" x14ac:dyDescent="0.3">
      <c r="A522" t="s">
        <v>517</v>
      </c>
      <c r="B522" s="2">
        <v>2.9533148148148149E-2</v>
      </c>
      <c r="C522" s="2">
        <v>2.9521574074074075E-2</v>
      </c>
      <c r="D522" s="2">
        <v>2.9544722222222222E-2</v>
      </c>
      <c r="E522" t="s">
        <v>30</v>
      </c>
      <c r="F522" t="s">
        <v>400</v>
      </c>
      <c r="G522">
        <v>7.0441988950276202E-2</v>
      </c>
      <c r="H522">
        <v>0.39224137931034497</v>
      </c>
    </row>
    <row r="523" spans="1:8" x14ac:dyDescent="0.3">
      <c r="A523" t="s">
        <v>518</v>
      </c>
      <c r="B523" s="2">
        <v>2.9988807870370369E-2</v>
      </c>
      <c r="C523" s="2">
        <v>2.9977233796296295E-2</v>
      </c>
      <c r="D523" s="2">
        <v>3.0000381944444446E-2</v>
      </c>
      <c r="E523" t="s">
        <v>67</v>
      </c>
      <c r="F523" t="s">
        <v>402</v>
      </c>
      <c r="G523">
        <v>4.5580110497237598E-2</v>
      </c>
      <c r="H523">
        <v>0.58189655172413801</v>
      </c>
    </row>
    <row r="524" spans="1:8" x14ac:dyDescent="0.3">
      <c r="A524" t="s">
        <v>519</v>
      </c>
      <c r="B524" s="2">
        <v>3.6597997685185187E-2</v>
      </c>
      <c r="C524" s="2">
        <v>3.6586423611111113E-2</v>
      </c>
      <c r="D524" s="2">
        <v>3.660957175925926E-2</v>
      </c>
      <c r="E524" t="s">
        <v>46</v>
      </c>
      <c r="F524" t="s">
        <v>400</v>
      </c>
      <c r="G524">
        <v>7.5966850828729296E-2</v>
      </c>
      <c r="H524">
        <v>0.35344827586206895</v>
      </c>
    </row>
    <row r="525" spans="1:8" x14ac:dyDescent="0.3">
      <c r="A525" t="s">
        <v>520</v>
      </c>
      <c r="B525" s="2">
        <v>3.8452604166666668E-2</v>
      </c>
      <c r="C525" s="2">
        <v>3.8441030092592594E-2</v>
      </c>
      <c r="D525" s="2">
        <v>3.8464178240740741E-2</v>
      </c>
      <c r="E525" t="s">
        <v>32</v>
      </c>
      <c r="F525" t="s">
        <v>402</v>
      </c>
      <c r="G525">
        <v>0.59254143646408797</v>
      </c>
      <c r="H525">
        <v>0.48706896551724099</v>
      </c>
    </row>
    <row r="526" spans="1:8" x14ac:dyDescent="0.3">
      <c r="A526" t="s">
        <v>521</v>
      </c>
      <c r="B526" s="2">
        <v>3.8701458333333334E-2</v>
      </c>
      <c r="C526" s="2">
        <v>3.8689884259259261E-2</v>
      </c>
      <c r="D526" s="2">
        <v>3.8713032407407408E-2</v>
      </c>
      <c r="E526" t="s">
        <v>40</v>
      </c>
      <c r="F526" t="s">
        <v>402</v>
      </c>
      <c r="G526">
        <v>0.551104972375691</v>
      </c>
      <c r="H526">
        <v>0.79741379310344795</v>
      </c>
    </row>
    <row r="527" spans="1:8" x14ac:dyDescent="0.3">
      <c r="A527" t="s">
        <v>522</v>
      </c>
      <c r="B527" s="2">
        <v>4.0521701388888887E-2</v>
      </c>
      <c r="C527" s="2">
        <v>4.0510127314814813E-2</v>
      </c>
      <c r="D527" s="2">
        <v>4.053327546296296E-2</v>
      </c>
      <c r="E527" t="s">
        <v>38</v>
      </c>
      <c r="F527" t="s">
        <v>402</v>
      </c>
      <c r="G527">
        <v>4.28176795580111E-2</v>
      </c>
      <c r="H527">
        <v>0.443965517241379</v>
      </c>
    </row>
    <row r="528" spans="1:8" x14ac:dyDescent="0.3">
      <c r="A528" t="s">
        <v>523</v>
      </c>
      <c r="B528" s="2">
        <v>4.0947002314814816E-2</v>
      </c>
      <c r="C528" s="2">
        <v>4.0935428240740743E-2</v>
      </c>
      <c r="D528" s="2">
        <v>4.095857638888889E-2</v>
      </c>
      <c r="E528" t="s">
        <v>198</v>
      </c>
      <c r="F528" t="s">
        <v>402</v>
      </c>
      <c r="G528">
        <v>0.51519337016574596</v>
      </c>
      <c r="H528">
        <v>0.39655172413793105</v>
      </c>
    </row>
    <row r="529" spans="1:9" x14ac:dyDescent="0.3">
      <c r="A529" t="s">
        <v>524</v>
      </c>
      <c r="B529" s="2">
        <v>4.0980717592592593E-2</v>
      </c>
      <c r="C529" s="2">
        <v>4.0969143518518519E-2</v>
      </c>
      <c r="D529" s="2">
        <v>4.0992291666666666E-2</v>
      </c>
      <c r="E529" t="s">
        <v>51</v>
      </c>
      <c r="F529" t="s">
        <v>400</v>
      </c>
      <c r="G529">
        <v>0.65607734806629803</v>
      </c>
      <c r="H529">
        <v>7.3275862068965969E-2</v>
      </c>
    </row>
    <row r="530" spans="1:9" x14ac:dyDescent="0.3">
      <c r="A530" t="s">
        <v>525</v>
      </c>
      <c r="B530" s="2">
        <v>5.0348125000000001E-2</v>
      </c>
      <c r="C530" s="2">
        <v>5.0336550925925927E-2</v>
      </c>
      <c r="D530" s="2">
        <v>5.0359699074074074E-2</v>
      </c>
      <c r="E530" t="s">
        <v>32</v>
      </c>
      <c r="F530" t="s">
        <v>400</v>
      </c>
      <c r="G530">
        <v>0.77209944751381199</v>
      </c>
      <c r="H530">
        <v>0.57758620689655205</v>
      </c>
    </row>
    <row r="531" spans="1:9" x14ac:dyDescent="0.3">
      <c r="A531" t="s">
        <v>526</v>
      </c>
      <c r="B531" s="2">
        <v>5.4344386574074074E-2</v>
      </c>
      <c r="C531" s="2">
        <v>5.4332812500000001E-2</v>
      </c>
      <c r="D531" s="2">
        <v>5.4355960648148148E-2</v>
      </c>
      <c r="E531" t="s">
        <v>38</v>
      </c>
      <c r="F531" t="s">
        <v>402</v>
      </c>
      <c r="G531">
        <v>0.600828729281768</v>
      </c>
      <c r="H531">
        <v>0.36637931034482796</v>
      </c>
    </row>
    <row r="532" spans="1:9" x14ac:dyDescent="0.3">
      <c r="A532" t="s">
        <v>527</v>
      </c>
      <c r="B532" s="2">
        <v>5.4453310185185184E-2</v>
      </c>
      <c r="C532" s="2">
        <v>5.4441736111111111E-2</v>
      </c>
      <c r="D532" s="2">
        <v>5.4464884259259258E-2</v>
      </c>
      <c r="E532" t="s">
        <v>58</v>
      </c>
      <c r="F532" t="s">
        <v>400</v>
      </c>
      <c r="G532">
        <v>0.28867403314917101</v>
      </c>
      <c r="H532">
        <v>0.193965517241379</v>
      </c>
    </row>
    <row r="533" spans="1:9" x14ac:dyDescent="0.3">
      <c r="A533" t="s">
        <v>528</v>
      </c>
      <c r="B533" s="2">
        <v>5.9431145833333331E-2</v>
      </c>
      <c r="C533" s="2">
        <v>5.9419571759259257E-2</v>
      </c>
      <c r="D533" s="2">
        <v>5.9442719907407404E-2</v>
      </c>
      <c r="E533" t="s">
        <v>198</v>
      </c>
      <c r="F533" t="s">
        <v>402</v>
      </c>
      <c r="G533">
        <v>0.61464088397790095</v>
      </c>
      <c r="H533">
        <v>0.21120689655172398</v>
      </c>
    </row>
    <row r="534" spans="1:9" x14ac:dyDescent="0.3">
      <c r="A534" t="s">
        <v>529</v>
      </c>
      <c r="B534" s="2">
        <v>6.0314502314814812E-2</v>
      </c>
      <c r="C534" s="2">
        <v>6.0302928240740739E-2</v>
      </c>
      <c r="D534" s="2">
        <v>6.0326076388888886E-2</v>
      </c>
      <c r="E534" t="s">
        <v>67</v>
      </c>
      <c r="F534" t="s">
        <v>402</v>
      </c>
      <c r="G534">
        <v>0.41574585635359101</v>
      </c>
      <c r="H534">
        <v>0.88362068965517204</v>
      </c>
    </row>
    <row r="535" spans="1:9" x14ac:dyDescent="0.3">
      <c r="A535" t="s">
        <v>530</v>
      </c>
      <c r="B535" s="2">
        <v>6.0347430555555553E-2</v>
      </c>
      <c r="C535" s="2">
        <v>6.033585648148148E-2</v>
      </c>
      <c r="D535" s="2">
        <v>6.0359004629629627E-2</v>
      </c>
      <c r="E535" t="s">
        <v>44</v>
      </c>
      <c r="F535" t="s">
        <v>400</v>
      </c>
      <c r="G535">
        <v>0.44613259668508298</v>
      </c>
      <c r="H535">
        <v>0.71551724137931005</v>
      </c>
    </row>
    <row r="536" spans="1:9" x14ac:dyDescent="0.3">
      <c r="A536" t="s">
        <v>531</v>
      </c>
      <c r="B536" s="2">
        <v>6.8896770833333329E-2</v>
      </c>
      <c r="C536" s="2">
        <v>6.8885196759259262E-2</v>
      </c>
      <c r="D536" s="2">
        <v>6.8908344907407409E-2</v>
      </c>
      <c r="E536" t="s">
        <v>198</v>
      </c>
      <c r="F536" t="s">
        <v>402</v>
      </c>
      <c r="G536">
        <v>0.55662983425414403</v>
      </c>
      <c r="H536">
        <v>0.35775862068965503</v>
      </c>
    </row>
    <row r="538" spans="1:9" ht="23.4" x14ac:dyDescent="0.45">
      <c r="A538" s="43" t="s">
        <v>532</v>
      </c>
      <c r="B538" s="44"/>
      <c r="C538" s="44"/>
      <c r="D538" s="44"/>
      <c r="G538" s="45" t="s">
        <v>15</v>
      </c>
      <c r="H538" s="45" t="s">
        <v>15</v>
      </c>
    </row>
    <row r="539" spans="1:9" x14ac:dyDescent="0.3">
      <c r="A539" s="1" t="s">
        <v>16</v>
      </c>
      <c r="B539" s="1" t="s">
        <v>17</v>
      </c>
      <c r="C539" s="1" t="s">
        <v>18</v>
      </c>
      <c r="D539" s="1" t="s">
        <v>19</v>
      </c>
      <c r="E539" s="1" t="s">
        <v>21</v>
      </c>
      <c r="F539" s="1" t="s">
        <v>22</v>
      </c>
      <c r="G539" s="1" t="s">
        <v>23</v>
      </c>
      <c r="H539" s="1" t="s">
        <v>24</v>
      </c>
      <c r="I539" s="1"/>
    </row>
    <row r="540" spans="1:9" x14ac:dyDescent="0.3">
      <c r="A540" t="s">
        <v>533</v>
      </c>
      <c r="B540" s="2">
        <v>3.1226967592592591E-3</v>
      </c>
      <c r="C540" s="2">
        <v>3.0995486111111111E-3</v>
      </c>
      <c r="D540" s="2">
        <v>3.1342708333333335E-3</v>
      </c>
      <c r="E540" t="s">
        <v>42</v>
      </c>
      <c r="F540" t="s">
        <v>34</v>
      </c>
      <c r="G540">
        <v>0.88535911602209905</v>
      </c>
      <c r="H540">
        <v>0.125</v>
      </c>
    </row>
    <row r="541" spans="1:9" x14ac:dyDescent="0.3">
      <c r="A541" t="s">
        <v>534</v>
      </c>
      <c r="B541" s="2">
        <v>9.5770370370370367E-3</v>
      </c>
      <c r="C541" s="2">
        <v>9.5538888888888895E-3</v>
      </c>
      <c r="D541" s="2">
        <v>9.5886111111111103E-3</v>
      </c>
      <c r="E541" t="s">
        <v>51</v>
      </c>
      <c r="F541" t="s">
        <v>34</v>
      </c>
      <c r="G541">
        <v>0.91850828729281797</v>
      </c>
      <c r="H541">
        <v>0.81034482758620696</v>
      </c>
    </row>
    <row r="542" spans="1:9" x14ac:dyDescent="0.3">
      <c r="A542" t="s">
        <v>535</v>
      </c>
      <c r="B542" s="2">
        <v>3.0867534722222222E-2</v>
      </c>
      <c r="C542" s="2">
        <v>3.0844386574074074E-2</v>
      </c>
      <c r="D542" s="2">
        <v>3.0879108796296295E-2</v>
      </c>
      <c r="E542" t="s">
        <v>30</v>
      </c>
      <c r="F542" t="s">
        <v>34</v>
      </c>
      <c r="G542">
        <v>0.76657458563535896</v>
      </c>
      <c r="H542">
        <v>3.0172413793102981E-2</v>
      </c>
    </row>
    <row r="543" spans="1:9" x14ac:dyDescent="0.3">
      <c r="A543" t="s">
        <v>536</v>
      </c>
      <c r="B543" s="2">
        <v>4.1079282407407408E-2</v>
      </c>
      <c r="C543" s="2">
        <v>4.1056134259259261E-2</v>
      </c>
      <c r="D543" s="2">
        <v>4.1090856481481482E-2</v>
      </c>
      <c r="E543" t="s">
        <v>38</v>
      </c>
      <c r="F543" t="s">
        <v>34</v>
      </c>
      <c r="G543">
        <v>0.76381215469613295</v>
      </c>
      <c r="H543">
        <v>3.4482758620689946E-2</v>
      </c>
    </row>
    <row r="544" spans="1:9" x14ac:dyDescent="0.3">
      <c r="A544" t="s">
        <v>537</v>
      </c>
      <c r="B544" s="2">
        <v>5.4963796296296295E-2</v>
      </c>
      <c r="C544" s="2">
        <v>5.4940648148148148E-2</v>
      </c>
      <c r="D544" s="2">
        <v>5.4975370370370369E-2</v>
      </c>
      <c r="E544" t="s">
        <v>42</v>
      </c>
      <c r="F544" t="s">
        <v>34</v>
      </c>
      <c r="G544">
        <v>0.99309392265193397</v>
      </c>
      <c r="H544">
        <v>8.6206896551720424E-3</v>
      </c>
    </row>
    <row r="545" spans="1:8" x14ac:dyDescent="0.3">
      <c r="A545" t="s">
        <v>538</v>
      </c>
      <c r="B545" s="2">
        <v>5.543226851851852E-2</v>
      </c>
      <c r="C545" s="2">
        <v>5.5409120370370372E-2</v>
      </c>
      <c r="D545" s="2">
        <v>5.5443842592592593E-2</v>
      </c>
      <c r="E545" t="s">
        <v>42</v>
      </c>
      <c r="F545" t="s">
        <v>34</v>
      </c>
      <c r="G545">
        <v>0.97099447513812198</v>
      </c>
      <c r="H545">
        <v>0.88793103448275901</v>
      </c>
    </row>
    <row r="546" spans="1:8" x14ac:dyDescent="0.3">
      <c r="A546" t="s">
        <v>539</v>
      </c>
      <c r="B546" s="2">
        <v>5.5746736111111111E-2</v>
      </c>
      <c r="C546" s="2">
        <v>5.5723587962962964E-2</v>
      </c>
      <c r="D546" s="2">
        <v>5.5758310185185185E-2</v>
      </c>
      <c r="E546" t="s">
        <v>42</v>
      </c>
      <c r="F546" t="s">
        <v>28</v>
      </c>
      <c r="G546">
        <v>0.98756906077348094</v>
      </c>
      <c r="H546">
        <v>0.99137931034482762</v>
      </c>
    </row>
    <row r="547" spans="1:8" x14ac:dyDescent="0.3">
      <c r="A547" t="s">
        <v>540</v>
      </c>
      <c r="B547" s="2">
        <v>5.5794074074074072E-2</v>
      </c>
      <c r="C547" s="2">
        <v>5.5770925925925925E-2</v>
      </c>
      <c r="D547" s="2">
        <v>5.5805648148148146E-2</v>
      </c>
      <c r="E547" t="s">
        <v>38</v>
      </c>
      <c r="F547" t="s">
        <v>28</v>
      </c>
      <c r="G547">
        <v>0.89640883977900498</v>
      </c>
      <c r="H547">
        <v>0.21120689655172398</v>
      </c>
    </row>
    <row r="548" spans="1:8" x14ac:dyDescent="0.3">
      <c r="A548" t="s">
        <v>541</v>
      </c>
      <c r="B548" s="2">
        <v>5.764952546296296E-2</v>
      </c>
      <c r="C548" s="2">
        <v>5.7626377314814813E-2</v>
      </c>
      <c r="D548" s="2">
        <v>5.766109953703704E-2</v>
      </c>
      <c r="E548" t="s">
        <v>32</v>
      </c>
      <c r="F548" t="s">
        <v>34</v>
      </c>
      <c r="G548">
        <v>0.88812154696132595</v>
      </c>
      <c r="H548">
        <v>0.93965517241379315</v>
      </c>
    </row>
    <row r="549" spans="1:8" x14ac:dyDescent="0.3">
      <c r="A549" t="s">
        <v>542</v>
      </c>
      <c r="B549" s="2">
        <v>5.875454861111111E-2</v>
      </c>
      <c r="C549" s="2">
        <v>5.8731400462962963E-2</v>
      </c>
      <c r="D549" s="2">
        <v>5.8766122685185183E-2</v>
      </c>
      <c r="E549" t="s">
        <v>44</v>
      </c>
      <c r="F549" t="s">
        <v>34</v>
      </c>
      <c r="G549">
        <v>0.93784530386740295</v>
      </c>
      <c r="H549">
        <v>0.9181034482758621</v>
      </c>
    </row>
    <row r="550" spans="1:8" x14ac:dyDescent="0.3">
      <c r="A550" t="s">
        <v>543</v>
      </c>
      <c r="B550" s="2">
        <v>5.9004317129629627E-2</v>
      </c>
      <c r="C550" s="2">
        <v>5.898116898148148E-2</v>
      </c>
      <c r="D550" s="2">
        <v>5.9015891203703701E-2</v>
      </c>
      <c r="E550" t="s">
        <v>44</v>
      </c>
      <c r="F550" t="s">
        <v>34</v>
      </c>
      <c r="G550">
        <v>0.99033149171270696</v>
      </c>
      <c r="H550">
        <v>0.99568965517241381</v>
      </c>
    </row>
    <row r="551" spans="1:8" x14ac:dyDescent="0.3">
      <c r="A551" t="s">
        <v>544</v>
      </c>
      <c r="B551" s="2">
        <v>5.9746342592592594E-2</v>
      </c>
      <c r="C551" s="2">
        <v>5.9723194444444447E-2</v>
      </c>
      <c r="D551" s="2">
        <v>5.9757916666666668E-2</v>
      </c>
      <c r="E551" t="s">
        <v>32</v>
      </c>
      <c r="F551" t="s">
        <v>34</v>
      </c>
      <c r="G551">
        <v>0.82734806629834201</v>
      </c>
      <c r="H551">
        <v>6.8965517241379004E-2</v>
      </c>
    </row>
    <row r="552" spans="1:8" x14ac:dyDescent="0.3">
      <c r="A552" t="s">
        <v>545</v>
      </c>
      <c r="B552" s="2">
        <v>6.0010254629629632E-2</v>
      </c>
      <c r="C552" s="2">
        <v>5.9987106481481478E-2</v>
      </c>
      <c r="D552" s="2">
        <v>6.0021828703703706E-2</v>
      </c>
      <c r="E552" t="s">
        <v>67</v>
      </c>
      <c r="F552" t="s">
        <v>34</v>
      </c>
      <c r="G552">
        <v>0.91574585635359096</v>
      </c>
      <c r="H552">
        <v>0.9568965517241379</v>
      </c>
    </row>
    <row r="553" spans="1:8" x14ac:dyDescent="0.3">
      <c r="A553" t="s">
        <v>546</v>
      </c>
      <c r="B553" s="2">
        <v>6.1751111111111111E-2</v>
      </c>
      <c r="C553" s="2">
        <v>6.1727962962962964E-2</v>
      </c>
      <c r="D553" s="2">
        <v>6.1762685185185184E-2</v>
      </c>
      <c r="E553" t="s">
        <v>264</v>
      </c>
      <c r="F553" t="s">
        <v>34</v>
      </c>
      <c r="G553">
        <v>0.94060773480662996</v>
      </c>
      <c r="H553">
        <v>6.4655172413793038E-2</v>
      </c>
    </row>
    <row r="554" spans="1:8" x14ac:dyDescent="0.3">
      <c r="A554" t="s">
        <v>547</v>
      </c>
      <c r="B554" s="2">
        <v>6.2091041666666666E-2</v>
      </c>
      <c r="C554" s="2">
        <v>6.2067893518518519E-2</v>
      </c>
      <c r="D554" s="2">
        <v>6.2102615740740739E-2</v>
      </c>
      <c r="E554" t="s">
        <v>44</v>
      </c>
      <c r="F554" t="s">
        <v>34</v>
      </c>
      <c r="G554">
        <v>0.99309392265193397</v>
      </c>
      <c r="H554">
        <v>2.155172413793105E-2</v>
      </c>
    </row>
    <row r="555" spans="1:8" x14ac:dyDescent="0.3">
      <c r="A555" t="s">
        <v>548</v>
      </c>
      <c r="B555" s="2">
        <v>6.2217071759259258E-2</v>
      </c>
      <c r="C555" s="2">
        <v>6.2193923611111111E-2</v>
      </c>
      <c r="D555" s="2">
        <v>6.2228645833333332E-2</v>
      </c>
      <c r="E555" t="s">
        <v>198</v>
      </c>
      <c r="F555" t="s">
        <v>34</v>
      </c>
      <c r="G555">
        <v>0.82182320441988999</v>
      </c>
      <c r="H555">
        <v>0.875</v>
      </c>
    </row>
    <row r="556" spans="1:8" x14ac:dyDescent="0.3">
      <c r="A556" t="s">
        <v>549</v>
      </c>
      <c r="B556" s="2">
        <v>6.3836215277777775E-2</v>
      </c>
      <c r="C556" s="2">
        <v>6.3813067129629628E-2</v>
      </c>
      <c r="D556" s="2">
        <v>6.3847789351851855E-2</v>
      </c>
      <c r="E556" t="s">
        <v>51</v>
      </c>
      <c r="F556" t="s">
        <v>28</v>
      </c>
      <c r="G556">
        <v>0.91022099447513805</v>
      </c>
      <c r="H556">
        <v>0.83620689655172398</v>
      </c>
    </row>
    <row r="557" spans="1:8" x14ac:dyDescent="0.3">
      <c r="A557" t="s">
        <v>550</v>
      </c>
      <c r="B557" s="2">
        <v>6.4845821759259265E-2</v>
      </c>
      <c r="C557" s="2">
        <v>6.4822673611111117E-2</v>
      </c>
      <c r="D557" s="2">
        <v>6.4857395833333331E-2</v>
      </c>
      <c r="E557" t="s">
        <v>44</v>
      </c>
      <c r="F557" t="s">
        <v>34</v>
      </c>
      <c r="G557">
        <v>0.99309392265193397</v>
      </c>
      <c r="H557">
        <v>1.2931034482759007E-2</v>
      </c>
    </row>
    <row r="558" spans="1:8" x14ac:dyDescent="0.3">
      <c r="A558" t="s">
        <v>551</v>
      </c>
      <c r="B558" s="2">
        <v>6.7054201388888887E-2</v>
      </c>
      <c r="C558" s="2">
        <v>6.703105324074074E-2</v>
      </c>
      <c r="D558" s="2">
        <v>6.7065775462962968E-2</v>
      </c>
      <c r="E558" t="s">
        <v>51</v>
      </c>
      <c r="F558" t="s">
        <v>34</v>
      </c>
      <c r="G558">
        <v>0.97099447513812198</v>
      </c>
      <c r="H558">
        <v>0.73706896551724099</v>
      </c>
    </row>
    <row r="559" spans="1:8" x14ac:dyDescent="0.3">
      <c r="A559" t="s">
        <v>552</v>
      </c>
      <c r="B559" s="2">
        <v>6.8440902777777785E-2</v>
      </c>
      <c r="C559" s="2">
        <v>6.8417754629629624E-2</v>
      </c>
      <c r="D559" s="2">
        <v>6.8452476851851851E-2</v>
      </c>
      <c r="E559" t="s">
        <v>44</v>
      </c>
      <c r="F559" t="s">
        <v>34</v>
      </c>
      <c r="G559">
        <v>0.70580110497237603</v>
      </c>
      <c r="H559">
        <v>0.818965517241379</v>
      </c>
    </row>
    <row r="561" spans="1:8" ht="23.4" x14ac:dyDescent="0.45">
      <c r="A561" s="43" t="s">
        <v>553</v>
      </c>
      <c r="B561" s="44"/>
      <c r="C561" s="44"/>
      <c r="D561" s="44"/>
      <c r="F561" s="45" t="s">
        <v>15</v>
      </c>
      <c r="G561" s="45" t="s">
        <v>15</v>
      </c>
    </row>
    <row r="562" spans="1:8" x14ac:dyDescent="0.3">
      <c r="A562" s="1" t="s">
        <v>16</v>
      </c>
      <c r="B562" s="1" t="s">
        <v>17</v>
      </c>
      <c r="C562" s="1" t="s">
        <v>18</v>
      </c>
      <c r="D562" s="1" t="s">
        <v>19</v>
      </c>
      <c r="E562" s="1" t="s">
        <v>21</v>
      </c>
      <c r="F562" s="1" t="s">
        <v>23</v>
      </c>
      <c r="G562" s="1" t="s">
        <v>24</v>
      </c>
      <c r="H562" s="1"/>
    </row>
    <row r="563" spans="1:8" x14ac:dyDescent="0.3">
      <c r="A563" t="s">
        <v>554</v>
      </c>
      <c r="B563" s="2">
        <v>1.9175925925925925E-4</v>
      </c>
      <c r="C563" s="2">
        <v>1.8018518518518519E-4</v>
      </c>
      <c r="D563" s="2">
        <v>2.0333333333333333E-4</v>
      </c>
      <c r="E563" t="s">
        <v>67</v>
      </c>
      <c r="F563">
        <v>0.26058201058201103</v>
      </c>
      <c r="G563">
        <v>0.77685950413223104</v>
      </c>
    </row>
    <row r="564" spans="1:8" x14ac:dyDescent="0.3">
      <c r="A564" t="s">
        <v>555</v>
      </c>
      <c r="B564" s="2">
        <v>1.6356481481481482E-3</v>
      </c>
      <c r="C564" s="2">
        <v>1.624074074074074E-3</v>
      </c>
      <c r="D564" s="2">
        <v>1.6472222222222222E-3</v>
      </c>
      <c r="E564" t="s">
        <v>46</v>
      </c>
      <c r="F564">
        <v>2.2486772486772499E-2</v>
      </c>
      <c r="G564">
        <v>0.26859504132231404</v>
      </c>
    </row>
    <row r="565" spans="1:8" x14ac:dyDescent="0.3">
      <c r="A565" t="s">
        <v>556</v>
      </c>
      <c r="B565" s="2">
        <v>6.9583680555555553E-3</v>
      </c>
      <c r="C565" s="2">
        <v>6.9467939814814817E-3</v>
      </c>
      <c r="D565" s="2">
        <v>6.9699421296296298E-3</v>
      </c>
      <c r="E565" t="s">
        <v>58</v>
      </c>
      <c r="F565">
        <v>0.226190476190476</v>
      </c>
      <c r="G565">
        <v>0.30578512396694202</v>
      </c>
    </row>
    <row r="566" spans="1:8" x14ac:dyDescent="0.3">
      <c r="A566" t="s">
        <v>557</v>
      </c>
      <c r="B566" s="2">
        <v>9.365648148148149E-3</v>
      </c>
      <c r="C566" s="2">
        <v>9.3540740740740737E-3</v>
      </c>
      <c r="D566" s="2">
        <v>9.3772222222222226E-3</v>
      </c>
      <c r="E566" t="s">
        <v>46</v>
      </c>
      <c r="F566">
        <v>0.17328042328042301</v>
      </c>
      <c r="G566">
        <v>0.495867768595041</v>
      </c>
    </row>
    <row r="567" spans="1:8" x14ac:dyDescent="0.3">
      <c r="A567" t="s">
        <v>558</v>
      </c>
      <c r="B567" s="2">
        <v>9.7892708333333339E-3</v>
      </c>
      <c r="C567" s="2">
        <v>9.7776967592592585E-3</v>
      </c>
      <c r="D567" s="2">
        <v>9.8008449074074074E-3</v>
      </c>
      <c r="E567" t="s">
        <v>58</v>
      </c>
      <c r="F567">
        <v>0.24470899470899499</v>
      </c>
      <c r="G567">
        <v>0.669421487603306</v>
      </c>
    </row>
    <row r="568" spans="1:8" x14ac:dyDescent="0.3">
      <c r="A568" t="s">
        <v>559</v>
      </c>
      <c r="B568" s="2">
        <v>1.0031979166666666E-2</v>
      </c>
      <c r="C568" s="2">
        <v>1.0020405092592593E-2</v>
      </c>
      <c r="D568" s="2">
        <v>1.004355324074074E-2</v>
      </c>
      <c r="E568" t="s">
        <v>58</v>
      </c>
      <c r="F568">
        <v>0.191798941798942</v>
      </c>
      <c r="G568">
        <v>0.95867768595041325</v>
      </c>
    </row>
    <row r="569" spans="1:8" x14ac:dyDescent="0.3">
      <c r="A569" t="s">
        <v>560</v>
      </c>
      <c r="B569" s="2">
        <v>1.3934513888888889E-2</v>
      </c>
      <c r="C569" s="2">
        <v>1.3922939814814815E-2</v>
      </c>
      <c r="D569" s="2">
        <v>1.3946087962962962E-2</v>
      </c>
      <c r="E569" t="s">
        <v>58</v>
      </c>
      <c r="F569">
        <v>0.16005291005291</v>
      </c>
      <c r="G569">
        <v>0.57438016528925595</v>
      </c>
    </row>
    <row r="570" spans="1:8" x14ac:dyDescent="0.3">
      <c r="A570" t="s">
        <v>561</v>
      </c>
      <c r="B570" s="2">
        <v>2.0592743055555557E-2</v>
      </c>
      <c r="C570" s="2">
        <v>2.058116898148148E-2</v>
      </c>
      <c r="D570" s="2">
        <v>2.060431712962963E-2</v>
      </c>
      <c r="E570" t="s">
        <v>27</v>
      </c>
      <c r="F570">
        <v>0.194444444444444</v>
      </c>
      <c r="G570">
        <v>0.69421487603305798</v>
      </c>
    </row>
    <row r="571" spans="1:8" x14ac:dyDescent="0.3">
      <c r="A571" t="s">
        <v>562</v>
      </c>
      <c r="B571" s="2">
        <v>2.2146666666666665E-2</v>
      </c>
      <c r="C571" s="2">
        <v>2.2135092592592592E-2</v>
      </c>
      <c r="D571" s="2">
        <v>2.2158240740740742E-2</v>
      </c>
      <c r="E571" t="s">
        <v>30</v>
      </c>
      <c r="F571">
        <v>0.19973544973544999</v>
      </c>
      <c r="G571">
        <v>8.6776859504132053E-2</v>
      </c>
    </row>
    <row r="572" spans="1:8" x14ac:dyDescent="0.3">
      <c r="A572" t="s">
        <v>563</v>
      </c>
      <c r="B572" s="2">
        <v>2.4329236111111111E-2</v>
      </c>
      <c r="C572" s="2">
        <v>2.4317662037037037E-2</v>
      </c>
      <c r="D572" s="2">
        <v>2.4340810185185184E-2</v>
      </c>
      <c r="E572" t="s">
        <v>58</v>
      </c>
      <c r="F572">
        <v>0.41402116402116401</v>
      </c>
      <c r="G572">
        <v>0.47107438016528902</v>
      </c>
    </row>
    <row r="573" spans="1:8" x14ac:dyDescent="0.3">
      <c r="A573" t="s">
        <v>564</v>
      </c>
      <c r="B573" s="2">
        <v>2.4634930555555556E-2</v>
      </c>
      <c r="C573" s="2">
        <v>2.4623356481481482E-2</v>
      </c>
      <c r="D573" s="2">
        <v>2.4646504629629629E-2</v>
      </c>
      <c r="E573" t="s">
        <v>27</v>
      </c>
      <c r="F573">
        <v>0.181216931216931</v>
      </c>
      <c r="G573">
        <v>0.64876033057851201</v>
      </c>
    </row>
    <row r="574" spans="1:8" x14ac:dyDescent="0.3">
      <c r="A574" t="s">
        <v>565</v>
      </c>
      <c r="B574" s="2">
        <v>2.5563865740740741E-2</v>
      </c>
      <c r="C574" s="2">
        <v>2.5552291666666668E-2</v>
      </c>
      <c r="D574" s="2">
        <v>2.5575439814814815E-2</v>
      </c>
      <c r="E574" t="s">
        <v>58</v>
      </c>
      <c r="F574">
        <v>4.1005291005291003E-2</v>
      </c>
      <c r="G574">
        <v>0.62396694214875992</v>
      </c>
    </row>
    <row r="575" spans="1:8" x14ac:dyDescent="0.3">
      <c r="A575" t="s">
        <v>566</v>
      </c>
      <c r="B575" s="2">
        <v>2.8033425925925927E-2</v>
      </c>
      <c r="C575" s="2">
        <v>2.8021851851851853E-2</v>
      </c>
      <c r="D575" s="2">
        <v>2.8045E-2</v>
      </c>
      <c r="E575" t="s">
        <v>58</v>
      </c>
      <c r="F575">
        <v>0.23412698412698399</v>
      </c>
      <c r="G575">
        <v>0.84297520661156999</v>
      </c>
    </row>
    <row r="576" spans="1:8" x14ac:dyDescent="0.3">
      <c r="A576" t="s">
        <v>567</v>
      </c>
      <c r="B576" s="2">
        <v>3.0041608796296297E-2</v>
      </c>
      <c r="C576" s="2">
        <v>3.0030034722222224E-2</v>
      </c>
      <c r="D576" s="2">
        <v>3.0053182870370371E-2</v>
      </c>
      <c r="E576" t="s">
        <v>58</v>
      </c>
      <c r="F576">
        <v>4.1005291005291003E-2</v>
      </c>
      <c r="G576">
        <v>0.53305785123966898</v>
      </c>
    </row>
    <row r="577" spans="1:7" x14ac:dyDescent="0.3">
      <c r="A577" t="s">
        <v>568</v>
      </c>
      <c r="B577" s="2">
        <v>3.0044652777777778E-2</v>
      </c>
      <c r="C577" s="2">
        <v>3.0033078703703704E-2</v>
      </c>
      <c r="D577" s="2">
        <v>3.0056226851851851E-2</v>
      </c>
      <c r="E577" t="s">
        <v>40</v>
      </c>
      <c r="F577">
        <v>4.36507936507936E-2</v>
      </c>
      <c r="G577">
        <v>0.52479338842975198</v>
      </c>
    </row>
    <row r="578" spans="1:7" x14ac:dyDescent="0.3">
      <c r="A578" t="s">
        <v>569</v>
      </c>
      <c r="B578" s="2">
        <v>3.1402384259259258E-2</v>
      </c>
      <c r="C578" s="2">
        <v>3.1390810185185185E-2</v>
      </c>
      <c r="D578" s="2">
        <v>3.1413958333333332E-2</v>
      </c>
      <c r="E578" t="s">
        <v>46</v>
      </c>
      <c r="F578">
        <v>0.23148148148148101</v>
      </c>
      <c r="G578">
        <v>0.69834710743801698</v>
      </c>
    </row>
    <row r="579" spans="1:7" x14ac:dyDescent="0.3">
      <c r="A579" t="s">
        <v>570</v>
      </c>
      <c r="B579" s="2">
        <v>3.6639895833333332E-2</v>
      </c>
      <c r="C579" s="2">
        <v>3.6628321759259258E-2</v>
      </c>
      <c r="D579" s="2">
        <v>3.6651469907407405E-2</v>
      </c>
      <c r="E579" t="s">
        <v>30</v>
      </c>
      <c r="F579">
        <v>3.3068783068783102E-2</v>
      </c>
      <c r="G579">
        <v>0.48760330578512401</v>
      </c>
    </row>
    <row r="580" spans="1:7" x14ac:dyDescent="0.3">
      <c r="A580" t="s">
        <v>571</v>
      </c>
      <c r="B580" s="2">
        <v>4.0047280092592591E-2</v>
      </c>
      <c r="C580" s="2">
        <v>4.0035706018518517E-2</v>
      </c>
      <c r="D580" s="2">
        <v>4.0058854166666664E-2</v>
      </c>
      <c r="E580" t="s">
        <v>46</v>
      </c>
      <c r="F580">
        <v>0.170634920634921</v>
      </c>
      <c r="G580">
        <v>0.64462809917355401</v>
      </c>
    </row>
    <row r="581" spans="1:7" x14ac:dyDescent="0.3">
      <c r="A581" t="s">
        <v>572</v>
      </c>
      <c r="B581" s="2">
        <v>4.0073090277777779E-2</v>
      </c>
      <c r="C581" s="2">
        <v>4.0061516203703705E-2</v>
      </c>
      <c r="D581" s="2">
        <v>4.0084664351851852E-2</v>
      </c>
      <c r="E581" t="s">
        <v>40</v>
      </c>
      <c r="F581">
        <v>0.194444444444444</v>
      </c>
      <c r="G581">
        <v>0.61983471074380203</v>
      </c>
    </row>
    <row r="582" spans="1:7" x14ac:dyDescent="0.3">
      <c r="A582" t="s">
        <v>573</v>
      </c>
      <c r="B582" s="2">
        <v>4.6636516203703703E-2</v>
      </c>
      <c r="C582" s="2">
        <v>4.6624942129629629E-2</v>
      </c>
      <c r="D582" s="2">
        <v>4.6648090277777776E-2</v>
      </c>
      <c r="E582" t="s">
        <v>27</v>
      </c>
      <c r="F582">
        <v>5.6878306878306903E-2</v>
      </c>
      <c r="G582">
        <v>0.64049586776859502</v>
      </c>
    </row>
    <row r="583" spans="1:7" x14ac:dyDescent="0.3">
      <c r="A583" t="s">
        <v>574</v>
      </c>
      <c r="B583" s="2">
        <v>5.1591585648148149E-2</v>
      </c>
      <c r="C583" s="2">
        <v>5.1580011574074075E-2</v>
      </c>
      <c r="D583" s="2">
        <v>5.1603159722222222E-2</v>
      </c>
      <c r="E583" t="s">
        <v>67</v>
      </c>
      <c r="F583">
        <v>0.25</v>
      </c>
      <c r="G583">
        <v>0.673553719008264</v>
      </c>
    </row>
    <row r="584" spans="1:7" x14ac:dyDescent="0.3">
      <c r="A584" t="s">
        <v>575</v>
      </c>
      <c r="B584" s="2">
        <v>5.3258194444444441E-2</v>
      </c>
      <c r="C584" s="2">
        <v>5.3246620370370368E-2</v>
      </c>
      <c r="D584" s="2">
        <v>5.3269768518518522E-2</v>
      </c>
      <c r="E584" t="s">
        <v>67</v>
      </c>
      <c r="F584">
        <v>9.1269841269841306E-2</v>
      </c>
      <c r="G584">
        <v>0.61983471074380203</v>
      </c>
    </row>
    <row r="585" spans="1:7" x14ac:dyDescent="0.3">
      <c r="A585" t="s">
        <v>576</v>
      </c>
      <c r="B585" s="2">
        <v>5.3869571759259258E-2</v>
      </c>
      <c r="C585" s="2">
        <v>5.3857997685185184E-2</v>
      </c>
      <c r="D585" s="2">
        <v>5.3881145833333331E-2</v>
      </c>
      <c r="E585" t="s">
        <v>40</v>
      </c>
      <c r="F585">
        <v>0.157407407407407</v>
      </c>
      <c r="G585">
        <v>0.58264462809917394</v>
      </c>
    </row>
    <row r="586" spans="1:7" x14ac:dyDescent="0.3">
      <c r="A586" t="s">
        <v>577</v>
      </c>
      <c r="B586" s="2">
        <v>5.4475289351851849E-2</v>
      </c>
      <c r="C586" s="2">
        <v>5.4463715277777776E-2</v>
      </c>
      <c r="D586" s="2">
        <v>5.4486863425925923E-2</v>
      </c>
      <c r="E586" t="s">
        <v>46</v>
      </c>
      <c r="F586">
        <v>0.25</v>
      </c>
      <c r="G586">
        <v>0.42561983471074405</v>
      </c>
    </row>
    <row r="587" spans="1:7" x14ac:dyDescent="0.3">
      <c r="A587" t="s">
        <v>578</v>
      </c>
      <c r="B587" s="2">
        <v>5.6590115740740743E-2</v>
      </c>
      <c r="C587" s="2">
        <v>5.6578541666666669E-2</v>
      </c>
      <c r="D587" s="2">
        <v>5.6601689814814816E-2</v>
      </c>
      <c r="E587" t="s">
        <v>67</v>
      </c>
      <c r="F587">
        <v>8.8624338624338606E-2</v>
      </c>
      <c r="G587">
        <v>0.69834710743801698</v>
      </c>
    </row>
    <row r="588" spans="1:7" x14ac:dyDescent="0.3">
      <c r="A588" t="s">
        <v>579</v>
      </c>
      <c r="B588" s="2">
        <v>5.692244212962963E-2</v>
      </c>
      <c r="C588" s="2">
        <v>5.6910868055555557E-2</v>
      </c>
      <c r="D588" s="2">
        <v>5.6934016203703704E-2</v>
      </c>
      <c r="E588" t="s">
        <v>27</v>
      </c>
      <c r="F588">
        <v>4.36507936507936E-2</v>
      </c>
      <c r="G588">
        <v>0.48760330578512401</v>
      </c>
    </row>
    <row r="589" spans="1:7" x14ac:dyDescent="0.3">
      <c r="A589" t="s">
        <v>580</v>
      </c>
      <c r="B589" s="2">
        <v>6.0441423611111114E-2</v>
      </c>
      <c r="C589" s="2">
        <v>6.0429849537037034E-2</v>
      </c>
      <c r="D589" s="2">
        <v>6.0452997685185188E-2</v>
      </c>
      <c r="E589" t="s">
        <v>40</v>
      </c>
      <c r="F589">
        <v>5.6878306878306903E-2</v>
      </c>
      <c r="G589">
        <v>0.661157024793388</v>
      </c>
    </row>
    <row r="590" spans="1:7" x14ac:dyDescent="0.3">
      <c r="A590" t="s">
        <v>581</v>
      </c>
      <c r="B590" s="2">
        <v>6.273320601851852E-2</v>
      </c>
      <c r="C590" s="2">
        <v>6.2721631944444439E-2</v>
      </c>
      <c r="D590" s="2">
        <v>6.2744780092592586E-2</v>
      </c>
      <c r="E590" t="s">
        <v>67</v>
      </c>
      <c r="F590">
        <v>0.15476190476190499</v>
      </c>
      <c r="G590">
        <v>0.69008264462809898</v>
      </c>
    </row>
    <row r="591" spans="1:7" x14ac:dyDescent="0.3">
      <c r="A591" t="s">
        <v>582</v>
      </c>
      <c r="B591" s="2">
        <v>6.7366192129629632E-2</v>
      </c>
      <c r="C591" s="2">
        <v>6.7354618055555551E-2</v>
      </c>
      <c r="D591" s="2">
        <v>6.7377766203703698E-2</v>
      </c>
      <c r="E591" t="s">
        <v>46</v>
      </c>
      <c r="F591">
        <v>6.7460317460317498E-2</v>
      </c>
      <c r="G591">
        <v>0.48347107438016501</v>
      </c>
    </row>
    <row r="593" spans="1:11" ht="23.4" x14ac:dyDescent="0.45">
      <c r="A593" s="43" t="s">
        <v>583</v>
      </c>
      <c r="B593" s="44"/>
      <c r="C593" s="44"/>
      <c r="D593" s="44"/>
      <c r="G593" s="45" t="s">
        <v>15</v>
      </c>
      <c r="H593" s="45" t="s">
        <v>15</v>
      </c>
      <c r="I593" s="45" t="s">
        <v>584</v>
      </c>
      <c r="J593" s="45" t="s">
        <v>584</v>
      </c>
    </row>
    <row r="594" spans="1:11" x14ac:dyDescent="0.3">
      <c r="A594" s="1" t="s">
        <v>16</v>
      </c>
      <c r="B594" s="1" t="s">
        <v>17</v>
      </c>
      <c r="C594" s="1" t="s">
        <v>18</v>
      </c>
      <c r="D594" s="1" t="s">
        <v>19</v>
      </c>
      <c r="E594" s="1" t="s">
        <v>21</v>
      </c>
      <c r="F594" s="1" t="s">
        <v>22</v>
      </c>
      <c r="G594" s="1" t="s">
        <v>23</v>
      </c>
      <c r="H594" s="1" t="s">
        <v>24</v>
      </c>
      <c r="I594" s="1" t="s">
        <v>585</v>
      </c>
      <c r="J594" s="1" t="s">
        <v>586</v>
      </c>
      <c r="K594" s="1"/>
    </row>
    <row r="595" spans="1:11" x14ac:dyDescent="0.3">
      <c r="A595" t="s">
        <v>587</v>
      </c>
      <c r="B595" s="2">
        <v>2.6809837962962963E-3</v>
      </c>
      <c r="C595" s="2">
        <v>2.6694097222222223E-3</v>
      </c>
      <c r="D595" s="2">
        <v>2.7157060185185183E-3</v>
      </c>
      <c r="E595" t="s">
        <v>32</v>
      </c>
      <c r="F595" t="s">
        <v>588</v>
      </c>
      <c r="G595">
        <v>0.899171270718232</v>
      </c>
      <c r="H595">
        <v>0.30172413793103403</v>
      </c>
    </row>
    <row r="596" spans="1:11" x14ac:dyDescent="0.3">
      <c r="A596" t="s">
        <v>589</v>
      </c>
      <c r="B596" s="2">
        <v>3.8134259259259258E-3</v>
      </c>
      <c r="C596" s="2">
        <v>3.8018518518518518E-3</v>
      </c>
      <c r="D596" s="2">
        <v>3.8481481481481483E-3</v>
      </c>
      <c r="E596" t="s">
        <v>38</v>
      </c>
      <c r="F596" t="s">
        <v>588</v>
      </c>
      <c r="G596">
        <v>0.90469613259668502</v>
      </c>
      <c r="H596">
        <v>0.39224137931034497</v>
      </c>
    </row>
    <row r="597" spans="1:11" x14ac:dyDescent="0.3">
      <c r="A597" t="s">
        <v>590</v>
      </c>
      <c r="B597" s="2">
        <v>1.2518032407407408E-2</v>
      </c>
      <c r="C597" s="2">
        <v>1.2506458333333333E-2</v>
      </c>
      <c r="D597" s="2">
        <v>1.2552754629629629E-2</v>
      </c>
      <c r="E597" t="s">
        <v>51</v>
      </c>
      <c r="F597" t="s">
        <v>588</v>
      </c>
      <c r="G597">
        <v>0.94337016574585597</v>
      </c>
      <c r="H597">
        <v>0.70258620689655205</v>
      </c>
    </row>
    <row r="598" spans="1:11" x14ac:dyDescent="0.3">
      <c r="A598" t="s">
        <v>591</v>
      </c>
      <c r="B598" s="2">
        <v>1.3105185185185185E-2</v>
      </c>
      <c r="C598" s="2">
        <v>1.3093611111111111E-2</v>
      </c>
      <c r="D598" s="2">
        <v>1.3139907407407407E-2</v>
      </c>
      <c r="E598" t="s">
        <v>32</v>
      </c>
      <c r="F598" t="s">
        <v>588</v>
      </c>
      <c r="G598">
        <v>0.81077348066298305</v>
      </c>
      <c r="H598">
        <v>0.60344827586206895</v>
      </c>
    </row>
    <row r="599" spans="1:11" x14ac:dyDescent="0.3">
      <c r="A599" t="s">
        <v>592</v>
      </c>
      <c r="B599" s="2">
        <v>2.8967476851851852E-2</v>
      </c>
      <c r="C599" s="2">
        <v>2.8955902777777778E-2</v>
      </c>
      <c r="D599" s="2">
        <v>2.9002199074074073E-2</v>
      </c>
      <c r="E599" t="s">
        <v>32</v>
      </c>
      <c r="F599" t="s">
        <v>593</v>
      </c>
      <c r="G599">
        <v>0.89640883977900498</v>
      </c>
      <c r="H599">
        <v>0.64224137931034497</v>
      </c>
      <c r="I599">
        <v>0.76736842105263203</v>
      </c>
      <c r="J599">
        <v>8.6206896551723977E-2</v>
      </c>
    </row>
    <row r="600" spans="1:11" x14ac:dyDescent="0.3">
      <c r="A600" t="s">
        <v>594</v>
      </c>
      <c r="B600" s="2">
        <v>3.3059861111111109E-2</v>
      </c>
      <c r="C600" s="2">
        <v>3.3048287037037036E-2</v>
      </c>
      <c r="D600" s="2">
        <v>3.309458333333333E-2</v>
      </c>
      <c r="E600" t="s">
        <v>51</v>
      </c>
      <c r="F600" t="s">
        <v>593</v>
      </c>
      <c r="G600">
        <v>0.95441988950276202</v>
      </c>
      <c r="H600">
        <v>0.63793103448275901</v>
      </c>
      <c r="I600">
        <v>0.46</v>
      </c>
      <c r="J600">
        <v>4.3103448275861989E-2</v>
      </c>
    </row>
    <row r="601" spans="1:11" x14ac:dyDescent="0.3">
      <c r="A601" t="s">
        <v>595</v>
      </c>
      <c r="B601" s="2">
        <v>4.1155532407407408E-2</v>
      </c>
      <c r="C601" s="2">
        <v>4.1143958333333334E-2</v>
      </c>
      <c r="D601" s="2">
        <v>4.1190254629629629E-2</v>
      </c>
      <c r="E601" t="s">
        <v>42</v>
      </c>
      <c r="F601" t="s">
        <v>588</v>
      </c>
      <c r="G601">
        <v>0.80801104972375704</v>
      </c>
      <c r="H601">
        <v>0.61206896551724099</v>
      </c>
    </row>
    <row r="602" spans="1:11" x14ac:dyDescent="0.3">
      <c r="A602" t="s">
        <v>596</v>
      </c>
      <c r="B602" s="2">
        <v>4.3584999999999999E-2</v>
      </c>
      <c r="C602" s="2">
        <v>4.3573425925925925E-2</v>
      </c>
      <c r="D602" s="2">
        <v>4.3619722222222219E-2</v>
      </c>
      <c r="E602" t="s">
        <v>38</v>
      </c>
      <c r="F602" t="s">
        <v>588</v>
      </c>
      <c r="G602">
        <v>0.93232044198895003</v>
      </c>
      <c r="H602">
        <v>0.61206896551724099</v>
      </c>
    </row>
    <row r="603" spans="1:11" x14ac:dyDescent="0.3">
      <c r="A603" t="s">
        <v>597</v>
      </c>
      <c r="B603" s="2">
        <v>4.6261585648148147E-2</v>
      </c>
      <c r="C603" s="2">
        <v>4.6250011574074074E-2</v>
      </c>
      <c r="D603" s="2">
        <v>4.6296307870370368E-2</v>
      </c>
      <c r="E603" t="s">
        <v>32</v>
      </c>
      <c r="F603" t="s">
        <v>598</v>
      </c>
      <c r="G603">
        <v>0.80248618784530401</v>
      </c>
      <c r="H603">
        <v>0.59051724137931005</v>
      </c>
      <c r="I603">
        <v>0.5</v>
      </c>
      <c r="J603">
        <v>0.11637931034482796</v>
      </c>
    </row>
    <row r="604" spans="1:11" x14ac:dyDescent="0.3">
      <c r="A604" t="s">
        <v>599</v>
      </c>
      <c r="B604" s="2">
        <v>4.9625937500000002E-2</v>
      </c>
      <c r="C604" s="2">
        <v>4.9614363425925928E-2</v>
      </c>
      <c r="D604" s="2">
        <v>4.9660659722222222E-2</v>
      </c>
      <c r="E604" t="s">
        <v>44</v>
      </c>
      <c r="F604" t="s">
        <v>588</v>
      </c>
      <c r="G604">
        <v>0.76933701657458597</v>
      </c>
      <c r="H604">
        <v>0.61637931034482807</v>
      </c>
    </row>
    <row r="605" spans="1:11" x14ac:dyDescent="0.3">
      <c r="A605" t="s">
        <v>601</v>
      </c>
      <c r="B605" s="2">
        <v>5.4974317129629628E-2</v>
      </c>
      <c r="C605" s="2">
        <v>5.4962743055555555E-2</v>
      </c>
      <c r="D605" s="2">
        <v>5.5009039351851849E-2</v>
      </c>
      <c r="E605" t="s">
        <v>32</v>
      </c>
      <c r="F605" t="s">
        <v>598</v>
      </c>
      <c r="G605">
        <v>0.22</v>
      </c>
      <c r="H605">
        <v>0.53879310344827602</v>
      </c>
    </row>
    <row r="606" spans="1:11" x14ac:dyDescent="0.3">
      <c r="A606" t="s">
        <v>602</v>
      </c>
      <c r="B606" s="2">
        <v>5.5806574074074071E-2</v>
      </c>
      <c r="C606" s="2">
        <v>5.5794999999999997E-2</v>
      </c>
      <c r="D606" s="2">
        <v>5.5841296296296299E-2</v>
      </c>
      <c r="E606" t="s">
        <v>32</v>
      </c>
      <c r="F606" t="s">
        <v>588</v>
      </c>
      <c r="G606">
        <v>0.91574585635359096</v>
      </c>
      <c r="H606">
        <v>0.42672413793103403</v>
      </c>
    </row>
    <row r="607" spans="1:11" x14ac:dyDescent="0.3">
      <c r="A607" t="s">
        <v>603</v>
      </c>
      <c r="B607" s="2">
        <v>5.8022326388888885E-2</v>
      </c>
      <c r="C607" s="2">
        <v>5.8010752314814812E-2</v>
      </c>
      <c r="D607" s="2">
        <v>5.8057048611111113E-2</v>
      </c>
      <c r="E607" t="s">
        <v>51</v>
      </c>
      <c r="F607" t="s">
        <v>588</v>
      </c>
      <c r="G607">
        <v>0.84392265193370197</v>
      </c>
      <c r="H607">
        <v>0.63362068965517193</v>
      </c>
    </row>
    <row r="608" spans="1:11" x14ac:dyDescent="0.3">
      <c r="A608" t="s">
        <v>604</v>
      </c>
      <c r="B608" s="2">
        <v>5.9129988425925928E-2</v>
      </c>
      <c r="C608" s="2">
        <v>5.9118414351851854E-2</v>
      </c>
      <c r="D608" s="2">
        <v>5.9164710648148149E-2</v>
      </c>
      <c r="E608" t="s">
        <v>198</v>
      </c>
      <c r="F608" t="s">
        <v>588</v>
      </c>
      <c r="G608">
        <v>0.78591160220994505</v>
      </c>
      <c r="H608">
        <v>0.34051724137931005</v>
      </c>
    </row>
    <row r="609" spans="1:10" x14ac:dyDescent="0.3">
      <c r="A609" t="s">
        <v>605</v>
      </c>
      <c r="B609" s="2">
        <v>6.2127384259259261E-2</v>
      </c>
      <c r="C609" s="2">
        <v>6.2115810185185187E-2</v>
      </c>
      <c r="D609" s="2">
        <v>6.2162106481481481E-2</v>
      </c>
      <c r="E609" t="s">
        <v>51</v>
      </c>
      <c r="F609" t="s">
        <v>588</v>
      </c>
      <c r="G609">
        <v>0.79419889502762397</v>
      </c>
      <c r="H609">
        <v>0.45689655172413801</v>
      </c>
    </row>
    <row r="610" spans="1:10" x14ac:dyDescent="0.3">
      <c r="A610" t="s">
        <v>606</v>
      </c>
      <c r="B610" s="2">
        <v>6.3847673611111114E-2</v>
      </c>
      <c r="C610" s="2">
        <v>6.3836099537037033E-2</v>
      </c>
      <c r="D610" s="2">
        <v>6.3882395833333327E-2</v>
      </c>
      <c r="E610" t="s">
        <v>32</v>
      </c>
      <c r="F610" t="s">
        <v>588</v>
      </c>
      <c r="G610">
        <v>0.924033149171271</v>
      </c>
      <c r="H610">
        <v>0.49137931034482796</v>
      </c>
    </row>
    <row r="611" spans="1:10" x14ac:dyDescent="0.3">
      <c r="A611" t="s">
        <v>607</v>
      </c>
      <c r="B611" s="2">
        <v>6.4542187500000001E-2</v>
      </c>
      <c r="C611" s="2">
        <v>6.453061342592592E-2</v>
      </c>
      <c r="D611" s="2">
        <v>6.4576909722222228E-2</v>
      </c>
      <c r="E611" t="s">
        <v>32</v>
      </c>
      <c r="F611" t="s">
        <v>588</v>
      </c>
      <c r="G611">
        <v>0.90745856353591203</v>
      </c>
      <c r="H611">
        <v>0.375</v>
      </c>
    </row>
    <row r="612" spans="1:10" x14ac:dyDescent="0.3">
      <c r="A612" t="s">
        <v>608</v>
      </c>
      <c r="B612" s="2">
        <v>6.49037037037037E-2</v>
      </c>
      <c r="C612" s="2">
        <v>6.4892129629629633E-2</v>
      </c>
      <c r="D612" s="2">
        <v>6.4938425925925927E-2</v>
      </c>
      <c r="E612" t="s">
        <v>198</v>
      </c>
      <c r="F612" t="s">
        <v>588</v>
      </c>
      <c r="G612">
        <v>0.90469613259668502</v>
      </c>
      <c r="H612">
        <v>0.39224137931034497</v>
      </c>
    </row>
    <row r="613" spans="1:10" x14ac:dyDescent="0.3">
      <c r="A613" t="s">
        <v>609</v>
      </c>
      <c r="B613" s="2">
        <v>6.8461388888888891E-2</v>
      </c>
      <c r="C613" s="2">
        <v>6.8449814814814811E-2</v>
      </c>
      <c r="D613" s="2">
        <v>6.8496111111111105E-2</v>
      </c>
      <c r="E613" t="s">
        <v>264</v>
      </c>
      <c r="F613" t="s">
        <v>588</v>
      </c>
      <c r="G613">
        <v>0.82734806629834201</v>
      </c>
      <c r="H613">
        <v>0.45258620689655205</v>
      </c>
    </row>
    <row r="615" spans="1:10" ht="23.4" x14ac:dyDescent="0.45">
      <c r="A615" s="43" t="s">
        <v>610</v>
      </c>
      <c r="B615" s="44"/>
      <c r="C615" s="44"/>
      <c r="D615" s="44"/>
      <c r="F615" s="45" t="s">
        <v>15</v>
      </c>
      <c r="G615" s="45" t="s">
        <v>15</v>
      </c>
      <c r="H615" s="45" t="s">
        <v>611</v>
      </c>
      <c r="I615" s="45" t="s">
        <v>611</v>
      </c>
    </row>
    <row r="616" spans="1:10" x14ac:dyDescent="0.3">
      <c r="A616" s="1" t="s">
        <v>16</v>
      </c>
      <c r="B616" s="1" t="s">
        <v>17</v>
      </c>
      <c r="C616" s="1" t="s">
        <v>18</v>
      </c>
      <c r="D616" s="1" t="s">
        <v>19</v>
      </c>
      <c r="E616" s="1" t="s">
        <v>21</v>
      </c>
      <c r="F616" s="1" t="s">
        <v>23</v>
      </c>
      <c r="G616" s="1" t="s">
        <v>24</v>
      </c>
      <c r="H616" s="1" t="s">
        <v>612</v>
      </c>
      <c r="I616" s="1" t="s">
        <v>613</v>
      </c>
      <c r="J616" s="1"/>
    </row>
    <row r="617" spans="1:10" x14ac:dyDescent="0.3">
      <c r="A617" t="s">
        <v>614</v>
      </c>
      <c r="B617" s="2">
        <v>2.4111111111111111E-4</v>
      </c>
      <c r="C617" s="2">
        <v>2.1796296296296296E-4</v>
      </c>
      <c r="D617" s="2">
        <v>2.5268518518518516E-4</v>
      </c>
      <c r="E617" t="s">
        <v>40</v>
      </c>
      <c r="F617">
        <v>0.30820105820105798</v>
      </c>
      <c r="G617">
        <v>0.50826446280991699</v>
      </c>
    </row>
    <row r="618" spans="1:10" x14ac:dyDescent="0.3">
      <c r="A618" t="s">
        <v>615</v>
      </c>
      <c r="B618" s="2">
        <v>4.1240972222222226E-3</v>
      </c>
      <c r="C618" s="2">
        <v>4.1009490740740737E-3</v>
      </c>
      <c r="D618" s="2">
        <v>4.1356712962962961E-3</v>
      </c>
      <c r="E618" t="s">
        <v>42</v>
      </c>
      <c r="F618">
        <v>0.73941798941798897</v>
      </c>
      <c r="G618">
        <v>0.59917355371900793</v>
      </c>
    </row>
    <row r="619" spans="1:10" x14ac:dyDescent="0.3">
      <c r="A619" t="s">
        <v>616</v>
      </c>
      <c r="B619" s="2">
        <v>1.3769548611111111E-2</v>
      </c>
      <c r="C619" s="2">
        <v>1.3746400462962964E-2</v>
      </c>
      <c r="D619" s="2">
        <v>1.3781122685185184E-2</v>
      </c>
      <c r="E619" t="s">
        <v>67</v>
      </c>
      <c r="F619">
        <v>0.32407407407407401</v>
      </c>
      <c r="G619">
        <v>0.95041322314049592</v>
      </c>
    </row>
    <row r="620" spans="1:10" x14ac:dyDescent="0.3">
      <c r="A620" t="s">
        <v>617</v>
      </c>
      <c r="B620" s="2">
        <v>1.7815856481481481E-2</v>
      </c>
      <c r="C620" s="2">
        <v>1.7792708333333334E-2</v>
      </c>
      <c r="D620" s="2">
        <v>1.7827430555555555E-2</v>
      </c>
      <c r="E620" t="s">
        <v>42</v>
      </c>
      <c r="F620">
        <v>0.33465608465608498</v>
      </c>
      <c r="G620">
        <v>0.669421487603306</v>
      </c>
    </row>
    <row r="621" spans="1:10" x14ac:dyDescent="0.3">
      <c r="A621" t="s">
        <v>618</v>
      </c>
      <c r="B621" s="2">
        <v>1.9389756944444444E-2</v>
      </c>
      <c r="C621" s="2">
        <v>1.9366608796296297E-2</v>
      </c>
      <c r="D621" s="2">
        <v>1.9401331018518517E-2</v>
      </c>
      <c r="E621" t="s">
        <v>40</v>
      </c>
      <c r="F621">
        <v>0.66005291005291</v>
      </c>
      <c r="G621">
        <v>0.15289256198347101</v>
      </c>
    </row>
    <row r="622" spans="1:10" x14ac:dyDescent="0.3">
      <c r="A622" t="s">
        <v>619</v>
      </c>
      <c r="B622" s="2">
        <v>2.5615104166666666E-2</v>
      </c>
      <c r="C622" s="2">
        <v>2.5591956018518519E-2</v>
      </c>
      <c r="D622" s="2">
        <v>2.562667824074074E-2</v>
      </c>
      <c r="E622" t="s">
        <v>30</v>
      </c>
      <c r="F622">
        <v>1.7195767195767198E-2</v>
      </c>
      <c r="G622">
        <v>0.28099173553719003</v>
      </c>
    </row>
    <row r="623" spans="1:10" x14ac:dyDescent="0.3">
      <c r="A623" t="s">
        <v>620</v>
      </c>
      <c r="B623" s="2">
        <v>2.6653912037037038E-2</v>
      </c>
      <c r="C623" s="2">
        <v>2.6630763888888888E-2</v>
      </c>
      <c r="D623" s="2">
        <v>2.6665486111111112E-2</v>
      </c>
      <c r="E623" t="s">
        <v>40</v>
      </c>
      <c r="F623">
        <v>0.273809523809524</v>
      </c>
      <c r="G623">
        <v>0.38842975206611596</v>
      </c>
    </row>
    <row r="624" spans="1:10" x14ac:dyDescent="0.3">
      <c r="A624" t="s">
        <v>621</v>
      </c>
      <c r="B624" s="2">
        <v>3.1013495370370372E-2</v>
      </c>
      <c r="C624" s="2">
        <v>3.0990347222222221E-2</v>
      </c>
      <c r="D624" s="2">
        <v>3.1025069444444445E-2</v>
      </c>
      <c r="E624" t="s">
        <v>67</v>
      </c>
      <c r="F624">
        <v>0.72354497354497305</v>
      </c>
      <c r="G624">
        <v>0.98347107438016534</v>
      </c>
    </row>
    <row r="625" spans="1:9" x14ac:dyDescent="0.3">
      <c r="A625" t="s">
        <v>622</v>
      </c>
      <c r="B625" s="2">
        <v>3.6658020833333332E-2</v>
      </c>
      <c r="C625" s="2">
        <v>3.6634872685185185E-2</v>
      </c>
      <c r="D625" s="2">
        <v>3.6669594907407406E-2</v>
      </c>
      <c r="E625" t="s">
        <v>40</v>
      </c>
      <c r="F625">
        <v>7.8042328042327996E-2</v>
      </c>
      <c r="G625">
        <v>0.46694214876033102</v>
      </c>
    </row>
    <row r="626" spans="1:9" x14ac:dyDescent="0.3">
      <c r="A626" t="s">
        <v>623</v>
      </c>
      <c r="B626" s="2">
        <v>3.753412037037037E-2</v>
      </c>
      <c r="C626" s="2">
        <v>3.7510972222222223E-2</v>
      </c>
      <c r="D626" s="2">
        <v>3.7545694444444444E-2</v>
      </c>
      <c r="E626" t="s">
        <v>38</v>
      </c>
      <c r="F626">
        <v>0.55952380952380998</v>
      </c>
      <c r="G626">
        <v>0.64049586776859502</v>
      </c>
    </row>
    <row r="627" spans="1:9" x14ac:dyDescent="0.3">
      <c r="A627" t="s">
        <v>624</v>
      </c>
      <c r="B627" s="2">
        <v>5.175928240740741E-2</v>
      </c>
      <c r="C627" s="2">
        <v>5.1736134259259256E-2</v>
      </c>
      <c r="D627" s="2">
        <v>5.1770856481481484E-2</v>
      </c>
      <c r="E627" t="s">
        <v>42</v>
      </c>
      <c r="F627">
        <v>0.62037037037037002</v>
      </c>
      <c r="G627">
        <v>0.98760330578512401</v>
      </c>
    </row>
    <row r="628" spans="1:9" x14ac:dyDescent="0.3">
      <c r="A628" t="s">
        <v>625</v>
      </c>
      <c r="B628" s="2">
        <v>5.2929803240740737E-2</v>
      </c>
      <c r="C628" s="2">
        <v>5.290665509259259E-2</v>
      </c>
      <c r="D628" s="2">
        <v>5.2941377314814818E-2</v>
      </c>
      <c r="E628" t="s">
        <v>42</v>
      </c>
      <c r="F628">
        <v>0.49329758713136701</v>
      </c>
      <c r="G628">
        <v>0.59832635983263605</v>
      </c>
    </row>
    <row r="629" spans="1:9" x14ac:dyDescent="0.3">
      <c r="A629" t="s">
        <v>627</v>
      </c>
      <c r="B629" s="2">
        <v>6.2488946759259256E-2</v>
      </c>
      <c r="C629" s="2">
        <v>6.2465798611111109E-2</v>
      </c>
      <c r="D629" s="2">
        <v>6.2500520833333337E-2</v>
      </c>
      <c r="E629" t="s">
        <v>51</v>
      </c>
      <c r="F629">
        <v>0.54365079365079405</v>
      </c>
      <c r="G629">
        <v>0.97107438016528935</v>
      </c>
    </row>
    <row r="631" spans="1:9" ht="23.4" x14ac:dyDescent="0.45">
      <c r="A631" s="43" t="s">
        <v>628</v>
      </c>
      <c r="B631" s="44"/>
      <c r="C631" s="44"/>
      <c r="D631" s="44"/>
      <c r="G631" s="45" t="s">
        <v>15</v>
      </c>
      <c r="H631" s="45" t="s">
        <v>15</v>
      </c>
    </row>
    <row r="632" spans="1:9" x14ac:dyDescent="0.3">
      <c r="A632" s="1" t="s">
        <v>16</v>
      </c>
      <c r="B632" s="1" t="s">
        <v>17</v>
      </c>
      <c r="C632" s="1" t="s">
        <v>18</v>
      </c>
      <c r="D632" s="1" t="s">
        <v>19</v>
      </c>
      <c r="E632" s="1" t="s">
        <v>21</v>
      </c>
      <c r="F632" s="1" t="s">
        <v>22</v>
      </c>
      <c r="G632" s="1" t="s">
        <v>23</v>
      </c>
      <c r="H632" s="1" t="s">
        <v>24</v>
      </c>
      <c r="I632" s="1"/>
    </row>
    <row r="633" spans="1:9" x14ac:dyDescent="0.3">
      <c r="A633" t="s">
        <v>629</v>
      </c>
      <c r="B633" s="2">
        <v>1.0001273148148148E-3</v>
      </c>
      <c r="C633" s="2">
        <v>9.6540509259259257E-4</v>
      </c>
      <c r="D633" s="2">
        <v>1.0001273148148148E-3</v>
      </c>
      <c r="E633" t="s">
        <v>42</v>
      </c>
      <c r="F633" t="s">
        <v>34</v>
      </c>
      <c r="G633">
        <v>6.4917127071823205E-2</v>
      </c>
      <c r="H633">
        <v>0.47844827586206895</v>
      </c>
    </row>
    <row r="634" spans="1:9" x14ac:dyDescent="0.3">
      <c r="A634" t="s">
        <v>630</v>
      </c>
      <c r="B634" s="2">
        <v>2.2311574074074074E-3</v>
      </c>
      <c r="C634" s="2">
        <v>2.1964351851851854E-3</v>
      </c>
      <c r="D634" s="2">
        <v>2.2311574074074074E-3</v>
      </c>
      <c r="E634" t="s">
        <v>46</v>
      </c>
      <c r="F634" t="s">
        <v>34</v>
      </c>
      <c r="G634">
        <v>0.114640883977901</v>
      </c>
      <c r="H634">
        <v>4.7413793103447954E-2</v>
      </c>
    </row>
    <row r="635" spans="1:9" x14ac:dyDescent="0.3">
      <c r="A635" t="s">
        <v>631</v>
      </c>
      <c r="B635" s="2">
        <v>3.7783680555555556E-3</v>
      </c>
      <c r="C635" s="2">
        <v>3.7436458333333332E-3</v>
      </c>
      <c r="D635" s="2">
        <v>3.7783680555555556E-3</v>
      </c>
      <c r="E635" t="s">
        <v>44</v>
      </c>
      <c r="F635" t="s">
        <v>34</v>
      </c>
      <c r="G635">
        <v>0.59806629834254099</v>
      </c>
      <c r="H635">
        <v>0.10775862068965503</v>
      </c>
    </row>
    <row r="636" spans="1:9" x14ac:dyDescent="0.3">
      <c r="A636" t="s">
        <v>632</v>
      </c>
      <c r="B636" s="2">
        <v>4.4979861111111115E-3</v>
      </c>
      <c r="C636" s="2">
        <v>4.463263888888889E-3</v>
      </c>
      <c r="D636" s="2">
        <v>4.4979861111111115E-3</v>
      </c>
      <c r="E636" t="s">
        <v>30</v>
      </c>
      <c r="F636" t="s">
        <v>34</v>
      </c>
      <c r="G636">
        <v>0.600828729281768</v>
      </c>
      <c r="H636">
        <v>4.3103448275861989E-2</v>
      </c>
    </row>
    <row r="637" spans="1:9" x14ac:dyDescent="0.3">
      <c r="A637" t="s">
        <v>633</v>
      </c>
      <c r="B637" s="2">
        <v>4.6452199074074078E-3</v>
      </c>
      <c r="C637" s="2">
        <v>4.6104976851851854E-3</v>
      </c>
      <c r="D637" s="2">
        <v>4.6452199074074078E-3</v>
      </c>
      <c r="E637" t="s">
        <v>30</v>
      </c>
      <c r="F637" t="s">
        <v>34</v>
      </c>
      <c r="G637">
        <v>0.66988950276243098</v>
      </c>
      <c r="H637">
        <v>5.1724137931034031E-2</v>
      </c>
    </row>
    <row r="638" spans="1:9" x14ac:dyDescent="0.3">
      <c r="A638" t="s">
        <v>634</v>
      </c>
      <c r="B638" s="2">
        <v>4.7558449074074074E-3</v>
      </c>
      <c r="C638" s="2">
        <v>4.721122685185185E-3</v>
      </c>
      <c r="D638" s="2">
        <v>4.7558449074074074E-3</v>
      </c>
      <c r="E638" t="s">
        <v>58</v>
      </c>
      <c r="F638" t="s">
        <v>28</v>
      </c>
      <c r="G638">
        <v>0.54005524861878496</v>
      </c>
      <c r="H638">
        <v>0.49568965517241403</v>
      </c>
    </row>
    <row r="639" spans="1:9" x14ac:dyDescent="0.3">
      <c r="A639" t="s">
        <v>635</v>
      </c>
      <c r="B639" s="2">
        <v>4.9905787037037037E-3</v>
      </c>
      <c r="C639" s="2">
        <v>4.9558564814814812E-3</v>
      </c>
      <c r="D639" s="2">
        <v>4.9905787037037037E-3</v>
      </c>
      <c r="E639" t="s">
        <v>27</v>
      </c>
      <c r="F639" t="s">
        <v>34</v>
      </c>
      <c r="G639">
        <v>0.103591160220994</v>
      </c>
      <c r="H639">
        <v>0.568965517241379</v>
      </c>
    </row>
    <row r="640" spans="1:9" x14ac:dyDescent="0.3">
      <c r="A640" t="s">
        <v>636</v>
      </c>
      <c r="B640" s="2">
        <v>5.0560300925925929E-3</v>
      </c>
      <c r="C640" s="2">
        <v>5.0213078703703704E-3</v>
      </c>
      <c r="D640" s="2">
        <v>5.0560300925925929E-3</v>
      </c>
      <c r="E640" t="s">
        <v>42</v>
      </c>
      <c r="F640" t="s">
        <v>34</v>
      </c>
      <c r="G640">
        <v>0.40193370165745901</v>
      </c>
      <c r="H640">
        <v>0.71551724137931005</v>
      </c>
    </row>
    <row r="641" spans="1:8" x14ac:dyDescent="0.3">
      <c r="A641" t="s">
        <v>637</v>
      </c>
      <c r="B641" s="2">
        <v>5.7486921296296296E-3</v>
      </c>
      <c r="C641" s="2">
        <v>5.7139699074074072E-3</v>
      </c>
      <c r="D641" s="2">
        <v>5.7486921296296296E-3</v>
      </c>
      <c r="E641" t="s">
        <v>40</v>
      </c>
      <c r="F641" t="s">
        <v>34</v>
      </c>
      <c r="G641">
        <v>0.68370165745856404</v>
      </c>
      <c r="H641">
        <v>0.76724137931034497</v>
      </c>
    </row>
    <row r="642" spans="1:8" x14ac:dyDescent="0.3">
      <c r="A642" t="s">
        <v>638</v>
      </c>
      <c r="B642" s="2">
        <v>5.8589930555555557E-3</v>
      </c>
      <c r="C642" s="2">
        <v>5.8242708333333332E-3</v>
      </c>
      <c r="D642" s="2">
        <v>5.8589930555555557E-3</v>
      </c>
      <c r="E642" t="s">
        <v>42</v>
      </c>
      <c r="F642" t="s">
        <v>34</v>
      </c>
      <c r="G642">
        <v>0.69751381215469599</v>
      </c>
      <c r="H642">
        <v>0.77586206896551702</v>
      </c>
    </row>
    <row r="643" spans="1:8" x14ac:dyDescent="0.3">
      <c r="A643" t="s">
        <v>639</v>
      </c>
      <c r="B643" s="2">
        <v>6.3885300925925924E-3</v>
      </c>
      <c r="C643" s="2">
        <v>6.3538078703703708E-3</v>
      </c>
      <c r="D643" s="2">
        <v>6.3885300925925924E-3</v>
      </c>
      <c r="E643" t="s">
        <v>58</v>
      </c>
      <c r="F643" t="s">
        <v>34</v>
      </c>
      <c r="G643">
        <v>0.25276243093922701</v>
      </c>
      <c r="H643">
        <v>0.37068965517241403</v>
      </c>
    </row>
    <row r="644" spans="1:8" x14ac:dyDescent="0.3">
      <c r="A644" t="s">
        <v>640</v>
      </c>
      <c r="B644" s="2">
        <v>7.3962384259259259E-3</v>
      </c>
      <c r="C644" s="2">
        <v>7.3615162037037035E-3</v>
      </c>
      <c r="D644" s="2">
        <v>7.3962384259259259E-3</v>
      </c>
      <c r="E644" t="s">
        <v>27</v>
      </c>
      <c r="F644" t="s">
        <v>34</v>
      </c>
      <c r="G644">
        <v>0.136740331491713</v>
      </c>
      <c r="H644">
        <v>0.431034482758621</v>
      </c>
    </row>
    <row r="645" spans="1:8" x14ac:dyDescent="0.3">
      <c r="A645" t="s">
        <v>641</v>
      </c>
      <c r="B645" s="2">
        <v>8.0768981481481473E-3</v>
      </c>
      <c r="C645" s="2">
        <v>8.0421759259259266E-3</v>
      </c>
      <c r="D645" s="2">
        <v>8.0768981481481473E-3</v>
      </c>
      <c r="E645" t="s">
        <v>42</v>
      </c>
      <c r="F645" t="s">
        <v>28</v>
      </c>
      <c r="G645">
        <v>5.1104972375690602E-2</v>
      </c>
      <c r="H645">
        <v>0.56465517241379293</v>
      </c>
    </row>
    <row r="646" spans="1:8" x14ac:dyDescent="0.3">
      <c r="A646" t="s">
        <v>642</v>
      </c>
      <c r="B646" s="2">
        <v>8.9403703703703711E-3</v>
      </c>
      <c r="C646" s="2">
        <v>8.9056481481481486E-3</v>
      </c>
      <c r="D646" s="2">
        <v>8.9403703703703711E-3</v>
      </c>
      <c r="E646" t="s">
        <v>27</v>
      </c>
      <c r="F646" t="s">
        <v>34</v>
      </c>
      <c r="G646">
        <v>4.8342541436464097E-2</v>
      </c>
      <c r="H646">
        <v>0.51293103448275901</v>
      </c>
    </row>
    <row r="647" spans="1:8" x14ac:dyDescent="0.3">
      <c r="A647" t="s">
        <v>643</v>
      </c>
      <c r="B647" s="2">
        <v>9.0751736111111102E-3</v>
      </c>
      <c r="C647" s="2">
        <v>9.0404513888888895E-3</v>
      </c>
      <c r="D647" s="2">
        <v>9.0751736111111102E-3</v>
      </c>
      <c r="E647" t="s">
        <v>58</v>
      </c>
      <c r="F647" t="s">
        <v>34</v>
      </c>
      <c r="G647">
        <v>0.225138121546961</v>
      </c>
      <c r="H647">
        <v>0.58189655172413801</v>
      </c>
    </row>
    <row r="648" spans="1:8" x14ac:dyDescent="0.3">
      <c r="A648" t="s">
        <v>644</v>
      </c>
      <c r="B648" s="2">
        <v>9.2654166666666666E-3</v>
      </c>
      <c r="C648" s="2">
        <v>9.2306944444444441E-3</v>
      </c>
      <c r="D648" s="2">
        <v>9.2654166666666666E-3</v>
      </c>
      <c r="E648" t="s">
        <v>42</v>
      </c>
      <c r="F648" t="s">
        <v>34</v>
      </c>
      <c r="G648">
        <v>0.32734806629834301</v>
      </c>
      <c r="H648">
        <v>0.556034482758621</v>
      </c>
    </row>
    <row r="649" spans="1:8" x14ac:dyDescent="0.3">
      <c r="A649" t="s">
        <v>645</v>
      </c>
      <c r="B649" s="2">
        <v>9.4779629629629623E-3</v>
      </c>
      <c r="C649" s="2">
        <v>9.4432407407407399E-3</v>
      </c>
      <c r="D649" s="2">
        <v>9.4779629629629623E-3</v>
      </c>
      <c r="E649" t="s">
        <v>38</v>
      </c>
      <c r="F649" t="s">
        <v>28</v>
      </c>
      <c r="G649">
        <v>0.324585635359116</v>
      </c>
      <c r="H649">
        <v>0.48706896551724099</v>
      </c>
    </row>
    <row r="650" spans="1:8" x14ac:dyDescent="0.3">
      <c r="A650" t="s">
        <v>646</v>
      </c>
      <c r="B650" s="2">
        <v>1.1837569444444444E-2</v>
      </c>
      <c r="C650" s="2">
        <v>1.1802847222222222E-2</v>
      </c>
      <c r="D650" s="2">
        <v>1.1837569444444444E-2</v>
      </c>
      <c r="E650" t="s">
        <v>44</v>
      </c>
      <c r="F650" t="s">
        <v>28</v>
      </c>
      <c r="G650">
        <v>0.37983425414364602</v>
      </c>
      <c r="H650">
        <v>0.39655172413793105</v>
      </c>
    </row>
    <row r="651" spans="1:8" x14ac:dyDescent="0.3">
      <c r="A651" t="s">
        <v>648</v>
      </c>
      <c r="B651" s="2">
        <v>1.240048611111111E-2</v>
      </c>
      <c r="C651" s="2">
        <v>1.236576388888889E-2</v>
      </c>
      <c r="D651" s="2">
        <v>1.240048611111111E-2</v>
      </c>
      <c r="E651" t="s">
        <v>58</v>
      </c>
      <c r="F651" t="s">
        <v>34</v>
      </c>
      <c r="G651">
        <v>0.205801104972376</v>
      </c>
      <c r="H651">
        <v>0.66379310344827602</v>
      </c>
    </row>
    <row r="652" spans="1:8" x14ac:dyDescent="0.3">
      <c r="A652" t="s">
        <v>649</v>
      </c>
      <c r="B652" s="2">
        <v>1.3613101851851852E-2</v>
      </c>
      <c r="C652" s="2">
        <v>1.3578379629629629E-2</v>
      </c>
      <c r="D652" s="2">
        <v>1.3613101851851852E-2</v>
      </c>
      <c r="E652" t="s">
        <v>42</v>
      </c>
      <c r="F652" t="s">
        <v>34</v>
      </c>
      <c r="G652">
        <v>0.40745856353591198</v>
      </c>
      <c r="H652">
        <v>0.57327586206896597</v>
      </c>
    </row>
    <row r="653" spans="1:8" x14ac:dyDescent="0.3">
      <c r="A653" t="s">
        <v>650</v>
      </c>
      <c r="B653" s="2">
        <v>1.3967280092592592E-2</v>
      </c>
      <c r="C653" s="2">
        <v>1.3932557870370371E-2</v>
      </c>
      <c r="D653" s="2">
        <v>1.3967280092592592E-2</v>
      </c>
      <c r="E653" t="s">
        <v>42</v>
      </c>
      <c r="F653" t="s">
        <v>28</v>
      </c>
      <c r="G653">
        <v>0.374309392265193</v>
      </c>
      <c r="H653">
        <v>0.71120689655172398</v>
      </c>
    </row>
    <row r="654" spans="1:8" x14ac:dyDescent="0.3">
      <c r="A654" t="s">
        <v>651</v>
      </c>
      <c r="B654" s="2">
        <v>1.4933391203703704E-2</v>
      </c>
      <c r="C654" s="2">
        <v>1.4898668981481481E-2</v>
      </c>
      <c r="D654" s="2">
        <v>1.4933391203703704E-2</v>
      </c>
      <c r="E654" t="s">
        <v>27</v>
      </c>
      <c r="F654" t="s">
        <v>28</v>
      </c>
      <c r="G654">
        <v>0.14779005524861899</v>
      </c>
      <c r="H654">
        <v>0.59913793103448298</v>
      </c>
    </row>
    <row r="655" spans="1:8" x14ac:dyDescent="0.3">
      <c r="A655" t="s">
        <v>652</v>
      </c>
      <c r="B655" s="2">
        <v>1.6743078703703704E-2</v>
      </c>
      <c r="C655" s="2">
        <v>1.670835648148148E-2</v>
      </c>
      <c r="D655" s="2">
        <v>1.6743078703703704E-2</v>
      </c>
      <c r="E655" t="s">
        <v>42</v>
      </c>
      <c r="F655" t="s">
        <v>28</v>
      </c>
      <c r="G655">
        <v>0.45994475138121499</v>
      </c>
      <c r="H655">
        <v>0.84051724137931005</v>
      </c>
    </row>
    <row r="656" spans="1:8" x14ac:dyDescent="0.3">
      <c r="A656" t="s">
        <v>653</v>
      </c>
      <c r="B656" s="2">
        <v>1.6959074074074074E-2</v>
      </c>
      <c r="C656" s="2">
        <v>1.692435185185185E-2</v>
      </c>
      <c r="D656" s="2">
        <v>1.6959074074074074E-2</v>
      </c>
      <c r="E656" t="s">
        <v>30</v>
      </c>
      <c r="F656" t="s">
        <v>34</v>
      </c>
      <c r="G656">
        <v>0.25</v>
      </c>
      <c r="H656">
        <v>3.0172413793102981E-2</v>
      </c>
    </row>
    <row r="657" spans="1:8" x14ac:dyDescent="0.3">
      <c r="A657" t="s">
        <v>654</v>
      </c>
      <c r="B657" s="2">
        <v>1.8526493055555555E-2</v>
      </c>
      <c r="C657" s="2">
        <v>1.8491770833333334E-2</v>
      </c>
      <c r="D657" s="2">
        <v>1.8526493055555555E-2</v>
      </c>
      <c r="E657" t="s">
        <v>27</v>
      </c>
      <c r="F657" t="s">
        <v>34</v>
      </c>
      <c r="G657">
        <v>0.106353591160221</v>
      </c>
      <c r="H657">
        <v>0.50431034482758608</v>
      </c>
    </row>
    <row r="658" spans="1:8" x14ac:dyDescent="0.3">
      <c r="A658" t="s">
        <v>655</v>
      </c>
      <c r="B658" s="2">
        <v>2.0301261574074074E-2</v>
      </c>
      <c r="C658" s="2">
        <v>2.0266539351851853E-2</v>
      </c>
      <c r="D658" s="2">
        <v>2.0301261574074074E-2</v>
      </c>
      <c r="E658" t="s">
        <v>42</v>
      </c>
      <c r="F658" t="s">
        <v>34</v>
      </c>
      <c r="G658">
        <v>5.6629834254143599E-2</v>
      </c>
      <c r="H658">
        <v>0.47844827586206895</v>
      </c>
    </row>
    <row r="659" spans="1:8" x14ac:dyDescent="0.3">
      <c r="A659" t="s">
        <v>656</v>
      </c>
      <c r="B659" s="2">
        <v>2.0330254629629629E-2</v>
      </c>
      <c r="C659" s="2">
        <v>2.0295532407407408E-2</v>
      </c>
      <c r="D659" s="2">
        <v>2.0330254629629629E-2</v>
      </c>
      <c r="E659" t="s">
        <v>32</v>
      </c>
      <c r="F659" t="s">
        <v>28</v>
      </c>
      <c r="G659">
        <v>0.388121546961326</v>
      </c>
      <c r="H659">
        <v>0.48706896551724099</v>
      </c>
    </row>
    <row r="660" spans="1:8" x14ac:dyDescent="0.3">
      <c r="A660" t="s">
        <v>657</v>
      </c>
      <c r="B660" s="2">
        <v>2.0657812500000001E-2</v>
      </c>
      <c r="C660" s="2">
        <v>2.0623090277777777E-2</v>
      </c>
      <c r="D660" s="2">
        <v>2.0657812500000001E-2</v>
      </c>
      <c r="E660" t="s">
        <v>58</v>
      </c>
      <c r="F660" t="s">
        <v>34</v>
      </c>
      <c r="G660">
        <v>0.29696132596685099</v>
      </c>
      <c r="H660">
        <v>0.64655172413793105</v>
      </c>
    </row>
    <row r="661" spans="1:8" x14ac:dyDescent="0.3">
      <c r="A661" t="s">
        <v>658</v>
      </c>
      <c r="B661" s="2">
        <v>2.1851226851851851E-2</v>
      </c>
      <c r="C661" s="2">
        <v>2.181650462962963E-2</v>
      </c>
      <c r="D661" s="2">
        <v>2.1851226851851851E-2</v>
      </c>
      <c r="E661" t="s">
        <v>46</v>
      </c>
      <c r="F661" t="s">
        <v>28</v>
      </c>
      <c r="G661">
        <v>0.19751381215469599</v>
      </c>
      <c r="H661">
        <v>0.14224137931034497</v>
      </c>
    </row>
    <row r="662" spans="1:8" x14ac:dyDescent="0.3">
      <c r="A662" t="s">
        <v>659</v>
      </c>
      <c r="B662" s="2">
        <v>2.1901018518518518E-2</v>
      </c>
      <c r="C662" s="2">
        <v>2.1866296296296297E-2</v>
      </c>
      <c r="D662" s="2">
        <v>2.1901018518518518E-2</v>
      </c>
      <c r="E662" t="s">
        <v>44</v>
      </c>
      <c r="F662" t="s">
        <v>34</v>
      </c>
      <c r="G662">
        <v>0.44613259668508298</v>
      </c>
      <c r="H662">
        <v>0.10344827586206895</v>
      </c>
    </row>
    <row r="663" spans="1:8" x14ac:dyDescent="0.3">
      <c r="A663" t="s">
        <v>660</v>
      </c>
      <c r="B663" s="2">
        <v>2.2447106481481481E-2</v>
      </c>
      <c r="C663" s="2">
        <v>2.241238425925926E-2</v>
      </c>
      <c r="D663" s="2">
        <v>2.2447106481481481E-2</v>
      </c>
      <c r="E663" t="s">
        <v>30</v>
      </c>
      <c r="F663" t="s">
        <v>28</v>
      </c>
      <c r="G663">
        <v>0.125690607734807</v>
      </c>
      <c r="H663">
        <v>3.4482758620689946E-2</v>
      </c>
    </row>
    <row r="664" spans="1:8" x14ac:dyDescent="0.3">
      <c r="A664" t="s">
        <v>661</v>
      </c>
      <c r="B664" s="2">
        <v>2.3345601851851853E-2</v>
      </c>
      <c r="C664" s="2">
        <v>2.3310879629629629E-2</v>
      </c>
      <c r="D664" s="2">
        <v>2.3345601851851853E-2</v>
      </c>
      <c r="E664" t="s">
        <v>42</v>
      </c>
      <c r="F664" t="s">
        <v>34</v>
      </c>
      <c r="G664">
        <v>0.363259668508287</v>
      </c>
      <c r="H664">
        <v>0.59913793103448298</v>
      </c>
    </row>
    <row r="665" spans="1:8" x14ac:dyDescent="0.3">
      <c r="A665" t="s">
        <v>662</v>
      </c>
      <c r="B665" s="2">
        <v>2.4245752314814815E-2</v>
      </c>
      <c r="C665" s="2">
        <v>2.4211030092592591E-2</v>
      </c>
      <c r="D665" s="2">
        <v>2.4245752314814815E-2</v>
      </c>
      <c r="E665" t="s">
        <v>42</v>
      </c>
      <c r="F665" t="s">
        <v>34</v>
      </c>
      <c r="G665">
        <v>0.57320441988950299</v>
      </c>
      <c r="H665">
        <v>9.482758620689602E-2</v>
      </c>
    </row>
    <row r="666" spans="1:8" x14ac:dyDescent="0.3">
      <c r="A666" t="s">
        <v>663</v>
      </c>
      <c r="B666" s="2">
        <v>2.450008101851852E-2</v>
      </c>
      <c r="C666" s="2">
        <v>2.4465358796296296E-2</v>
      </c>
      <c r="D666" s="2">
        <v>2.450008101851852E-2</v>
      </c>
      <c r="E666" t="s">
        <v>38</v>
      </c>
      <c r="F666" t="s">
        <v>34</v>
      </c>
      <c r="G666">
        <v>0.650552486187845</v>
      </c>
      <c r="H666">
        <v>0.25</v>
      </c>
    </row>
    <row r="667" spans="1:8" x14ac:dyDescent="0.3">
      <c r="A667" t="s">
        <v>664</v>
      </c>
      <c r="B667" s="2">
        <v>2.7394988425925925E-2</v>
      </c>
      <c r="C667" s="2">
        <v>2.7360266203703704E-2</v>
      </c>
      <c r="D667" s="2">
        <v>2.7394988425925925E-2</v>
      </c>
      <c r="E667" t="s">
        <v>42</v>
      </c>
      <c r="F667" t="s">
        <v>28</v>
      </c>
      <c r="G667">
        <v>5.3867403314917101E-2</v>
      </c>
      <c r="H667">
        <v>0.48275862068965503</v>
      </c>
    </row>
    <row r="668" spans="1:8" x14ac:dyDescent="0.3">
      <c r="A668" t="s">
        <v>665</v>
      </c>
      <c r="B668" s="2">
        <v>2.7808865740740742E-2</v>
      </c>
      <c r="C668" s="2">
        <v>2.7774143518518517E-2</v>
      </c>
      <c r="D668" s="2">
        <v>2.7808865740740742E-2</v>
      </c>
      <c r="E668" t="s">
        <v>58</v>
      </c>
      <c r="F668" t="s">
        <v>34</v>
      </c>
      <c r="G668">
        <v>3.7292817679557999E-2</v>
      </c>
      <c r="H668">
        <v>0.83620689655172398</v>
      </c>
    </row>
    <row r="669" spans="1:8" x14ac:dyDescent="0.3">
      <c r="A669" t="s">
        <v>666</v>
      </c>
      <c r="B669" s="2">
        <v>2.787841435185185E-2</v>
      </c>
      <c r="C669" s="2">
        <v>2.784369212962963E-2</v>
      </c>
      <c r="D669" s="2">
        <v>2.787841435185185E-2</v>
      </c>
      <c r="E669" t="s">
        <v>58</v>
      </c>
      <c r="F669" t="s">
        <v>34</v>
      </c>
      <c r="G669">
        <v>0.103591160220994</v>
      </c>
      <c r="H669">
        <v>0.98275862068965525</v>
      </c>
    </row>
    <row r="670" spans="1:8" x14ac:dyDescent="0.3">
      <c r="A670" t="s">
        <v>668</v>
      </c>
      <c r="B670" s="2">
        <v>2.8737847222222224E-2</v>
      </c>
      <c r="C670" s="2">
        <v>2.8703124999999999E-2</v>
      </c>
      <c r="D670" s="2">
        <v>2.8737847222222224E-2</v>
      </c>
      <c r="E670" t="s">
        <v>58</v>
      </c>
      <c r="F670" t="s">
        <v>34</v>
      </c>
      <c r="G670">
        <v>0.11740331491712699</v>
      </c>
      <c r="H670">
        <v>0.92241379310344829</v>
      </c>
    </row>
    <row r="671" spans="1:8" x14ac:dyDescent="0.3">
      <c r="A671" t="s">
        <v>669</v>
      </c>
      <c r="B671" s="2">
        <v>3.0080995370370369E-2</v>
      </c>
      <c r="C671" s="2">
        <v>3.0046273148148148E-2</v>
      </c>
      <c r="D671" s="2">
        <v>3.0080995370370369E-2</v>
      </c>
      <c r="E671" t="s">
        <v>40</v>
      </c>
      <c r="F671" t="s">
        <v>28</v>
      </c>
      <c r="G671">
        <v>4.5580110497237598E-2</v>
      </c>
      <c r="H671">
        <v>0.53448275862068995</v>
      </c>
    </row>
    <row r="672" spans="1:8" x14ac:dyDescent="0.3">
      <c r="A672" t="s">
        <v>670</v>
      </c>
      <c r="B672" s="2">
        <v>3.0126018518518517E-2</v>
      </c>
      <c r="C672" s="2">
        <v>3.0091296296296297E-2</v>
      </c>
      <c r="D672" s="2">
        <v>3.0126018518518517E-2</v>
      </c>
      <c r="E672" t="s">
        <v>51</v>
      </c>
      <c r="F672" t="s">
        <v>34</v>
      </c>
      <c r="G672">
        <v>0.27209944751381199</v>
      </c>
      <c r="H672">
        <v>0.96551724137931028</v>
      </c>
    </row>
    <row r="673" spans="1:8" x14ac:dyDescent="0.3">
      <c r="A673" t="s">
        <v>671</v>
      </c>
      <c r="B673" s="2">
        <v>3.1771458333333336E-2</v>
      </c>
      <c r="C673" s="2">
        <v>3.1736736111111108E-2</v>
      </c>
      <c r="D673" s="2">
        <v>3.1771458333333336E-2</v>
      </c>
      <c r="E673" t="s">
        <v>38</v>
      </c>
      <c r="F673" t="s">
        <v>34</v>
      </c>
      <c r="G673">
        <v>0.42955801104972402</v>
      </c>
      <c r="H673">
        <v>0.62931034482758608</v>
      </c>
    </row>
    <row r="674" spans="1:8" x14ac:dyDescent="0.3">
      <c r="A674" t="s">
        <v>672</v>
      </c>
      <c r="B674" s="2">
        <v>3.2107094907407409E-2</v>
      </c>
      <c r="C674" s="2">
        <v>3.2072372685185188E-2</v>
      </c>
      <c r="D674" s="2">
        <v>3.2107094907407409E-2</v>
      </c>
      <c r="E674" t="s">
        <v>30</v>
      </c>
      <c r="F674" t="s">
        <v>34</v>
      </c>
      <c r="G674">
        <v>0.21132596685082899</v>
      </c>
      <c r="H674">
        <v>1.7241379310344973E-2</v>
      </c>
    </row>
    <row r="675" spans="1:8" x14ac:dyDescent="0.3">
      <c r="A675" t="s">
        <v>673</v>
      </c>
      <c r="B675" s="2">
        <v>3.2508252314814814E-2</v>
      </c>
      <c r="C675" s="2">
        <v>3.2473530092592594E-2</v>
      </c>
      <c r="D675" s="2">
        <v>3.2508252314814814E-2</v>
      </c>
      <c r="E675" t="s">
        <v>30</v>
      </c>
      <c r="F675" t="s">
        <v>34</v>
      </c>
      <c r="G675">
        <v>8.4254143646408805E-2</v>
      </c>
      <c r="H675">
        <v>9.9137931034482984E-2</v>
      </c>
    </row>
    <row r="676" spans="1:8" x14ac:dyDescent="0.3">
      <c r="A676" t="s">
        <v>674</v>
      </c>
      <c r="B676" s="2">
        <v>3.5689618055555553E-2</v>
      </c>
      <c r="C676" s="2">
        <v>3.5654895833333332E-2</v>
      </c>
      <c r="D676" s="2">
        <v>3.5689618055555553E-2</v>
      </c>
      <c r="E676" t="s">
        <v>42</v>
      </c>
      <c r="F676" t="s">
        <v>34</v>
      </c>
      <c r="G676">
        <v>0.349447513812155</v>
      </c>
      <c r="H676">
        <v>0.56465517241379293</v>
      </c>
    </row>
    <row r="677" spans="1:8" x14ac:dyDescent="0.3">
      <c r="A677" t="s">
        <v>675</v>
      </c>
      <c r="B677" s="2">
        <v>3.7474629629629629E-2</v>
      </c>
      <c r="C677" s="2">
        <v>3.7439907407407408E-2</v>
      </c>
      <c r="D677" s="2">
        <v>3.7474629629629629E-2</v>
      </c>
      <c r="E677" t="s">
        <v>42</v>
      </c>
      <c r="F677" t="s">
        <v>34</v>
      </c>
      <c r="G677">
        <v>0.412983425414365</v>
      </c>
      <c r="H677">
        <v>0.443965517241379</v>
      </c>
    </row>
    <row r="678" spans="1:8" x14ac:dyDescent="0.3">
      <c r="A678" t="s">
        <v>676</v>
      </c>
      <c r="B678" s="2">
        <v>3.8430960648148146E-2</v>
      </c>
      <c r="C678" s="2">
        <v>3.8396238425925926E-2</v>
      </c>
      <c r="D678" s="2">
        <v>3.8430960648148146E-2</v>
      </c>
      <c r="E678" t="s">
        <v>27</v>
      </c>
      <c r="F678" t="s">
        <v>34</v>
      </c>
      <c r="G678">
        <v>0.12845303867403299</v>
      </c>
      <c r="H678">
        <v>0.39224137931034497</v>
      </c>
    </row>
    <row r="679" spans="1:8" x14ac:dyDescent="0.3">
      <c r="A679" t="s">
        <v>677</v>
      </c>
      <c r="B679" s="2">
        <v>3.8638449074074072E-2</v>
      </c>
      <c r="C679" s="2">
        <v>3.8603726851851851E-2</v>
      </c>
      <c r="D679" s="2">
        <v>3.8638449074074072E-2</v>
      </c>
      <c r="E679" t="s">
        <v>42</v>
      </c>
      <c r="F679" t="s">
        <v>34</v>
      </c>
      <c r="G679">
        <v>0.48204419889502798</v>
      </c>
      <c r="H679">
        <v>0.90517241379310343</v>
      </c>
    </row>
    <row r="680" spans="1:8" x14ac:dyDescent="0.3">
      <c r="A680" t="s">
        <v>678</v>
      </c>
      <c r="B680" s="2">
        <v>3.8931006944444443E-2</v>
      </c>
      <c r="C680" s="2">
        <v>3.8896284722222223E-2</v>
      </c>
      <c r="D680" s="2">
        <v>3.8931006944444443E-2</v>
      </c>
      <c r="E680" t="s">
        <v>30</v>
      </c>
      <c r="F680" t="s">
        <v>34</v>
      </c>
      <c r="G680">
        <v>0.25552486187845302</v>
      </c>
      <c r="H680">
        <v>6.4655172413793038E-2</v>
      </c>
    </row>
    <row r="681" spans="1:8" x14ac:dyDescent="0.3">
      <c r="A681" t="s">
        <v>679</v>
      </c>
      <c r="B681" s="2">
        <v>3.9811053240740739E-2</v>
      </c>
      <c r="C681" s="2">
        <v>3.9776331018518518E-2</v>
      </c>
      <c r="D681" s="2">
        <v>3.9811053240740739E-2</v>
      </c>
      <c r="E681" t="s">
        <v>46</v>
      </c>
      <c r="F681" t="s">
        <v>34</v>
      </c>
      <c r="G681">
        <v>0.136740331491713</v>
      </c>
      <c r="H681">
        <v>0.76293103448275901</v>
      </c>
    </row>
    <row r="682" spans="1:8" x14ac:dyDescent="0.3">
      <c r="A682" t="s">
        <v>680</v>
      </c>
      <c r="B682" s="2">
        <v>4.091784722222222E-2</v>
      </c>
      <c r="C682" s="2">
        <v>4.0883124999999999E-2</v>
      </c>
      <c r="D682" s="2">
        <v>4.091784722222222E-2</v>
      </c>
      <c r="E682" t="s">
        <v>58</v>
      </c>
      <c r="F682" t="s">
        <v>34</v>
      </c>
      <c r="G682">
        <v>0.29143646408839802</v>
      </c>
      <c r="H682">
        <v>3.4482758620689946E-2</v>
      </c>
    </row>
    <row r="683" spans="1:8" x14ac:dyDescent="0.3">
      <c r="A683" t="s">
        <v>681</v>
      </c>
      <c r="B683" s="2">
        <v>4.2460937499999997E-2</v>
      </c>
      <c r="C683" s="2">
        <v>4.2426215277777776E-2</v>
      </c>
      <c r="D683" s="2">
        <v>4.2460937499999997E-2</v>
      </c>
      <c r="E683" t="s">
        <v>46</v>
      </c>
      <c r="F683" t="s">
        <v>34</v>
      </c>
      <c r="G683">
        <v>0.34392265193370197</v>
      </c>
      <c r="H683">
        <v>0.96551724137931028</v>
      </c>
    </row>
    <row r="684" spans="1:8" x14ac:dyDescent="0.3">
      <c r="A684" t="s">
        <v>682</v>
      </c>
      <c r="B684" s="2">
        <v>4.276863425925926E-2</v>
      </c>
      <c r="C684" s="2">
        <v>4.2733912037037039E-2</v>
      </c>
      <c r="D684" s="2">
        <v>4.276863425925926E-2</v>
      </c>
      <c r="E684" t="s">
        <v>67</v>
      </c>
      <c r="F684" t="s">
        <v>34</v>
      </c>
      <c r="G684">
        <v>0.27762430939226501</v>
      </c>
      <c r="H684">
        <v>0.98275862068965525</v>
      </c>
    </row>
    <row r="685" spans="1:8" x14ac:dyDescent="0.3">
      <c r="A685" t="s">
        <v>683</v>
      </c>
      <c r="B685" s="2">
        <v>4.3261319444444446E-2</v>
      </c>
      <c r="C685" s="2">
        <v>4.3226597222222225E-2</v>
      </c>
      <c r="D685" s="2">
        <v>4.3261319444444446E-2</v>
      </c>
      <c r="E685" t="s">
        <v>46</v>
      </c>
      <c r="F685" t="s">
        <v>34</v>
      </c>
      <c r="G685">
        <v>0.448895027624309</v>
      </c>
      <c r="H685">
        <v>0.75</v>
      </c>
    </row>
    <row r="686" spans="1:8" x14ac:dyDescent="0.3">
      <c r="A686" t="s">
        <v>684</v>
      </c>
      <c r="B686" s="2">
        <v>4.3458506944444447E-2</v>
      </c>
      <c r="C686" s="2">
        <v>4.342378472222222E-2</v>
      </c>
      <c r="D686" s="2">
        <v>4.3458506944444447E-2</v>
      </c>
      <c r="E686" t="s">
        <v>46</v>
      </c>
      <c r="F686" t="s">
        <v>28</v>
      </c>
      <c r="G686">
        <v>0.462707182320442</v>
      </c>
      <c r="H686">
        <v>0.90948275862068972</v>
      </c>
    </row>
    <row r="687" spans="1:8" x14ac:dyDescent="0.3">
      <c r="A687" t="s">
        <v>685</v>
      </c>
      <c r="B687" s="2">
        <v>4.4775439814814813E-2</v>
      </c>
      <c r="C687" s="2">
        <v>4.4740717592592592E-2</v>
      </c>
      <c r="D687" s="2">
        <v>4.4775439814814813E-2</v>
      </c>
      <c r="E687" t="s">
        <v>42</v>
      </c>
      <c r="F687" t="s">
        <v>34</v>
      </c>
      <c r="G687">
        <v>0.45165745856353601</v>
      </c>
      <c r="H687">
        <v>0.69827586206896597</v>
      </c>
    </row>
    <row r="688" spans="1:8" x14ac:dyDescent="0.3">
      <c r="A688" t="s">
        <v>686</v>
      </c>
      <c r="B688" s="2">
        <v>4.6224328703703702E-2</v>
      </c>
      <c r="C688" s="2">
        <v>4.6189606481481481E-2</v>
      </c>
      <c r="D688" s="2">
        <v>4.6224328703703702E-2</v>
      </c>
      <c r="E688" t="s">
        <v>42</v>
      </c>
      <c r="F688" t="s">
        <v>34</v>
      </c>
      <c r="G688">
        <v>0.74171270718231996</v>
      </c>
      <c r="H688">
        <v>0.818965517241379</v>
      </c>
    </row>
    <row r="689" spans="1:8" x14ac:dyDescent="0.3">
      <c r="A689" t="s">
        <v>687</v>
      </c>
      <c r="B689" s="2">
        <v>4.6727465277777776E-2</v>
      </c>
      <c r="C689" s="2">
        <v>4.6692743055555555E-2</v>
      </c>
      <c r="D689" s="2">
        <v>4.6727465277777776E-2</v>
      </c>
      <c r="E689" t="s">
        <v>27</v>
      </c>
      <c r="F689" t="s">
        <v>34</v>
      </c>
      <c r="G689">
        <v>0.86049723756906105</v>
      </c>
      <c r="H689">
        <v>0.32758620689655205</v>
      </c>
    </row>
    <row r="690" spans="1:8" x14ac:dyDescent="0.3">
      <c r="A690" t="s">
        <v>688</v>
      </c>
      <c r="B690" s="2">
        <v>4.7132557870370372E-2</v>
      </c>
      <c r="C690" s="2">
        <v>4.7097835648148151E-2</v>
      </c>
      <c r="D690" s="2">
        <v>4.7132557870370372E-2</v>
      </c>
      <c r="E690" t="s">
        <v>27</v>
      </c>
      <c r="F690" t="s">
        <v>34</v>
      </c>
      <c r="G690">
        <v>4.0055248618784497E-2</v>
      </c>
      <c r="H690">
        <v>0.24568965517241403</v>
      </c>
    </row>
    <row r="691" spans="1:8" x14ac:dyDescent="0.3">
      <c r="A691" t="s">
        <v>689</v>
      </c>
      <c r="B691" s="2">
        <v>4.7956018518518516E-2</v>
      </c>
      <c r="C691" s="2">
        <v>4.7921296296296295E-2</v>
      </c>
      <c r="D691" s="2">
        <v>4.7956018518518516E-2</v>
      </c>
      <c r="E691" t="s">
        <v>58</v>
      </c>
      <c r="F691" t="s">
        <v>34</v>
      </c>
      <c r="G691">
        <v>0.16712707182320399</v>
      </c>
      <c r="H691">
        <v>3.0172413793102981E-2</v>
      </c>
    </row>
    <row r="692" spans="1:8" x14ac:dyDescent="0.3">
      <c r="A692" t="s">
        <v>690</v>
      </c>
      <c r="B692" s="2">
        <v>4.8747291666666664E-2</v>
      </c>
      <c r="C692" s="2">
        <v>4.8712569444444444E-2</v>
      </c>
      <c r="D692" s="2">
        <v>4.8747291666666664E-2</v>
      </c>
      <c r="E692" t="s">
        <v>42</v>
      </c>
      <c r="F692" t="s">
        <v>34</v>
      </c>
      <c r="G692">
        <v>0.63121546961326003</v>
      </c>
      <c r="H692">
        <v>0.45689655172413801</v>
      </c>
    </row>
    <row r="693" spans="1:8" x14ac:dyDescent="0.3">
      <c r="A693" t="s">
        <v>691</v>
      </c>
      <c r="B693" s="2">
        <v>5.0098414351851854E-2</v>
      </c>
      <c r="C693" s="2">
        <v>5.0063692129629626E-2</v>
      </c>
      <c r="D693" s="2">
        <v>5.0098414351851854E-2</v>
      </c>
      <c r="E693" t="s">
        <v>46</v>
      </c>
      <c r="F693" t="s">
        <v>34</v>
      </c>
      <c r="G693">
        <v>0.44060773480663001</v>
      </c>
      <c r="H693">
        <v>0.443965517241379</v>
      </c>
    </row>
    <row r="694" spans="1:8" x14ac:dyDescent="0.3">
      <c r="A694" t="s">
        <v>692</v>
      </c>
      <c r="B694" s="2">
        <v>5.0336215277777777E-2</v>
      </c>
      <c r="C694" s="2">
        <v>5.0301493055555556E-2</v>
      </c>
      <c r="D694" s="2">
        <v>5.0336215277777777E-2</v>
      </c>
      <c r="E694" t="s">
        <v>42</v>
      </c>
      <c r="F694" t="s">
        <v>34</v>
      </c>
      <c r="G694">
        <v>0.56491712707182296</v>
      </c>
      <c r="H694">
        <v>0.81034482758620696</v>
      </c>
    </row>
    <row r="695" spans="1:8" x14ac:dyDescent="0.3">
      <c r="A695" t="s">
        <v>693</v>
      </c>
      <c r="B695" s="2">
        <v>5.0552291666666666E-2</v>
      </c>
      <c r="C695" s="2">
        <v>5.0517569444444445E-2</v>
      </c>
      <c r="D695" s="2">
        <v>5.0552291666666666E-2</v>
      </c>
      <c r="E695" t="s">
        <v>42</v>
      </c>
      <c r="F695" t="s">
        <v>34</v>
      </c>
      <c r="G695">
        <v>0.700276243093923</v>
      </c>
      <c r="H695">
        <v>0.36637931034482796</v>
      </c>
    </row>
    <row r="696" spans="1:8" x14ac:dyDescent="0.3">
      <c r="A696" t="s">
        <v>694</v>
      </c>
      <c r="B696" s="2">
        <v>5.0897199074074077E-2</v>
      </c>
      <c r="C696" s="2">
        <v>5.086247685185185E-2</v>
      </c>
      <c r="D696" s="2">
        <v>5.0897199074074077E-2</v>
      </c>
      <c r="E696" t="s">
        <v>27</v>
      </c>
      <c r="F696" t="s">
        <v>34</v>
      </c>
      <c r="G696">
        <v>0.22790055248618801</v>
      </c>
      <c r="H696">
        <v>0.318965517241379</v>
      </c>
    </row>
    <row r="697" spans="1:8" x14ac:dyDescent="0.3">
      <c r="A697" t="s">
        <v>695</v>
      </c>
      <c r="B697" s="2">
        <v>5.2301226851851852E-2</v>
      </c>
      <c r="C697" s="2">
        <v>5.2266504629629632E-2</v>
      </c>
      <c r="D697" s="2">
        <v>5.2301226851851852E-2</v>
      </c>
      <c r="E697" t="s">
        <v>38</v>
      </c>
      <c r="F697" t="s">
        <v>28</v>
      </c>
      <c r="G697">
        <v>0.338397790055249</v>
      </c>
      <c r="H697">
        <v>0.42241379310344795</v>
      </c>
    </row>
    <row r="698" spans="1:8" x14ac:dyDescent="0.3">
      <c r="A698" t="s">
        <v>696</v>
      </c>
      <c r="B698" s="2">
        <v>5.3274618055555556E-2</v>
      </c>
      <c r="C698" s="2">
        <v>5.3239895833333335E-2</v>
      </c>
      <c r="D698" s="2">
        <v>5.3274618055555556E-2</v>
      </c>
      <c r="E698" t="s">
        <v>67</v>
      </c>
      <c r="F698" t="s">
        <v>28</v>
      </c>
      <c r="G698">
        <v>0.114640883977901</v>
      </c>
      <c r="H698">
        <v>0.61206896551724099</v>
      </c>
    </row>
    <row r="699" spans="1:8" x14ac:dyDescent="0.3">
      <c r="A699" t="s">
        <v>697</v>
      </c>
      <c r="B699" s="2">
        <v>5.70859837962963E-2</v>
      </c>
      <c r="C699" s="2">
        <v>5.7051261574074072E-2</v>
      </c>
      <c r="D699" s="2">
        <v>5.70859837962963E-2</v>
      </c>
      <c r="E699" t="s">
        <v>44</v>
      </c>
      <c r="F699" t="s">
        <v>34</v>
      </c>
      <c r="G699">
        <v>0.44060773480663001</v>
      </c>
      <c r="H699">
        <v>0.73706896551724099</v>
      </c>
    </row>
    <row r="700" spans="1:8" x14ac:dyDescent="0.3">
      <c r="A700" t="s">
        <v>698</v>
      </c>
      <c r="B700" s="2">
        <v>5.853590277777778E-2</v>
      </c>
      <c r="C700" s="2">
        <v>5.8501180555555553E-2</v>
      </c>
      <c r="D700" s="2">
        <v>5.853590277777778E-2</v>
      </c>
      <c r="E700" t="s">
        <v>51</v>
      </c>
      <c r="F700" t="s">
        <v>28</v>
      </c>
      <c r="G700">
        <v>0.64779005524861899</v>
      </c>
      <c r="H700">
        <v>0.306034482758621</v>
      </c>
    </row>
    <row r="701" spans="1:8" x14ac:dyDescent="0.3">
      <c r="A701" t="s">
        <v>699</v>
      </c>
      <c r="B701" s="2">
        <v>5.9946388888888889E-2</v>
      </c>
      <c r="C701" s="2">
        <v>5.9911666666666669E-2</v>
      </c>
      <c r="D701" s="2">
        <v>5.9946388888888889E-2</v>
      </c>
      <c r="E701" t="s">
        <v>40</v>
      </c>
      <c r="F701" t="s">
        <v>28</v>
      </c>
      <c r="G701">
        <v>0.55386740331491702</v>
      </c>
      <c r="H701">
        <v>0.46120689655172398</v>
      </c>
    </row>
    <row r="702" spans="1:8" x14ac:dyDescent="0.3">
      <c r="A702" t="s">
        <v>700</v>
      </c>
      <c r="B702" s="2">
        <v>6.1461064814814816E-2</v>
      </c>
      <c r="C702" s="2">
        <v>6.1426342592592595E-2</v>
      </c>
      <c r="D702" s="2">
        <v>6.1461064814814816E-2</v>
      </c>
      <c r="E702" t="s">
        <v>46</v>
      </c>
      <c r="F702" t="s">
        <v>34</v>
      </c>
      <c r="G702">
        <v>0.23895027624309401</v>
      </c>
      <c r="H702">
        <v>0.64655172413793105</v>
      </c>
    </row>
    <row r="703" spans="1:8" x14ac:dyDescent="0.3">
      <c r="A703" t="s">
        <v>701</v>
      </c>
      <c r="B703" s="2">
        <v>6.150636574074074E-2</v>
      </c>
      <c r="C703" s="2">
        <v>6.1471643518518519E-2</v>
      </c>
      <c r="D703" s="2">
        <v>6.150636574074074E-2</v>
      </c>
      <c r="E703" t="s">
        <v>198</v>
      </c>
      <c r="F703" t="s">
        <v>34</v>
      </c>
      <c r="G703">
        <v>0.42955801104972402</v>
      </c>
      <c r="H703">
        <v>0.48275862068965503</v>
      </c>
    </row>
    <row r="704" spans="1:8" x14ac:dyDescent="0.3">
      <c r="A704" t="s">
        <v>702</v>
      </c>
      <c r="B704" s="2">
        <v>6.2371030092592594E-2</v>
      </c>
      <c r="C704" s="2">
        <v>6.2336307870370374E-2</v>
      </c>
      <c r="D704" s="2">
        <v>6.2371030092592594E-2</v>
      </c>
      <c r="E704" t="s">
        <v>67</v>
      </c>
      <c r="F704" t="s">
        <v>34</v>
      </c>
      <c r="G704">
        <v>0.41574585635359101</v>
      </c>
      <c r="H704">
        <v>0.96120689655172409</v>
      </c>
    </row>
    <row r="705" spans="1:9" x14ac:dyDescent="0.3">
      <c r="A705" t="s">
        <v>703</v>
      </c>
      <c r="B705" s="2">
        <v>6.3686365740740741E-2</v>
      </c>
      <c r="C705" s="2">
        <v>6.3651643518518514E-2</v>
      </c>
      <c r="D705" s="2">
        <v>6.3686365740740741E-2</v>
      </c>
      <c r="E705" t="s">
        <v>58</v>
      </c>
      <c r="F705" t="s">
        <v>34</v>
      </c>
      <c r="G705">
        <v>0.39364640883977903</v>
      </c>
      <c r="H705">
        <v>9.482758620689602E-2</v>
      </c>
    </row>
    <row r="706" spans="1:9" x14ac:dyDescent="0.3">
      <c r="A706" t="s">
        <v>704</v>
      </c>
      <c r="B706" s="2">
        <v>6.379123842592592E-2</v>
      </c>
      <c r="C706" s="2">
        <v>6.3756516203703706E-2</v>
      </c>
      <c r="D706" s="2">
        <v>6.379123842592592E-2</v>
      </c>
      <c r="E706" t="s">
        <v>46</v>
      </c>
      <c r="F706" t="s">
        <v>28</v>
      </c>
      <c r="G706">
        <v>0.45994475138121499</v>
      </c>
      <c r="H706">
        <v>0.53017241379310298</v>
      </c>
    </row>
    <row r="707" spans="1:9" x14ac:dyDescent="0.3">
      <c r="A707" t="s">
        <v>705</v>
      </c>
      <c r="B707" s="2">
        <v>6.6824421296296302E-2</v>
      </c>
      <c r="C707" s="2">
        <v>6.6789699074074074E-2</v>
      </c>
      <c r="D707" s="2">
        <v>6.6824421296296302E-2</v>
      </c>
      <c r="E707" t="s">
        <v>38</v>
      </c>
      <c r="F707" t="s">
        <v>34</v>
      </c>
      <c r="G707">
        <v>0.35497237569060802</v>
      </c>
      <c r="H707">
        <v>0.75431034482758597</v>
      </c>
    </row>
    <row r="709" spans="1:9" ht="23.4" x14ac:dyDescent="0.45">
      <c r="A709" s="43" t="s">
        <v>706</v>
      </c>
      <c r="B709" s="44"/>
      <c r="C709" s="44"/>
      <c r="D709" s="44"/>
      <c r="G709" s="45" t="s">
        <v>15</v>
      </c>
      <c r="H709" s="45" t="s">
        <v>15</v>
      </c>
    </row>
    <row r="710" spans="1:9" x14ac:dyDescent="0.3">
      <c r="A710" s="1" t="s">
        <v>16</v>
      </c>
      <c r="B710" s="1" t="s">
        <v>17</v>
      </c>
      <c r="C710" s="1" t="s">
        <v>18</v>
      </c>
      <c r="D710" s="1" t="s">
        <v>19</v>
      </c>
      <c r="E710" s="1" t="s">
        <v>21</v>
      </c>
      <c r="F710" s="1" t="s">
        <v>707</v>
      </c>
      <c r="G710" s="1" t="s">
        <v>23</v>
      </c>
      <c r="H710" s="1" t="s">
        <v>24</v>
      </c>
      <c r="I710" s="1"/>
    </row>
    <row r="711" spans="1:9" x14ac:dyDescent="0.3">
      <c r="A711" t="s">
        <v>708</v>
      </c>
      <c r="B711" s="2">
        <v>2.6354976851851852E-3</v>
      </c>
      <c r="C711" s="2">
        <v>2.6123495370370372E-3</v>
      </c>
      <c r="D711" s="2">
        <v>2.6586458333333332E-3</v>
      </c>
      <c r="E711" t="s">
        <v>38</v>
      </c>
      <c r="G711">
        <v>0.71408839779005495</v>
      </c>
      <c r="H711">
        <v>0.29741379310344795</v>
      </c>
    </row>
    <row r="712" spans="1:9" x14ac:dyDescent="0.3">
      <c r="A712" t="s">
        <v>709</v>
      </c>
      <c r="B712" s="2">
        <v>8.149710648148149E-3</v>
      </c>
      <c r="C712" s="2">
        <v>8.1265625000000001E-3</v>
      </c>
      <c r="D712" s="2">
        <v>8.1728587962962961E-3</v>
      </c>
      <c r="E712" t="s">
        <v>38</v>
      </c>
      <c r="G712">
        <v>0.399171270718232</v>
      </c>
      <c r="H712">
        <v>0.57758620689655205</v>
      </c>
    </row>
    <row r="713" spans="1:9" x14ac:dyDescent="0.3">
      <c r="A713" t="s">
        <v>710</v>
      </c>
      <c r="B713" s="2">
        <v>1.2489097222222223E-2</v>
      </c>
      <c r="C713" s="2">
        <v>1.2465949074074074E-2</v>
      </c>
      <c r="D713" s="2">
        <v>1.251224537037037E-2</v>
      </c>
      <c r="E713" t="s">
        <v>38</v>
      </c>
      <c r="G713">
        <v>0.62016574585635398</v>
      </c>
      <c r="H713">
        <v>0.63362068965517193</v>
      </c>
    </row>
    <row r="714" spans="1:9" x14ac:dyDescent="0.3">
      <c r="A714" t="s">
        <v>711</v>
      </c>
      <c r="B714" s="2">
        <v>1.3041875E-2</v>
      </c>
      <c r="C714" s="2">
        <v>1.3018726851851853E-2</v>
      </c>
      <c r="D714" s="2">
        <v>1.3065023148148149E-2</v>
      </c>
      <c r="E714" t="s">
        <v>30</v>
      </c>
      <c r="G714">
        <v>0.399171270718232</v>
      </c>
      <c r="H714">
        <v>0.39224137931034497</v>
      </c>
    </row>
    <row r="715" spans="1:9" x14ac:dyDescent="0.3">
      <c r="A715" t="s">
        <v>712</v>
      </c>
      <c r="B715" s="2">
        <v>2.8951967592592592E-2</v>
      </c>
      <c r="C715" s="2">
        <v>2.8928819444444445E-2</v>
      </c>
      <c r="D715" s="2">
        <v>2.8975115740740742E-2</v>
      </c>
      <c r="E715" t="s">
        <v>51</v>
      </c>
      <c r="F715" t="s">
        <v>713</v>
      </c>
      <c r="G715">
        <v>0.76104972375690605</v>
      </c>
      <c r="H715">
        <v>0.73706896551724099</v>
      </c>
    </row>
    <row r="716" spans="1:9" x14ac:dyDescent="0.3">
      <c r="A716" t="s">
        <v>714</v>
      </c>
      <c r="B716" s="2">
        <v>3.2933993055555555E-2</v>
      </c>
      <c r="C716" s="2">
        <v>3.2910844907407408E-2</v>
      </c>
      <c r="D716" s="2">
        <v>3.2957141203703702E-2</v>
      </c>
      <c r="E716" t="s">
        <v>32</v>
      </c>
      <c r="G716">
        <v>0.412983425414365</v>
      </c>
      <c r="H716">
        <v>0.181034482758621</v>
      </c>
    </row>
    <row r="717" spans="1:9" x14ac:dyDescent="0.3">
      <c r="A717" t="s">
        <v>715</v>
      </c>
      <c r="B717" s="2">
        <v>4.1130775462962961E-2</v>
      </c>
      <c r="C717" s="2">
        <v>4.1107627314814814E-2</v>
      </c>
      <c r="D717" s="2">
        <v>4.1153923611111108E-2</v>
      </c>
      <c r="E717" t="s">
        <v>32</v>
      </c>
      <c r="G717">
        <v>0.85773480662983403</v>
      </c>
      <c r="H717">
        <v>0.68965517241379293</v>
      </c>
    </row>
    <row r="718" spans="1:9" x14ac:dyDescent="0.3">
      <c r="A718" t="s">
        <v>716</v>
      </c>
      <c r="B718" s="2">
        <v>5.5792418981481483E-2</v>
      </c>
      <c r="C718" s="2">
        <v>5.5769270833333336E-2</v>
      </c>
      <c r="D718" s="2">
        <v>5.581556712962963E-2</v>
      </c>
      <c r="E718" t="s">
        <v>38</v>
      </c>
      <c r="G718">
        <v>0.88812154696132595</v>
      </c>
      <c r="H718">
        <v>0.21120689655172409</v>
      </c>
    </row>
    <row r="719" spans="1:9" x14ac:dyDescent="0.3">
      <c r="A719" t="s">
        <v>717</v>
      </c>
      <c r="B719" s="2">
        <v>6.3833668981481476E-2</v>
      </c>
      <c r="C719" s="2">
        <v>6.3810520833333328E-2</v>
      </c>
      <c r="D719" s="2">
        <v>6.3856817129629623E-2</v>
      </c>
      <c r="E719" t="s">
        <v>51</v>
      </c>
      <c r="G719">
        <v>0.90193370165745856</v>
      </c>
      <c r="H719">
        <v>0.82758620689655171</v>
      </c>
    </row>
    <row r="720" spans="1:9" x14ac:dyDescent="0.3">
      <c r="A720" t="s">
        <v>718</v>
      </c>
      <c r="B720" s="2">
        <v>6.4495196759259257E-2</v>
      </c>
      <c r="C720" s="2">
        <v>6.447204861111111E-2</v>
      </c>
      <c r="D720" s="2">
        <v>6.4518344907407404E-2</v>
      </c>
      <c r="E720" t="s">
        <v>51</v>
      </c>
      <c r="G720">
        <v>0.61464088397790095</v>
      </c>
      <c r="H720">
        <v>0.46120689655172398</v>
      </c>
    </row>
    <row r="722" spans="1:10" x14ac:dyDescent="0.3">
      <c r="H722" t="s">
        <v>26</v>
      </c>
    </row>
    <row r="723" spans="1:10" x14ac:dyDescent="0.3">
      <c r="H723" t="s">
        <v>26</v>
      </c>
    </row>
    <row r="724" spans="1:10" x14ac:dyDescent="0.3">
      <c r="H724" t="s">
        <v>26</v>
      </c>
    </row>
    <row r="725" spans="1:10" ht="23.4" x14ac:dyDescent="0.45">
      <c r="A725" s="43" t="s">
        <v>719</v>
      </c>
      <c r="B725" s="44"/>
      <c r="C725" s="44"/>
      <c r="D725" s="44"/>
      <c r="F725" s="45" t="s">
        <v>15</v>
      </c>
      <c r="G725" s="45" t="s">
        <v>15</v>
      </c>
      <c r="H725" s="45" t="s">
        <v>611</v>
      </c>
      <c r="I725" s="45" t="s">
        <v>611</v>
      </c>
    </row>
    <row r="726" spans="1:10" x14ac:dyDescent="0.3">
      <c r="A726" s="1" t="s">
        <v>16</v>
      </c>
      <c r="B726" s="1" t="s">
        <v>17</v>
      </c>
      <c r="C726" s="1" t="s">
        <v>18</v>
      </c>
      <c r="D726" s="1" t="s">
        <v>19</v>
      </c>
      <c r="E726" s="1" t="s">
        <v>21</v>
      </c>
      <c r="F726" s="1" t="s">
        <v>23</v>
      </c>
      <c r="G726" s="1" t="s">
        <v>24</v>
      </c>
      <c r="H726" s="1" t="s">
        <v>612</v>
      </c>
      <c r="I726" s="1" t="s">
        <v>613</v>
      </c>
      <c r="J726" s="1"/>
    </row>
    <row r="727" spans="1:10" x14ac:dyDescent="0.3">
      <c r="A727" t="s">
        <v>720</v>
      </c>
      <c r="B727" s="2">
        <v>3.5035300925925928E-3</v>
      </c>
      <c r="C727" s="2">
        <v>3.4803819444444444E-3</v>
      </c>
      <c r="D727" s="2">
        <v>3.5151041666666668E-3</v>
      </c>
      <c r="E727" t="s">
        <v>32</v>
      </c>
      <c r="F727">
        <v>0.58862433862433905</v>
      </c>
      <c r="G727">
        <v>0.12396694214876003</v>
      </c>
    </row>
    <row r="728" spans="1:10" x14ac:dyDescent="0.3">
      <c r="A728" t="s">
        <v>721</v>
      </c>
      <c r="B728" s="2">
        <v>9.2060185185185179E-3</v>
      </c>
      <c r="C728" s="2">
        <v>9.1828703703703708E-3</v>
      </c>
      <c r="D728" s="2">
        <v>9.2175925925925932E-3</v>
      </c>
      <c r="E728" t="s">
        <v>40</v>
      </c>
      <c r="F728">
        <v>0.316137566137566</v>
      </c>
      <c r="G728">
        <v>0.48760330578512401</v>
      </c>
    </row>
    <row r="729" spans="1:10" x14ac:dyDescent="0.3">
      <c r="A729" t="s">
        <v>722</v>
      </c>
      <c r="B729" s="2">
        <v>1.5000277777777777E-2</v>
      </c>
      <c r="C729" s="2">
        <v>1.497712962962963E-2</v>
      </c>
      <c r="D729" s="2">
        <v>1.5011851851851853E-2</v>
      </c>
      <c r="E729" t="s">
        <v>32</v>
      </c>
      <c r="F729">
        <v>0.42460317460317498</v>
      </c>
      <c r="G729">
        <v>0.86776859504132198</v>
      </c>
    </row>
    <row r="730" spans="1:10" x14ac:dyDescent="0.3">
      <c r="A730" t="s">
        <v>723</v>
      </c>
      <c r="B730" s="2">
        <v>2.4030162037037037E-2</v>
      </c>
      <c r="C730" s="2">
        <v>2.400701388888889E-2</v>
      </c>
      <c r="D730" s="2">
        <v>2.4041736111111111E-2</v>
      </c>
      <c r="E730" t="s">
        <v>32</v>
      </c>
      <c r="F730">
        <v>0.59656084656084696</v>
      </c>
      <c r="G730">
        <v>0.11983471074380203</v>
      </c>
    </row>
    <row r="731" spans="1:10" x14ac:dyDescent="0.3">
      <c r="A731" t="s">
        <v>724</v>
      </c>
      <c r="B731" s="2">
        <v>2.4443368055555557E-2</v>
      </c>
      <c r="C731" s="2">
        <v>2.4420219907407406E-2</v>
      </c>
      <c r="D731" s="2">
        <v>2.445494212962963E-2</v>
      </c>
      <c r="E731" t="s">
        <v>38</v>
      </c>
      <c r="F731">
        <v>0.66534391534391502</v>
      </c>
      <c r="G731">
        <v>0.30578512396694202</v>
      </c>
    </row>
    <row r="732" spans="1:10" x14ac:dyDescent="0.3">
      <c r="A732" t="s">
        <v>725</v>
      </c>
      <c r="B732" s="2">
        <v>2.7605856481481481E-2</v>
      </c>
      <c r="C732" s="2">
        <v>2.7582708333333334E-2</v>
      </c>
      <c r="D732" s="2">
        <v>2.7617430555555555E-2</v>
      </c>
      <c r="E732" t="s">
        <v>42</v>
      </c>
      <c r="F732">
        <v>4.8941798941798897E-2</v>
      </c>
      <c r="G732">
        <v>0.85950413223140498</v>
      </c>
    </row>
    <row r="733" spans="1:10" x14ac:dyDescent="0.3">
      <c r="A733" t="s">
        <v>726</v>
      </c>
      <c r="B733" s="2">
        <v>2.8552777777777778E-2</v>
      </c>
      <c r="C733" s="2">
        <v>2.852962962962963E-2</v>
      </c>
      <c r="D733" s="2">
        <v>2.8564351851851851E-2</v>
      </c>
      <c r="E733" t="s">
        <v>58</v>
      </c>
      <c r="F733">
        <v>0.15476190476190499</v>
      </c>
      <c r="G733">
        <v>0.97107438016528935</v>
      </c>
    </row>
    <row r="734" spans="1:10" x14ac:dyDescent="0.3">
      <c r="A734" t="s">
        <v>727</v>
      </c>
      <c r="B734" s="2">
        <v>4.0595856481481479E-2</v>
      </c>
      <c r="C734" s="2">
        <v>4.0572708333333332E-2</v>
      </c>
      <c r="D734" s="2">
        <v>4.0607430555555553E-2</v>
      </c>
      <c r="E734" t="s">
        <v>42</v>
      </c>
      <c r="F734">
        <v>0.30555555555555602</v>
      </c>
      <c r="G734">
        <v>2.4793388429751984E-2</v>
      </c>
    </row>
    <row r="735" spans="1:10" x14ac:dyDescent="0.3">
      <c r="A735" t="s">
        <v>728</v>
      </c>
      <c r="B735" s="2">
        <v>4.2907280092592592E-2</v>
      </c>
      <c r="C735" s="2">
        <v>4.2884131944444445E-2</v>
      </c>
      <c r="D735" s="2">
        <v>4.2918854166666666E-2</v>
      </c>
      <c r="E735" t="s">
        <v>198</v>
      </c>
      <c r="F735">
        <v>0.453703703703704</v>
      </c>
      <c r="G735">
        <v>0.669421487603306</v>
      </c>
    </row>
    <row r="736" spans="1:10" x14ac:dyDescent="0.3">
      <c r="A736" t="s">
        <v>729</v>
      </c>
      <c r="B736" s="2">
        <v>4.8279733796296298E-2</v>
      </c>
      <c r="C736" s="2">
        <v>4.8256585648148151E-2</v>
      </c>
      <c r="D736" s="2">
        <v>4.8291307870370372E-2</v>
      </c>
      <c r="E736" t="s">
        <v>32</v>
      </c>
      <c r="F736">
        <v>0.39021164021164001</v>
      </c>
      <c r="G736">
        <v>0.17768595041322299</v>
      </c>
    </row>
    <row r="737" spans="1:8" x14ac:dyDescent="0.3">
      <c r="A737" t="s">
        <v>730</v>
      </c>
      <c r="B737" s="2">
        <v>4.8527685185185188E-2</v>
      </c>
      <c r="C737" s="2">
        <v>4.850453703703704E-2</v>
      </c>
      <c r="D737" s="2">
        <v>4.8539259259259261E-2</v>
      </c>
      <c r="E737" t="s">
        <v>38</v>
      </c>
      <c r="F737">
        <v>0.60714285714285698</v>
      </c>
      <c r="G737">
        <v>0.45041322314049603</v>
      </c>
    </row>
    <row r="738" spans="1:8" x14ac:dyDescent="0.3">
      <c r="A738" t="s">
        <v>731</v>
      </c>
      <c r="B738" s="2">
        <v>5.0432187500000003E-2</v>
      </c>
      <c r="C738" s="2">
        <v>5.0409039351851849E-2</v>
      </c>
      <c r="D738" s="2">
        <v>5.0443761574074077E-2</v>
      </c>
      <c r="E738" t="s">
        <v>58</v>
      </c>
      <c r="F738">
        <v>0.498677248677249</v>
      </c>
      <c r="G738">
        <v>0.53719008264462798</v>
      </c>
    </row>
    <row r="739" spans="1:8" x14ac:dyDescent="0.3">
      <c r="A739" t="s">
        <v>732</v>
      </c>
      <c r="B739" s="2">
        <v>6.3349444444444444E-2</v>
      </c>
      <c r="C739" s="2">
        <v>6.3326296296296297E-2</v>
      </c>
      <c r="D739" s="2">
        <v>6.3361018518518525E-2</v>
      </c>
      <c r="E739" t="s">
        <v>264</v>
      </c>
      <c r="F739">
        <v>0.36111111111111099</v>
      </c>
      <c r="G739">
        <v>9.090909090909105E-2</v>
      </c>
    </row>
    <row r="740" spans="1:8" x14ac:dyDescent="0.3">
      <c r="A740" t="s">
        <v>733</v>
      </c>
      <c r="B740" s="2">
        <v>6.7871828703703702E-2</v>
      </c>
      <c r="C740" s="2">
        <v>6.7848680555555554E-2</v>
      </c>
      <c r="D740" s="2">
        <v>6.7883402777777782E-2</v>
      </c>
      <c r="E740" t="s">
        <v>32</v>
      </c>
      <c r="F740">
        <v>0.705026455026455</v>
      </c>
      <c r="G740">
        <v>0.80991735537190102</v>
      </c>
    </row>
    <row r="742" spans="1:8" ht="23.4" x14ac:dyDescent="0.45">
      <c r="A742" s="43" t="s">
        <v>734</v>
      </c>
      <c r="B742" s="44"/>
      <c r="C742" s="44"/>
      <c r="D742" s="44"/>
      <c r="F742" s="45" t="s">
        <v>15</v>
      </c>
      <c r="G742" s="45" t="s">
        <v>15</v>
      </c>
    </row>
    <row r="743" spans="1:8" x14ac:dyDescent="0.3">
      <c r="A743" s="1" t="s">
        <v>16</v>
      </c>
      <c r="B743" s="1" t="s">
        <v>17</v>
      </c>
      <c r="C743" s="1" t="s">
        <v>18</v>
      </c>
      <c r="D743" s="1" t="s">
        <v>19</v>
      </c>
      <c r="E743" s="1" t="s">
        <v>21</v>
      </c>
      <c r="F743" s="1" t="s">
        <v>23</v>
      </c>
      <c r="G743" s="1" t="s">
        <v>24</v>
      </c>
      <c r="H743" s="1"/>
    </row>
    <row r="744" spans="1:8" x14ac:dyDescent="0.3">
      <c r="A744" t="s">
        <v>735</v>
      </c>
      <c r="B744" s="2">
        <v>7.2545486111111109E-3</v>
      </c>
      <c r="C744" s="2">
        <v>7.2429745370370373E-3</v>
      </c>
      <c r="D744" s="2">
        <v>7.2661226851851854E-3</v>
      </c>
      <c r="E744" t="s">
        <v>27</v>
      </c>
      <c r="F744">
        <v>1.4550264550264499E-2</v>
      </c>
      <c r="G744">
        <v>0.49173553719008301</v>
      </c>
    </row>
    <row r="745" spans="1:8" x14ac:dyDescent="0.3">
      <c r="A745" t="s">
        <v>736</v>
      </c>
      <c r="B745" s="2">
        <v>1.8271180555555554E-2</v>
      </c>
      <c r="C745" s="2">
        <v>1.8259606481481481E-2</v>
      </c>
      <c r="D745" s="2">
        <v>1.8282754629629628E-2</v>
      </c>
      <c r="E745" t="s">
        <v>27</v>
      </c>
      <c r="F745">
        <v>1.1904761904761901E-2</v>
      </c>
      <c r="G745">
        <v>0.495867768595041</v>
      </c>
    </row>
    <row r="746" spans="1:8" x14ac:dyDescent="0.3">
      <c r="A746" t="s">
        <v>737</v>
      </c>
      <c r="B746" s="2">
        <v>2.9540532407407408E-2</v>
      </c>
      <c r="C746" s="2">
        <v>2.9528958333333334E-2</v>
      </c>
      <c r="D746" s="2">
        <v>2.9552106481481481E-2</v>
      </c>
      <c r="E746" t="s">
        <v>27</v>
      </c>
      <c r="F746">
        <v>3.9682539682539698E-3</v>
      </c>
      <c r="G746">
        <v>0.44214876033057804</v>
      </c>
    </row>
    <row r="747" spans="1:8" x14ac:dyDescent="0.3">
      <c r="A747" t="s">
        <v>738</v>
      </c>
      <c r="B747" s="2">
        <v>3.0016041666666667E-2</v>
      </c>
      <c r="C747" s="2">
        <v>3.0004467592592593E-2</v>
      </c>
      <c r="D747" s="2">
        <v>3.002761574074074E-2</v>
      </c>
      <c r="E747" t="s">
        <v>27</v>
      </c>
      <c r="F747">
        <v>3.5714285714285698E-2</v>
      </c>
      <c r="G747">
        <v>0.52479338842975198</v>
      </c>
    </row>
    <row r="748" spans="1:8" x14ac:dyDescent="0.3">
      <c r="A748" t="s">
        <v>739</v>
      </c>
      <c r="B748" s="2">
        <v>3.8062199074074071E-2</v>
      </c>
      <c r="C748" s="2">
        <v>3.8050624999999998E-2</v>
      </c>
      <c r="D748" s="2">
        <v>3.8073773148148145E-2</v>
      </c>
      <c r="E748" t="s">
        <v>27</v>
      </c>
      <c r="F748">
        <v>3.0423280423280401E-2</v>
      </c>
      <c r="G748">
        <v>0.39256198347107396</v>
      </c>
    </row>
    <row r="750" spans="1:8" x14ac:dyDescent="0.3">
      <c r="G750" t="s">
        <v>26</v>
      </c>
    </row>
    <row r="751" spans="1:8" x14ac:dyDescent="0.3">
      <c r="G751" t="s">
        <v>26</v>
      </c>
    </row>
    <row r="752" spans="1:8" x14ac:dyDescent="0.3">
      <c r="G752" t="s">
        <v>26</v>
      </c>
    </row>
    <row r="753" spans="1:9" x14ac:dyDescent="0.3">
      <c r="G753" t="s">
        <v>26</v>
      </c>
    </row>
    <row r="754" spans="1:9" x14ac:dyDescent="0.3">
      <c r="G754" t="s">
        <v>26</v>
      </c>
    </row>
    <row r="755" spans="1:9" x14ac:dyDescent="0.3">
      <c r="G755" t="s">
        <v>26</v>
      </c>
    </row>
    <row r="756" spans="1:9" x14ac:dyDescent="0.3">
      <c r="G756" t="s">
        <v>26</v>
      </c>
    </row>
    <row r="757" spans="1:9" x14ac:dyDescent="0.3">
      <c r="G757" t="s">
        <v>26</v>
      </c>
    </row>
    <row r="758" spans="1:9" ht="23.4" x14ac:dyDescent="0.45">
      <c r="A758" s="43" t="s">
        <v>740</v>
      </c>
      <c r="B758" s="44"/>
      <c r="C758" s="44"/>
      <c r="D758" s="44"/>
      <c r="G758" s="45" t="s">
        <v>15</v>
      </c>
      <c r="H758" s="45" t="s">
        <v>15</v>
      </c>
    </row>
    <row r="759" spans="1:9" x14ac:dyDescent="0.3">
      <c r="A759" s="1" t="s">
        <v>16</v>
      </c>
      <c r="B759" s="1" t="s">
        <v>17</v>
      </c>
      <c r="C759" s="1" t="s">
        <v>18</v>
      </c>
      <c r="D759" s="1" t="s">
        <v>19</v>
      </c>
      <c r="E759" s="1" t="s">
        <v>21</v>
      </c>
      <c r="F759" s="1" t="s">
        <v>22</v>
      </c>
      <c r="G759" s="1" t="s">
        <v>23</v>
      </c>
      <c r="H759" s="1" t="s">
        <v>24</v>
      </c>
      <c r="I759" s="1"/>
    </row>
    <row r="760" spans="1:9" x14ac:dyDescent="0.3">
      <c r="A760" t="s">
        <v>741</v>
      </c>
      <c r="B760" s="2">
        <v>3.2852430555555556E-3</v>
      </c>
      <c r="C760" s="2">
        <v>3.2620949074074076E-3</v>
      </c>
      <c r="D760" s="2">
        <v>3.2968171296296296E-3</v>
      </c>
      <c r="E760" t="s">
        <v>30</v>
      </c>
      <c r="F760" t="s">
        <v>742</v>
      </c>
      <c r="G760">
        <v>0.45994475138121499</v>
      </c>
      <c r="H760">
        <v>1.7241379310344973E-2</v>
      </c>
    </row>
    <row r="761" spans="1:9" x14ac:dyDescent="0.3">
      <c r="A761" t="s">
        <v>743</v>
      </c>
      <c r="B761" s="2">
        <v>3.490636574074074E-3</v>
      </c>
      <c r="C761" s="2">
        <v>3.4674884259259259E-3</v>
      </c>
      <c r="D761" s="2">
        <v>3.502210648148148E-3</v>
      </c>
      <c r="E761" t="s">
        <v>30</v>
      </c>
      <c r="F761" t="s">
        <v>742</v>
      </c>
      <c r="G761">
        <v>0.448895027624309</v>
      </c>
      <c r="H761">
        <v>1.7241379310344973E-2</v>
      </c>
    </row>
    <row r="762" spans="1:9" x14ac:dyDescent="0.3">
      <c r="A762" t="s">
        <v>744</v>
      </c>
      <c r="B762" s="2">
        <v>4.6264120370370374E-3</v>
      </c>
      <c r="C762" s="2">
        <v>4.6032638888888885E-3</v>
      </c>
      <c r="D762" s="2">
        <v>4.637986111111111E-3</v>
      </c>
      <c r="E762" t="s">
        <v>30</v>
      </c>
      <c r="F762" t="s">
        <v>742</v>
      </c>
      <c r="G762">
        <v>0.58149171270718203</v>
      </c>
      <c r="H762">
        <v>1.7241379310344973E-2</v>
      </c>
    </row>
    <row r="763" spans="1:9" x14ac:dyDescent="0.3">
      <c r="A763" t="s">
        <v>745</v>
      </c>
      <c r="B763" s="2">
        <v>5.2740856481481484E-3</v>
      </c>
      <c r="C763" s="2">
        <v>5.2509375000000004E-3</v>
      </c>
      <c r="D763" s="2">
        <v>5.285659722222222E-3</v>
      </c>
      <c r="E763" t="s">
        <v>67</v>
      </c>
      <c r="F763" t="s">
        <v>742</v>
      </c>
      <c r="G763">
        <v>0.79696132596685099</v>
      </c>
      <c r="H763">
        <v>0.98275862068965525</v>
      </c>
    </row>
    <row r="764" spans="1:9" x14ac:dyDescent="0.3">
      <c r="A764" t="s">
        <v>746</v>
      </c>
      <c r="B764" s="2">
        <v>5.62537037037037E-3</v>
      </c>
      <c r="C764" s="2">
        <v>5.602222222222222E-3</v>
      </c>
      <c r="D764" s="2">
        <v>5.6369444444444444E-3</v>
      </c>
      <c r="E764" t="s">
        <v>67</v>
      </c>
      <c r="F764" t="s">
        <v>742</v>
      </c>
      <c r="G764">
        <v>0.725138121546961</v>
      </c>
      <c r="H764">
        <v>0.99568965517241381</v>
      </c>
    </row>
    <row r="765" spans="1:9" x14ac:dyDescent="0.3">
      <c r="A765" t="s">
        <v>747</v>
      </c>
      <c r="B765" s="2">
        <v>6.6233333333333335E-3</v>
      </c>
      <c r="C765" s="2">
        <v>6.6001851851851855E-3</v>
      </c>
      <c r="D765" s="2">
        <v>6.6349074074074071E-3</v>
      </c>
      <c r="E765" t="s">
        <v>30</v>
      </c>
      <c r="F765" t="s">
        <v>742</v>
      </c>
      <c r="G765">
        <v>0.14779005524861899</v>
      </c>
      <c r="H765">
        <v>1.2931034482759007E-2</v>
      </c>
    </row>
    <row r="766" spans="1:9" x14ac:dyDescent="0.3">
      <c r="A766" t="s">
        <v>748</v>
      </c>
      <c r="B766" s="2">
        <v>1.0637708333333334E-2</v>
      </c>
      <c r="C766" s="2">
        <v>1.0614560185185185E-2</v>
      </c>
      <c r="D766" s="2">
        <v>1.0649282407407408E-2</v>
      </c>
      <c r="E766" t="s">
        <v>67</v>
      </c>
      <c r="F766" t="s">
        <v>742</v>
      </c>
      <c r="G766">
        <v>0.23618784530386699</v>
      </c>
      <c r="H766">
        <v>0.98706896551724144</v>
      </c>
    </row>
    <row r="767" spans="1:9" x14ac:dyDescent="0.3">
      <c r="A767" t="s">
        <v>749</v>
      </c>
      <c r="B767" s="2">
        <v>1.8677060185185185E-2</v>
      </c>
      <c r="C767" s="2">
        <v>1.8653912037037038E-2</v>
      </c>
      <c r="D767" s="2">
        <v>1.8688634259259259E-2</v>
      </c>
      <c r="E767" t="s">
        <v>30</v>
      </c>
      <c r="F767" t="s">
        <v>742</v>
      </c>
      <c r="G767">
        <v>0.58425414364640904</v>
      </c>
      <c r="H767">
        <v>1.2931034482759007E-2</v>
      </c>
    </row>
    <row r="768" spans="1:9" x14ac:dyDescent="0.3">
      <c r="A768" t="s">
        <v>750</v>
      </c>
      <c r="B768" s="2">
        <v>1.9079583333333334E-2</v>
      </c>
      <c r="C768" s="2">
        <v>1.9056435185185187E-2</v>
      </c>
      <c r="D768" s="2">
        <v>1.9091157407407407E-2</v>
      </c>
      <c r="E768" t="s">
        <v>30</v>
      </c>
      <c r="F768" t="s">
        <v>742</v>
      </c>
      <c r="G768">
        <v>0.41574585635359101</v>
      </c>
      <c r="H768">
        <v>1.2931034482759007E-2</v>
      </c>
    </row>
    <row r="769" spans="1:8" x14ac:dyDescent="0.3">
      <c r="A769" t="s">
        <v>751</v>
      </c>
      <c r="B769" s="2">
        <v>2.1531805555555554E-2</v>
      </c>
      <c r="C769" s="2">
        <v>2.1508657407407407E-2</v>
      </c>
      <c r="D769" s="2">
        <v>2.1543379629629631E-2</v>
      </c>
      <c r="E769" t="s">
        <v>30</v>
      </c>
      <c r="F769" t="s">
        <v>742</v>
      </c>
      <c r="G769">
        <v>0.59254143646408797</v>
      </c>
      <c r="H769">
        <v>1.7241379310344973E-2</v>
      </c>
    </row>
    <row r="770" spans="1:8" x14ac:dyDescent="0.3">
      <c r="A770" t="s">
        <v>752</v>
      </c>
      <c r="B770" s="2">
        <v>2.3507951388888889E-2</v>
      </c>
      <c r="C770" s="2">
        <v>2.3484803240740742E-2</v>
      </c>
      <c r="D770" s="2">
        <v>2.3519525462962963E-2</v>
      </c>
      <c r="E770" t="s">
        <v>30</v>
      </c>
      <c r="F770" t="s">
        <v>742</v>
      </c>
      <c r="G770">
        <v>0.70303867403314901</v>
      </c>
      <c r="H770">
        <v>1.2931034482759007E-2</v>
      </c>
    </row>
    <row r="771" spans="1:8" x14ac:dyDescent="0.3">
      <c r="A771" t="s">
        <v>753</v>
      </c>
      <c r="B771" s="2">
        <v>2.4010601851851852E-2</v>
      </c>
      <c r="C771" s="2">
        <v>2.3987453703703705E-2</v>
      </c>
      <c r="D771" s="2">
        <v>2.4022175925925926E-2</v>
      </c>
      <c r="E771" t="s">
        <v>30</v>
      </c>
      <c r="F771" t="s">
        <v>742</v>
      </c>
      <c r="G771">
        <v>0.424033149171271</v>
      </c>
      <c r="H771">
        <v>1.7241379310344973E-2</v>
      </c>
    </row>
    <row r="772" spans="1:8" x14ac:dyDescent="0.3">
      <c r="A772" t="s">
        <v>754</v>
      </c>
      <c r="B772" s="2">
        <v>3.0837222222222221E-2</v>
      </c>
      <c r="C772" s="2">
        <v>3.0814074074074074E-2</v>
      </c>
      <c r="D772" s="2">
        <v>3.0848796296296298E-2</v>
      </c>
      <c r="E772" t="s">
        <v>30</v>
      </c>
      <c r="F772" t="s">
        <v>742</v>
      </c>
      <c r="G772">
        <v>0.75276243093922701</v>
      </c>
      <c r="H772">
        <v>4.3103448275859657E-3</v>
      </c>
    </row>
    <row r="773" spans="1:8" x14ac:dyDescent="0.3">
      <c r="A773" t="s">
        <v>755</v>
      </c>
      <c r="B773" s="2">
        <v>3.0983761574074075E-2</v>
      </c>
      <c r="C773" s="2">
        <v>3.0960613425925924E-2</v>
      </c>
      <c r="D773" s="2">
        <v>3.0995335648148149E-2</v>
      </c>
      <c r="E773" t="s">
        <v>67</v>
      </c>
      <c r="F773" t="s">
        <v>756</v>
      </c>
      <c r="G773">
        <v>0.75276243093922701</v>
      </c>
      <c r="H773">
        <v>0.99137931034482762</v>
      </c>
    </row>
    <row r="774" spans="1:8" x14ac:dyDescent="0.3">
      <c r="A774" t="s">
        <v>757</v>
      </c>
      <c r="B774" s="2">
        <v>3.2085810185185186E-2</v>
      </c>
      <c r="C774" s="2">
        <v>3.2062662037037039E-2</v>
      </c>
      <c r="D774" s="2">
        <v>3.209738425925926E-2</v>
      </c>
      <c r="E774" t="s">
        <v>30</v>
      </c>
      <c r="F774" t="s">
        <v>742</v>
      </c>
      <c r="G774">
        <v>0.230662983425414</v>
      </c>
      <c r="H774">
        <v>1.2931034482759007E-2</v>
      </c>
    </row>
    <row r="775" spans="1:8" x14ac:dyDescent="0.3">
      <c r="A775" t="s">
        <v>758</v>
      </c>
      <c r="B775" s="2">
        <v>3.2348645833333335E-2</v>
      </c>
      <c r="C775" s="2">
        <v>3.2325497685185188E-2</v>
      </c>
      <c r="D775" s="2">
        <v>3.2360219907407409E-2</v>
      </c>
      <c r="E775" t="s">
        <v>30</v>
      </c>
      <c r="F775" t="s">
        <v>742</v>
      </c>
      <c r="G775">
        <v>0.28314917127071798</v>
      </c>
      <c r="H775">
        <v>1.2931034482759007E-2</v>
      </c>
    </row>
    <row r="776" spans="1:8" x14ac:dyDescent="0.3">
      <c r="A776" t="s">
        <v>759</v>
      </c>
      <c r="B776" s="2">
        <v>3.596296296296296E-2</v>
      </c>
      <c r="C776" s="2">
        <v>3.5939814814814813E-2</v>
      </c>
      <c r="D776" s="2">
        <v>3.5974537037037034E-2</v>
      </c>
      <c r="E776" t="s">
        <v>67</v>
      </c>
      <c r="F776" t="s">
        <v>742</v>
      </c>
      <c r="G776">
        <v>0.81906077348066297</v>
      </c>
      <c r="H776">
        <v>0.99137931034482762</v>
      </c>
    </row>
    <row r="777" spans="1:8" x14ac:dyDescent="0.3">
      <c r="A777" t="s">
        <v>760</v>
      </c>
      <c r="B777" s="2">
        <v>3.8619421296296294E-2</v>
      </c>
      <c r="C777" s="2">
        <v>3.8596273148148147E-2</v>
      </c>
      <c r="D777" s="2">
        <v>3.8630995370370368E-2</v>
      </c>
      <c r="E777" t="s">
        <v>67</v>
      </c>
      <c r="F777" t="s">
        <v>742</v>
      </c>
      <c r="G777">
        <v>0.38535911602209899</v>
      </c>
      <c r="H777">
        <v>0.99568965517241381</v>
      </c>
    </row>
    <row r="778" spans="1:8" x14ac:dyDescent="0.3">
      <c r="A778" t="s">
        <v>761</v>
      </c>
      <c r="B778" s="2">
        <v>4.272060185185185E-2</v>
      </c>
      <c r="C778" s="2">
        <v>4.2697453703703703E-2</v>
      </c>
      <c r="D778" s="2">
        <v>4.2732175925925923E-2</v>
      </c>
      <c r="E778" t="s">
        <v>67</v>
      </c>
      <c r="F778" t="s">
        <v>742</v>
      </c>
      <c r="G778">
        <v>0.26933701657458597</v>
      </c>
      <c r="H778">
        <v>0.99137931034482762</v>
      </c>
    </row>
    <row r="779" spans="1:8" x14ac:dyDescent="0.3">
      <c r="A779" t="s">
        <v>762</v>
      </c>
      <c r="B779" s="2">
        <v>4.3419062500000001E-2</v>
      </c>
      <c r="C779" s="2">
        <v>4.3395914351851854E-2</v>
      </c>
      <c r="D779" s="2">
        <v>4.3430636574074075E-2</v>
      </c>
      <c r="E779" t="s">
        <v>67</v>
      </c>
      <c r="F779" t="s">
        <v>742</v>
      </c>
      <c r="G779">
        <v>0.49585635359115998</v>
      </c>
      <c r="H779">
        <v>0.99568965517241381</v>
      </c>
    </row>
    <row r="780" spans="1:8" x14ac:dyDescent="0.3">
      <c r="A780" t="s">
        <v>763</v>
      </c>
      <c r="B780" s="2">
        <v>4.440627314814815E-2</v>
      </c>
      <c r="C780" s="2">
        <v>4.4383125000000002E-2</v>
      </c>
      <c r="D780" s="2">
        <v>4.4417847222222223E-2</v>
      </c>
      <c r="E780" t="s">
        <v>67</v>
      </c>
      <c r="F780" t="s">
        <v>742</v>
      </c>
      <c r="G780">
        <v>0.19198895027624299</v>
      </c>
      <c r="H780">
        <v>0.97844827586206895</v>
      </c>
    </row>
    <row r="781" spans="1:8" x14ac:dyDescent="0.3">
      <c r="A781" t="s">
        <v>764</v>
      </c>
      <c r="B781" s="2">
        <v>4.4591574074074075E-2</v>
      </c>
      <c r="C781" s="2">
        <v>4.4568425925925928E-2</v>
      </c>
      <c r="D781" s="2">
        <v>4.4603148148148149E-2</v>
      </c>
      <c r="E781" t="s">
        <v>198</v>
      </c>
      <c r="F781" t="s">
        <v>756</v>
      </c>
      <c r="G781">
        <v>0.12016574585635401</v>
      </c>
      <c r="H781">
        <v>0.99137931034482762</v>
      </c>
    </row>
    <row r="782" spans="1:8" x14ac:dyDescent="0.3">
      <c r="A782" t="s">
        <v>765</v>
      </c>
      <c r="B782" s="2">
        <v>4.5526006944444447E-2</v>
      </c>
      <c r="C782" s="2">
        <v>4.5502858796296293E-2</v>
      </c>
      <c r="D782" s="2">
        <v>4.5537581018518521E-2</v>
      </c>
      <c r="E782" t="s">
        <v>67</v>
      </c>
      <c r="F782" t="s">
        <v>756</v>
      </c>
      <c r="G782">
        <v>0.36602209944751402</v>
      </c>
      <c r="H782">
        <v>0.98706896551724144</v>
      </c>
    </row>
    <row r="783" spans="1:8" x14ac:dyDescent="0.3">
      <c r="A783" t="s">
        <v>766</v>
      </c>
      <c r="B783" s="2">
        <v>4.7547905092592595E-2</v>
      </c>
      <c r="C783" s="2">
        <v>4.7524756944444448E-2</v>
      </c>
      <c r="D783" s="2">
        <v>4.7559479166666668E-2</v>
      </c>
      <c r="E783" t="s">
        <v>58</v>
      </c>
      <c r="F783" t="s">
        <v>742</v>
      </c>
      <c r="G783">
        <v>0.136740331491713</v>
      </c>
      <c r="H783">
        <v>8.6206896551720424E-3</v>
      </c>
    </row>
    <row r="784" spans="1:8" x14ac:dyDescent="0.3">
      <c r="A784" t="s">
        <v>767</v>
      </c>
      <c r="B784" s="2">
        <v>4.7913078703703704E-2</v>
      </c>
      <c r="C784" s="2">
        <v>4.7889930555555557E-2</v>
      </c>
      <c r="D784" s="2">
        <v>4.7924652777777778E-2</v>
      </c>
      <c r="E784" t="s">
        <v>58</v>
      </c>
      <c r="F784" t="s">
        <v>742</v>
      </c>
      <c r="G784">
        <v>0.20303867403314901</v>
      </c>
      <c r="H784">
        <v>1.7241379310344973E-2</v>
      </c>
    </row>
    <row r="785" spans="1:8" x14ac:dyDescent="0.3">
      <c r="A785" t="s">
        <v>768</v>
      </c>
      <c r="B785" s="2">
        <v>4.9063958333333331E-2</v>
      </c>
      <c r="C785" s="2">
        <v>4.9040810185185184E-2</v>
      </c>
      <c r="D785" s="2">
        <v>4.9075532407407405E-2</v>
      </c>
      <c r="E785" t="s">
        <v>44</v>
      </c>
      <c r="F785" t="s">
        <v>742</v>
      </c>
      <c r="G785">
        <v>0.13397790055248601</v>
      </c>
      <c r="H785">
        <v>0.99137931034482762</v>
      </c>
    </row>
    <row r="786" spans="1:8" x14ac:dyDescent="0.3">
      <c r="A786" t="s">
        <v>769</v>
      </c>
      <c r="B786" s="2">
        <v>4.9416064814814815E-2</v>
      </c>
      <c r="C786" s="2">
        <v>4.9392916666666668E-2</v>
      </c>
      <c r="D786" s="2">
        <v>4.9427638888888889E-2</v>
      </c>
      <c r="E786" t="s">
        <v>67</v>
      </c>
      <c r="F786" t="s">
        <v>742</v>
      </c>
      <c r="G786">
        <v>0.26657458563535902</v>
      </c>
      <c r="H786">
        <v>0.99137931034482762</v>
      </c>
    </row>
    <row r="787" spans="1:8" x14ac:dyDescent="0.3">
      <c r="A787" t="s">
        <v>770</v>
      </c>
      <c r="B787" s="2">
        <v>4.9908368055555555E-2</v>
      </c>
      <c r="C787" s="2">
        <v>4.9885219907407408E-2</v>
      </c>
      <c r="D787" s="2">
        <v>4.9919942129629628E-2</v>
      </c>
      <c r="E787" t="s">
        <v>58</v>
      </c>
      <c r="F787" t="s">
        <v>742</v>
      </c>
      <c r="G787">
        <v>0.68093922651933703</v>
      </c>
      <c r="H787">
        <v>1.2931034482759007E-2</v>
      </c>
    </row>
    <row r="788" spans="1:8" x14ac:dyDescent="0.3">
      <c r="A788" t="s">
        <v>771</v>
      </c>
      <c r="B788" s="2">
        <v>5.2822199074074073E-2</v>
      </c>
      <c r="C788" s="2">
        <v>5.2799050925925926E-2</v>
      </c>
      <c r="D788" s="2">
        <v>5.2833773148148147E-2</v>
      </c>
      <c r="E788" t="s">
        <v>46</v>
      </c>
      <c r="F788" t="s">
        <v>742</v>
      </c>
      <c r="G788">
        <v>0.55662983425414403</v>
      </c>
      <c r="H788">
        <v>0.99568965517241381</v>
      </c>
    </row>
    <row r="789" spans="1:8" x14ac:dyDescent="0.3">
      <c r="A789" t="s">
        <v>772</v>
      </c>
      <c r="B789" s="2">
        <v>5.5213090277777779E-2</v>
      </c>
      <c r="C789" s="2">
        <v>5.5189942129629632E-2</v>
      </c>
      <c r="D789" s="2">
        <v>5.5224664351851853E-2</v>
      </c>
      <c r="E789" t="s">
        <v>67</v>
      </c>
      <c r="F789" t="s">
        <v>742</v>
      </c>
      <c r="G789">
        <v>0.80524861878453002</v>
      </c>
      <c r="H789">
        <v>1</v>
      </c>
    </row>
    <row r="790" spans="1:8" x14ac:dyDescent="0.3">
      <c r="A790" t="s">
        <v>773</v>
      </c>
      <c r="B790" s="2">
        <v>5.5373553240740739E-2</v>
      </c>
      <c r="C790" s="2">
        <v>5.5350405092592592E-2</v>
      </c>
      <c r="D790" s="2">
        <v>5.5385127314814812E-2</v>
      </c>
      <c r="E790" t="s">
        <v>67</v>
      </c>
      <c r="F790" t="s">
        <v>742</v>
      </c>
      <c r="G790">
        <v>0.81629834254143696</v>
      </c>
      <c r="H790">
        <v>0.98275862068965525</v>
      </c>
    </row>
    <row r="791" spans="1:8" x14ac:dyDescent="0.3">
      <c r="A791" t="s">
        <v>774</v>
      </c>
      <c r="B791" s="2">
        <v>5.7263182870370369E-2</v>
      </c>
      <c r="C791" s="2">
        <v>5.7240034722222222E-2</v>
      </c>
      <c r="D791" s="2">
        <v>5.7274756944444442E-2</v>
      </c>
      <c r="E791" t="s">
        <v>264</v>
      </c>
      <c r="F791" t="s">
        <v>742</v>
      </c>
      <c r="G791">
        <v>0.79419889502762397</v>
      </c>
      <c r="H791">
        <v>0.99568965517241381</v>
      </c>
    </row>
    <row r="792" spans="1:8" x14ac:dyDescent="0.3">
      <c r="A792" t="s">
        <v>775</v>
      </c>
      <c r="B792" s="2">
        <v>5.745923611111111E-2</v>
      </c>
      <c r="C792" s="2">
        <v>5.7436087962962963E-2</v>
      </c>
      <c r="D792" s="2">
        <v>5.7470810185185184E-2</v>
      </c>
      <c r="E792" t="s">
        <v>67</v>
      </c>
      <c r="F792" t="s">
        <v>756</v>
      </c>
      <c r="G792">
        <v>0.79419889502762397</v>
      </c>
      <c r="H792">
        <v>0.99137931034482762</v>
      </c>
    </row>
    <row r="793" spans="1:8" x14ac:dyDescent="0.3">
      <c r="A793" t="s">
        <v>776</v>
      </c>
      <c r="B793" s="2">
        <v>5.7562997685185184E-2</v>
      </c>
      <c r="C793" s="2">
        <v>5.7539849537037037E-2</v>
      </c>
      <c r="D793" s="2">
        <v>5.7574571759259258E-2</v>
      </c>
      <c r="E793" t="s">
        <v>67</v>
      </c>
      <c r="F793" t="s">
        <v>742</v>
      </c>
      <c r="G793">
        <v>0.79419889502762397</v>
      </c>
      <c r="H793">
        <v>0.98275862068965525</v>
      </c>
    </row>
    <row r="794" spans="1:8" x14ac:dyDescent="0.3">
      <c r="A794" t="s">
        <v>777</v>
      </c>
      <c r="B794" s="2">
        <v>5.9622453703703705E-2</v>
      </c>
      <c r="C794" s="2">
        <v>5.9599305555555558E-2</v>
      </c>
      <c r="D794" s="2">
        <v>5.9634027777777779E-2</v>
      </c>
      <c r="E794" t="s">
        <v>58</v>
      </c>
      <c r="F794" t="s">
        <v>742</v>
      </c>
      <c r="G794">
        <v>0.62292817679557999</v>
      </c>
      <c r="H794">
        <v>8.6206896551720424E-3</v>
      </c>
    </row>
    <row r="795" spans="1:8" x14ac:dyDescent="0.3">
      <c r="A795" t="s">
        <v>778</v>
      </c>
      <c r="B795" s="2">
        <v>6.1658668981481479E-2</v>
      </c>
      <c r="C795" s="2">
        <v>6.1635520833333332E-2</v>
      </c>
      <c r="D795" s="2">
        <v>6.1670243055555553E-2</v>
      </c>
      <c r="E795" t="s">
        <v>58</v>
      </c>
      <c r="F795" t="s">
        <v>742</v>
      </c>
      <c r="G795">
        <v>0.66160220994475105</v>
      </c>
      <c r="H795">
        <v>1.7241379310344973E-2</v>
      </c>
    </row>
    <row r="796" spans="1:8" x14ac:dyDescent="0.3">
      <c r="A796" t="s">
        <v>779</v>
      </c>
      <c r="B796" s="2">
        <v>6.603111111111111E-2</v>
      </c>
      <c r="C796" s="2">
        <v>6.6007962962962963E-2</v>
      </c>
      <c r="D796" s="2">
        <v>6.604268518518519E-2</v>
      </c>
      <c r="E796" t="s">
        <v>67</v>
      </c>
      <c r="F796" t="s">
        <v>742</v>
      </c>
      <c r="G796">
        <v>0.19475138121547</v>
      </c>
      <c r="H796">
        <v>0.99568965517241381</v>
      </c>
    </row>
    <row r="797" spans="1:8" x14ac:dyDescent="0.3">
      <c r="A797" t="s">
        <v>780</v>
      </c>
      <c r="B797" s="2">
        <v>6.6124733796296298E-2</v>
      </c>
      <c r="C797" s="2">
        <v>6.6101585648148151E-2</v>
      </c>
      <c r="D797" s="2">
        <v>6.6136307870370364E-2</v>
      </c>
      <c r="E797" t="s">
        <v>67</v>
      </c>
      <c r="F797" t="s">
        <v>742</v>
      </c>
      <c r="G797">
        <v>0.25552486187845302</v>
      </c>
      <c r="H797">
        <v>0.99137931034482762</v>
      </c>
    </row>
    <row r="798" spans="1:8" x14ac:dyDescent="0.3">
      <c r="A798" t="s">
        <v>781</v>
      </c>
      <c r="B798" s="2">
        <v>6.6299108796296302E-2</v>
      </c>
      <c r="C798" s="2">
        <v>6.6275960648148155E-2</v>
      </c>
      <c r="D798" s="2">
        <v>6.6310682870370369E-2</v>
      </c>
      <c r="E798" t="s">
        <v>67</v>
      </c>
      <c r="F798" t="s">
        <v>742</v>
      </c>
      <c r="G798">
        <v>0.37983425414364602</v>
      </c>
      <c r="H798">
        <v>0.97413793103448276</v>
      </c>
    </row>
    <row r="799" spans="1:8" x14ac:dyDescent="0.3">
      <c r="A799" t="s">
        <v>782</v>
      </c>
      <c r="B799" s="2">
        <v>6.6495428240740742E-2</v>
      </c>
      <c r="C799" s="2">
        <v>6.6472280092592595E-2</v>
      </c>
      <c r="D799" s="2">
        <v>6.6507002314814809E-2</v>
      </c>
      <c r="E799" t="s">
        <v>38</v>
      </c>
      <c r="F799" t="s">
        <v>742</v>
      </c>
      <c r="G799">
        <v>0.60911602209944704</v>
      </c>
      <c r="H799">
        <v>0.98706896551724144</v>
      </c>
    </row>
    <row r="800" spans="1:8" x14ac:dyDescent="0.3">
      <c r="A800" t="s">
        <v>783</v>
      </c>
      <c r="B800" s="2">
        <v>6.692592592592593E-2</v>
      </c>
      <c r="C800" s="2">
        <v>6.6902777777777783E-2</v>
      </c>
      <c r="D800" s="2">
        <v>6.6937499999999997E-2</v>
      </c>
      <c r="E800" t="s">
        <v>51</v>
      </c>
      <c r="F800" t="s">
        <v>742</v>
      </c>
      <c r="G800">
        <v>0.62016574585635398</v>
      </c>
      <c r="H800">
        <v>0.99568965517241381</v>
      </c>
    </row>
    <row r="801" spans="1:9" x14ac:dyDescent="0.3">
      <c r="A801" t="s">
        <v>784</v>
      </c>
      <c r="B801" s="2">
        <v>6.8838692129629633E-2</v>
      </c>
      <c r="C801" s="2">
        <v>6.8815543981481486E-2</v>
      </c>
      <c r="D801" s="2">
        <v>6.88502662037037E-2</v>
      </c>
      <c r="E801" t="s">
        <v>58</v>
      </c>
      <c r="F801" t="s">
        <v>756</v>
      </c>
      <c r="G801">
        <v>0.62845303867403302</v>
      </c>
      <c r="H801">
        <v>2.5862068965517016E-2</v>
      </c>
    </row>
    <row r="803" spans="1:9" ht="23.4" x14ac:dyDescent="0.45">
      <c r="A803" s="43" t="s">
        <v>785</v>
      </c>
      <c r="B803" s="44"/>
      <c r="C803" s="44"/>
      <c r="D803" s="44"/>
      <c r="G803" s="45" t="s">
        <v>15</v>
      </c>
      <c r="H803" s="45" t="s">
        <v>15</v>
      </c>
    </row>
    <row r="804" spans="1:9" x14ac:dyDescent="0.3">
      <c r="A804" s="1" t="s">
        <v>16</v>
      </c>
      <c r="B804" s="1" t="s">
        <v>17</v>
      </c>
      <c r="C804" s="1" t="s">
        <v>18</v>
      </c>
      <c r="D804" s="1" t="s">
        <v>19</v>
      </c>
      <c r="E804" s="1" t="s">
        <v>21</v>
      </c>
      <c r="F804" s="1" t="s">
        <v>22</v>
      </c>
      <c r="G804" s="1" t="s">
        <v>23</v>
      </c>
      <c r="H804" s="1" t="s">
        <v>24</v>
      </c>
      <c r="I804" s="1"/>
    </row>
    <row r="805" spans="1:9" x14ac:dyDescent="0.3">
      <c r="A805" t="s">
        <v>786</v>
      </c>
      <c r="B805" s="2">
        <v>1.5076967592592592E-3</v>
      </c>
      <c r="C805" s="2">
        <v>1.4961226851851852E-3</v>
      </c>
      <c r="D805" s="2">
        <v>1.5192708333333334E-3</v>
      </c>
      <c r="E805" t="s">
        <v>30</v>
      </c>
      <c r="F805" t="s">
        <v>787</v>
      </c>
      <c r="G805">
        <v>0.34116022099447502</v>
      </c>
      <c r="H805">
        <v>0.18965517241379304</v>
      </c>
    </row>
    <row r="806" spans="1:9" x14ac:dyDescent="0.3">
      <c r="A806" t="s">
        <v>788</v>
      </c>
      <c r="B806" s="2">
        <v>1.5824537037037038E-3</v>
      </c>
      <c r="C806" s="2">
        <v>1.5708796296296295E-3</v>
      </c>
      <c r="D806" s="2">
        <v>1.5940277777777778E-3</v>
      </c>
      <c r="E806" t="s">
        <v>46</v>
      </c>
      <c r="F806" t="s">
        <v>789</v>
      </c>
      <c r="G806">
        <v>0.15883977900552501</v>
      </c>
      <c r="H806">
        <v>6.0344827586206962E-2</v>
      </c>
    </row>
    <row r="807" spans="1:9" x14ac:dyDescent="0.3">
      <c r="A807" t="s">
        <v>790</v>
      </c>
      <c r="B807" s="2">
        <v>2.4705208333333332E-3</v>
      </c>
      <c r="C807" s="2">
        <v>2.4589467592592592E-3</v>
      </c>
      <c r="D807" s="2">
        <v>2.4820949074074073E-3</v>
      </c>
      <c r="E807" t="s">
        <v>38</v>
      </c>
      <c r="F807" t="s">
        <v>787</v>
      </c>
      <c r="G807">
        <v>0.36049723756906099</v>
      </c>
      <c r="H807">
        <v>0.23275862068965503</v>
      </c>
    </row>
    <row r="808" spans="1:9" x14ac:dyDescent="0.3">
      <c r="A808" t="s">
        <v>791</v>
      </c>
      <c r="B808" s="2">
        <v>5.3039467592592591E-3</v>
      </c>
      <c r="C808" s="2">
        <v>5.2923726851851855E-3</v>
      </c>
      <c r="D808" s="2">
        <v>5.3155208333333336E-3</v>
      </c>
      <c r="E808" t="s">
        <v>51</v>
      </c>
      <c r="F808" t="s">
        <v>787</v>
      </c>
      <c r="G808">
        <v>0.71132596685082905</v>
      </c>
      <c r="H808">
        <v>0.875</v>
      </c>
    </row>
    <row r="809" spans="1:9" x14ac:dyDescent="0.3">
      <c r="A809" t="s">
        <v>792</v>
      </c>
      <c r="B809" s="2">
        <v>5.8494444444444444E-3</v>
      </c>
      <c r="C809" s="2">
        <v>5.83787037037037E-3</v>
      </c>
      <c r="D809" s="2">
        <v>5.8610185185185189E-3</v>
      </c>
      <c r="E809" t="s">
        <v>42</v>
      </c>
      <c r="F809" t="s">
        <v>787</v>
      </c>
      <c r="G809">
        <v>0.66712707182320397</v>
      </c>
      <c r="H809">
        <v>0.85344827586206895</v>
      </c>
    </row>
    <row r="810" spans="1:9" x14ac:dyDescent="0.3">
      <c r="A810" t="s">
        <v>793</v>
      </c>
      <c r="B810" s="2">
        <v>6.1947222222222221E-3</v>
      </c>
      <c r="C810" s="2">
        <v>6.1831481481481486E-3</v>
      </c>
      <c r="D810" s="2">
        <v>6.2062962962962966E-3</v>
      </c>
      <c r="E810" t="s">
        <v>46</v>
      </c>
      <c r="F810" t="s">
        <v>787</v>
      </c>
      <c r="G810">
        <v>0.31629834254143602</v>
      </c>
      <c r="H810">
        <v>0.556034482758621</v>
      </c>
    </row>
    <row r="811" spans="1:9" x14ac:dyDescent="0.3">
      <c r="A811" t="s">
        <v>794</v>
      </c>
      <c r="B811" s="2">
        <v>6.9409490740740742E-3</v>
      </c>
      <c r="C811" s="2">
        <v>6.9293749999999998E-3</v>
      </c>
      <c r="D811" s="2">
        <v>6.9525231481481478E-3</v>
      </c>
      <c r="E811" t="s">
        <v>38</v>
      </c>
      <c r="F811" t="s">
        <v>789</v>
      </c>
      <c r="G811">
        <v>0.34392265193370197</v>
      </c>
      <c r="H811">
        <v>0.26724137931034497</v>
      </c>
    </row>
    <row r="812" spans="1:9" x14ac:dyDescent="0.3">
      <c r="A812" t="s">
        <v>795</v>
      </c>
      <c r="B812" s="2">
        <v>9.1426273148148152E-3</v>
      </c>
      <c r="C812" s="2">
        <v>9.1310532407407399E-3</v>
      </c>
      <c r="D812" s="2">
        <v>9.1542013888888888E-3</v>
      </c>
      <c r="E812" t="s">
        <v>42</v>
      </c>
      <c r="F812" t="s">
        <v>787</v>
      </c>
      <c r="G812">
        <v>0.32182320441988899</v>
      </c>
      <c r="H812">
        <v>0.36637931034482796</v>
      </c>
    </row>
    <row r="813" spans="1:9" x14ac:dyDescent="0.3">
      <c r="A813" t="s">
        <v>796</v>
      </c>
      <c r="B813" s="2">
        <v>1.1801064814814815E-2</v>
      </c>
      <c r="C813" s="2">
        <v>1.1789490740740741E-2</v>
      </c>
      <c r="D813" s="2">
        <v>1.1812638888888888E-2</v>
      </c>
      <c r="E813" t="s">
        <v>44</v>
      </c>
      <c r="F813" t="s">
        <v>787</v>
      </c>
      <c r="G813">
        <v>0.28591160220994499</v>
      </c>
      <c r="H813">
        <v>0.47413793103448298</v>
      </c>
    </row>
    <row r="814" spans="1:9" x14ac:dyDescent="0.3">
      <c r="A814" t="s">
        <v>797</v>
      </c>
      <c r="B814" s="2">
        <v>1.9134976851851851E-2</v>
      </c>
      <c r="C814" s="2">
        <v>1.9123402777777777E-2</v>
      </c>
      <c r="D814" s="2">
        <v>1.9146550925925925E-2</v>
      </c>
      <c r="E814" t="s">
        <v>44</v>
      </c>
      <c r="F814" t="s">
        <v>787</v>
      </c>
      <c r="G814">
        <v>0.58701657458563505</v>
      </c>
      <c r="H814">
        <v>0.14224137931034497</v>
      </c>
    </row>
    <row r="815" spans="1:9" x14ac:dyDescent="0.3">
      <c r="A815" t="s">
        <v>798</v>
      </c>
      <c r="B815" s="2">
        <v>2.5433969907407407E-2</v>
      </c>
      <c r="C815" s="2">
        <v>2.5422395833333333E-2</v>
      </c>
      <c r="D815" s="2">
        <v>2.544554398148148E-2</v>
      </c>
      <c r="E815" t="s">
        <v>51</v>
      </c>
      <c r="F815" t="s">
        <v>789</v>
      </c>
      <c r="G815">
        <v>0.40745856353591198</v>
      </c>
      <c r="H815">
        <v>0.99568965517241381</v>
      </c>
    </row>
    <row r="816" spans="1:9" x14ac:dyDescent="0.3">
      <c r="A816" t="s">
        <v>799</v>
      </c>
      <c r="B816" s="2">
        <v>3.1690798611111112E-2</v>
      </c>
      <c r="C816" s="2">
        <v>3.1679224537037039E-2</v>
      </c>
      <c r="D816" s="2">
        <v>3.1702372685185186E-2</v>
      </c>
      <c r="E816" t="s">
        <v>38</v>
      </c>
      <c r="F816" t="s">
        <v>787</v>
      </c>
      <c r="G816">
        <v>0.462707182320442</v>
      </c>
      <c r="H816">
        <v>0.65086206896551702</v>
      </c>
    </row>
    <row r="817" spans="1:8" x14ac:dyDescent="0.3">
      <c r="A817" t="s">
        <v>800</v>
      </c>
      <c r="B817" s="2">
        <v>3.169864583333333E-2</v>
      </c>
      <c r="C817" s="2">
        <v>3.1687071759259257E-2</v>
      </c>
      <c r="D817" s="2">
        <v>3.1710219907407404E-2</v>
      </c>
      <c r="E817" t="s">
        <v>38</v>
      </c>
      <c r="F817" t="s">
        <v>787</v>
      </c>
      <c r="G817">
        <v>0.45718232044198898</v>
      </c>
      <c r="H817">
        <v>0.65948275862068995</v>
      </c>
    </row>
    <row r="818" spans="1:8" x14ac:dyDescent="0.3">
      <c r="A818" t="s">
        <v>801</v>
      </c>
      <c r="B818" s="2">
        <v>3.2999560185185184E-2</v>
      </c>
      <c r="C818" s="2">
        <v>3.298798611111111E-2</v>
      </c>
      <c r="D818" s="2">
        <v>3.3011134259259257E-2</v>
      </c>
      <c r="E818" t="s">
        <v>51</v>
      </c>
      <c r="F818" t="s">
        <v>789</v>
      </c>
      <c r="G818">
        <v>0.83287292817679603</v>
      </c>
      <c r="H818">
        <v>0.556034482758621</v>
      </c>
    </row>
    <row r="819" spans="1:8" x14ac:dyDescent="0.3">
      <c r="A819" t="s">
        <v>802</v>
      </c>
      <c r="B819" s="2">
        <v>3.3035324074074071E-2</v>
      </c>
      <c r="C819" s="2">
        <v>3.3023749999999998E-2</v>
      </c>
      <c r="D819" s="2">
        <v>3.3046898148148145E-2</v>
      </c>
      <c r="E819" t="s">
        <v>51</v>
      </c>
      <c r="F819" t="s">
        <v>787</v>
      </c>
      <c r="G819">
        <v>0.88259668508287303</v>
      </c>
      <c r="H819">
        <v>0.71982758620689702</v>
      </c>
    </row>
    <row r="820" spans="1:8" x14ac:dyDescent="0.3">
      <c r="A820" t="s">
        <v>803</v>
      </c>
      <c r="B820" s="2">
        <v>3.8731342592592595E-2</v>
      </c>
      <c r="C820" s="2">
        <v>3.8719768518518521E-2</v>
      </c>
      <c r="D820" s="2">
        <v>3.8742916666666669E-2</v>
      </c>
      <c r="E820" t="s">
        <v>42</v>
      </c>
      <c r="F820" t="s">
        <v>789</v>
      </c>
      <c r="G820">
        <v>0.55939226519337004</v>
      </c>
      <c r="H820">
        <v>0.80172413793103403</v>
      </c>
    </row>
    <row r="821" spans="1:8" x14ac:dyDescent="0.3">
      <c r="A821" t="s">
        <v>804</v>
      </c>
      <c r="B821" s="2">
        <v>4.3488831018518519E-2</v>
      </c>
      <c r="C821" s="2">
        <v>4.3477256944444445E-2</v>
      </c>
      <c r="D821" s="2">
        <v>4.3500405092592592E-2</v>
      </c>
      <c r="E821" t="s">
        <v>38</v>
      </c>
      <c r="F821" t="s">
        <v>787</v>
      </c>
      <c r="G821">
        <v>0.91850828729281797</v>
      </c>
      <c r="H821">
        <v>0.70689655172413801</v>
      </c>
    </row>
    <row r="822" spans="1:8" x14ac:dyDescent="0.3">
      <c r="A822" t="s">
        <v>805</v>
      </c>
      <c r="B822" s="2">
        <v>4.3542881944444445E-2</v>
      </c>
      <c r="C822" s="2">
        <v>4.3531307870370371E-2</v>
      </c>
      <c r="D822" s="2">
        <v>4.3554456018518518E-2</v>
      </c>
      <c r="E822" t="s">
        <v>38</v>
      </c>
      <c r="F822" t="s">
        <v>787</v>
      </c>
      <c r="G822">
        <v>0.97099447513812198</v>
      </c>
      <c r="H822">
        <v>0.68534482758620707</v>
      </c>
    </row>
    <row r="823" spans="1:8" x14ac:dyDescent="0.3">
      <c r="A823" t="s">
        <v>806</v>
      </c>
      <c r="B823" s="2">
        <v>4.3571458333333334E-2</v>
      </c>
      <c r="C823" s="2">
        <v>4.355988425925926E-2</v>
      </c>
      <c r="D823" s="2">
        <v>4.3583032407407407E-2</v>
      </c>
      <c r="E823" t="s">
        <v>38</v>
      </c>
      <c r="F823" t="s">
        <v>787</v>
      </c>
      <c r="G823">
        <v>0.96270718232044195</v>
      </c>
      <c r="H823">
        <v>0.66810344827586199</v>
      </c>
    </row>
    <row r="824" spans="1:8" x14ac:dyDescent="0.3">
      <c r="A824" t="s">
        <v>807</v>
      </c>
      <c r="B824" s="2">
        <v>4.7601574074074074E-2</v>
      </c>
      <c r="C824" s="2">
        <v>4.759E-2</v>
      </c>
      <c r="D824" s="2">
        <v>4.7613148148148147E-2</v>
      </c>
      <c r="E824" t="s">
        <v>38</v>
      </c>
      <c r="F824" t="s">
        <v>787</v>
      </c>
      <c r="G824">
        <v>0.21685082872928199</v>
      </c>
      <c r="H824">
        <v>5.6034482758620996E-2</v>
      </c>
    </row>
    <row r="825" spans="1:8" x14ac:dyDescent="0.3">
      <c r="A825" t="s">
        <v>808</v>
      </c>
      <c r="B825" s="2">
        <v>5.2353888888888887E-2</v>
      </c>
      <c r="C825" s="2">
        <v>5.2342314814814814E-2</v>
      </c>
      <c r="D825" s="2">
        <v>5.2365462962962961E-2</v>
      </c>
      <c r="E825" t="s">
        <v>32</v>
      </c>
      <c r="F825" t="s">
        <v>787</v>
      </c>
      <c r="G825">
        <v>0.74723756906077299</v>
      </c>
      <c r="H825">
        <v>0.59051724137931005</v>
      </c>
    </row>
    <row r="826" spans="1:8" x14ac:dyDescent="0.3">
      <c r="A826" t="s">
        <v>809</v>
      </c>
      <c r="B826" s="2">
        <v>5.2911747685185188E-2</v>
      </c>
      <c r="C826" s="2">
        <v>5.2900173611111108E-2</v>
      </c>
      <c r="D826" s="2">
        <v>5.2923321759259262E-2</v>
      </c>
      <c r="E826" t="s">
        <v>42</v>
      </c>
      <c r="F826" t="s">
        <v>789</v>
      </c>
      <c r="G826">
        <v>0.437845303867403</v>
      </c>
      <c r="H826">
        <v>0.62068965517241392</v>
      </c>
    </row>
    <row r="827" spans="1:8" x14ac:dyDescent="0.3">
      <c r="A827" t="s">
        <v>810</v>
      </c>
      <c r="B827" s="2">
        <v>5.3910208333333334E-2</v>
      </c>
      <c r="C827" s="2">
        <v>5.3898634259259261E-2</v>
      </c>
      <c r="D827" s="2">
        <v>5.3921782407407408E-2</v>
      </c>
      <c r="E827" t="s">
        <v>38</v>
      </c>
      <c r="F827" t="s">
        <v>787</v>
      </c>
      <c r="G827">
        <v>0.21132596685082899</v>
      </c>
      <c r="H827">
        <v>0.21120689655172398</v>
      </c>
    </row>
    <row r="828" spans="1:8" x14ac:dyDescent="0.3">
      <c r="A828" t="s">
        <v>811</v>
      </c>
      <c r="B828" s="2">
        <v>5.3945162037037038E-2</v>
      </c>
      <c r="C828" s="2">
        <v>5.3933587962962964E-2</v>
      </c>
      <c r="D828" s="2">
        <v>5.3956736111111112E-2</v>
      </c>
      <c r="E828" t="s">
        <v>38</v>
      </c>
      <c r="F828" t="s">
        <v>787</v>
      </c>
      <c r="G828">
        <v>0.21685082872928199</v>
      </c>
      <c r="H828">
        <v>8.6206896551723977E-2</v>
      </c>
    </row>
    <row r="829" spans="1:8" x14ac:dyDescent="0.3">
      <c r="A829" t="s">
        <v>812</v>
      </c>
      <c r="B829" s="2">
        <v>5.6489050925925925E-2</v>
      </c>
      <c r="C829" s="2">
        <v>5.6477476851851852E-2</v>
      </c>
      <c r="D829" s="2">
        <v>5.6500624999999999E-2</v>
      </c>
      <c r="E829" t="s">
        <v>264</v>
      </c>
      <c r="F829" t="s">
        <v>789</v>
      </c>
      <c r="G829">
        <v>0.41682974559686897</v>
      </c>
      <c r="H829">
        <v>0.94189602446483178</v>
      </c>
    </row>
    <row r="830" spans="1:8" x14ac:dyDescent="0.3">
      <c r="A830" t="s">
        <v>813</v>
      </c>
      <c r="B830" s="2">
        <v>5.7046296296296296E-2</v>
      </c>
      <c r="C830" s="2">
        <v>5.7034722222222223E-2</v>
      </c>
      <c r="D830" s="2">
        <v>5.705787037037037E-2</v>
      </c>
      <c r="E830" t="s">
        <v>44</v>
      </c>
      <c r="F830" t="s">
        <v>787</v>
      </c>
      <c r="G830">
        <v>0.40469613259668502</v>
      </c>
      <c r="H830">
        <v>0.72413793103448298</v>
      </c>
    </row>
    <row r="831" spans="1:8" x14ac:dyDescent="0.3">
      <c r="A831" t="s">
        <v>814</v>
      </c>
      <c r="B831" s="2">
        <v>5.7610983796296297E-2</v>
      </c>
      <c r="C831" s="2">
        <v>5.7599409722222224E-2</v>
      </c>
      <c r="D831" s="2">
        <v>5.7622557870370371E-2</v>
      </c>
      <c r="E831" t="s">
        <v>32</v>
      </c>
      <c r="F831" t="s">
        <v>787</v>
      </c>
      <c r="G831">
        <v>0.76933701657458597</v>
      </c>
      <c r="H831">
        <v>0.86206896551724099</v>
      </c>
    </row>
    <row r="832" spans="1:8" x14ac:dyDescent="0.3">
      <c r="A832" t="s">
        <v>815</v>
      </c>
      <c r="B832" s="2">
        <v>5.9719386574074072E-2</v>
      </c>
      <c r="C832" s="2">
        <v>5.9707812499999999E-2</v>
      </c>
      <c r="D832" s="2">
        <v>5.9730960648148146E-2</v>
      </c>
      <c r="E832" t="s">
        <v>32</v>
      </c>
      <c r="F832" t="s">
        <v>787</v>
      </c>
      <c r="G832">
        <v>0.81353591160220995</v>
      </c>
      <c r="H832">
        <v>2.5862068965517016E-2</v>
      </c>
    </row>
    <row r="833" spans="1:8" x14ac:dyDescent="0.3">
      <c r="A833" t="s">
        <v>816</v>
      </c>
      <c r="B833" s="2">
        <v>6.2794548611111112E-2</v>
      </c>
      <c r="C833" s="2">
        <v>6.2782974537037031E-2</v>
      </c>
      <c r="D833" s="2">
        <v>6.2806122685185178E-2</v>
      </c>
      <c r="E833" t="s">
        <v>44</v>
      </c>
      <c r="F833" t="s">
        <v>787</v>
      </c>
      <c r="G833">
        <v>0.26381215469613301</v>
      </c>
      <c r="H833">
        <v>0.76724137931034497</v>
      </c>
    </row>
    <row r="834" spans="1:8" x14ac:dyDescent="0.3">
      <c r="A834" t="s">
        <v>817</v>
      </c>
      <c r="B834" s="2">
        <v>6.294788194444445E-2</v>
      </c>
      <c r="C834" s="2">
        <v>6.293630787037037E-2</v>
      </c>
      <c r="D834" s="2">
        <v>6.2959456018518517E-2</v>
      </c>
      <c r="E834" t="s">
        <v>46</v>
      </c>
      <c r="F834" t="s">
        <v>787</v>
      </c>
      <c r="G834">
        <v>0.17265193370165699</v>
      </c>
      <c r="H834">
        <v>0.875</v>
      </c>
    </row>
    <row r="835" spans="1:8" x14ac:dyDescent="0.3">
      <c r="A835" t="s">
        <v>818</v>
      </c>
      <c r="B835" s="2">
        <v>6.6392071759259264E-2</v>
      </c>
      <c r="C835" s="2">
        <v>6.6380497685185183E-2</v>
      </c>
      <c r="D835" s="2">
        <v>6.640364583333333E-2</v>
      </c>
      <c r="E835" t="s">
        <v>51</v>
      </c>
      <c r="F835" t="s">
        <v>787</v>
      </c>
      <c r="G835">
        <v>0.75828729281768004</v>
      </c>
      <c r="H835">
        <v>0.93534482758620685</v>
      </c>
    </row>
    <row r="836" spans="1:8" x14ac:dyDescent="0.3">
      <c r="A836" t="s">
        <v>819</v>
      </c>
      <c r="B836" s="2">
        <v>6.6409432870370363E-2</v>
      </c>
      <c r="C836" s="2">
        <v>6.6397858796296297E-2</v>
      </c>
      <c r="D836" s="2">
        <v>6.6421006944444444E-2</v>
      </c>
      <c r="E836" t="s">
        <v>51</v>
      </c>
      <c r="F836" t="s">
        <v>789</v>
      </c>
      <c r="G836">
        <v>0.68093922651933703</v>
      </c>
      <c r="H836">
        <v>0.93534482758620685</v>
      </c>
    </row>
    <row r="837" spans="1:8" x14ac:dyDescent="0.3">
      <c r="A837" t="s">
        <v>820</v>
      </c>
      <c r="B837" s="2">
        <v>6.70184375E-2</v>
      </c>
      <c r="C837" s="2">
        <v>6.7006863425925919E-2</v>
      </c>
      <c r="D837" s="2">
        <v>6.703001157407408E-2</v>
      </c>
      <c r="E837" t="s">
        <v>51</v>
      </c>
      <c r="F837" t="s">
        <v>787</v>
      </c>
      <c r="G837">
        <v>0.92955801104972402</v>
      </c>
      <c r="H837">
        <v>0.86637931034482807</v>
      </c>
    </row>
    <row r="838" spans="1:8" x14ac:dyDescent="0.3">
      <c r="A838" t="s">
        <v>821</v>
      </c>
      <c r="B838" s="2">
        <v>6.7526527777777776E-2</v>
      </c>
      <c r="C838" s="2">
        <v>6.7514953703703709E-2</v>
      </c>
      <c r="D838" s="2">
        <v>6.7538101851851856E-2</v>
      </c>
      <c r="E838" t="s">
        <v>38</v>
      </c>
      <c r="F838" t="s">
        <v>787</v>
      </c>
      <c r="G838">
        <v>0.69198895027624296</v>
      </c>
      <c r="H838">
        <v>0.25431034482758597</v>
      </c>
    </row>
    <row r="840" spans="1:8" ht="23.4" x14ac:dyDescent="0.45">
      <c r="A840" s="43" t="s">
        <v>822</v>
      </c>
      <c r="B840" s="44"/>
      <c r="C840" s="44"/>
      <c r="D840" s="44"/>
    </row>
    <row r="841" spans="1:8" x14ac:dyDescent="0.3">
      <c r="A841" s="1" t="s">
        <v>16</v>
      </c>
      <c r="B841" s="1" t="s">
        <v>17</v>
      </c>
      <c r="C841" s="1" t="s">
        <v>18</v>
      </c>
      <c r="D841" s="1" t="s">
        <v>19</v>
      </c>
      <c r="E841" s="1" t="s">
        <v>21</v>
      </c>
      <c r="F841" s="1" t="s">
        <v>822</v>
      </c>
      <c r="G841" s="1"/>
    </row>
    <row r="842" spans="1:8" x14ac:dyDescent="0.3">
      <c r="A842" t="s">
        <v>826</v>
      </c>
      <c r="B842" s="2">
        <v>2.8998148148148148E-2</v>
      </c>
      <c r="C842" s="2">
        <v>2.8882407407407409E-2</v>
      </c>
      <c r="D842" s="2">
        <v>2.9009722222222221E-2</v>
      </c>
      <c r="E842" t="s">
        <v>32</v>
      </c>
      <c r="F842">
        <v>1</v>
      </c>
    </row>
    <row r="843" spans="1:8" x14ac:dyDescent="0.3">
      <c r="A843" t="s">
        <v>827</v>
      </c>
      <c r="B843" s="2">
        <v>3.3181099537037038E-2</v>
      </c>
      <c r="C843" s="2">
        <v>3.3065358796296296E-2</v>
      </c>
      <c r="D843" s="2">
        <v>3.3192673611111112E-2</v>
      </c>
      <c r="E843" t="s">
        <v>51</v>
      </c>
      <c r="F843">
        <v>1</v>
      </c>
    </row>
    <row r="845" spans="1:8" x14ac:dyDescent="0.3">
      <c r="F845" t="s">
        <v>26</v>
      </c>
    </row>
    <row r="846" spans="1:8" x14ac:dyDescent="0.3">
      <c r="F846" t="s">
        <v>26</v>
      </c>
    </row>
    <row r="847" spans="1:8" x14ac:dyDescent="0.3">
      <c r="F847" t="s">
        <v>26</v>
      </c>
    </row>
    <row r="848" spans="1:8" x14ac:dyDescent="0.3">
      <c r="F848" t="s">
        <v>26</v>
      </c>
    </row>
    <row r="849" spans="1:6" x14ac:dyDescent="0.3">
      <c r="F849" t="s">
        <v>26</v>
      </c>
    </row>
    <row r="850" spans="1:6" x14ac:dyDescent="0.3">
      <c r="F850" t="s">
        <v>26</v>
      </c>
    </row>
    <row r="851" spans="1:6" x14ac:dyDescent="0.3">
      <c r="F851" t="s">
        <v>26</v>
      </c>
    </row>
    <row r="852" spans="1:6" x14ac:dyDescent="0.3">
      <c r="F852" t="s">
        <v>26</v>
      </c>
    </row>
    <row r="853" spans="1:6" x14ac:dyDescent="0.3">
      <c r="F853" t="s">
        <v>26</v>
      </c>
    </row>
    <row r="854" spans="1:6" x14ac:dyDescent="0.3">
      <c r="F854" t="s">
        <v>26</v>
      </c>
    </row>
    <row r="855" spans="1:6" x14ac:dyDescent="0.3">
      <c r="F855" t="s">
        <v>26</v>
      </c>
    </row>
    <row r="856" spans="1:6" ht="23.4" x14ac:dyDescent="0.45">
      <c r="A856" s="43" t="s">
        <v>830</v>
      </c>
      <c r="B856" s="44"/>
      <c r="C856" s="44"/>
      <c r="D856" s="44"/>
    </row>
    <row r="857" spans="1:6" x14ac:dyDescent="0.3">
      <c r="A857" s="1" t="s">
        <v>16</v>
      </c>
      <c r="B857" s="1" t="s">
        <v>17</v>
      </c>
      <c r="C857" s="1" t="s">
        <v>18</v>
      </c>
      <c r="D857" s="1" t="s">
        <v>19</v>
      </c>
      <c r="E857" s="1" t="s">
        <v>21</v>
      </c>
      <c r="F857" s="1"/>
    </row>
    <row r="858" spans="1:6" x14ac:dyDescent="0.3">
      <c r="A858" t="s">
        <v>832</v>
      </c>
      <c r="B858" s="2">
        <v>3.9553321759259262E-2</v>
      </c>
      <c r="C858" s="2">
        <v>3.9553321759259262E-2</v>
      </c>
      <c r="D858" s="2">
        <v>3.9553321759259262E-2</v>
      </c>
      <c r="E858" t="s">
        <v>26</v>
      </c>
    </row>
    <row r="859" spans="1:6" x14ac:dyDescent="0.3">
      <c r="A859" t="s">
        <v>834</v>
      </c>
      <c r="B859" s="2">
        <v>3.9553321759259262E-2</v>
      </c>
      <c r="C859" s="2">
        <v>3.9553321759259262E-2</v>
      </c>
      <c r="D859" s="2">
        <v>3.9553321759259262E-2</v>
      </c>
      <c r="E859" t="s">
        <v>26</v>
      </c>
    </row>
    <row r="860" spans="1:6" x14ac:dyDescent="0.3">
      <c r="A860" t="s">
        <v>834</v>
      </c>
      <c r="B860" s="2">
        <v>3.9553321759259262E-2</v>
      </c>
      <c r="C860" s="2">
        <v>3.9553321759259262E-2</v>
      </c>
      <c r="D860" s="2">
        <v>3.9553321759259262E-2</v>
      </c>
      <c r="E860" t="s">
        <v>26</v>
      </c>
    </row>
    <row r="861" spans="1:6" x14ac:dyDescent="0.3">
      <c r="A861" t="s">
        <v>834</v>
      </c>
      <c r="B861" s="2">
        <v>3.9553321759259262E-2</v>
      </c>
      <c r="C861" s="2">
        <v>3.9553321759259262E-2</v>
      </c>
      <c r="D861" s="2">
        <v>3.9553321759259262E-2</v>
      </c>
      <c r="E861" t="s">
        <v>26</v>
      </c>
    </row>
    <row r="862" spans="1:6" x14ac:dyDescent="0.3">
      <c r="A862" t="s">
        <v>832</v>
      </c>
      <c r="B862" s="2">
        <v>5.6121122685185182E-2</v>
      </c>
      <c r="C862" s="2">
        <v>5.6121122685185182E-2</v>
      </c>
      <c r="D862" s="2">
        <v>5.6121122685185182E-2</v>
      </c>
      <c r="E862" t="s">
        <v>26</v>
      </c>
    </row>
    <row r="864" spans="1:6" x14ac:dyDescent="0.3">
      <c r="E864" t="s">
        <v>26</v>
      </c>
    </row>
    <row r="865" spans="1:8" x14ac:dyDescent="0.3">
      <c r="E865" t="s">
        <v>26</v>
      </c>
    </row>
    <row r="866" spans="1:8" x14ac:dyDescent="0.3">
      <c r="E866" t="s">
        <v>26</v>
      </c>
    </row>
    <row r="867" spans="1:8" x14ac:dyDescent="0.3">
      <c r="E867" t="s">
        <v>26</v>
      </c>
    </row>
    <row r="868" spans="1:8" x14ac:dyDescent="0.3">
      <c r="E868" t="s">
        <v>26</v>
      </c>
    </row>
    <row r="869" spans="1:8" x14ac:dyDescent="0.3">
      <c r="E869" t="s">
        <v>26</v>
      </c>
    </row>
    <row r="870" spans="1:8" x14ac:dyDescent="0.3">
      <c r="E870" t="s">
        <v>26</v>
      </c>
    </row>
    <row r="871" spans="1:8" x14ac:dyDescent="0.3">
      <c r="E871" t="s">
        <v>26</v>
      </c>
    </row>
    <row r="872" spans="1:8" ht="23.4" x14ac:dyDescent="0.45">
      <c r="A872" s="43" t="s">
        <v>835</v>
      </c>
      <c r="B872" s="44"/>
      <c r="C872" s="44"/>
      <c r="D872" s="44"/>
      <c r="F872" s="45" t="s">
        <v>15</v>
      </c>
      <c r="G872" s="45" t="s">
        <v>15</v>
      </c>
    </row>
    <row r="873" spans="1:8" x14ac:dyDescent="0.3">
      <c r="A873" s="1" t="s">
        <v>16</v>
      </c>
      <c r="B873" s="1" t="s">
        <v>17</v>
      </c>
      <c r="C873" s="1" t="s">
        <v>18</v>
      </c>
      <c r="D873" s="1" t="s">
        <v>19</v>
      </c>
      <c r="E873" s="1" t="s">
        <v>21</v>
      </c>
      <c r="F873" s="1" t="s">
        <v>23</v>
      </c>
      <c r="G873" s="1" t="s">
        <v>24</v>
      </c>
      <c r="H873" s="1"/>
    </row>
    <row r="874" spans="1:8" x14ac:dyDescent="0.3">
      <c r="A874" t="s">
        <v>836</v>
      </c>
      <c r="B874" s="2">
        <v>2.5882870370370369E-3</v>
      </c>
      <c r="C874" s="2">
        <v>2.5767129629629629E-3</v>
      </c>
      <c r="D874" s="2">
        <v>2.5882870370370369E-3</v>
      </c>
      <c r="E874" t="s">
        <v>38</v>
      </c>
      <c r="F874">
        <v>0.54629629629629595</v>
      </c>
      <c r="G874">
        <v>0.26033057851239705</v>
      </c>
    </row>
    <row r="875" spans="1:8" x14ac:dyDescent="0.3">
      <c r="A875" t="s">
        <v>837</v>
      </c>
      <c r="B875" s="2">
        <v>5.348657407407407E-3</v>
      </c>
      <c r="C875" s="2">
        <v>5.3370833333333334E-3</v>
      </c>
      <c r="D875" s="2">
        <v>5.348657407407407E-3</v>
      </c>
      <c r="E875" t="s">
        <v>51</v>
      </c>
      <c r="F875">
        <v>0.81084656084656104</v>
      </c>
      <c r="G875">
        <v>0.73966942148760295</v>
      </c>
    </row>
    <row r="876" spans="1:8" x14ac:dyDescent="0.3">
      <c r="A876" t="s">
        <v>838</v>
      </c>
      <c r="B876" s="2">
        <v>7.5337268518518522E-3</v>
      </c>
      <c r="C876" s="2">
        <v>7.5221527777777778E-3</v>
      </c>
      <c r="D876" s="2">
        <v>7.5337268518518522E-3</v>
      </c>
      <c r="E876" t="s">
        <v>44</v>
      </c>
      <c r="F876">
        <v>0.40343915343915299</v>
      </c>
      <c r="G876">
        <v>0.27685950413223104</v>
      </c>
    </row>
    <row r="877" spans="1:8" x14ac:dyDescent="0.3">
      <c r="A877" t="s">
        <v>839</v>
      </c>
      <c r="B877" s="2">
        <v>1.4641527777777778E-2</v>
      </c>
      <c r="C877" s="2">
        <v>1.4629953703703704E-2</v>
      </c>
      <c r="D877" s="2">
        <v>1.4641527777777778E-2</v>
      </c>
      <c r="E877" t="s">
        <v>38</v>
      </c>
      <c r="F877">
        <v>0.66798941798941802</v>
      </c>
      <c r="G877">
        <v>0.55371900826446296</v>
      </c>
    </row>
    <row r="878" spans="1:8" x14ac:dyDescent="0.3">
      <c r="A878" t="s">
        <v>840</v>
      </c>
      <c r="B878" s="2">
        <v>1.9680069444444444E-2</v>
      </c>
      <c r="C878" s="2">
        <v>1.9668495370370371E-2</v>
      </c>
      <c r="D878" s="2">
        <v>1.9680069444444444E-2</v>
      </c>
      <c r="E878" t="s">
        <v>51</v>
      </c>
      <c r="F878">
        <v>0.32407407407407401</v>
      </c>
      <c r="G878">
        <v>0.91322314049586784</v>
      </c>
    </row>
    <row r="879" spans="1:8" x14ac:dyDescent="0.3">
      <c r="A879" t="s">
        <v>841</v>
      </c>
      <c r="B879" s="2">
        <v>2.2639849537037036E-2</v>
      </c>
      <c r="C879" s="2">
        <v>2.2628275462962963E-2</v>
      </c>
      <c r="D879" s="2">
        <v>2.2639849537037036E-2</v>
      </c>
      <c r="E879" t="s">
        <v>46</v>
      </c>
      <c r="F879">
        <v>0.28703703703703698</v>
      </c>
      <c r="G879">
        <v>0.26859504132231404</v>
      </c>
    </row>
    <row r="880" spans="1:8" x14ac:dyDescent="0.3">
      <c r="A880" t="s">
        <v>842</v>
      </c>
      <c r="B880" s="2">
        <v>2.2716944444444446E-2</v>
      </c>
      <c r="C880" s="2">
        <v>2.2705370370370369E-2</v>
      </c>
      <c r="D880" s="2">
        <v>2.2716944444444446E-2</v>
      </c>
      <c r="E880" t="s">
        <v>67</v>
      </c>
      <c r="F880">
        <v>8.3333333333333301E-2</v>
      </c>
      <c r="G880">
        <v>0.58264462809917394</v>
      </c>
    </row>
    <row r="881" spans="1:8" x14ac:dyDescent="0.3">
      <c r="A881" t="s">
        <v>843</v>
      </c>
      <c r="B881" s="2">
        <v>2.3662731481481483E-2</v>
      </c>
      <c r="C881" s="2">
        <v>2.3651157407407409E-2</v>
      </c>
      <c r="D881" s="2">
        <v>2.3662731481481483E-2</v>
      </c>
      <c r="E881" t="s">
        <v>46</v>
      </c>
      <c r="F881">
        <v>0.35582010582010598</v>
      </c>
      <c r="G881">
        <v>8.2644628099169948E-3</v>
      </c>
    </row>
    <row r="882" spans="1:8" x14ac:dyDescent="0.3">
      <c r="A882" t="s">
        <v>844</v>
      </c>
      <c r="B882" s="2">
        <v>4.197824074074074E-2</v>
      </c>
      <c r="C882" s="2">
        <v>4.1966666666666666E-2</v>
      </c>
      <c r="D882" s="2">
        <v>4.197824074074074E-2</v>
      </c>
      <c r="E882" t="s">
        <v>67</v>
      </c>
      <c r="F882">
        <v>0.72089947089947104</v>
      </c>
      <c r="G882">
        <v>0.99173553719008267</v>
      </c>
    </row>
    <row r="883" spans="1:8" x14ac:dyDescent="0.3">
      <c r="A883" t="s">
        <v>845</v>
      </c>
      <c r="B883" s="2">
        <v>4.4412037037037035E-2</v>
      </c>
      <c r="C883" s="2">
        <v>4.4400462962962961E-2</v>
      </c>
      <c r="D883" s="2">
        <v>4.4412037037037035E-2</v>
      </c>
      <c r="E883" t="s">
        <v>44</v>
      </c>
      <c r="F883">
        <v>0.26851851851851799</v>
      </c>
      <c r="G883">
        <v>0.97933884297520657</v>
      </c>
    </row>
    <row r="884" spans="1:8" x14ac:dyDescent="0.3">
      <c r="A884" t="s">
        <v>846</v>
      </c>
      <c r="B884" s="2">
        <v>5.3969861111111114E-2</v>
      </c>
      <c r="C884" s="2">
        <v>5.3958287037037034E-2</v>
      </c>
      <c r="D884" s="2">
        <v>5.3969861111111114E-2</v>
      </c>
      <c r="E884" t="s">
        <v>51</v>
      </c>
      <c r="F884">
        <v>0.42724867724867699</v>
      </c>
      <c r="G884">
        <v>6.6115702479338956E-2</v>
      </c>
    </row>
    <row r="885" spans="1:8" x14ac:dyDescent="0.3">
      <c r="A885" t="s">
        <v>847</v>
      </c>
      <c r="B885" s="2">
        <v>5.7006365740740743E-2</v>
      </c>
      <c r="C885" s="2">
        <v>5.6994791666666669E-2</v>
      </c>
      <c r="D885" s="2">
        <v>5.7006365740740743E-2</v>
      </c>
      <c r="E885" t="s">
        <v>264</v>
      </c>
      <c r="F885">
        <v>0.30026455026455001</v>
      </c>
      <c r="G885">
        <v>0.60743801652892593</v>
      </c>
    </row>
    <row r="886" spans="1:8" x14ac:dyDescent="0.3">
      <c r="A886" t="s">
        <v>848</v>
      </c>
      <c r="B886" s="2">
        <v>5.7289004629629631E-2</v>
      </c>
      <c r="C886" s="2">
        <v>5.7277430555555557E-2</v>
      </c>
      <c r="D886" s="2">
        <v>5.7289004629629631E-2</v>
      </c>
      <c r="E886" t="s">
        <v>67</v>
      </c>
      <c r="F886">
        <v>0.82671957671957697</v>
      </c>
      <c r="G886">
        <v>0.93801652892561982</v>
      </c>
    </row>
    <row r="887" spans="1:8" x14ac:dyDescent="0.3">
      <c r="A887" t="s">
        <v>849</v>
      </c>
      <c r="B887" s="2">
        <v>6.2270648148148151E-2</v>
      </c>
      <c r="C887" s="2">
        <v>6.2259074074074071E-2</v>
      </c>
      <c r="D887" s="2">
        <v>6.2270648148148151E-2</v>
      </c>
      <c r="E887" t="s">
        <v>51</v>
      </c>
      <c r="F887">
        <v>0.70767195767195801</v>
      </c>
      <c r="G887">
        <v>0.70661157024793397</v>
      </c>
    </row>
    <row r="888" spans="1:8" x14ac:dyDescent="0.3">
      <c r="A888" t="s">
        <v>850</v>
      </c>
      <c r="B888" s="2">
        <v>6.5333229166666673E-2</v>
      </c>
      <c r="C888" s="2">
        <v>6.5321655092592593E-2</v>
      </c>
      <c r="D888" s="2">
        <v>6.5333229166666673E-2</v>
      </c>
      <c r="E888" t="s">
        <v>51</v>
      </c>
      <c r="F888">
        <v>0.29232804232804199</v>
      </c>
      <c r="G888">
        <v>0.87190082644628097</v>
      </c>
    </row>
    <row r="889" spans="1:8" x14ac:dyDescent="0.3">
      <c r="A889" t="s">
        <v>851</v>
      </c>
      <c r="B889" s="2">
        <v>6.7603321759259261E-2</v>
      </c>
      <c r="C889" s="2">
        <v>6.759174768518518E-2</v>
      </c>
      <c r="D889" s="2">
        <v>6.7603321759259261E-2</v>
      </c>
      <c r="E889" t="s">
        <v>51</v>
      </c>
      <c r="F889">
        <v>0.78174603174603197</v>
      </c>
      <c r="G889">
        <v>0.53305785123966898</v>
      </c>
    </row>
    <row r="891" spans="1:8" ht="23.4" x14ac:dyDescent="0.45">
      <c r="A891" s="43" t="s">
        <v>852</v>
      </c>
      <c r="B891" s="44"/>
      <c r="C891" s="44"/>
      <c r="D891" s="44"/>
      <c r="F891" s="45" t="s">
        <v>15</v>
      </c>
      <c r="G891" s="45" t="s">
        <v>15</v>
      </c>
    </row>
    <row r="892" spans="1:8" x14ac:dyDescent="0.3">
      <c r="A892" s="1" t="s">
        <v>16</v>
      </c>
      <c r="B892" s="1" t="s">
        <v>17</v>
      </c>
      <c r="C892" s="1" t="s">
        <v>18</v>
      </c>
      <c r="D892" s="1" t="s">
        <v>19</v>
      </c>
      <c r="E892" s="1" t="s">
        <v>21</v>
      </c>
      <c r="F892" s="1" t="s">
        <v>23</v>
      </c>
      <c r="G892" s="1" t="s">
        <v>24</v>
      </c>
      <c r="H892" s="1"/>
    </row>
    <row r="893" spans="1:8" x14ac:dyDescent="0.3">
      <c r="A893" t="s">
        <v>853</v>
      </c>
      <c r="B893" s="2">
        <v>8.1659490740740737E-3</v>
      </c>
      <c r="C893" s="2">
        <v>8.1428009259259266E-3</v>
      </c>
      <c r="D893" s="2">
        <v>8.1775231481481473E-3</v>
      </c>
      <c r="E893" t="s">
        <v>42</v>
      </c>
      <c r="F893">
        <v>0.54894179894179895</v>
      </c>
      <c r="G893">
        <v>0.80991735537190102</v>
      </c>
    </row>
    <row r="894" spans="1:8" x14ac:dyDescent="0.3">
      <c r="A894" t="s">
        <v>854</v>
      </c>
      <c r="B894" s="2">
        <v>4.5596099537037034E-2</v>
      </c>
      <c r="C894" s="2">
        <v>4.5572951388888887E-2</v>
      </c>
      <c r="D894" s="2">
        <v>4.5607673611111114E-2</v>
      </c>
      <c r="E894" t="s">
        <v>51</v>
      </c>
      <c r="F894">
        <v>0.794973544973545</v>
      </c>
      <c r="G894">
        <v>0.68181818181818199</v>
      </c>
    </row>
    <row r="896" spans="1:8" x14ac:dyDescent="0.3">
      <c r="G896" t="s">
        <v>26</v>
      </c>
    </row>
    <row r="897" spans="7:7" x14ac:dyDescent="0.3">
      <c r="G897" t="s">
        <v>26</v>
      </c>
    </row>
    <row r="898" spans="7:7" x14ac:dyDescent="0.3">
      <c r="G898" t="s">
        <v>26</v>
      </c>
    </row>
    <row r="899" spans="7:7" x14ac:dyDescent="0.3">
      <c r="G899" t="s">
        <v>26</v>
      </c>
    </row>
    <row r="900" spans="7:7" x14ac:dyDescent="0.3">
      <c r="G900" t="s">
        <v>26</v>
      </c>
    </row>
    <row r="901" spans="7:7" x14ac:dyDescent="0.3">
      <c r="G901" t="s">
        <v>26</v>
      </c>
    </row>
    <row r="902" spans="7:7" x14ac:dyDescent="0.3">
      <c r="G902" t="s">
        <v>26</v>
      </c>
    </row>
    <row r="903" spans="7:7" x14ac:dyDescent="0.3">
      <c r="G903" t="s">
        <v>26</v>
      </c>
    </row>
    <row r="904" spans="7:7" x14ac:dyDescent="0.3">
      <c r="G904" t="s">
        <v>26</v>
      </c>
    </row>
    <row r="905" spans="7:7" x14ac:dyDescent="0.3">
      <c r="G905" t="s">
        <v>26</v>
      </c>
    </row>
    <row r="906" spans="7:7" x14ac:dyDescent="0.3">
      <c r="G906" t="s">
        <v>26</v>
      </c>
    </row>
  </sheetData>
  <mergeCells count="37">
    <mergeCell ref="A48:D48"/>
    <mergeCell ref="G48:H48"/>
    <mergeCell ref="A311:D311"/>
    <mergeCell ref="F311:G311"/>
    <mergeCell ref="A408:D408"/>
    <mergeCell ref="G408:H408"/>
    <mergeCell ref="A510:D510"/>
    <mergeCell ref="G510:H510"/>
    <mergeCell ref="A538:D538"/>
    <mergeCell ref="G538:H538"/>
    <mergeCell ref="A561:D561"/>
    <mergeCell ref="F561:G561"/>
    <mergeCell ref="A593:D593"/>
    <mergeCell ref="G593:H593"/>
    <mergeCell ref="I593:J593"/>
    <mergeCell ref="A615:D615"/>
    <mergeCell ref="F615:G615"/>
    <mergeCell ref="H615:I615"/>
    <mergeCell ref="A631:D631"/>
    <mergeCell ref="G631:H631"/>
    <mergeCell ref="A709:D709"/>
    <mergeCell ref="G709:H709"/>
    <mergeCell ref="A725:D725"/>
    <mergeCell ref="F725:G725"/>
    <mergeCell ref="H725:I725"/>
    <mergeCell ref="A742:D742"/>
    <mergeCell ref="F742:G742"/>
    <mergeCell ref="A758:D758"/>
    <mergeCell ref="G758:H758"/>
    <mergeCell ref="A803:D803"/>
    <mergeCell ref="G803:H803"/>
    <mergeCell ref="A840:D840"/>
    <mergeCell ref="A856:D856"/>
    <mergeCell ref="A872:D872"/>
    <mergeCell ref="F872:G872"/>
    <mergeCell ref="A891:D891"/>
    <mergeCell ref="F891:G891"/>
  </mergeCells>
  <pageMargins left="0.7" right="0.7" top="0.75" bottom="0.75" header="0.3" footer="0.3"/>
  <drawing r:id="rId1"/>
  <tableParts count="1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Project statistics</vt:lpstr>
      <vt:lpstr>stm (Local)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Lovászi Zsuzsanna</cp:lastModifiedBy>
  <dcterms:created xsi:type="dcterms:W3CDTF">2023-04-03T20:49:10Z</dcterms:created>
  <dcterms:modified xsi:type="dcterms:W3CDTF">2023-04-04T09:46:50Z</dcterms:modified>
</cp:coreProperties>
</file>