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004-方針遂行状況\"/>
    </mc:Choice>
  </mc:AlternateContent>
  <bookViews>
    <workbookView xWindow="600" yWindow="1350" windowWidth="14760" windowHeight="6105" tabRatio="584" activeTab="3"/>
  </bookViews>
  <sheets>
    <sheet name="PL項目 17下" sheetId="8" r:id="rId1"/>
    <sheet name="目標遂行状況" sheetId="9" r:id="rId2"/>
    <sheet name="当月計画遂行" sheetId="5" r:id="rId3"/>
    <sheet name="ﾃﾞｰﾀ貼付" sheetId="6" r:id="rId4"/>
    <sheet name="予算遂行状況" sheetId="10" state="hidden" r:id="rId5"/>
    <sheet name="遂行状況" sheetId="7" state="hidden" r:id="rId6"/>
  </sheets>
  <definedNames>
    <definedName name="_xlnm.Print_Area" localSheetId="0">'PL項目 17下'!$A$1:$AY$67</definedName>
    <definedName name="_xlnm.Print_Area" localSheetId="3">ﾃﾞｰﾀ貼付!$A$1:$BE$250</definedName>
    <definedName name="_xlnm.Print_Area" localSheetId="2">当月計画遂行!$A$1:$O$33</definedName>
    <definedName name="_xlnm.Print_Area" localSheetId="1">目標遂行状況!$A$1:$S$30</definedName>
    <definedName name="_xlnm.Print_Area" localSheetId="5">遂行状況!$A$1:$V$28</definedName>
    <definedName name="_xlnm.Print_Area" localSheetId="4">予算遂行状況!$A$1:$W$24</definedName>
    <definedName name="_xlnm.Print_Titles" localSheetId="3">ﾃﾞｰﾀ貼付!$B:$D</definedName>
  </definedNames>
  <calcPr calcId="152511"/>
</workbook>
</file>

<file path=xl/calcChain.xml><?xml version="1.0" encoding="utf-8"?>
<calcChain xmlns="http://schemas.openxmlformats.org/spreadsheetml/2006/main">
  <c r="AN246" i="6" l="1"/>
  <c r="AM246" i="6"/>
  <c r="AK246" i="6"/>
  <c r="AJ246" i="6"/>
  <c r="AF246" i="6"/>
  <c r="AB246" i="6"/>
  <c r="AQ245" i="6"/>
  <c r="AJ245" i="6"/>
  <c r="AF245" i="6"/>
  <c r="AB245" i="6"/>
  <c r="AN244" i="6"/>
  <c r="AM244" i="6"/>
  <c r="AK244" i="6"/>
  <c r="AJ244" i="6"/>
  <c r="AF244" i="6"/>
  <c r="AB244" i="6"/>
  <c r="AJ243" i="6"/>
  <c r="AF243" i="6"/>
  <c r="AB243" i="6"/>
  <c r="AA243" i="6"/>
  <c r="AN242" i="6"/>
  <c r="AM242" i="6"/>
  <c r="AJ242" i="6"/>
  <c r="AG242" i="6"/>
  <c r="AF242" i="6"/>
  <c r="AB242" i="6"/>
  <c r="Y242" i="6"/>
  <c r="AJ241" i="6"/>
  <c r="AF241" i="6"/>
  <c r="AB241" i="6"/>
  <c r="AN240" i="6"/>
  <c r="AO240" i="6" s="1"/>
  <c r="AM240" i="6"/>
  <c r="AK240" i="6"/>
  <c r="AJ240" i="6"/>
  <c r="AF240" i="6"/>
  <c r="AB240" i="6"/>
  <c r="AJ239" i="6"/>
  <c r="AF239" i="6"/>
  <c r="AB239" i="6"/>
  <c r="AQ238" i="6"/>
  <c r="AN238" i="6"/>
  <c r="AM238" i="6"/>
  <c r="AK238" i="6"/>
  <c r="AJ238" i="6"/>
  <c r="AF238" i="6"/>
  <c r="AB238" i="6"/>
  <c r="AJ237" i="6"/>
  <c r="AF237" i="6"/>
  <c r="AB237" i="6"/>
  <c r="AN232" i="6"/>
  <c r="AK232" i="6"/>
  <c r="AJ232" i="6"/>
  <c r="AF232" i="6"/>
  <c r="Z232" i="6"/>
  <c r="AM232" i="6" s="1"/>
  <c r="AN230" i="6"/>
  <c r="AM230" i="6"/>
  <c r="AK230" i="6"/>
  <c r="AJ230" i="6"/>
  <c r="AF230" i="6"/>
  <c r="AB230" i="6"/>
  <c r="AK224" i="6"/>
  <c r="AK222" i="6"/>
  <c r="AG214" i="6"/>
  <c r="AC214" i="6"/>
  <c r="AC216" i="6" s="1"/>
  <c r="AA214" i="6"/>
  <c r="Y214" i="6"/>
  <c r="AK212" i="6"/>
  <c r="AI211" i="6"/>
  <c r="AK210" i="6"/>
  <c r="AI209" i="6"/>
  <c r="AI207" i="6"/>
  <c r="AK206" i="6"/>
  <c r="AI205" i="6"/>
  <c r="AK204" i="6"/>
  <c r="AI203" i="6"/>
  <c r="AU202" i="6"/>
  <c r="AR202" i="6"/>
  <c r="AN202" i="6"/>
  <c r="AM202" i="6"/>
  <c r="AK202" i="6"/>
  <c r="AI202" i="6"/>
  <c r="AH202" i="6"/>
  <c r="AG202" i="6"/>
  <c r="AE202" i="6"/>
  <c r="AD202" i="6"/>
  <c r="AC202" i="6"/>
  <c r="AA202" i="6"/>
  <c r="Z202" i="6"/>
  <c r="Y202" i="6"/>
  <c r="AR201" i="6"/>
  <c r="AK201" i="6"/>
  <c r="AG201" i="6"/>
  <c r="AC201" i="6"/>
  <c r="Y201" i="6"/>
  <c r="AK196" i="6"/>
  <c r="AA196" i="6"/>
  <c r="AN192" i="6"/>
  <c r="AQ192" i="6" s="1"/>
  <c r="AM192" i="6"/>
  <c r="AK192" i="6"/>
  <c r="AJ192" i="6"/>
  <c r="AF192" i="6"/>
  <c r="AB192" i="6"/>
  <c r="AA191" i="6"/>
  <c r="AG190" i="6"/>
  <c r="AC190" i="6"/>
  <c r="Y190" i="6"/>
  <c r="AK188" i="6"/>
  <c r="AK186" i="6"/>
  <c r="AI184" i="6"/>
  <c r="AG184" i="6"/>
  <c r="AE184" i="6"/>
  <c r="AC184" i="6"/>
  <c r="AA184" i="6"/>
  <c r="AB183" i="6" s="1"/>
  <c r="Z184" i="6"/>
  <c r="Y184" i="6"/>
  <c r="AN182" i="6"/>
  <c r="AK182" i="6"/>
  <c r="AH182" i="6"/>
  <c r="AH184" i="6" s="1"/>
  <c r="AD182" i="6"/>
  <c r="AD184" i="6" s="1"/>
  <c r="AQ180" i="6"/>
  <c r="AN180" i="6"/>
  <c r="AM180" i="6"/>
  <c r="AK180" i="6"/>
  <c r="AJ180" i="6"/>
  <c r="AN178" i="6"/>
  <c r="AQ177" i="6" s="1"/>
  <c r="AM178" i="6"/>
  <c r="AK178" i="6"/>
  <c r="AJ178" i="6"/>
  <c r="AJ177" i="6"/>
  <c r="AF177" i="6"/>
  <c r="AB177" i="6"/>
  <c r="AA172" i="6"/>
  <c r="AI169" i="6"/>
  <c r="AE169" i="6"/>
  <c r="AI167" i="6"/>
  <c r="AE167" i="6"/>
  <c r="AI165" i="6"/>
  <c r="AE165" i="6"/>
  <c r="AI163" i="6"/>
  <c r="AE163" i="6"/>
  <c r="AV162" i="6"/>
  <c r="AU162" i="6"/>
  <c r="AR162" i="6"/>
  <c r="AN162" i="6"/>
  <c r="AK162" i="6"/>
  <c r="AI162" i="6"/>
  <c r="AH162" i="6"/>
  <c r="AG162" i="6"/>
  <c r="AE162" i="6"/>
  <c r="AD162" i="6"/>
  <c r="AC162" i="6"/>
  <c r="AA162" i="6"/>
  <c r="Z162" i="6"/>
  <c r="Y162" i="6"/>
  <c r="AR161" i="6"/>
  <c r="AK161" i="6"/>
  <c r="AG161" i="6"/>
  <c r="AC161" i="6"/>
  <c r="Y161" i="6"/>
  <c r="AN156" i="6"/>
  <c r="AM156" i="6"/>
  <c r="AK156" i="6"/>
  <c r="AJ156" i="6"/>
  <c r="AF156" i="6"/>
  <c r="AB156" i="6"/>
  <c r="AJ155" i="6"/>
  <c r="AF155" i="6"/>
  <c r="AB155" i="6"/>
  <c r="AN154" i="6"/>
  <c r="AM154" i="6"/>
  <c r="AN153" i="6"/>
  <c r="AO152" i="6" s="1"/>
  <c r="AM153" i="6"/>
  <c r="AK153" i="6"/>
  <c r="AJ153" i="6"/>
  <c r="AF153" i="6"/>
  <c r="AB153" i="6"/>
  <c r="AJ152" i="6"/>
  <c r="AF152" i="6"/>
  <c r="AB152" i="6"/>
  <c r="AN150" i="6"/>
  <c r="AM150" i="6"/>
  <c r="AK150" i="6"/>
  <c r="AJ150" i="6"/>
  <c r="AF150" i="6"/>
  <c r="AB150" i="6"/>
  <c r="AO149" i="6"/>
  <c r="AJ149" i="6"/>
  <c r="AF149" i="6"/>
  <c r="AB149" i="6"/>
  <c r="AN148" i="6"/>
  <c r="AM148" i="6"/>
  <c r="AJ148" i="6"/>
  <c r="AG148" i="6"/>
  <c r="AF148" i="6"/>
  <c r="AB148" i="6"/>
  <c r="Y148" i="6"/>
  <c r="AJ147" i="6"/>
  <c r="AF147" i="6"/>
  <c r="AB147" i="6"/>
  <c r="AI146" i="6"/>
  <c r="AH146" i="6"/>
  <c r="AG146" i="6"/>
  <c r="AE146" i="6"/>
  <c r="AF146" i="6" s="1"/>
  <c r="AD146" i="6"/>
  <c r="AC146" i="6"/>
  <c r="AA146" i="6"/>
  <c r="Z146" i="6"/>
  <c r="AM146" i="6" s="1"/>
  <c r="Y146" i="6"/>
  <c r="AN145" i="6"/>
  <c r="AM145" i="6"/>
  <c r="AK145" i="6"/>
  <c r="AJ145" i="6"/>
  <c r="AF145" i="6"/>
  <c r="AB145" i="6"/>
  <c r="AN143" i="6"/>
  <c r="AM143" i="6"/>
  <c r="AK143" i="6"/>
  <c r="AJ143" i="6"/>
  <c r="AF143" i="6"/>
  <c r="AB143" i="6"/>
  <c r="AN142" i="6"/>
  <c r="AM142" i="6"/>
  <c r="AT142" i="6" s="1"/>
  <c r="AK142" i="6"/>
  <c r="AJ142" i="6"/>
  <c r="AF142" i="6"/>
  <c r="AB142" i="6"/>
  <c r="AI141" i="6"/>
  <c r="AI139" i="6" s="1"/>
  <c r="AH141" i="6"/>
  <c r="AG141" i="6"/>
  <c r="AG55" i="6" s="1"/>
  <c r="AE141" i="6"/>
  <c r="AD141" i="6"/>
  <c r="AF140" i="6" s="1"/>
  <c r="AC141" i="6"/>
  <c r="AA141" i="6"/>
  <c r="Z141" i="6"/>
  <c r="Z139" i="6" s="1"/>
  <c r="Y141" i="6"/>
  <c r="Y139" i="6" s="1"/>
  <c r="AI138" i="6"/>
  <c r="AH138" i="6"/>
  <c r="AG138" i="6"/>
  <c r="AE138" i="6"/>
  <c r="AD138" i="6"/>
  <c r="AD139" i="6" s="1"/>
  <c r="AC138" i="6"/>
  <c r="AA138" i="6"/>
  <c r="Z138" i="6"/>
  <c r="Y138" i="6"/>
  <c r="AK138" i="6" s="1"/>
  <c r="AN137" i="6"/>
  <c r="AM137" i="6"/>
  <c r="AK137" i="6"/>
  <c r="AJ137" i="6"/>
  <c r="AF137" i="6"/>
  <c r="AB137" i="6"/>
  <c r="AN136" i="6"/>
  <c r="AM136" i="6"/>
  <c r="AK136" i="6"/>
  <c r="AN135" i="6"/>
  <c r="AM135" i="6"/>
  <c r="AM134" i="6" s="1"/>
  <c r="AK135" i="6"/>
  <c r="AK134" i="6" s="1"/>
  <c r="AJ135" i="6"/>
  <c r="AF135" i="6"/>
  <c r="AB135" i="6"/>
  <c r="AI134" i="6"/>
  <c r="AH134" i="6"/>
  <c r="AG134" i="6"/>
  <c r="AE134" i="6"/>
  <c r="AD134" i="6"/>
  <c r="AC134" i="6"/>
  <c r="AA134" i="6"/>
  <c r="Z134" i="6"/>
  <c r="Y134" i="6"/>
  <c r="AN133" i="6"/>
  <c r="AM133" i="6"/>
  <c r="AK133" i="6"/>
  <c r="AJ133" i="6"/>
  <c r="AF133" i="6"/>
  <c r="AB133" i="6"/>
  <c r="AN132" i="6"/>
  <c r="AM132" i="6"/>
  <c r="AK132" i="6"/>
  <c r="AJ132" i="6"/>
  <c r="AF132" i="6"/>
  <c r="AB132" i="6"/>
  <c r="AI131" i="6"/>
  <c r="AH131" i="6"/>
  <c r="AG131" i="6"/>
  <c r="AF131" i="6"/>
  <c r="AE131" i="6"/>
  <c r="AD131" i="6"/>
  <c r="AC131" i="6"/>
  <c r="AB131" i="6"/>
  <c r="AA131" i="6"/>
  <c r="Z131" i="6"/>
  <c r="Y131" i="6"/>
  <c r="AN130" i="6"/>
  <c r="AO130" i="6" s="1"/>
  <c r="AM130" i="6"/>
  <c r="AK130" i="6"/>
  <c r="AJ130" i="6"/>
  <c r="AF130" i="6"/>
  <c r="AB130" i="6"/>
  <c r="AI129" i="6"/>
  <c r="AH129" i="6"/>
  <c r="AH50" i="6" s="1"/>
  <c r="AG129" i="6"/>
  <c r="AG50" i="6" s="1"/>
  <c r="AE129" i="6"/>
  <c r="AD129" i="6"/>
  <c r="AC129" i="6"/>
  <c r="AC50" i="6" s="1"/>
  <c r="AA129" i="6"/>
  <c r="AA50" i="6" s="1"/>
  <c r="Z129" i="6"/>
  <c r="Y129" i="6"/>
  <c r="AN127" i="6"/>
  <c r="AM127" i="6"/>
  <c r="AJ127" i="6"/>
  <c r="AF127" i="6"/>
  <c r="AB127" i="6"/>
  <c r="Y127" i="6"/>
  <c r="AK127" i="6" s="1"/>
  <c r="AN126" i="6"/>
  <c r="AM126" i="6"/>
  <c r="AK126" i="6"/>
  <c r="AJ126" i="6"/>
  <c r="AF126" i="6"/>
  <c r="AB126" i="6"/>
  <c r="AN125" i="6"/>
  <c r="AM125" i="6"/>
  <c r="AK125" i="6"/>
  <c r="AJ125" i="6"/>
  <c r="AF125" i="6"/>
  <c r="AB125" i="6"/>
  <c r="AN124" i="6"/>
  <c r="AO124" i="6" s="1"/>
  <c r="AM124" i="6"/>
  <c r="AK124" i="6"/>
  <c r="AJ124" i="6"/>
  <c r="AN123" i="6"/>
  <c r="AM123" i="6"/>
  <c r="AK123" i="6"/>
  <c r="AJ123" i="6"/>
  <c r="AD122" i="6"/>
  <c r="AA122" i="6"/>
  <c r="AG120" i="6"/>
  <c r="AG122" i="6" s="1"/>
  <c r="AD120" i="6"/>
  <c r="AC120" i="6"/>
  <c r="AC122" i="6" s="1"/>
  <c r="Z120" i="6"/>
  <c r="Z122" i="6" s="1"/>
  <c r="Y120" i="6"/>
  <c r="AM119" i="6"/>
  <c r="AK119" i="6"/>
  <c r="AI119" i="6"/>
  <c r="AI40" i="6" s="1"/>
  <c r="AE119" i="6"/>
  <c r="AB119" i="6"/>
  <c r="AM118" i="6"/>
  <c r="AK118" i="6"/>
  <c r="AI118" i="6"/>
  <c r="AJ118" i="6" s="1"/>
  <c r="AE118" i="6"/>
  <c r="AB118" i="6"/>
  <c r="AM117" i="6"/>
  <c r="AK117" i="6"/>
  <c r="AJ117" i="6"/>
  <c r="AI117" i="6"/>
  <c r="AE117" i="6"/>
  <c r="AF117" i="6" s="1"/>
  <c r="AB117" i="6"/>
  <c r="AK116" i="6"/>
  <c r="AH116" i="6"/>
  <c r="AF116" i="6"/>
  <c r="AE116" i="6"/>
  <c r="AB116" i="6"/>
  <c r="AM115" i="6"/>
  <c r="AK115" i="6"/>
  <c r="AI115" i="6"/>
  <c r="AJ115" i="6" s="1"/>
  <c r="AE115" i="6"/>
  <c r="AB115" i="6"/>
  <c r="AV114" i="6"/>
  <c r="AU114" i="6"/>
  <c r="AR114" i="6"/>
  <c r="AR35" i="6" s="1"/>
  <c r="AM114" i="6"/>
  <c r="AK114" i="6"/>
  <c r="AI114" i="6"/>
  <c r="AI35" i="6" s="1"/>
  <c r="AH114" i="6"/>
  <c r="AG114" i="6"/>
  <c r="AG35" i="6" s="1"/>
  <c r="AE114" i="6"/>
  <c r="AE35" i="6" s="1"/>
  <c r="AD114" i="6"/>
  <c r="AD35" i="6" s="1"/>
  <c r="AC114" i="6"/>
  <c r="AA114" i="6"/>
  <c r="AA35" i="6" s="1"/>
  <c r="Z114" i="6"/>
  <c r="Z35" i="6" s="1"/>
  <c r="Y114" i="6"/>
  <c r="Y35" i="6" s="1"/>
  <c r="AR113" i="6"/>
  <c r="AK113" i="6"/>
  <c r="AG113" i="6"/>
  <c r="AC113" i="6"/>
  <c r="Y113" i="6"/>
  <c r="AN108" i="6"/>
  <c r="AQ107" i="6" s="1"/>
  <c r="AM108" i="6"/>
  <c r="AK108" i="6"/>
  <c r="AJ108" i="6"/>
  <c r="AF108" i="6"/>
  <c r="AB108" i="6"/>
  <c r="AJ107" i="6"/>
  <c r="AF107" i="6"/>
  <c r="AB107" i="6"/>
  <c r="AN106" i="6"/>
  <c r="AM106" i="6"/>
  <c r="AK106" i="6"/>
  <c r="AN105" i="6"/>
  <c r="AM105" i="6"/>
  <c r="AK105" i="6"/>
  <c r="AJ105" i="6"/>
  <c r="AF105" i="6"/>
  <c r="AB105" i="6"/>
  <c r="AJ104" i="6"/>
  <c r="AF104" i="6"/>
  <c r="AB104" i="6"/>
  <c r="AN102" i="6"/>
  <c r="AM102" i="6"/>
  <c r="AK102" i="6"/>
  <c r="AJ102" i="6"/>
  <c r="AF102" i="6"/>
  <c r="AB102" i="6"/>
  <c r="AO101" i="6"/>
  <c r="AJ101" i="6"/>
  <c r="AF101" i="6"/>
  <c r="AB101" i="6"/>
  <c r="AN100" i="6"/>
  <c r="AM100" i="6"/>
  <c r="AJ100" i="6"/>
  <c r="AG100" i="6"/>
  <c r="AG23" i="6" s="1"/>
  <c r="AC100" i="6"/>
  <c r="AC23" i="6" s="1"/>
  <c r="AC189" i="6" s="1"/>
  <c r="Y100" i="6"/>
  <c r="AJ99" i="6"/>
  <c r="AF99" i="6"/>
  <c r="AB99" i="6"/>
  <c r="AN98" i="6"/>
  <c r="AM98" i="6"/>
  <c r="AJ98" i="6"/>
  <c r="AG98" i="6"/>
  <c r="AF98" i="6"/>
  <c r="AC98" i="6"/>
  <c r="AB98" i="6"/>
  <c r="Y98" i="6"/>
  <c r="AK98" i="6" s="1"/>
  <c r="AN97" i="6"/>
  <c r="AM97" i="6"/>
  <c r="AK97" i="6"/>
  <c r="AJ97" i="6"/>
  <c r="AF97" i="6"/>
  <c r="AB97" i="6"/>
  <c r="AF96" i="6"/>
  <c r="AB96" i="6"/>
  <c r="AN95" i="6"/>
  <c r="AQ95" i="6" s="1"/>
  <c r="AM95" i="6"/>
  <c r="AK95" i="6"/>
  <c r="AJ95" i="6"/>
  <c r="AF95" i="6"/>
  <c r="AB95" i="6"/>
  <c r="AB100" i="6" s="1"/>
  <c r="AN94" i="6"/>
  <c r="AM94" i="6"/>
  <c r="AQ94" i="6" s="1"/>
  <c r="AK94" i="6"/>
  <c r="AJ94" i="6"/>
  <c r="AF94" i="6"/>
  <c r="AB94" i="6"/>
  <c r="AI93" i="6"/>
  <c r="AJ93" i="6" s="1"/>
  <c r="AH93" i="6"/>
  <c r="AG93" i="6"/>
  <c r="AE93" i="6"/>
  <c r="AD93" i="6"/>
  <c r="AC93" i="6"/>
  <c r="AA93" i="6"/>
  <c r="Z93" i="6"/>
  <c r="Y93" i="6"/>
  <c r="AK93" i="6" s="1"/>
  <c r="AI90" i="6"/>
  <c r="AH90" i="6"/>
  <c r="AG90" i="6"/>
  <c r="AE90" i="6"/>
  <c r="AD90" i="6"/>
  <c r="AC90" i="6"/>
  <c r="AC91" i="6" s="1"/>
  <c r="AA90" i="6"/>
  <c r="Z90" i="6"/>
  <c r="Y90" i="6"/>
  <c r="AN89" i="6"/>
  <c r="AM89" i="6"/>
  <c r="AK89" i="6"/>
  <c r="AJ89" i="6"/>
  <c r="AF89" i="6"/>
  <c r="AB89" i="6"/>
  <c r="AN88" i="6"/>
  <c r="AM88" i="6"/>
  <c r="AK88" i="6"/>
  <c r="AR88" i="6" s="1"/>
  <c r="AN87" i="6"/>
  <c r="AN86" i="6" s="1"/>
  <c r="AM87" i="6"/>
  <c r="AK87" i="6"/>
  <c r="AJ87" i="6"/>
  <c r="AF87" i="6"/>
  <c r="AB87" i="6"/>
  <c r="AI86" i="6"/>
  <c r="AH86" i="6"/>
  <c r="AG86" i="6"/>
  <c r="AE86" i="6"/>
  <c r="AD86" i="6"/>
  <c r="AF86" i="6" s="1"/>
  <c r="AC86" i="6"/>
  <c r="AA86" i="6"/>
  <c r="Z86" i="6"/>
  <c r="AB86" i="6" s="1"/>
  <c r="Y86" i="6"/>
  <c r="AN85" i="6"/>
  <c r="AM85" i="6"/>
  <c r="AK85" i="6"/>
  <c r="AJ85" i="6"/>
  <c r="AF85" i="6"/>
  <c r="AB85" i="6"/>
  <c r="AN84" i="6"/>
  <c r="AQ82" i="6" s="1"/>
  <c r="AM84" i="6"/>
  <c r="AK84" i="6"/>
  <c r="AJ84" i="6"/>
  <c r="AF84" i="6"/>
  <c r="AB84" i="6"/>
  <c r="AI83" i="6"/>
  <c r="AH83" i="6"/>
  <c r="AG83" i="6"/>
  <c r="AE83" i="6"/>
  <c r="AD83" i="6"/>
  <c r="AF83" i="6" s="1"/>
  <c r="AC83" i="6"/>
  <c r="AA83" i="6"/>
  <c r="Z83" i="6"/>
  <c r="Y83" i="6"/>
  <c r="AN82" i="6"/>
  <c r="AM82" i="6"/>
  <c r="AK82" i="6"/>
  <c r="AJ82" i="6"/>
  <c r="AF82" i="6"/>
  <c r="AB82" i="6"/>
  <c r="AN81" i="6"/>
  <c r="AM81" i="6"/>
  <c r="AK81" i="6"/>
  <c r="AO80" i="6" s="1"/>
  <c r="AJ81" i="6"/>
  <c r="AF81" i="6"/>
  <c r="AB81" i="6"/>
  <c r="AJ80" i="6"/>
  <c r="AF80" i="6"/>
  <c r="AB80" i="6"/>
  <c r="AN79" i="6"/>
  <c r="AM79" i="6"/>
  <c r="AK79" i="6"/>
  <c r="AJ79" i="6"/>
  <c r="AN78" i="6"/>
  <c r="AM78" i="6"/>
  <c r="AK78" i="6"/>
  <c r="AJ78" i="6"/>
  <c r="AH77" i="6"/>
  <c r="AG77" i="6"/>
  <c r="AG110" i="6" s="1"/>
  <c r="AC77" i="6"/>
  <c r="AC110" i="6" s="1"/>
  <c r="AA77" i="6"/>
  <c r="Z77" i="6"/>
  <c r="Y77" i="6"/>
  <c r="AB76" i="6"/>
  <c r="AK75" i="6"/>
  <c r="AI75" i="6"/>
  <c r="AD75" i="6"/>
  <c r="AB75" i="6"/>
  <c r="AM74" i="6"/>
  <c r="AK74" i="6"/>
  <c r="AI74" i="6"/>
  <c r="AI7" i="6" s="1"/>
  <c r="AI168" i="6" s="1"/>
  <c r="AE74" i="6"/>
  <c r="AM73" i="6"/>
  <c r="AK73" i="6"/>
  <c r="AI73" i="6"/>
  <c r="AE73" i="6"/>
  <c r="AE6" i="6" s="1"/>
  <c r="AM72" i="6"/>
  <c r="AK72" i="6"/>
  <c r="AI72" i="6"/>
  <c r="AE72" i="6"/>
  <c r="AF72" i="6" s="1"/>
  <c r="AB72" i="6"/>
  <c r="AV71" i="6"/>
  <c r="AU71" i="6"/>
  <c r="AR71" i="6"/>
  <c r="AN71" i="6"/>
  <c r="AN114" i="6" s="1"/>
  <c r="AK71" i="6"/>
  <c r="AI71" i="6"/>
  <c r="AH71" i="6"/>
  <c r="AG71" i="6"/>
  <c r="AE71" i="6"/>
  <c r="AD71" i="6"/>
  <c r="AC71" i="6"/>
  <c r="Z71" i="6"/>
  <c r="Y71" i="6"/>
  <c r="AR70" i="6"/>
  <c r="AK70" i="6"/>
  <c r="AG70" i="6"/>
  <c r="AC70" i="6"/>
  <c r="Y70" i="6"/>
  <c r="AI65" i="6"/>
  <c r="AI248" i="6" s="1"/>
  <c r="AH65" i="6"/>
  <c r="AH248" i="6" s="1"/>
  <c r="AG65" i="6"/>
  <c r="AG248" i="6" s="1"/>
  <c r="AE65" i="6"/>
  <c r="AE248" i="6" s="1"/>
  <c r="AD65" i="6"/>
  <c r="AD248" i="6" s="1"/>
  <c r="AC65" i="6"/>
  <c r="AC248" i="6" s="1"/>
  <c r="AA65" i="6"/>
  <c r="AA248" i="6" s="1"/>
  <c r="Z65" i="6"/>
  <c r="Y65" i="6"/>
  <c r="Y248" i="6" s="1"/>
  <c r="AI63" i="6"/>
  <c r="AI245" i="6" s="1"/>
  <c r="AH63" i="6"/>
  <c r="AG63" i="6"/>
  <c r="AG245" i="6" s="1"/>
  <c r="AE63" i="6"/>
  <c r="AE245" i="6" s="1"/>
  <c r="AD63" i="6"/>
  <c r="AC63" i="6"/>
  <c r="AC245" i="6" s="1"/>
  <c r="AA63" i="6"/>
  <c r="AA245" i="6" s="1"/>
  <c r="Z63" i="6"/>
  <c r="Z245" i="6" s="1"/>
  <c r="Y63" i="6"/>
  <c r="Y245" i="6" s="1"/>
  <c r="AI61" i="6"/>
  <c r="AH61" i="6"/>
  <c r="AH243" i="6" s="1"/>
  <c r="AG61" i="6"/>
  <c r="AG243" i="6" s="1"/>
  <c r="AE61" i="6"/>
  <c r="AD61" i="6"/>
  <c r="AD243" i="6" s="1"/>
  <c r="AC61" i="6"/>
  <c r="AC243" i="6" s="1"/>
  <c r="Z61" i="6"/>
  <c r="Y61" i="6"/>
  <c r="Y243" i="6" s="1"/>
  <c r="AB60" i="6"/>
  <c r="AI59" i="6"/>
  <c r="AH59" i="6"/>
  <c r="AH241" i="6" s="1"/>
  <c r="AG59" i="6"/>
  <c r="AE59" i="6"/>
  <c r="AD59" i="6"/>
  <c r="AD241" i="6" s="1"/>
  <c r="AC59" i="6"/>
  <c r="AC241" i="6" s="1"/>
  <c r="AA59" i="6"/>
  <c r="Z59" i="6"/>
  <c r="Z241" i="6" s="1"/>
  <c r="Y59" i="6"/>
  <c r="Y241" i="6" s="1"/>
  <c r="AT58" i="6"/>
  <c r="AI57" i="6"/>
  <c r="AI239" i="6" s="1"/>
  <c r="AH57" i="6"/>
  <c r="AH239" i="6" s="1"/>
  <c r="AG57" i="6"/>
  <c r="AG239" i="6" s="1"/>
  <c r="AE57" i="6"/>
  <c r="AE239" i="6" s="1"/>
  <c r="AD57" i="6"/>
  <c r="AD239" i="6" s="1"/>
  <c r="AC57" i="6"/>
  <c r="AC239" i="6" s="1"/>
  <c r="AA57" i="6"/>
  <c r="AA239" i="6" s="1"/>
  <c r="Z57" i="6"/>
  <c r="Z239" i="6" s="1"/>
  <c r="Y57" i="6"/>
  <c r="Y239" i="6" s="1"/>
  <c r="AI56" i="6"/>
  <c r="AH56" i="6"/>
  <c r="AH237" i="6" s="1"/>
  <c r="AG56" i="6"/>
  <c r="AG237" i="6" s="1"/>
  <c r="AE56" i="6"/>
  <c r="AD56" i="6"/>
  <c r="AD237" i="6" s="1"/>
  <c r="AC56" i="6"/>
  <c r="AC237" i="6" s="1"/>
  <c r="AA56" i="6"/>
  <c r="Z56" i="6"/>
  <c r="Z237" i="6" s="1"/>
  <c r="Y56" i="6"/>
  <c r="Y237" i="6" s="1"/>
  <c r="AC55" i="6"/>
  <c r="AI53" i="6"/>
  <c r="AI234" i="6" s="1"/>
  <c r="AI236" i="6" s="1"/>
  <c r="AH53" i="6"/>
  <c r="AG53" i="6"/>
  <c r="AG234" i="6" s="1"/>
  <c r="AG236" i="6" s="1"/>
  <c r="AE53" i="6"/>
  <c r="AE234" i="6" s="1"/>
  <c r="AE236" i="6" s="1"/>
  <c r="AD53" i="6"/>
  <c r="AD234" i="6" s="1"/>
  <c r="AD236" i="6" s="1"/>
  <c r="AC53" i="6"/>
  <c r="AC234" i="6" s="1"/>
  <c r="AC236" i="6" s="1"/>
  <c r="AA53" i="6"/>
  <c r="AA234" i="6" s="1"/>
  <c r="Z53" i="6"/>
  <c r="Z234" i="6" s="1"/>
  <c r="Y53" i="6"/>
  <c r="Y234" i="6" s="1"/>
  <c r="AI52" i="6"/>
  <c r="AH52" i="6"/>
  <c r="AH231" i="6" s="1"/>
  <c r="AG52" i="6"/>
  <c r="AG231" i="6" s="1"/>
  <c r="AE52" i="6"/>
  <c r="AD52" i="6"/>
  <c r="AD231" i="6" s="1"/>
  <c r="AC52" i="6"/>
  <c r="AC231" i="6" s="1"/>
  <c r="AA52" i="6"/>
  <c r="Z52" i="6"/>
  <c r="Y52" i="6"/>
  <c r="Y231" i="6" s="1"/>
  <c r="AI51" i="6"/>
  <c r="AI229" i="6" s="1"/>
  <c r="AH51" i="6"/>
  <c r="AH229" i="6" s="1"/>
  <c r="AG51" i="6"/>
  <c r="AG229" i="6" s="1"/>
  <c r="AE51" i="6"/>
  <c r="AE229" i="6" s="1"/>
  <c r="AD51" i="6"/>
  <c r="AD229" i="6" s="1"/>
  <c r="AC51" i="6"/>
  <c r="AC229" i="6" s="1"/>
  <c r="AA51" i="6"/>
  <c r="AA229" i="6" s="1"/>
  <c r="Z51" i="6"/>
  <c r="Z229" i="6" s="1"/>
  <c r="Y51" i="6"/>
  <c r="Y229" i="6" s="1"/>
  <c r="AI50" i="6"/>
  <c r="AD50" i="6"/>
  <c r="Z50" i="6"/>
  <c r="Y50" i="6"/>
  <c r="AI48" i="6"/>
  <c r="AI226" i="6" s="1"/>
  <c r="AH48" i="6"/>
  <c r="AH226" i="6" s="1"/>
  <c r="AG48" i="6"/>
  <c r="AE48" i="6"/>
  <c r="AE226" i="6" s="1"/>
  <c r="AD48" i="6"/>
  <c r="AD226" i="6" s="1"/>
  <c r="AC48" i="6"/>
  <c r="AA48" i="6"/>
  <c r="AA226" i="6" s="1"/>
  <c r="Z48" i="6"/>
  <c r="Z226" i="6" s="1"/>
  <c r="Y48" i="6"/>
  <c r="AI47" i="6"/>
  <c r="AH47" i="6"/>
  <c r="AH224" i="6" s="1"/>
  <c r="AG47" i="6"/>
  <c r="AG223" i="6" s="1"/>
  <c r="AE47" i="6"/>
  <c r="AD47" i="6"/>
  <c r="AD224" i="6" s="1"/>
  <c r="AC47" i="6"/>
  <c r="AC223" i="6" s="1"/>
  <c r="AA47" i="6"/>
  <c r="Z47" i="6"/>
  <c r="Z224" i="6" s="1"/>
  <c r="Y47" i="6"/>
  <c r="Y223" i="6" s="1"/>
  <c r="AI46" i="6"/>
  <c r="AI222" i="6" s="1"/>
  <c r="AH46" i="6"/>
  <c r="AH222" i="6" s="1"/>
  <c r="AG46" i="6"/>
  <c r="AE46" i="6"/>
  <c r="AE222" i="6" s="1"/>
  <c r="AD46" i="6"/>
  <c r="AD222" i="6" s="1"/>
  <c r="AC46" i="6"/>
  <c r="AA46" i="6"/>
  <c r="AA222" i="6" s="1"/>
  <c r="Z46" i="6"/>
  <c r="Z222" i="6" s="1"/>
  <c r="Y46" i="6"/>
  <c r="AI45" i="6"/>
  <c r="AH45" i="6"/>
  <c r="AH220" i="6" s="1"/>
  <c r="AG45" i="6"/>
  <c r="AE45" i="6"/>
  <c r="AD45" i="6"/>
  <c r="AD220" i="6" s="1"/>
  <c r="AC45" i="6"/>
  <c r="AA45" i="6"/>
  <c r="Z45" i="6"/>
  <c r="Z220" i="6" s="1"/>
  <c r="Y45" i="6"/>
  <c r="Y220" i="6" s="1"/>
  <c r="AK220" i="6" s="1"/>
  <c r="AI44" i="6"/>
  <c r="AI218" i="6" s="1"/>
  <c r="AH44" i="6"/>
  <c r="AH218" i="6" s="1"/>
  <c r="AG44" i="6"/>
  <c r="AG218" i="6" s="1"/>
  <c r="AG228" i="6" s="1"/>
  <c r="AE44" i="6"/>
  <c r="AE218" i="6" s="1"/>
  <c r="AD44" i="6"/>
  <c r="AD218" i="6" s="1"/>
  <c r="AC44" i="6"/>
  <c r="AC218" i="6" s="1"/>
  <c r="AC228" i="6" s="1"/>
  <c r="AA44" i="6"/>
  <c r="AA218" i="6" s="1"/>
  <c r="Z44" i="6"/>
  <c r="Z218" i="6" s="1"/>
  <c r="Y44" i="6"/>
  <c r="Y218" i="6" s="1"/>
  <c r="AD43" i="6"/>
  <c r="AC43" i="6"/>
  <c r="AA43" i="6"/>
  <c r="AD41" i="6"/>
  <c r="AC41" i="6"/>
  <c r="AC213" i="6" s="1"/>
  <c r="AA41" i="6"/>
  <c r="Z41" i="6"/>
  <c r="Y41" i="6"/>
  <c r="AH40" i="6"/>
  <c r="AH212" i="6" s="1"/>
  <c r="AG40" i="6"/>
  <c r="AG211" i="6" s="1"/>
  <c r="AE40" i="6"/>
  <c r="AF40" i="6" s="1"/>
  <c r="AD40" i="6"/>
  <c r="AD212" i="6" s="1"/>
  <c r="AC40" i="6"/>
  <c r="AC211" i="6" s="1"/>
  <c r="AA40" i="6"/>
  <c r="AA211" i="6" s="1"/>
  <c r="Z40" i="6"/>
  <c r="Y40" i="6"/>
  <c r="Y211" i="6" s="1"/>
  <c r="AI39" i="6"/>
  <c r="AJ39" i="6" s="1"/>
  <c r="AH39" i="6"/>
  <c r="AH210" i="6" s="1"/>
  <c r="AG39" i="6"/>
  <c r="AG209" i="6" s="1"/>
  <c r="AD39" i="6"/>
  <c r="AD210" i="6" s="1"/>
  <c r="AF210" i="6" s="1"/>
  <c r="AC39" i="6"/>
  <c r="AC209" i="6" s="1"/>
  <c r="AA39" i="6"/>
  <c r="AA209" i="6" s="1"/>
  <c r="Z39" i="6"/>
  <c r="Z210" i="6" s="1"/>
  <c r="Y39" i="6"/>
  <c r="Y209" i="6" s="1"/>
  <c r="AI38" i="6"/>
  <c r="AJ38" i="6" s="1"/>
  <c r="AH38" i="6"/>
  <c r="AH208" i="6" s="1"/>
  <c r="AG38" i="6"/>
  <c r="AG208" i="6" s="1"/>
  <c r="AE38" i="6"/>
  <c r="AD38" i="6"/>
  <c r="AD208" i="6" s="1"/>
  <c r="AF208" i="6" s="1"/>
  <c r="AC38" i="6"/>
  <c r="AC208" i="6" s="1"/>
  <c r="AA38" i="6"/>
  <c r="AA207" i="6" s="1"/>
  <c r="Z38" i="6"/>
  <c r="Z208" i="6" s="1"/>
  <c r="Y38" i="6"/>
  <c r="Y208" i="6" s="1"/>
  <c r="AH37" i="6"/>
  <c r="AH206" i="6" s="1"/>
  <c r="AG37" i="6"/>
  <c r="AG205" i="6" s="1"/>
  <c r="AE37" i="6"/>
  <c r="AD37" i="6"/>
  <c r="AD206" i="6" s="1"/>
  <c r="AF206" i="6" s="1"/>
  <c r="AC37" i="6"/>
  <c r="AC205" i="6" s="1"/>
  <c r="AA37" i="6"/>
  <c r="Z37" i="6"/>
  <c r="Y37" i="6"/>
  <c r="Y205" i="6" s="1"/>
  <c r="AI36" i="6"/>
  <c r="AH36" i="6"/>
  <c r="AH204" i="6" s="1"/>
  <c r="AG36" i="6"/>
  <c r="AG203" i="6" s="1"/>
  <c r="AD36" i="6"/>
  <c r="AD204" i="6" s="1"/>
  <c r="AF204" i="6" s="1"/>
  <c r="AC36" i="6"/>
  <c r="AC203" i="6" s="1"/>
  <c r="AA36" i="6"/>
  <c r="Z36" i="6"/>
  <c r="Z204" i="6" s="1"/>
  <c r="Y36" i="6"/>
  <c r="Y203" i="6" s="1"/>
  <c r="AX35" i="6"/>
  <c r="AX202" i="6" s="1"/>
  <c r="AV35" i="6"/>
  <c r="AV202" i="6" s="1"/>
  <c r="AU35" i="6"/>
  <c r="AT35" i="6"/>
  <c r="AT202" i="6" s="1"/>
  <c r="AQ35" i="6"/>
  <c r="AQ202" i="6" s="1"/>
  <c r="AN35" i="6"/>
  <c r="AK35" i="6"/>
  <c r="AJ35" i="6"/>
  <c r="AH35" i="6"/>
  <c r="AF35" i="6"/>
  <c r="AC35" i="6"/>
  <c r="AB35" i="6"/>
  <c r="AR34" i="6"/>
  <c r="AK34" i="6"/>
  <c r="AG34" i="6"/>
  <c r="AC34" i="6"/>
  <c r="Y34" i="6"/>
  <c r="AI29" i="6"/>
  <c r="AI196" i="6" s="1"/>
  <c r="AH29" i="6"/>
  <c r="AH196" i="6" s="1"/>
  <c r="AG29" i="6"/>
  <c r="AG195" i="6" s="1"/>
  <c r="AE29" i="6"/>
  <c r="AD29" i="6"/>
  <c r="AD196" i="6" s="1"/>
  <c r="AC29" i="6"/>
  <c r="AC195" i="6" s="1"/>
  <c r="Z29" i="6"/>
  <c r="Y13" i="8" s="1"/>
  <c r="Y29" i="6"/>
  <c r="Y195" i="6" s="1"/>
  <c r="AJ28" i="6"/>
  <c r="AI27" i="6"/>
  <c r="AH27" i="6"/>
  <c r="AH194" i="6" s="1"/>
  <c r="AG27" i="6"/>
  <c r="AG194" i="6" s="1"/>
  <c r="AE27" i="6"/>
  <c r="AE193" i="6" s="1"/>
  <c r="AD27" i="6"/>
  <c r="AD194" i="6" s="1"/>
  <c r="AC27" i="6"/>
  <c r="AC194" i="6" s="1"/>
  <c r="AA27" i="6"/>
  <c r="Z27" i="6"/>
  <c r="Z194" i="6" s="1"/>
  <c r="Y27" i="6"/>
  <c r="Y194" i="6" s="1"/>
  <c r="AJ26" i="6"/>
  <c r="AI25" i="6"/>
  <c r="AH25" i="6"/>
  <c r="AH191" i="6" s="1"/>
  <c r="AG25" i="6"/>
  <c r="AG191" i="6" s="1"/>
  <c r="AE25" i="6"/>
  <c r="AN25" i="6" s="1"/>
  <c r="AD25" i="6"/>
  <c r="AD191" i="6" s="1"/>
  <c r="AC25" i="6"/>
  <c r="AC191" i="6" s="1"/>
  <c r="Z25" i="6"/>
  <c r="Z191" i="6" s="1"/>
  <c r="Y25" i="6"/>
  <c r="Y191" i="6" s="1"/>
  <c r="AJ23" i="6"/>
  <c r="AI23" i="6"/>
  <c r="AH23" i="6"/>
  <c r="AJ22" i="6" s="1"/>
  <c r="AE23" i="6"/>
  <c r="AF23" i="6" s="1"/>
  <c r="AD23" i="6"/>
  <c r="AA23" i="6"/>
  <c r="AA189" i="6" s="1"/>
  <c r="Z23" i="6"/>
  <c r="AM23" i="6" s="1"/>
  <c r="AI21" i="6"/>
  <c r="AI188" i="6" s="1"/>
  <c r="AH21" i="6"/>
  <c r="AH188" i="6" s="1"/>
  <c r="AG21" i="6"/>
  <c r="AG187" i="6" s="1"/>
  <c r="AE21" i="6"/>
  <c r="AE188" i="6" s="1"/>
  <c r="AD21" i="6"/>
  <c r="AD188" i="6" s="1"/>
  <c r="AC21" i="6"/>
  <c r="AC187" i="6" s="1"/>
  <c r="AA21" i="6"/>
  <c r="AA188" i="6" s="1"/>
  <c r="Z21" i="6"/>
  <c r="Z188" i="6" s="1"/>
  <c r="Y21" i="6"/>
  <c r="Y187" i="6" s="1"/>
  <c r="AI20" i="6"/>
  <c r="AI186" i="6" s="1"/>
  <c r="AH20" i="6"/>
  <c r="AH186" i="6" s="1"/>
  <c r="AG20" i="6"/>
  <c r="AG185" i="6" s="1"/>
  <c r="AE20" i="6"/>
  <c r="AE186" i="6" s="1"/>
  <c r="AD20" i="6"/>
  <c r="AD186" i="6" s="1"/>
  <c r="AC20" i="6"/>
  <c r="AC185" i="6" s="1"/>
  <c r="AA20" i="6"/>
  <c r="AA186" i="6" s="1"/>
  <c r="Z20" i="6"/>
  <c r="Z186" i="6" s="1"/>
  <c r="Y20" i="6"/>
  <c r="Y185" i="6" s="1"/>
  <c r="AH19" i="6"/>
  <c r="AG19" i="6"/>
  <c r="AD19" i="6"/>
  <c r="AC19" i="6"/>
  <c r="AA19" i="6"/>
  <c r="AI17" i="6"/>
  <c r="AH17" i="6"/>
  <c r="AG17" i="6"/>
  <c r="AE17" i="6"/>
  <c r="AD17" i="6"/>
  <c r="AF17" i="6" s="1"/>
  <c r="AC17" i="6"/>
  <c r="AA17" i="6"/>
  <c r="AN17" i="6" s="1"/>
  <c r="Z17" i="6"/>
  <c r="Y17" i="6"/>
  <c r="AG16" i="6"/>
  <c r="AG181" i="6" s="1"/>
  <c r="AC16" i="6"/>
  <c r="AC181" i="6" s="1"/>
  <c r="Y16" i="6"/>
  <c r="Y181" i="6" s="1"/>
  <c r="AI15" i="6"/>
  <c r="AI179" i="6" s="1"/>
  <c r="AH15" i="6"/>
  <c r="AH179" i="6" s="1"/>
  <c r="AG15" i="6"/>
  <c r="AG179" i="6" s="1"/>
  <c r="AE15" i="6"/>
  <c r="AE179" i="6" s="1"/>
  <c r="AD15" i="6"/>
  <c r="AD179" i="6" s="1"/>
  <c r="AC15" i="6"/>
  <c r="AC179" i="6" s="1"/>
  <c r="AA15" i="6"/>
  <c r="AA179" i="6" s="1"/>
  <c r="Z15" i="6"/>
  <c r="Z179" i="6" s="1"/>
  <c r="Y15" i="6"/>
  <c r="Y179" i="6" s="1"/>
  <c r="AI14" i="6"/>
  <c r="AI177" i="6" s="1"/>
  <c r="AH14" i="6"/>
  <c r="AH177" i="6" s="1"/>
  <c r="AG14" i="6"/>
  <c r="AG177" i="6" s="1"/>
  <c r="AE14" i="6"/>
  <c r="AD14" i="6"/>
  <c r="AD177" i="6" s="1"/>
  <c r="AC14" i="6"/>
  <c r="AC177" i="6" s="1"/>
  <c r="AA14" i="6"/>
  <c r="AA177" i="6" s="1"/>
  <c r="Z14" i="6"/>
  <c r="Z177" i="6" s="1"/>
  <c r="Y14" i="6"/>
  <c r="Y177" i="6" s="1"/>
  <c r="AB13" i="6"/>
  <c r="AI12" i="6"/>
  <c r="AI176" i="6" s="1"/>
  <c r="AH12" i="6"/>
  <c r="AH176" i="6" s="1"/>
  <c r="AG12" i="6"/>
  <c r="AG176" i="6" s="1"/>
  <c r="AE12" i="6"/>
  <c r="AE176" i="6" s="1"/>
  <c r="AD12" i="6"/>
  <c r="AD176" i="6" s="1"/>
  <c r="AC12" i="6"/>
  <c r="AC176" i="6" s="1"/>
  <c r="AA12" i="6"/>
  <c r="AA176" i="6" s="1"/>
  <c r="Z12" i="6"/>
  <c r="Z176" i="6" s="1"/>
  <c r="AM176" i="6" s="1"/>
  <c r="Y12" i="6"/>
  <c r="AI11" i="6"/>
  <c r="AH11" i="6"/>
  <c r="AH174" i="6" s="1"/>
  <c r="AG11" i="6"/>
  <c r="AE11" i="6"/>
  <c r="AD11" i="6"/>
  <c r="AD174" i="6" s="1"/>
  <c r="AC11" i="6"/>
  <c r="AA11" i="6"/>
  <c r="Z11" i="6"/>
  <c r="Z174" i="6" s="1"/>
  <c r="Y11" i="6"/>
  <c r="Y174" i="6" s="1"/>
  <c r="AK174" i="6" s="1"/>
  <c r="AG10" i="6"/>
  <c r="Z10" i="6"/>
  <c r="Y10" i="6"/>
  <c r="AH8" i="6"/>
  <c r="AH170" i="6" s="1"/>
  <c r="AG8" i="6"/>
  <c r="AG170" i="6" s="1"/>
  <c r="AC8" i="6"/>
  <c r="AC170" i="6" s="1"/>
  <c r="AC172" i="6" s="1"/>
  <c r="AA8" i="6"/>
  <c r="AA169" i="6" s="1"/>
  <c r="Z8" i="6"/>
  <c r="Z170" i="6" s="1"/>
  <c r="Y8" i="6"/>
  <c r="Y170" i="6" s="1"/>
  <c r="AH7" i="6"/>
  <c r="AH168" i="6" s="1"/>
  <c r="AG7" i="6"/>
  <c r="AG168" i="6" s="1"/>
  <c r="AE7" i="6"/>
  <c r="AE168" i="6" s="1"/>
  <c r="AD7" i="6"/>
  <c r="AD168" i="6" s="1"/>
  <c r="AC7" i="6"/>
  <c r="AC168" i="6" s="1"/>
  <c r="AA7" i="6"/>
  <c r="AA167" i="6" s="1"/>
  <c r="Z7" i="6"/>
  <c r="Z168" i="6" s="1"/>
  <c r="Y7" i="6"/>
  <c r="Y168" i="6" s="1"/>
  <c r="AJ6" i="6"/>
  <c r="AI6" i="6"/>
  <c r="AH6" i="6"/>
  <c r="AH166" i="6" s="1"/>
  <c r="AG6" i="6"/>
  <c r="AG166" i="6" s="1"/>
  <c r="AD6" i="6"/>
  <c r="AD166" i="6" s="1"/>
  <c r="AC6" i="6"/>
  <c r="AC166" i="6" s="1"/>
  <c r="AA6" i="6"/>
  <c r="AA165" i="6" s="1"/>
  <c r="Z6" i="6"/>
  <c r="Z166" i="6" s="1"/>
  <c r="Y6" i="6"/>
  <c r="Y166" i="6" s="1"/>
  <c r="AI5" i="6"/>
  <c r="AJ5" i="6" s="1"/>
  <c r="AH5" i="6"/>
  <c r="AH164" i="6" s="1"/>
  <c r="AG5" i="6"/>
  <c r="AG164" i="6" s="1"/>
  <c r="AE5" i="6"/>
  <c r="AD5" i="6"/>
  <c r="AD164" i="6" s="1"/>
  <c r="AC5" i="6"/>
  <c r="AA5" i="6"/>
  <c r="AA163" i="6" s="1"/>
  <c r="Z5" i="6"/>
  <c r="Z164" i="6" s="1"/>
  <c r="Y5" i="6"/>
  <c r="Y164" i="6" s="1"/>
  <c r="AO4" i="6"/>
  <c r="AO162" i="6" s="1"/>
  <c r="AJ17" i="6" l="1"/>
  <c r="AD16" i="6"/>
  <c r="AD181" i="6" s="1"/>
  <c r="AJ24" i="6"/>
  <c r="AM220" i="6"/>
  <c r="AQ84" i="6"/>
  <c r="AJ90" i="6"/>
  <c r="AO105" i="6"/>
  <c r="AJ40" i="6"/>
  <c r="AQ127" i="6"/>
  <c r="AF134" i="6"/>
  <c r="AK164" i="6"/>
  <c r="AB6" i="6"/>
  <c r="AK17" i="6"/>
  <c r="AM188" i="6"/>
  <c r="AB22" i="6"/>
  <c r="AB23" i="6"/>
  <c r="AK208" i="6"/>
  <c r="AH228" i="6"/>
  <c r="AF64" i="6"/>
  <c r="AB83" i="6"/>
  <c r="AN83" i="6"/>
  <c r="AQ85" i="6"/>
  <c r="AM90" i="6"/>
  <c r="AH91" i="6"/>
  <c r="AQ104" i="6"/>
  <c r="AO107" i="6"/>
  <c r="AN115" i="6"/>
  <c r="AD158" i="6"/>
  <c r="AN141" i="6"/>
  <c r="AQ142" i="6"/>
  <c r="AK148" i="6"/>
  <c r="AO192" i="6"/>
  <c r="AK214" i="6"/>
  <c r="AJ176" i="6"/>
  <c r="AM17" i="6"/>
  <c r="AH16" i="6"/>
  <c r="AH181" i="6" s="1"/>
  <c r="AF22" i="6"/>
  <c r="AF6" i="6"/>
  <c r="AJ86" i="6"/>
  <c r="AM131" i="6"/>
  <c r="AK141" i="6"/>
  <c r="AK146" i="6"/>
  <c r="AJ182" i="6"/>
  <c r="AO191" i="6"/>
  <c r="AQ99" i="6"/>
  <c r="AJ50" i="6"/>
  <c r="AC227" i="6"/>
  <c r="AF5" i="6"/>
  <c r="Y19" i="6"/>
  <c r="Y183" i="6" s="1"/>
  <c r="AE196" i="6"/>
  <c r="AF195" i="6" s="1"/>
  <c r="AF28" i="6"/>
  <c r="AN29" i="6"/>
  <c r="AJ36" i="6"/>
  <c r="Z212" i="6"/>
  <c r="AM40" i="6"/>
  <c r="AD228" i="6"/>
  <c r="AD227" i="6" s="1"/>
  <c r="AM75" i="6"/>
  <c r="AD77" i="6"/>
  <c r="AE75" i="6"/>
  <c r="Y91" i="6"/>
  <c r="Z91" i="6"/>
  <c r="Z19" i="6"/>
  <c r="AQ137" i="6"/>
  <c r="AN146" i="6"/>
  <c r="AB146" i="6"/>
  <c r="AO155" i="6"/>
  <c r="AI174" i="6"/>
  <c r="AJ174" i="6" s="1"/>
  <c r="AJ11" i="6"/>
  <c r="AB24" i="6"/>
  <c r="AB25" i="6"/>
  <c r="AB191" i="6" s="1"/>
  <c r="AK194" i="6"/>
  <c r="AJ27" i="6"/>
  <c r="AM36" i="6"/>
  <c r="AF37" i="6"/>
  <c r="AF38" i="6"/>
  <c r="AK44" i="6"/>
  <c r="AK46" i="6"/>
  <c r="AK48" i="6"/>
  <c r="Z231" i="6"/>
  <c r="AE231" i="6"/>
  <c r="AF52" i="6"/>
  <c r="AB62" i="6"/>
  <c r="Z248" i="6"/>
  <c r="AM248" i="6" s="1"/>
  <c r="AB64" i="6"/>
  <c r="AJ75" i="6"/>
  <c r="AI8" i="6"/>
  <c r="AJ119" i="6"/>
  <c r="AK120" i="6"/>
  <c r="Y122" i="6"/>
  <c r="AJ140" i="6"/>
  <c r="AH139" i="6"/>
  <c r="AJ139" i="6" s="1"/>
  <c r="AA174" i="6"/>
  <c r="AB11" i="6"/>
  <c r="Z206" i="6"/>
  <c r="AM37" i="6"/>
  <c r="AH227" i="6"/>
  <c r="AK50" i="6"/>
  <c r="AO104" i="6"/>
  <c r="AK131" i="6"/>
  <c r="AA139" i="6"/>
  <c r="AB139" i="6" s="1"/>
  <c r="AB138" i="6"/>
  <c r="AQ244" i="6"/>
  <c r="AQ243" i="6"/>
  <c r="AO244" i="6"/>
  <c r="AO243" i="6"/>
  <c r="AK168" i="6"/>
  <c r="AB8" i="6"/>
  <c r="AN176" i="6"/>
  <c r="AB15" i="6"/>
  <c r="AF15" i="6"/>
  <c r="AJ15" i="6"/>
  <c r="AM222" i="6"/>
  <c r="AM50" i="6"/>
  <c r="AI231" i="6"/>
  <c r="AJ52" i="6"/>
  <c r="AK248" i="6"/>
  <c r="AO88" i="6"/>
  <c r="AF93" i="6"/>
  <c r="AF92" i="6"/>
  <c r="AE19" i="6"/>
  <c r="AN93" i="6"/>
  <c r="AB232" i="6"/>
  <c r="AE36" i="6"/>
  <c r="AB37" i="6"/>
  <c r="AN38" i="6"/>
  <c r="AN222" i="6"/>
  <c r="AM224" i="6"/>
  <c r="AB50" i="6"/>
  <c r="AN72" i="6"/>
  <c r="AN73" i="6"/>
  <c r="AH110" i="6"/>
  <c r="AH10" i="6"/>
  <c r="AH31" i="6" s="1"/>
  <c r="AB93" i="6"/>
  <c r="AG158" i="6"/>
  <c r="AJ138" i="6"/>
  <c r="AO142" i="6"/>
  <c r="AO178" i="6"/>
  <c r="AD8" i="6"/>
  <c r="AD170" i="6" s="1"/>
  <c r="AC10" i="6"/>
  <c r="AE174" i="6"/>
  <c r="AF11" i="6"/>
  <c r="AB17" i="6"/>
  <c r="AC183" i="6"/>
  <c r="AI19" i="6"/>
  <c r="AB20" i="6"/>
  <c r="AF20" i="6"/>
  <c r="AJ20" i="6"/>
  <c r="AM194" i="6"/>
  <c r="AN27" i="6"/>
  <c r="AA203" i="6"/>
  <c r="AB36" i="6"/>
  <c r="AB40" i="6"/>
  <c r="AJ49" i="6"/>
  <c r="AA231" i="6"/>
  <c r="AB52" i="6"/>
  <c r="Y55" i="6"/>
  <c r="AN74" i="6"/>
  <c r="AA110" i="6"/>
  <c r="AA10" i="6"/>
  <c r="AA171" i="6" s="1"/>
  <c r="AQ78" i="6"/>
  <c r="AJ83" i="6"/>
  <c r="AG91" i="6"/>
  <c r="AK100" i="6"/>
  <c r="AQ108" i="6"/>
  <c r="AB49" i="6"/>
  <c r="AO132" i="6"/>
  <c r="AM138" i="6"/>
  <c r="AE139" i="6"/>
  <c r="AF138" i="6"/>
  <c r="AJ146" i="6"/>
  <c r="AO230" i="6"/>
  <c r="AQ230" i="6"/>
  <c r="AQ237" i="6"/>
  <c r="AN117" i="6"/>
  <c r="AK129" i="6"/>
  <c r="AF14" i="6"/>
  <c r="AG227" i="6"/>
  <c r="AM226" i="6"/>
  <c r="AJ58" i="6"/>
  <c r="AK77" i="6"/>
  <c r="AM83" i="6"/>
  <c r="AQ83" i="6" s="1"/>
  <c r="AF100" i="6"/>
  <c r="AC158" i="6"/>
  <c r="AQ124" i="6"/>
  <c r="AM129" i="6"/>
  <c r="AJ131" i="6"/>
  <c r="AN131" i="6"/>
  <c r="AC139" i="6"/>
  <c r="AG139" i="6"/>
  <c r="AM141" i="6"/>
  <c r="AQ140" i="6" s="1"/>
  <c r="AO182" i="6"/>
  <c r="AQ240" i="6"/>
  <c r="AQ246" i="6"/>
  <c r="AQ74" i="6"/>
  <c r="AO74" i="6"/>
  <c r="AK221" i="6"/>
  <c r="AQ72" i="6"/>
  <c r="AO72" i="6"/>
  <c r="AQ17" i="6"/>
  <c r="AO17" i="6"/>
  <c r="AM164" i="6"/>
  <c r="AB164" i="6"/>
  <c r="AK11" i="6"/>
  <c r="AN12" i="6"/>
  <c r="AK20" i="6"/>
  <c r="AB188" i="6"/>
  <c r="AN188" i="6"/>
  <c r="AB187" i="6"/>
  <c r="AN21" i="6"/>
  <c r="Z31" i="6"/>
  <c r="AB208" i="6"/>
  <c r="AM208" i="6"/>
  <c r="AQ73" i="6"/>
  <c r="AO73" i="6"/>
  <c r="AO79" i="6"/>
  <c r="AQ79" i="6"/>
  <c r="AO99" i="6"/>
  <c r="AO115" i="6"/>
  <c r="AJ168" i="6"/>
  <c r="AC198" i="6"/>
  <c r="AK8" i="6"/>
  <c r="AB10" i="6"/>
  <c r="AF19" i="6"/>
  <c r="AD190" i="6"/>
  <c r="AD189" i="6" s="1"/>
  <c r="AM20" i="6"/>
  <c r="Y23" i="6"/>
  <c r="AJ25" i="6"/>
  <c r="AJ191" i="6" s="1"/>
  <c r="AA194" i="6"/>
  <c r="AB26" i="6"/>
  <c r="AF196" i="6"/>
  <c r="AN196" i="6"/>
  <c r="AB39" i="6"/>
  <c r="AK39" i="6"/>
  <c r="AA220" i="6"/>
  <c r="AA228" i="6" s="1"/>
  <c r="AB45" i="6"/>
  <c r="AE241" i="6"/>
  <c r="AF58" i="6"/>
  <c r="AF59" i="6"/>
  <c r="AN59" i="6"/>
  <c r="AE243" i="6"/>
  <c r="AF61" i="6"/>
  <c r="AF60" i="6"/>
  <c r="AN61" i="6"/>
  <c r="AD245" i="6"/>
  <c r="AF62" i="6"/>
  <c r="AK65" i="6"/>
  <c r="AK110" i="6"/>
  <c r="AK111" i="6" s="1"/>
  <c r="AB90" i="6"/>
  <c r="AN90" i="6"/>
  <c r="AN91" i="6"/>
  <c r="AQ102" i="6"/>
  <c r="AO102" i="6"/>
  <c r="AQ101" i="6"/>
  <c r="AM116" i="6"/>
  <c r="AH120" i="6"/>
  <c r="AM120" i="6" s="1"/>
  <c r="AI116" i="6"/>
  <c r="AQ126" i="6"/>
  <c r="AF129" i="6"/>
  <c r="AE50" i="6"/>
  <c r="AF128" i="6"/>
  <c r="AN129" i="6"/>
  <c r="AE164" i="6"/>
  <c r="AE177" i="6"/>
  <c r="AG183" i="6"/>
  <c r="AM5" i="6"/>
  <c r="AB168" i="6"/>
  <c r="AM168" i="6"/>
  <c r="AJ187" i="6"/>
  <c r="AJ188" i="6"/>
  <c r="AE220" i="6"/>
  <c r="AF220" i="6" s="1"/>
  <c r="AF45" i="6"/>
  <c r="AN45" i="6"/>
  <c r="AA224" i="6"/>
  <c r="AB47" i="6"/>
  <c r="AM53" i="6"/>
  <c r="AA237" i="6"/>
  <c r="AB56" i="6"/>
  <c r="AI241" i="6"/>
  <c r="AJ59" i="6"/>
  <c r="AI243" i="6"/>
  <c r="AJ60" i="6"/>
  <c r="AJ61" i="6"/>
  <c r="AH245" i="6"/>
  <c r="AJ62" i="6"/>
  <c r="AQ89" i="6"/>
  <c r="AO89" i="6"/>
  <c r="AQ115" i="6"/>
  <c r="Z158" i="6"/>
  <c r="Z43" i="6"/>
  <c r="AB121" i="6"/>
  <c r="AO127" i="6"/>
  <c r="AN5" i="6"/>
  <c r="AK166" i="6"/>
  <c r="AK6" i="6"/>
  <c r="AF168" i="6"/>
  <c r="AN168" i="6"/>
  <c r="AN7" i="6"/>
  <c r="Y172" i="6"/>
  <c r="AK170" i="6"/>
  <c r="AG172" i="6"/>
  <c r="AM174" i="6"/>
  <c r="AM11" i="6"/>
  <c r="AB12" i="6"/>
  <c r="AF12" i="6"/>
  <c r="AJ12" i="6"/>
  <c r="AF13" i="6"/>
  <c r="AN14" i="6"/>
  <c r="AK15" i="6"/>
  <c r="AA16" i="6"/>
  <c r="AI16" i="6"/>
  <c r="AJ18" i="6"/>
  <c r="Z190" i="6"/>
  <c r="AM186" i="6"/>
  <c r="AH190" i="6"/>
  <c r="AH189" i="6" s="1"/>
  <c r="AB21" i="6"/>
  <c r="AF21" i="6"/>
  <c r="AJ21" i="6"/>
  <c r="AF25" i="6"/>
  <c r="AF191" i="6" s="1"/>
  <c r="Z196" i="6"/>
  <c r="AM29" i="6"/>
  <c r="AJ195" i="6"/>
  <c r="AJ196" i="6"/>
  <c r="AA31" i="6"/>
  <c r="AB5" i="6"/>
  <c r="AB166" i="6"/>
  <c r="AM166" i="6"/>
  <c r="AM6" i="6"/>
  <c r="AB7" i="6"/>
  <c r="AF7" i="6"/>
  <c r="AJ7" i="6"/>
  <c r="Z172" i="6"/>
  <c r="AM170" i="6"/>
  <c r="AB170" i="6"/>
  <c r="AD172" i="6"/>
  <c r="AH172" i="6"/>
  <c r="AM8" i="6"/>
  <c r="Y31" i="6"/>
  <c r="AG31" i="6"/>
  <c r="AK10" i="6"/>
  <c r="AN174" i="6"/>
  <c r="AN11" i="6"/>
  <c r="Y226" i="6"/>
  <c r="AK226" i="6" s="1"/>
  <c r="Y176" i="6"/>
  <c r="AK176" i="6" s="1"/>
  <c r="AK12" i="6"/>
  <c r="AJ13" i="6"/>
  <c r="AB14" i="6"/>
  <c r="AJ14" i="6"/>
  <c r="AM15" i="6"/>
  <c r="AK19" i="6"/>
  <c r="AN186" i="6"/>
  <c r="AB185" i="6"/>
  <c r="AB186" i="6"/>
  <c r="AE190" i="6"/>
  <c r="AF186" i="6"/>
  <c r="AF185" i="6"/>
  <c r="AI190" i="6"/>
  <c r="AJ185" i="6"/>
  <c r="AJ186" i="6"/>
  <c r="AN20" i="6"/>
  <c r="AK21" i="6"/>
  <c r="AF24" i="6"/>
  <c r="AK25" i="6"/>
  <c r="AF26" i="6"/>
  <c r="AB27" i="6"/>
  <c r="AF27" i="6"/>
  <c r="AB28" i="6"/>
  <c r="AB29" i="6"/>
  <c r="AF29" i="6"/>
  <c r="AJ29" i="6"/>
  <c r="AO35" i="6"/>
  <c r="AB204" i="6"/>
  <c r="AM204" i="6"/>
  <c r="AB38" i="6"/>
  <c r="AM39" i="6"/>
  <c r="AM212" i="6"/>
  <c r="AD214" i="6"/>
  <c r="AF212" i="6"/>
  <c r="AH214" i="6"/>
  <c r="AN40" i="6"/>
  <c r="AC67" i="6"/>
  <c r="AG43" i="6"/>
  <c r="AG67" i="6" s="1"/>
  <c r="AI224" i="6"/>
  <c r="AJ224" i="6" s="1"/>
  <c r="AJ47" i="6"/>
  <c r="AN50" i="6"/>
  <c r="AM51" i="6"/>
  <c r="AH234" i="6"/>
  <c r="AH236" i="6" s="1"/>
  <c r="AJ53" i="6"/>
  <c r="AJ234" i="6" s="1"/>
  <c r="AJ236" i="6" s="1"/>
  <c r="AI237" i="6"/>
  <c r="AJ56" i="6"/>
  <c r="AK57" i="6"/>
  <c r="AA241" i="6"/>
  <c r="AB58" i="6"/>
  <c r="AB59" i="6"/>
  <c r="Z243" i="6"/>
  <c r="AM61" i="6"/>
  <c r="AB61" i="6"/>
  <c r="AM63" i="6"/>
  <c r="Z110" i="6"/>
  <c r="AB77" i="6"/>
  <c r="AB110" i="6" s="1"/>
  <c r="AQ81" i="6"/>
  <c r="AQ80" i="6"/>
  <c r="AA91" i="6"/>
  <c r="AB91" i="6" s="1"/>
  <c r="AO98" i="6"/>
  <c r="AQ98" i="6"/>
  <c r="AO100" i="6"/>
  <c r="AN119" i="6"/>
  <c r="AF119" i="6"/>
  <c r="AO131" i="6"/>
  <c r="AQ131" i="6"/>
  <c r="AM7" i="6"/>
  <c r="AM14" i="6"/>
  <c r="AF188" i="6"/>
  <c r="AF187" i="6"/>
  <c r="AO24" i="6"/>
  <c r="Z228" i="6"/>
  <c r="AM218" i="6"/>
  <c r="AK5" i="6"/>
  <c r="AN6" i="6"/>
  <c r="AK7" i="6"/>
  <c r="AB9" i="6"/>
  <c r="AM12" i="6"/>
  <c r="AK14" i="6"/>
  <c r="AN15" i="6"/>
  <c r="AK16" i="6"/>
  <c r="AM21" i="6"/>
  <c r="AM25" i="6"/>
  <c r="AK27" i="6"/>
  <c r="AK29" i="6"/>
  <c r="AO28" i="6" s="1"/>
  <c r="AK37" i="6"/>
  <c r="AM38" i="6"/>
  <c r="AM210" i="6"/>
  <c r="AB210" i="6"/>
  <c r="AB41" i="6"/>
  <c r="AG41" i="6"/>
  <c r="AK41" i="6" s="1"/>
  <c r="Y228" i="6"/>
  <c r="AK218" i="6"/>
  <c r="AI220" i="6"/>
  <c r="AJ220" i="6" s="1"/>
  <c r="AJ45" i="6"/>
  <c r="AE224" i="6"/>
  <c r="AF224" i="6" s="1"/>
  <c r="AF47" i="6"/>
  <c r="AN47" i="6"/>
  <c r="AE237" i="6"/>
  <c r="AF56" i="6"/>
  <c r="AN56" i="6"/>
  <c r="AI77" i="6"/>
  <c r="AJ72" i="6"/>
  <c r="AB109" i="6"/>
  <c r="AO78" i="6"/>
  <c r="AO85" i="6"/>
  <c r="AQ87" i="6"/>
  <c r="AM86" i="6"/>
  <c r="AO114" i="6"/>
  <c r="AF118" i="6"/>
  <c r="AE39" i="6"/>
  <c r="AF39" i="6" s="1"/>
  <c r="AN118" i="6"/>
  <c r="AA216" i="6"/>
  <c r="AA213" i="6"/>
  <c r="AM44" i="6"/>
  <c r="AM221" i="6"/>
  <c r="AM46" i="6"/>
  <c r="AM48" i="6"/>
  <c r="AN51" i="6"/>
  <c r="AK52" i="6"/>
  <c r="AA236" i="6"/>
  <c r="AN234" i="6"/>
  <c r="AF235" i="6"/>
  <c r="AN53" i="6"/>
  <c r="Z55" i="6"/>
  <c r="AD55" i="6"/>
  <c r="AD67" i="6" s="1"/>
  <c r="AH55" i="6"/>
  <c r="AM57" i="6"/>
  <c r="AN63" i="6"/>
  <c r="AM65" i="6"/>
  <c r="AE77" i="6"/>
  <c r="AO81" i="6"/>
  <c r="AO82" i="6"/>
  <c r="AK83" i="6"/>
  <c r="AO83" i="6" s="1"/>
  <c r="AO87" i="6"/>
  <c r="AJ92" i="6"/>
  <c r="AM93" i="6"/>
  <c r="AO94" i="6"/>
  <c r="AO95" i="6"/>
  <c r="AQ105" i="6"/>
  <c r="AQ125" i="6"/>
  <c r="AO125" i="6"/>
  <c r="AB128" i="6"/>
  <c r="AB129" i="6"/>
  <c r="AN134" i="6"/>
  <c r="AO133" i="6"/>
  <c r="AB134" i="6"/>
  <c r="AF139" i="6"/>
  <c r="AI208" i="6"/>
  <c r="AB218" i="6"/>
  <c r="AN218" i="6"/>
  <c r="AF218" i="6"/>
  <c r="AJ218" i="6"/>
  <c r="AN44" i="6"/>
  <c r="AK45" i="6"/>
  <c r="AO222" i="6"/>
  <c r="AN46" i="6"/>
  <c r="AK47" i="6"/>
  <c r="AB226" i="6"/>
  <c r="AN226" i="6"/>
  <c r="AF226" i="6"/>
  <c r="AJ226" i="6"/>
  <c r="AN48" i="6"/>
  <c r="AB51" i="6"/>
  <c r="AF51" i="6"/>
  <c r="AJ51" i="6"/>
  <c r="AM52" i="6"/>
  <c r="AB53" i="6"/>
  <c r="AB234" i="6" s="1"/>
  <c r="AF53" i="6"/>
  <c r="AF234" i="6" s="1"/>
  <c r="AF236" i="6" s="1"/>
  <c r="AA55" i="6"/>
  <c r="AE55" i="6"/>
  <c r="AE235" i="6" s="1"/>
  <c r="AI55" i="6"/>
  <c r="AK56" i="6"/>
  <c r="AN57" i="6"/>
  <c r="AK59" i="6"/>
  <c r="AK61" i="6"/>
  <c r="AB63" i="6"/>
  <c r="AF63" i="6"/>
  <c r="AJ63" i="6"/>
  <c r="AB248" i="6"/>
  <c r="AB247" i="6"/>
  <c r="AN248" i="6"/>
  <c r="AF247" i="6"/>
  <c r="AF248" i="6"/>
  <c r="AJ248" i="6"/>
  <c r="AJ247" i="6"/>
  <c r="AN65" i="6"/>
  <c r="AQ86" i="6"/>
  <c r="AI91" i="6"/>
  <c r="AJ91" i="6" s="1"/>
  <c r="AD91" i="6"/>
  <c r="AQ93" i="6"/>
  <c r="AO92" i="6"/>
  <c r="AO97" i="6"/>
  <c r="Y110" i="6"/>
  <c r="AT114" i="6"/>
  <c r="AE120" i="6"/>
  <c r="AQ123" i="6"/>
  <c r="AO123" i="6"/>
  <c r="AK139" i="6"/>
  <c r="AO141" i="6"/>
  <c r="AG189" i="6"/>
  <c r="AA205" i="6"/>
  <c r="AN23" i="6"/>
  <c r="AF194" i="6"/>
  <c r="AF193" i="6"/>
  <c r="AJ194" i="6"/>
  <c r="AJ193" i="6"/>
  <c r="AM27" i="6"/>
  <c r="AK36" i="6"/>
  <c r="AK38" i="6"/>
  <c r="AK40" i="6"/>
  <c r="AB44" i="6"/>
  <c r="AF44" i="6"/>
  <c r="AJ44" i="6"/>
  <c r="AM45" i="6"/>
  <c r="AB46" i="6"/>
  <c r="AF46" i="6"/>
  <c r="AJ46" i="6"/>
  <c r="AM47" i="6"/>
  <c r="AB48" i="6"/>
  <c r="AF48" i="6"/>
  <c r="AJ48" i="6"/>
  <c r="AK51" i="6"/>
  <c r="AN52" i="6"/>
  <c r="Y236" i="6"/>
  <c r="Y235" i="6" s="1"/>
  <c r="AK234" i="6"/>
  <c r="AK236" i="6" s="1"/>
  <c r="AC235" i="6"/>
  <c r="AG235" i="6"/>
  <c r="AK53" i="6"/>
  <c r="AM56" i="6"/>
  <c r="AB57" i="6"/>
  <c r="AF57" i="6"/>
  <c r="AJ57" i="6"/>
  <c r="AM59" i="6"/>
  <c r="AK63" i="6"/>
  <c r="AJ64" i="6"/>
  <c r="AB65" i="6"/>
  <c r="AF65" i="6"/>
  <c r="AJ65" i="6"/>
  <c r="AO84" i="6"/>
  <c r="AK86" i="6"/>
  <c r="AO86" i="6" s="1"/>
  <c r="AF90" i="6"/>
  <c r="AK90" i="6"/>
  <c r="AE91" i="6"/>
  <c r="AF91" i="6" s="1"/>
  <c r="AB92" i="6"/>
  <c r="AO93" i="6"/>
  <c r="AQ97" i="6"/>
  <c r="AQ100" i="6"/>
  <c r="AO108" i="6"/>
  <c r="AF115" i="6"/>
  <c r="AJ129" i="6"/>
  <c r="AJ128" i="6"/>
  <c r="AJ134" i="6"/>
  <c r="AO140" i="6"/>
  <c r="AQ141" i="6"/>
  <c r="AD183" i="6"/>
  <c r="AF183" i="6"/>
  <c r="AM184" i="6"/>
  <c r="AK190" i="6"/>
  <c r="AA158" i="6"/>
  <c r="AB157" i="6" s="1"/>
  <c r="AQ132" i="6"/>
  <c r="AQ135" i="6"/>
  <c r="AB140" i="6"/>
  <c r="AB141" i="6"/>
  <c r="AF141" i="6"/>
  <c r="AJ141" i="6"/>
  <c r="AQ143" i="6"/>
  <c r="AO143" i="6"/>
  <c r="AI164" i="6"/>
  <c r="AJ164" i="6" s="1"/>
  <c r="AE166" i="6"/>
  <c r="AH183" i="6"/>
  <c r="AJ183" i="6"/>
  <c r="AB184" i="6"/>
  <c r="AN184" i="6"/>
  <c r="AA183" i="6"/>
  <c r="AB122" i="6"/>
  <c r="AO126" i="6"/>
  <c r="AO135" i="6"/>
  <c r="AO136" i="6"/>
  <c r="AN138" i="6"/>
  <c r="AQ155" i="6"/>
  <c r="AI166" i="6"/>
  <c r="AJ166" i="6" s="1"/>
  <c r="AO180" i="6"/>
  <c r="AK184" i="6"/>
  <c r="AK122" i="6"/>
  <c r="AO137" i="6"/>
  <c r="AQ147" i="6"/>
  <c r="AQ149" i="6"/>
  <c r="AQ152" i="6"/>
  <c r="AQ145" i="6"/>
  <c r="AQ148" i="6"/>
  <c r="AQ150" i="6"/>
  <c r="AQ153" i="6"/>
  <c r="AQ156" i="6"/>
  <c r="AA198" i="6"/>
  <c r="Z183" i="6"/>
  <c r="AF184" i="6"/>
  <c r="AN191" i="6"/>
  <c r="AI210" i="6"/>
  <c r="AO177" i="6"/>
  <c r="AQ178" i="6"/>
  <c r="AC250" i="6"/>
  <c r="AC249" i="6" s="1"/>
  <c r="AC215" i="6"/>
  <c r="AO145" i="6"/>
  <c r="AO147" i="6"/>
  <c r="AO148" i="6"/>
  <c r="AO150" i="6"/>
  <c r="AO153" i="6"/>
  <c r="AO156" i="6"/>
  <c r="AB171" i="6"/>
  <c r="AK177" i="6"/>
  <c r="AM182" i="6"/>
  <c r="AQ182" i="6" s="1"/>
  <c r="AE183" i="6"/>
  <c r="AJ184" i="6"/>
  <c r="AK211" i="6"/>
  <c r="AG216" i="6"/>
  <c r="AI204" i="6"/>
  <c r="AI212" i="6"/>
  <c r="Z236" i="6"/>
  <c r="Y216" i="6"/>
  <c r="Y213" i="6"/>
  <c r="AB236" i="6"/>
  <c r="AM231" i="6"/>
  <c r="AG241" i="6"/>
  <c r="AK242" i="6"/>
  <c r="AO241" i="6" s="1"/>
  <c r="AQ241" i="6"/>
  <c r="AQ242" i="6"/>
  <c r="AO242" i="6"/>
  <c r="AN241" i="6"/>
  <c r="AO232" i="6"/>
  <c r="AN231" i="6"/>
  <c r="AK237" i="6"/>
  <c r="AQ232" i="6"/>
  <c r="AO245" i="6"/>
  <c r="AQ239" i="6"/>
  <c r="AM243" i="6"/>
  <c r="AO238" i="6"/>
  <c r="AO246" i="6"/>
  <c r="AM225" i="6" l="1"/>
  <c r="AM55" i="6"/>
  <c r="AQ222" i="6"/>
  <c r="AM139" i="6"/>
  <c r="AK229" i="6"/>
  <c r="AK203" i="6"/>
  <c r="AB190" i="6"/>
  <c r="AF36" i="6"/>
  <c r="AN36" i="6"/>
  <c r="AN175" i="6"/>
  <c r="AQ176" i="6"/>
  <c r="AM219" i="6"/>
  <c r="AQ26" i="6"/>
  <c r="AM193" i="6"/>
  <c r="AB30" i="6"/>
  <c r="AQ28" i="6"/>
  <c r="AQ29" i="6"/>
  <c r="AI183" i="6"/>
  <c r="AN19" i="6"/>
  <c r="AO18" i="6" s="1"/>
  <c r="AJ19" i="6"/>
  <c r="AM206" i="6"/>
  <c r="AB206" i="6"/>
  <c r="AF75" i="6"/>
  <c r="AE8" i="6"/>
  <c r="AN75" i="6"/>
  <c r="AK207" i="6"/>
  <c r="AI170" i="6"/>
  <c r="AJ170" i="6" s="1"/>
  <c r="AJ8" i="6"/>
  <c r="AM247" i="6"/>
  <c r="AK185" i="6"/>
  <c r="AN39" i="6"/>
  <c r="AO29" i="6"/>
  <c r="AK173" i="6"/>
  <c r="AQ117" i="6"/>
  <c r="AO117" i="6"/>
  <c r="AC171" i="6"/>
  <c r="AC31" i="6"/>
  <c r="AC197" i="6" s="1"/>
  <c r="AO146" i="6"/>
  <c r="AQ146" i="6"/>
  <c r="AM19" i="6"/>
  <c r="AM183" i="6" s="1"/>
  <c r="Z16" i="6"/>
  <c r="AB19" i="6"/>
  <c r="AB18" i="6"/>
  <c r="AD110" i="6"/>
  <c r="AD10" i="6"/>
  <c r="AM77" i="6"/>
  <c r="Z214" i="6"/>
  <c r="AB212" i="6"/>
  <c r="AH235" i="6"/>
  <c r="AJ190" i="6"/>
  <c r="Y158" i="6"/>
  <c r="Y43" i="6"/>
  <c r="Y67" i="6" s="1"/>
  <c r="AE16" i="6"/>
  <c r="AF18" i="6"/>
  <c r="AK213" i="6"/>
  <c r="Y250" i="6"/>
  <c r="AK216" i="6"/>
  <c r="AJ210" i="6"/>
  <c r="AN210" i="6"/>
  <c r="AK158" i="6"/>
  <c r="AK159" i="6" s="1"/>
  <c r="AJ55" i="6"/>
  <c r="AJ54" i="6"/>
  <c r="AN225" i="6"/>
  <c r="AQ226" i="6"/>
  <c r="AO226" i="6"/>
  <c r="AE110" i="6"/>
  <c r="AF77" i="6"/>
  <c r="AF110" i="6" s="1"/>
  <c r="AF76" i="6"/>
  <c r="AE10" i="6"/>
  <c r="AQ47" i="6"/>
  <c r="AO47" i="6"/>
  <c r="AM209" i="6"/>
  <c r="AO6" i="6"/>
  <c r="AQ6" i="6"/>
  <c r="AO20" i="6"/>
  <c r="AQ20" i="6"/>
  <c r="AK179" i="6"/>
  <c r="AG198" i="6"/>
  <c r="AG197" i="6" s="1"/>
  <c r="AG171" i="6"/>
  <c r="Z67" i="6"/>
  <c r="AO26" i="6"/>
  <c r="AN164" i="6"/>
  <c r="AF164" i="6"/>
  <c r="AB43" i="6"/>
  <c r="AN204" i="6"/>
  <c r="AJ204" i="6"/>
  <c r="AK183" i="6"/>
  <c r="AM237" i="6"/>
  <c r="AE122" i="6"/>
  <c r="AE41" i="6"/>
  <c r="AF41" i="6" s="1"/>
  <c r="AI228" i="6"/>
  <c r="AN179" i="6"/>
  <c r="AQ15" i="6"/>
  <c r="AO15" i="6"/>
  <c r="AI172" i="6"/>
  <c r="AM228" i="6"/>
  <c r="Z227" i="6"/>
  <c r="AM177" i="6"/>
  <c r="AQ49" i="6"/>
  <c r="AQ50" i="6"/>
  <c r="AO49" i="6"/>
  <c r="AO50" i="6"/>
  <c r="AM214" i="6"/>
  <c r="Z216" i="6"/>
  <c r="Z213" i="6"/>
  <c r="AQ36" i="6"/>
  <c r="AO36" i="6"/>
  <c r="AK191" i="6"/>
  <c r="AF190" i="6"/>
  <c r="AN190" i="6"/>
  <c r="AQ185" i="6"/>
  <c r="AO186" i="6"/>
  <c r="AN185" i="6"/>
  <c r="AQ186" i="6"/>
  <c r="AK225" i="6"/>
  <c r="AH198" i="6"/>
  <c r="AH197" i="6" s="1"/>
  <c r="AH171" i="6"/>
  <c r="Z198" i="6"/>
  <c r="Z197" i="6" s="1"/>
  <c r="AM172" i="6"/>
  <c r="Z171" i="6"/>
  <c r="AB172" i="6"/>
  <c r="AM190" i="6"/>
  <c r="AM189" i="6" s="1"/>
  <c r="AM185" i="6"/>
  <c r="AN177" i="6"/>
  <c r="AQ14" i="6"/>
  <c r="AO13" i="6"/>
  <c r="AO14" i="6"/>
  <c r="AQ13" i="6"/>
  <c r="AK169" i="6"/>
  <c r="AB224" i="6"/>
  <c r="AN224" i="6"/>
  <c r="AB42" i="6"/>
  <c r="AO25" i="6"/>
  <c r="AQ128" i="6"/>
  <c r="AQ129" i="6"/>
  <c r="AO128" i="6"/>
  <c r="AO129" i="6"/>
  <c r="AO90" i="6"/>
  <c r="AQ88" i="6"/>
  <c r="AQ90" i="6"/>
  <c r="Y189" i="6"/>
  <c r="AK23" i="6"/>
  <c r="AK31" i="6" s="1"/>
  <c r="AB31" i="6"/>
  <c r="AN187" i="6"/>
  <c r="AQ187" i="6"/>
  <c r="AO188" i="6"/>
  <c r="AQ188" i="6"/>
  <c r="AQ12" i="6"/>
  <c r="AO12" i="6"/>
  <c r="AM163" i="6"/>
  <c r="AK43" i="6"/>
  <c r="AQ27" i="6"/>
  <c r="AO184" i="6"/>
  <c r="AQ184" i="6"/>
  <c r="AQ183" i="6"/>
  <c r="AO183" i="6"/>
  <c r="AK55" i="6"/>
  <c r="AK235" i="6" s="1"/>
  <c r="AN237" i="6"/>
  <c r="AQ56" i="6"/>
  <c r="AO56" i="6"/>
  <c r="AM191" i="6"/>
  <c r="AK181" i="6"/>
  <c r="AM217" i="6"/>
  <c r="AQ19" i="6"/>
  <c r="AM245" i="6"/>
  <c r="AM229" i="6"/>
  <c r="AH216" i="6"/>
  <c r="AK175" i="6"/>
  <c r="AM169" i="6"/>
  <c r="AM196" i="6"/>
  <c r="AB196" i="6"/>
  <c r="AB195" i="6"/>
  <c r="AQ168" i="6"/>
  <c r="AN167" i="6"/>
  <c r="AO168" i="6"/>
  <c r="AQ5" i="6"/>
  <c r="AO5" i="6"/>
  <c r="AH122" i="6"/>
  <c r="AH41" i="6"/>
  <c r="AM41" i="6" s="1"/>
  <c r="AK209" i="6"/>
  <c r="AQ195" i="6"/>
  <c r="AQ196" i="6"/>
  <c r="AO195" i="6"/>
  <c r="AO196" i="6"/>
  <c r="AN195" i="6"/>
  <c r="AO138" i="6"/>
  <c r="AQ138" i="6"/>
  <c r="AK91" i="6"/>
  <c r="AO91" i="6" s="1"/>
  <c r="AM241" i="6"/>
  <c r="AK233" i="6"/>
  <c r="AO39" i="6"/>
  <c r="AQ39" i="6"/>
  <c r="AO23" i="6"/>
  <c r="AQ22" i="6"/>
  <c r="AQ23" i="6"/>
  <c r="AO22" i="6"/>
  <c r="AO65" i="6"/>
  <c r="AQ64" i="6"/>
  <c r="AO64" i="6"/>
  <c r="AQ65" i="6"/>
  <c r="AF55" i="6"/>
  <c r="AF54" i="6"/>
  <c r="AO48" i="6"/>
  <c r="AQ48" i="6"/>
  <c r="AB227" i="6"/>
  <c r="AA227" i="6"/>
  <c r="AB228" i="6"/>
  <c r="AQ134" i="6"/>
  <c r="AO134" i="6"/>
  <c r="AM239" i="6"/>
  <c r="AQ53" i="6"/>
  <c r="AO53" i="6"/>
  <c r="AN229" i="6"/>
  <c r="AQ51" i="6"/>
  <c r="AO51" i="6"/>
  <c r="AQ118" i="6"/>
  <c r="AO118" i="6"/>
  <c r="AK217" i="6"/>
  <c r="AM175" i="6"/>
  <c r="AK245" i="6"/>
  <c r="AK231" i="6"/>
  <c r="AG213" i="6"/>
  <c r="AB158" i="6"/>
  <c r="AN139" i="6"/>
  <c r="AM223" i="6"/>
  <c r="AQ248" i="6"/>
  <c r="AN247" i="6"/>
  <c r="AO248" i="6"/>
  <c r="AQ247" i="6"/>
  <c r="AO247" i="6"/>
  <c r="AN239" i="6"/>
  <c r="AO57" i="6"/>
  <c r="AQ57" i="6"/>
  <c r="AB55" i="6"/>
  <c r="AN55" i="6"/>
  <c r="AB54" i="6"/>
  <c r="AK223" i="6"/>
  <c r="AK219" i="6"/>
  <c r="AE228" i="6"/>
  <c r="AM91" i="6"/>
  <c r="AQ91" i="6" s="1"/>
  <c r="AQ92" i="6"/>
  <c r="AJ235" i="6"/>
  <c r="AO234" i="6"/>
  <c r="AN233" i="6"/>
  <c r="AB214" i="6"/>
  <c r="Y227" i="6"/>
  <c r="AK228" i="6"/>
  <c r="AK205" i="6"/>
  <c r="AK193" i="6"/>
  <c r="AM187" i="6"/>
  <c r="AK167" i="6"/>
  <c r="AK163" i="6"/>
  <c r="AQ38" i="6"/>
  <c r="AO176" i="6"/>
  <c r="AQ119" i="6"/>
  <c r="AO119" i="6"/>
  <c r="AD216" i="6"/>
  <c r="AD213" i="6"/>
  <c r="AF214" i="6"/>
  <c r="AM203" i="6"/>
  <c r="AF189" i="6"/>
  <c r="AE189" i="6"/>
  <c r="AO11" i="6"/>
  <c r="AQ11" i="6"/>
  <c r="AD198" i="6"/>
  <c r="AD171" i="6"/>
  <c r="AM165" i="6"/>
  <c r="AM205" i="6"/>
  <c r="AO27" i="6"/>
  <c r="AB189" i="6"/>
  <c r="Z189" i="6"/>
  <c r="AI181" i="6"/>
  <c r="AJ16" i="6"/>
  <c r="Y198" i="6"/>
  <c r="Y197" i="6" s="1"/>
  <c r="AK172" i="6"/>
  <c r="Y171" i="6"/>
  <c r="AQ45" i="6"/>
  <c r="AO45" i="6"/>
  <c r="AA67" i="6"/>
  <c r="AQ24" i="6"/>
  <c r="AQ75" i="6"/>
  <c r="AO75" i="6"/>
  <c r="AN243" i="6"/>
  <c r="AO60" i="6"/>
  <c r="AQ61" i="6"/>
  <c r="AO61" i="6"/>
  <c r="AQ60" i="6"/>
  <c r="AQ59" i="6"/>
  <c r="AQ58" i="6"/>
  <c r="AO59" i="6"/>
  <c r="AO58" i="6"/>
  <c r="AO38" i="6"/>
  <c r="AK247" i="6"/>
  <c r="AN212" i="6"/>
  <c r="AJ212" i="6"/>
  <c r="AB197" i="6"/>
  <c r="AA197" i="6"/>
  <c r="AF166" i="6"/>
  <c r="AN166" i="6"/>
  <c r="AK243" i="6"/>
  <c r="AO218" i="6"/>
  <c r="AN217" i="6"/>
  <c r="AQ218" i="6"/>
  <c r="AN245" i="6"/>
  <c r="AQ63" i="6"/>
  <c r="AO62" i="6"/>
  <c r="AO63" i="6"/>
  <c r="AQ62" i="6"/>
  <c r="AK241" i="6"/>
  <c r="Z235" i="6"/>
  <c r="AM236" i="6"/>
  <c r="AG250" i="6"/>
  <c r="AG249" i="6" s="1"/>
  <c r="AG215" i="6"/>
  <c r="AK189" i="6"/>
  <c r="AQ52" i="6"/>
  <c r="AO52" i="6"/>
  <c r="AO46" i="6"/>
  <c r="AQ46" i="6"/>
  <c r="AN221" i="6"/>
  <c r="AO44" i="6"/>
  <c r="AQ44" i="6"/>
  <c r="AN208" i="6"/>
  <c r="AJ208" i="6"/>
  <c r="AN77" i="6"/>
  <c r="AI235" i="6"/>
  <c r="AA235" i="6"/>
  <c r="AN236" i="6"/>
  <c r="AB235" i="6"/>
  <c r="AA250" i="6"/>
  <c r="AB216" i="6"/>
  <c r="AB215" i="6"/>
  <c r="AA215" i="6"/>
  <c r="AI110" i="6"/>
  <c r="AJ109" i="6" s="1"/>
  <c r="AJ77" i="6"/>
  <c r="AJ110" i="6" s="1"/>
  <c r="AJ76" i="6"/>
  <c r="AI10" i="6"/>
  <c r="AD235" i="6"/>
  <c r="AK195" i="6"/>
  <c r="AK239" i="6"/>
  <c r="AQ40" i="6"/>
  <c r="AO40" i="6"/>
  <c r="AM211" i="6"/>
  <c r="AK187" i="6"/>
  <c r="AJ189" i="6"/>
  <c r="AI189" i="6"/>
  <c r="AM179" i="6"/>
  <c r="AQ174" i="6"/>
  <c r="AO174" i="6"/>
  <c r="AN173" i="6"/>
  <c r="AQ25" i="6"/>
  <c r="AQ191" i="6" s="1"/>
  <c r="AA181" i="6"/>
  <c r="AB16" i="6"/>
  <c r="AN16" i="6"/>
  <c r="AM173" i="6"/>
  <c r="AQ7" i="6"/>
  <c r="AO7" i="6"/>
  <c r="AK165" i="6"/>
  <c r="AM234" i="6"/>
  <c r="AM167" i="6"/>
  <c r="AF49" i="6"/>
  <c r="AF50" i="6"/>
  <c r="AJ116" i="6"/>
  <c r="AI37" i="6"/>
  <c r="AI120" i="6"/>
  <c r="AN116" i="6"/>
  <c r="AN220" i="6"/>
  <c r="AB220" i="6"/>
  <c r="AB193" i="6"/>
  <c r="AN194" i="6"/>
  <c r="AB194" i="6"/>
  <c r="AM207" i="6"/>
  <c r="AQ21" i="6"/>
  <c r="AO21" i="6"/>
  <c r="AH213" i="6" l="1"/>
  <c r="Y215" i="6"/>
  <c r="AB250" i="6"/>
  <c r="AO19" i="6"/>
  <c r="AQ18" i="6"/>
  <c r="AN183" i="6"/>
  <c r="AF109" i="6"/>
  <c r="AF16" i="6"/>
  <c r="AE181" i="6"/>
  <c r="AB198" i="6"/>
  <c r="Y249" i="6"/>
  <c r="AM110" i="6"/>
  <c r="AM111" i="6" s="1"/>
  <c r="AB66" i="6"/>
  <c r="AD31" i="6"/>
  <c r="AD197" i="6" s="1"/>
  <c r="AM10" i="6"/>
  <c r="AM31" i="6" s="1"/>
  <c r="Z181" i="6"/>
  <c r="AM16" i="6"/>
  <c r="AQ16" i="6" s="1"/>
  <c r="AE170" i="6"/>
  <c r="AF8" i="6"/>
  <c r="AN8" i="6"/>
  <c r="AQ194" i="6"/>
  <c r="AQ193" i="6"/>
  <c r="AO194" i="6"/>
  <c r="AO193" i="6"/>
  <c r="AN193" i="6"/>
  <c r="AM233" i="6"/>
  <c r="AO166" i="6"/>
  <c r="AQ166" i="6"/>
  <c r="AN165" i="6"/>
  <c r="AE250" i="6"/>
  <c r="AF227" i="6"/>
  <c r="AE227" i="6"/>
  <c r="AF228" i="6"/>
  <c r="AQ220" i="6"/>
  <c r="AO220" i="6"/>
  <c r="AN219" i="6"/>
  <c r="AI31" i="6"/>
  <c r="AJ30" i="6" s="1"/>
  <c r="AJ10" i="6"/>
  <c r="AJ31" i="6" s="1"/>
  <c r="AJ9" i="6"/>
  <c r="AA249" i="6"/>
  <c r="AD250" i="6"/>
  <c r="AD249" i="6" s="1"/>
  <c r="AD215" i="6"/>
  <c r="AF216" i="6"/>
  <c r="AF250" i="6" s="1"/>
  <c r="AF215" i="6"/>
  <c r="AO139" i="6"/>
  <c r="AQ139" i="6"/>
  <c r="AH250" i="6"/>
  <c r="AQ224" i="6"/>
  <c r="AO224" i="6"/>
  <c r="AN223" i="6"/>
  <c r="AO190" i="6"/>
  <c r="AN163" i="6"/>
  <c r="AO164" i="6"/>
  <c r="AQ164" i="6"/>
  <c r="AK250" i="6"/>
  <c r="AK215" i="6"/>
  <c r="AQ190" i="6"/>
  <c r="AJ227" i="6"/>
  <c r="AI227" i="6"/>
  <c r="AJ228" i="6"/>
  <c r="AF9" i="6"/>
  <c r="AF10" i="6"/>
  <c r="AF31" i="6" s="1"/>
  <c r="AE31" i="6"/>
  <c r="AF30" i="6" s="1"/>
  <c r="AN10" i="6"/>
  <c r="AK227" i="6"/>
  <c r="AO55" i="6"/>
  <c r="AQ54" i="6"/>
  <c r="AO54" i="6"/>
  <c r="AQ55" i="6"/>
  <c r="AN228" i="6"/>
  <c r="AO189" i="6"/>
  <c r="AN189" i="6"/>
  <c r="AQ189" i="6"/>
  <c r="Z250" i="6"/>
  <c r="Z249" i="6" s="1"/>
  <c r="AM216" i="6"/>
  <c r="Z215" i="6"/>
  <c r="AM227" i="6"/>
  <c r="AQ204" i="6"/>
  <c r="AN203" i="6"/>
  <c r="AO204" i="6"/>
  <c r="AO116" i="6"/>
  <c r="AQ116" i="6"/>
  <c r="AN181" i="6"/>
  <c r="AO16" i="6"/>
  <c r="AN110" i="6"/>
  <c r="AQ77" i="6"/>
  <c r="AQ110" i="6" s="1"/>
  <c r="AO76" i="6"/>
  <c r="AO77" i="6"/>
  <c r="AO110" i="6" s="1"/>
  <c r="AQ76" i="6"/>
  <c r="AM235" i="6"/>
  <c r="AQ234" i="6"/>
  <c r="AH158" i="6"/>
  <c r="AH43" i="6"/>
  <c r="AH215" i="6" s="1"/>
  <c r="AM122" i="6"/>
  <c r="AE158" i="6"/>
  <c r="AF157" i="6" s="1"/>
  <c r="AF122" i="6"/>
  <c r="AF158" i="6" s="1"/>
  <c r="AF121" i="6"/>
  <c r="AE43" i="6"/>
  <c r="AO210" i="6"/>
  <c r="AQ210" i="6"/>
  <c r="AN209" i="6"/>
  <c r="AI122" i="6"/>
  <c r="AI41" i="6"/>
  <c r="AJ41" i="6" s="1"/>
  <c r="AQ236" i="6"/>
  <c r="AN235" i="6"/>
  <c r="AO236" i="6"/>
  <c r="AQ235" i="6"/>
  <c r="AO235" i="6"/>
  <c r="AQ212" i="6"/>
  <c r="AN211" i="6"/>
  <c r="AO212" i="6"/>
  <c r="AK198" i="6"/>
  <c r="AK197" i="6" s="1"/>
  <c r="AK171" i="6"/>
  <c r="AI206" i="6"/>
  <c r="AJ37" i="6"/>
  <c r="AN37" i="6"/>
  <c r="AQ208" i="6"/>
  <c r="AO208" i="6"/>
  <c r="AN207" i="6"/>
  <c r="AM195" i="6"/>
  <c r="AK67" i="6"/>
  <c r="AM198" i="6"/>
  <c r="AM197" i="6" s="1"/>
  <c r="AM171" i="6"/>
  <c r="AM213" i="6"/>
  <c r="AI198" i="6"/>
  <c r="AJ171" i="6"/>
  <c r="AI171" i="6"/>
  <c r="AJ172" i="6"/>
  <c r="AJ198" i="6" s="1"/>
  <c r="AN120" i="6"/>
  <c r="AB67" i="6"/>
  <c r="AO8" i="6" l="1"/>
  <c r="AQ8" i="6"/>
  <c r="AM181" i="6"/>
  <c r="AE172" i="6"/>
  <c r="AN170" i="6"/>
  <c r="AF170" i="6"/>
  <c r="AJ206" i="6"/>
  <c r="AN206" i="6"/>
  <c r="AI214" i="6"/>
  <c r="AO228" i="6"/>
  <c r="AO227" i="6"/>
  <c r="AN227" i="6"/>
  <c r="AQ228" i="6"/>
  <c r="AQ227" i="6"/>
  <c r="AQ9" i="6"/>
  <c r="AN31" i="6"/>
  <c r="AQ10" i="6"/>
  <c r="AQ31" i="6" s="1"/>
  <c r="AO9" i="6"/>
  <c r="AO10" i="6"/>
  <c r="AO31" i="6" s="1"/>
  <c r="AI158" i="6"/>
  <c r="AJ157" i="6" s="1"/>
  <c r="AJ122" i="6"/>
  <c r="AJ158" i="6" s="1"/>
  <c r="AJ121" i="6"/>
  <c r="AI43" i="6"/>
  <c r="AQ120" i="6"/>
  <c r="AO120" i="6"/>
  <c r="AJ197" i="6"/>
  <c r="AI197" i="6"/>
  <c r="AN41" i="6"/>
  <c r="AQ37" i="6"/>
  <c r="AO37" i="6"/>
  <c r="AN122" i="6"/>
  <c r="AO109" i="6"/>
  <c r="AN111" i="6"/>
  <c r="AQ109" i="6"/>
  <c r="AM250" i="6"/>
  <c r="AB249" i="6"/>
  <c r="AF249" i="6"/>
  <c r="AH67" i="6"/>
  <c r="AH249" i="6" s="1"/>
  <c r="AM43" i="6"/>
  <c r="AM215" i="6" s="1"/>
  <c r="AE67" i="6"/>
  <c r="AF66" i="6" s="1"/>
  <c r="AF42" i="6"/>
  <c r="AF43" i="6"/>
  <c r="AF67" i="6" s="1"/>
  <c r="AN43" i="6"/>
  <c r="AM158" i="6"/>
  <c r="AM159" i="6" s="1"/>
  <c r="AK249" i="6"/>
  <c r="AN169" i="6" l="1"/>
  <c r="AO170" i="6"/>
  <c r="AQ170" i="6"/>
  <c r="AE198" i="6"/>
  <c r="AF171" i="6"/>
  <c r="AF172" i="6"/>
  <c r="AF198" i="6" s="1"/>
  <c r="AN172" i="6"/>
  <c r="AE171" i="6"/>
  <c r="AN67" i="6"/>
  <c r="AQ42" i="6"/>
  <c r="AO43" i="6"/>
  <c r="AQ43" i="6"/>
  <c r="AQ67" i="6" s="1"/>
  <c r="AO42" i="6"/>
  <c r="AE249" i="6"/>
  <c r="AI67" i="6"/>
  <c r="AJ66" i="6" s="1"/>
  <c r="AJ42" i="6"/>
  <c r="AJ43" i="6"/>
  <c r="AJ67" i="6" s="1"/>
  <c r="AM67" i="6"/>
  <c r="AM249" i="6" s="1"/>
  <c r="AN158" i="6"/>
  <c r="AQ122" i="6"/>
  <c r="AQ158" i="6" s="1"/>
  <c r="AQ159" i="6" s="1"/>
  <c r="AO121" i="6"/>
  <c r="AO122" i="6"/>
  <c r="AO158" i="6" s="1"/>
  <c r="AO159" i="6" s="1"/>
  <c r="AQ121" i="6"/>
  <c r="AQ41" i="6"/>
  <c r="AO41" i="6"/>
  <c r="AJ214" i="6"/>
  <c r="AI216" i="6"/>
  <c r="AI213" i="6"/>
  <c r="AN214" i="6"/>
  <c r="AO30" i="6"/>
  <c r="AQ30" i="6"/>
  <c r="AQ206" i="6"/>
  <c r="AN205" i="6"/>
  <c r="AO206" i="6"/>
  <c r="AN198" i="6" l="1"/>
  <c r="AQ171" i="6"/>
  <c r="AO171" i="6"/>
  <c r="AO172" i="6"/>
  <c r="AO198" i="6" s="1"/>
  <c r="AQ172" i="6"/>
  <c r="AQ198" i="6" s="1"/>
  <c r="AN171" i="6"/>
  <c r="AF197" i="6"/>
  <c r="AE197" i="6"/>
  <c r="AQ214" i="6"/>
  <c r="AN213" i="6"/>
  <c r="AO214" i="6"/>
  <c r="AQ66" i="6"/>
  <c r="AO66" i="6"/>
  <c r="AO67" i="6"/>
  <c r="AQ157" i="6"/>
  <c r="AO157" i="6"/>
  <c r="AN159" i="6"/>
  <c r="AI250" i="6"/>
  <c r="AJ216" i="6"/>
  <c r="AJ250" i="6" s="1"/>
  <c r="AJ215" i="6"/>
  <c r="AI215" i="6"/>
  <c r="AN216" i="6"/>
  <c r="AO197" i="6" l="1"/>
  <c r="AQ197" i="6"/>
  <c r="AN197" i="6"/>
  <c r="AN250" i="6"/>
  <c r="AQ216" i="6"/>
  <c r="AQ250" i="6" s="1"/>
  <c r="AQ215" i="6"/>
  <c r="AN215" i="6"/>
  <c r="AO215" i="6"/>
  <c r="AO216" i="6"/>
  <c r="AO250" i="6" s="1"/>
  <c r="AI249" i="6"/>
  <c r="AJ249" i="6"/>
  <c r="AN249" i="6" l="1"/>
  <c r="AQ249" i="6"/>
  <c r="AO249" i="6"/>
  <c r="AB22" i="8" l="1"/>
  <c r="AQ7" i="8"/>
  <c r="S47" i="8" l="1"/>
  <c r="Z38" i="8"/>
  <c r="AE38" i="8"/>
  <c r="Y38" i="8"/>
  <c r="T38" i="8"/>
  <c r="S38" i="8"/>
  <c r="P247" i="6" l="1"/>
  <c r="U246" i="6"/>
  <c r="AU246" i="6" s="1"/>
  <c r="T246" i="6"/>
  <c r="AT246" i="6" s="1"/>
  <c r="R246" i="6"/>
  <c r="AR246" i="6" s="1"/>
  <c r="Q246" i="6"/>
  <c r="Q245" i="6"/>
  <c r="U244" i="6"/>
  <c r="AU244" i="6" s="1"/>
  <c r="T244" i="6"/>
  <c r="AT244" i="6" s="1"/>
  <c r="R244" i="6"/>
  <c r="AR244" i="6" s="1"/>
  <c r="Q244" i="6"/>
  <c r="Q243" i="6"/>
  <c r="P243" i="6"/>
  <c r="U242" i="6"/>
  <c r="AU242" i="6" s="1"/>
  <c r="T242" i="6"/>
  <c r="AT242" i="6" s="1"/>
  <c r="Q242" i="6"/>
  <c r="Q241" i="6"/>
  <c r="U240" i="6"/>
  <c r="AU240" i="6" s="1"/>
  <c r="T240" i="6"/>
  <c r="AT240" i="6" s="1"/>
  <c r="R240" i="6"/>
  <c r="AR240" i="6" s="1"/>
  <c r="Q240" i="6"/>
  <c r="U238" i="6"/>
  <c r="AU238" i="6" s="1"/>
  <c r="T238" i="6"/>
  <c r="AT238" i="6" s="1"/>
  <c r="R238" i="6"/>
  <c r="AR238" i="6" s="1"/>
  <c r="Q238" i="6"/>
  <c r="U232" i="6"/>
  <c r="AU232" i="6" s="1"/>
  <c r="T232" i="6"/>
  <c r="AT232" i="6" s="1"/>
  <c r="R232" i="6"/>
  <c r="AR232" i="6" s="1"/>
  <c r="Q232" i="6"/>
  <c r="P231" i="6"/>
  <c r="U230" i="6"/>
  <c r="AU230" i="6" s="1"/>
  <c r="T230" i="6"/>
  <c r="AT230" i="6" s="1"/>
  <c r="R230" i="6"/>
  <c r="AR230" i="6" s="1"/>
  <c r="Q230" i="6"/>
  <c r="R226" i="6"/>
  <c r="AR226" i="6" s="1"/>
  <c r="R224" i="6"/>
  <c r="AR224" i="6" s="1"/>
  <c r="R222" i="6"/>
  <c r="AR222" i="6" s="1"/>
  <c r="N214" i="6"/>
  <c r="R212" i="6"/>
  <c r="AR212" i="6" s="1"/>
  <c r="P212" i="6"/>
  <c r="P214" i="6" s="1"/>
  <c r="U210" i="6"/>
  <c r="AU210" i="6" s="1"/>
  <c r="R210" i="6"/>
  <c r="AR210" i="6" s="1"/>
  <c r="U208" i="6"/>
  <c r="AU208" i="6" s="1"/>
  <c r="U206" i="6"/>
  <c r="AU206" i="6" s="1"/>
  <c r="R206" i="6"/>
  <c r="AR206" i="6" s="1"/>
  <c r="R204" i="6"/>
  <c r="AR204" i="6" s="1"/>
  <c r="V202" i="6"/>
  <c r="U202" i="6"/>
  <c r="T202" i="6"/>
  <c r="R202" i="6"/>
  <c r="P202" i="6"/>
  <c r="O202" i="6"/>
  <c r="N202" i="6"/>
  <c r="R201" i="6"/>
  <c r="N201" i="6"/>
  <c r="R196" i="6"/>
  <c r="AR196" i="6" s="1"/>
  <c r="P195" i="6"/>
  <c r="U192" i="6"/>
  <c r="AU192" i="6" s="1"/>
  <c r="T192" i="6"/>
  <c r="AT192" i="6" s="1"/>
  <c r="R192" i="6"/>
  <c r="AR192" i="6" s="1"/>
  <c r="Q192" i="6"/>
  <c r="Q191" i="6"/>
  <c r="P191" i="6"/>
  <c r="U190" i="6"/>
  <c r="T190" i="6"/>
  <c r="Q190" i="6"/>
  <c r="N190" i="6"/>
  <c r="Q189" i="6"/>
  <c r="R188" i="6"/>
  <c r="AR188" i="6" s="1"/>
  <c r="R186" i="6"/>
  <c r="AR186" i="6" s="1"/>
  <c r="P184" i="6"/>
  <c r="Q184" i="6" s="1"/>
  <c r="O184" i="6"/>
  <c r="N184" i="6"/>
  <c r="P183" i="6"/>
  <c r="U182" i="6"/>
  <c r="AU182" i="6" s="1"/>
  <c r="T182" i="6"/>
  <c r="AT182" i="6" s="1"/>
  <c r="R182" i="6"/>
  <c r="AR182" i="6" s="1"/>
  <c r="Q182" i="6"/>
  <c r="U180" i="6"/>
  <c r="AU180" i="6" s="1"/>
  <c r="T180" i="6"/>
  <c r="AT180" i="6" s="1"/>
  <c r="R180" i="6"/>
  <c r="AR180" i="6" s="1"/>
  <c r="Q180" i="6"/>
  <c r="X178" i="6"/>
  <c r="U178" i="6"/>
  <c r="AU178" i="6" s="1"/>
  <c r="T178" i="6"/>
  <c r="Q178" i="6"/>
  <c r="Q177" i="6"/>
  <c r="R174" i="6"/>
  <c r="AR174" i="6" s="1"/>
  <c r="P172" i="6"/>
  <c r="U170" i="6"/>
  <c r="AU170" i="6" s="1"/>
  <c r="V162" i="6"/>
  <c r="U162" i="6"/>
  <c r="R162" i="6"/>
  <c r="P162" i="6"/>
  <c r="O162" i="6"/>
  <c r="N162" i="6"/>
  <c r="R161" i="6"/>
  <c r="N161" i="6"/>
  <c r="U156" i="6"/>
  <c r="AU156" i="6" s="1"/>
  <c r="T156" i="6"/>
  <c r="AT156" i="6" s="1"/>
  <c r="R156" i="6"/>
  <c r="AR156" i="6" s="1"/>
  <c r="Q156" i="6"/>
  <c r="Q155" i="6"/>
  <c r="U154" i="6"/>
  <c r="AU154" i="6" s="1"/>
  <c r="T154" i="6"/>
  <c r="AT154" i="6" s="1"/>
  <c r="U153" i="6"/>
  <c r="AU153" i="6" s="1"/>
  <c r="T153" i="6"/>
  <c r="AT153" i="6" s="1"/>
  <c r="R153" i="6"/>
  <c r="AR153" i="6" s="1"/>
  <c r="Q153" i="6"/>
  <c r="Q152" i="6"/>
  <c r="U150" i="6"/>
  <c r="AU150" i="6" s="1"/>
  <c r="T150" i="6"/>
  <c r="AT150" i="6" s="1"/>
  <c r="R150" i="6"/>
  <c r="AR150" i="6" s="1"/>
  <c r="Q150" i="6"/>
  <c r="Q149" i="6"/>
  <c r="U148" i="6"/>
  <c r="AU148" i="6" s="1"/>
  <c r="T148" i="6"/>
  <c r="AT148" i="6" s="1"/>
  <c r="Q148" i="6"/>
  <c r="Q147" i="6"/>
  <c r="P146" i="6"/>
  <c r="Q146" i="6" s="1"/>
  <c r="O146" i="6"/>
  <c r="N146" i="6"/>
  <c r="U145" i="6"/>
  <c r="AU145" i="6" s="1"/>
  <c r="T145" i="6"/>
  <c r="AT145" i="6" s="1"/>
  <c r="AX145" i="6" s="1"/>
  <c r="R145" i="6"/>
  <c r="AR145" i="6" s="1"/>
  <c r="Q145" i="6"/>
  <c r="U143" i="6"/>
  <c r="AU143" i="6" s="1"/>
  <c r="T143" i="6"/>
  <c r="AT143" i="6" s="1"/>
  <c r="R143" i="6"/>
  <c r="AR143" i="6" s="1"/>
  <c r="Q143" i="6"/>
  <c r="U142" i="6"/>
  <c r="AU142" i="6" s="1"/>
  <c r="R142" i="6"/>
  <c r="AR142" i="6" s="1"/>
  <c r="Q142" i="6"/>
  <c r="P141" i="6"/>
  <c r="Q141" i="6" s="1"/>
  <c r="O141" i="6"/>
  <c r="N141" i="6"/>
  <c r="P138" i="6"/>
  <c r="Q138" i="6" s="1"/>
  <c r="O138" i="6"/>
  <c r="N138" i="6"/>
  <c r="V137" i="6"/>
  <c r="U137" i="6"/>
  <c r="AU137" i="6" s="1"/>
  <c r="T137" i="6"/>
  <c r="AT137" i="6" s="1"/>
  <c r="R137" i="6"/>
  <c r="AR137" i="6" s="1"/>
  <c r="Q137" i="6"/>
  <c r="U136" i="6"/>
  <c r="AU136" i="6" s="1"/>
  <c r="T136" i="6"/>
  <c r="AT136" i="6" s="1"/>
  <c r="R136" i="6"/>
  <c r="AR136" i="6" s="1"/>
  <c r="R135" i="6"/>
  <c r="AR135" i="6" s="1"/>
  <c r="Q135" i="6"/>
  <c r="P134" i="6"/>
  <c r="Q134" i="6" s="1"/>
  <c r="O134" i="6"/>
  <c r="N134" i="6"/>
  <c r="T133" i="6"/>
  <c r="AT133" i="6" s="1"/>
  <c r="R133" i="6"/>
  <c r="AR133" i="6" s="1"/>
  <c r="Q133" i="6"/>
  <c r="R132" i="6"/>
  <c r="AR132" i="6" s="1"/>
  <c r="Q132" i="6"/>
  <c r="P131" i="6"/>
  <c r="Q131" i="6" s="1"/>
  <c r="O131" i="6"/>
  <c r="N131" i="6"/>
  <c r="T130" i="6"/>
  <c r="R130" i="6"/>
  <c r="Q130" i="6"/>
  <c r="O129" i="6"/>
  <c r="Q129" i="6" s="1"/>
  <c r="N129" i="6"/>
  <c r="N50" i="6" s="1"/>
  <c r="U127" i="6"/>
  <c r="AU127" i="6" s="1"/>
  <c r="R127" i="6"/>
  <c r="AR127" i="6" s="1"/>
  <c r="Q127" i="6"/>
  <c r="U126" i="6"/>
  <c r="AU126" i="6" s="1"/>
  <c r="R126" i="6"/>
  <c r="AR126" i="6" s="1"/>
  <c r="Q126" i="6"/>
  <c r="U125" i="6"/>
  <c r="AU125" i="6" s="1"/>
  <c r="T125" i="6"/>
  <c r="AT125" i="6" s="1"/>
  <c r="R125" i="6"/>
  <c r="AR125" i="6" s="1"/>
  <c r="Q125" i="6"/>
  <c r="U124" i="6"/>
  <c r="AU124" i="6" s="1"/>
  <c r="R124" i="6"/>
  <c r="AR124" i="6" s="1"/>
  <c r="Q124" i="6"/>
  <c r="U123" i="6"/>
  <c r="AU123" i="6" s="1"/>
  <c r="R123" i="6"/>
  <c r="AR123" i="6" s="1"/>
  <c r="Q123" i="6"/>
  <c r="P120" i="6"/>
  <c r="O120" i="6"/>
  <c r="N120" i="6"/>
  <c r="U119" i="6"/>
  <c r="T119" i="6"/>
  <c r="AT119" i="6" s="1"/>
  <c r="R119" i="6"/>
  <c r="AR119" i="6" s="1"/>
  <c r="Q119" i="6"/>
  <c r="U118" i="6"/>
  <c r="AU118" i="6" s="1"/>
  <c r="T118" i="6"/>
  <c r="AT118" i="6" s="1"/>
  <c r="R118" i="6"/>
  <c r="AR118" i="6" s="1"/>
  <c r="Q118" i="6"/>
  <c r="U117" i="6"/>
  <c r="AU117" i="6" s="1"/>
  <c r="T117" i="6"/>
  <c r="AT117" i="6" s="1"/>
  <c r="R117" i="6"/>
  <c r="AR117" i="6" s="1"/>
  <c r="Q117" i="6"/>
  <c r="U116" i="6"/>
  <c r="T116" i="6"/>
  <c r="AT116" i="6" s="1"/>
  <c r="R116" i="6"/>
  <c r="AR116" i="6" s="1"/>
  <c r="Q116" i="6"/>
  <c r="U115" i="6"/>
  <c r="AU115" i="6" s="1"/>
  <c r="T115" i="6"/>
  <c r="AT115" i="6" s="1"/>
  <c r="R115" i="6"/>
  <c r="AR115" i="6" s="1"/>
  <c r="Q115" i="6"/>
  <c r="T114" i="6"/>
  <c r="R114" i="6"/>
  <c r="P114" i="6"/>
  <c r="O114" i="6"/>
  <c r="O35" i="6" s="1"/>
  <c r="N114" i="6"/>
  <c r="N35" i="6" s="1"/>
  <c r="R113" i="6"/>
  <c r="N113" i="6"/>
  <c r="U108" i="6"/>
  <c r="AU108" i="6" s="1"/>
  <c r="T108" i="6"/>
  <c r="AT108" i="6" s="1"/>
  <c r="R108" i="6"/>
  <c r="AR108" i="6" s="1"/>
  <c r="Q108" i="6"/>
  <c r="X107" i="6"/>
  <c r="Q107" i="6"/>
  <c r="U106" i="6"/>
  <c r="AU106" i="6" s="1"/>
  <c r="T106" i="6"/>
  <c r="AT106" i="6" s="1"/>
  <c r="U105" i="6"/>
  <c r="AU105" i="6" s="1"/>
  <c r="T105" i="6"/>
  <c r="AT105" i="6" s="1"/>
  <c r="R105" i="6"/>
  <c r="AR105" i="6" s="1"/>
  <c r="Q105" i="6"/>
  <c r="Q104" i="6"/>
  <c r="U102" i="6"/>
  <c r="AU102" i="6" s="1"/>
  <c r="T102" i="6"/>
  <c r="AT102" i="6" s="1"/>
  <c r="R102" i="6"/>
  <c r="AR102" i="6" s="1"/>
  <c r="Q102" i="6"/>
  <c r="Q101" i="6"/>
  <c r="U100" i="6"/>
  <c r="AU100" i="6" s="1"/>
  <c r="T100" i="6"/>
  <c r="AT100" i="6" s="1"/>
  <c r="Q100" i="6"/>
  <c r="N100" i="6"/>
  <c r="Q99" i="6"/>
  <c r="Q98" i="6"/>
  <c r="N98" i="6"/>
  <c r="U97" i="6"/>
  <c r="AU97" i="6" s="1"/>
  <c r="T97" i="6"/>
  <c r="AT97" i="6" s="1"/>
  <c r="R97" i="6"/>
  <c r="AR97" i="6" s="1"/>
  <c r="Q97" i="6"/>
  <c r="U95" i="6"/>
  <c r="AU95" i="6" s="1"/>
  <c r="T95" i="6"/>
  <c r="AT95" i="6" s="1"/>
  <c r="R95" i="6"/>
  <c r="AR95" i="6" s="1"/>
  <c r="Q95" i="6"/>
  <c r="U94" i="6"/>
  <c r="AU94" i="6" s="1"/>
  <c r="T94" i="6"/>
  <c r="AT94" i="6" s="1"/>
  <c r="R94" i="6"/>
  <c r="AR94" i="6" s="1"/>
  <c r="Q94" i="6"/>
  <c r="P93" i="6"/>
  <c r="Q93" i="6" s="1"/>
  <c r="O93" i="6"/>
  <c r="Q92" i="6" s="1"/>
  <c r="N93" i="6"/>
  <c r="P90" i="6"/>
  <c r="P91" i="6" s="1"/>
  <c r="O90" i="6"/>
  <c r="Q90" i="6" s="1"/>
  <c r="N90" i="6"/>
  <c r="U89" i="6"/>
  <c r="AU89" i="6" s="1"/>
  <c r="T89" i="6"/>
  <c r="AT89" i="6" s="1"/>
  <c r="R89" i="6"/>
  <c r="AR89" i="6" s="1"/>
  <c r="Q89" i="6"/>
  <c r="U88" i="6"/>
  <c r="AU88" i="6" s="1"/>
  <c r="AV88" i="6" s="1"/>
  <c r="T88" i="6"/>
  <c r="AT88" i="6" s="1"/>
  <c r="R87" i="6"/>
  <c r="AR87" i="6" s="1"/>
  <c r="Q87" i="6"/>
  <c r="P86" i="6"/>
  <c r="Q86" i="6" s="1"/>
  <c r="O86" i="6"/>
  <c r="N86" i="6"/>
  <c r="T85" i="6"/>
  <c r="AT85" i="6" s="1"/>
  <c r="R85" i="6"/>
  <c r="AR85" i="6" s="1"/>
  <c r="Q85" i="6"/>
  <c r="R84" i="6"/>
  <c r="AR84" i="6" s="1"/>
  <c r="Q84" i="6"/>
  <c r="R83" i="6"/>
  <c r="P83" i="6"/>
  <c r="O83" i="6"/>
  <c r="N83" i="6"/>
  <c r="U82" i="6"/>
  <c r="T82" i="6"/>
  <c r="AT82" i="6" s="1"/>
  <c r="R82" i="6"/>
  <c r="AR82" i="6" s="1"/>
  <c r="Q82" i="6"/>
  <c r="U81" i="6"/>
  <c r="AU81" i="6" s="1"/>
  <c r="T81" i="6"/>
  <c r="AT81" i="6" s="1"/>
  <c r="R81" i="6"/>
  <c r="AR81" i="6" s="1"/>
  <c r="Q81" i="6"/>
  <c r="V80" i="6"/>
  <c r="Q80" i="6"/>
  <c r="U79" i="6"/>
  <c r="AU79" i="6" s="1"/>
  <c r="R79" i="6"/>
  <c r="AR79" i="6" s="1"/>
  <c r="Q79" i="6"/>
  <c r="U78" i="6"/>
  <c r="AU78" i="6" s="1"/>
  <c r="R78" i="6"/>
  <c r="AR78" i="6" s="1"/>
  <c r="AV78" i="6" s="1"/>
  <c r="Q78" i="6"/>
  <c r="P77" i="6"/>
  <c r="P110" i="6" s="1"/>
  <c r="O77" i="6"/>
  <c r="O10" i="6" s="1"/>
  <c r="N77" i="6"/>
  <c r="U75" i="6"/>
  <c r="AU75" i="6" s="1"/>
  <c r="T75" i="6"/>
  <c r="AT75" i="6" s="1"/>
  <c r="R75" i="6"/>
  <c r="AR75" i="6" s="1"/>
  <c r="Q75" i="6"/>
  <c r="U74" i="6"/>
  <c r="AU74" i="6" s="1"/>
  <c r="T74" i="6"/>
  <c r="AT74" i="6" s="1"/>
  <c r="R74" i="6"/>
  <c r="AR74" i="6" s="1"/>
  <c r="U73" i="6"/>
  <c r="AU73" i="6" s="1"/>
  <c r="T73" i="6"/>
  <c r="AT73" i="6" s="1"/>
  <c r="R73" i="6"/>
  <c r="AR73" i="6" s="1"/>
  <c r="U72" i="6"/>
  <c r="AU72" i="6" s="1"/>
  <c r="T72" i="6"/>
  <c r="AT72" i="6" s="1"/>
  <c r="R72" i="6"/>
  <c r="AR72" i="6" s="1"/>
  <c r="Q72" i="6"/>
  <c r="V71" i="6"/>
  <c r="U71" i="6"/>
  <c r="U114" i="6" s="1"/>
  <c r="R71" i="6"/>
  <c r="O71" i="6"/>
  <c r="N71" i="6"/>
  <c r="R70" i="6"/>
  <c r="N70" i="6"/>
  <c r="O65" i="6"/>
  <c r="O248" i="6" s="1"/>
  <c r="Q248" i="6" s="1"/>
  <c r="N65" i="6"/>
  <c r="Q64" i="6"/>
  <c r="P63" i="6"/>
  <c r="P245" i="6" s="1"/>
  <c r="O63" i="6"/>
  <c r="N63" i="6"/>
  <c r="N245" i="6" s="1"/>
  <c r="U61" i="6"/>
  <c r="AU61" i="6" s="1"/>
  <c r="O61" i="6"/>
  <c r="N61" i="6"/>
  <c r="P59" i="6"/>
  <c r="P241" i="6" s="1"/>
  <c r="O59" i="6"/>
  <c r="O241" i="6" s="1"/>
  <c r="N59" i="6"/>
  <c r="N241" i="6" s="1"/>
  <c r="P57" i="6"/>
  <c r="O57" i="6"/>
  <c r="O239" i="6" s="1"/>
  <c r="N57" i="6"/>
  <c r="N239" i="6" s="1"/>
  <c r="P56" i="6"/>
  <c r="O56" i="6"/>
  <c r="N56" i="6"/>
  <c r="P53" i="6"/>
  <c r="P234" i="6" s="1"/>
  <c r="P236" i="6" s="1"/>
  <c r="O53" i="6"/>
  <c r="O234" i="6" s="1"/>
  <c r="N53" i="6"/>
  <c r="N234" i="6" s="1"/>
  <c r="N236" i="6" s="1"/>
  <c r="O52" i="6"/>
  <c r="N52" i="6"/>
  <c r="N231" i="6" s="1"/>
  <c r="P51" i="6"/>
  <c r="P55" i="6" s="1"/>
  <c r="O51" i="6"/>
  <c r="O229" i="6" s="1"/>
  <c r="N51" i="6"/>
  <c r="N229" i="6" s="1"/>
  <c r="P50" i="6"/>
  <c r="O50" i="6"/>
  <c r="Q49" i="6"/>
  <c r="Q48" i="6"/>
  <c r="P48" i="6"/>
  <c r="O48" i="6"/>
  <c r="O226" i="6" s="1"/>
  <c r="N48" i="6"/>
  <c r="P47" i="6"/>
  <c r="O47" i="6"/>
  <c r="O224" i="6" s="1"/>
  <c r="N47" i="6"/>
  <c r="P46" i="6"/>
  <c r="O46" i="6"/>
  <c r="N46" i="6"/>
  <c r="P45" i="6"/>
  <c r="P220" i="6" s="1"/>
  <c r="O45" i="6"/>
  <c r="N45" i="6"/>
  <c r="N220" i="6" s="1"/>
  <c r="P44" i="6"/>
  <c r="P218" i="6" s="1"/>
  <c r="Q218" i="6" s="1"/>
  <c r="O44" i="6"/>
  <c r="O218" i="6" s="1"/>
  <c r="N44" i="6"/>
  <c r="N218" i="6" s="1"/>
  <c r="N41" i="6"/>
  <c r="N213" i="6" s="1"/>
  <c r="P40" i="6"/>
  <c r="O40" i="6"/>
  <c r="O212" i="6" s="1"/>
  <c r="N40" i="6"/>
  <c r="N211" i="6" s="1"/>
  <c r="P39" i="6"/>
  <c r="O39" i="6"/>
  <c r="N39" i="6"/>
  <c r="N209" i="6" s="1"/>
  <c r="P38" i="6"/>
  <c r="O38" i="6"/>
  <c r="N38" i="6"/>
  <c r="N208" i="6" s="1"/>
  <c r="P37" i="6"/>
  <c r="P205" i="6" s="1"/>
  <c r="O37" i="6"/>
  <c r="O206" i="6" s="1"/>
  <c r="N37" i="6"/>
  <c r="N205" i="6" s="1"/>
  <c r="P36" i="6"/>
  <c r="P204" i="6" s="1"/>
  <c r="U204" i="6" s="1"/>
  <c r="AU204" i="6" s="1"/>
  <c r="O36" i="6"/>
  <c r="O204" i="6" s="1"/>
  <c r="T204" i="6" s="1"/>
  <c r="AT204" i="6" s="1"/>
  <c r="N36" i="6"/>
  <c r="N203" i="6" s="1"/>
  <c r="X35" i="6"/>
  <c r="X202" i="6" s="1"/>
  <c r="U35" i="6"/>
  <c r="R35" i="6"/>
  <c r="Q35" i="6"/>
  <c r="P35" i="6"/>
  <c r="R34" i="6"/>
  <c r="N34" i="6"/>
  <c r="O29" i="6"/>
  <c r="N29" i="6"/>
  <c r="P27" i="6"/>
  <c r="O27" i="6"/>
  <c r="O194" i="6" s="1"/>
  <c r="N27" i="6"/>
  <c r="N194" i="6" s="1"/>
  <c r="U25" i="6"/>
  <c r="AU25" i="6" s="1"/>
  <c r="O25" i="6"/>
  <c r="Q24" i="6" s="1"/>
  <c r="N25" i="6"/>
  <c r="N191" i="6" s="1"/>
  <c r="P23" i="6"/>
  <c r="P189" i="6" s="1"/>
  <c r="O23" i="6"/>
  <c r="O189" i="6" s="1"/>
  <c r="N23" i="6"/>
  <c r="N21" i="6"/>
  <c r="N187" i="6" s="1"/>
  <c r="P20" i="6"/>
  <c r="P186" i="6" s="1"/>
  <c r="O20" i="6"/>
  <c r="O186" i="6" s="1"/>
  <c r="N20" i="6"/>
  <c r="N185" i="6" s="1"/>
  <c r="U19" i="6"/>
  <c r="AU19" i="6" s="1"/>
  <c r="O19" i="6"/>
  <c r="N19" i="6"/>
  <c r="P17" i="6"/>
  <c r="O17" i="6"/>
  <c r="N17" i="6"/>
  <c r="N16" i="6"/>
  <c r="N181" i="6" s="1"/>
  <c r="P15" i="6"/>
  <c r="P179" i="6" s="1"/>
  <c r="O15" i="6"/>
  <c r="O179" i="6" s="1"/>
  <c r="N15" i="6"/>
  <c r="N179" i="6" s="1"/>
  <c r="P14" i="6"/>
  <c r="P177" i="6" s="1"/>
  <c r="O14" i="6"/>
  <c r="O177" i="6" s="1"/>
  <c r="N14" i="6"/>
  <c r="N177" i="6" s="1"/>
  <c r="P12" i="6"/>
  <c r="Q12" i="6" s="1"/>
  <c r="O12" i="6"/>
  <c r="N12" i="6"/>
  <c r="N176" i="6" s="1"/>
  <c r="P11" i="6"/>
  <c r="O11" i="6"/>
  <c r="N11" i="6"/>
  <c r="P10" i="6"/>
  <c r="N10" i="6"/>
  <c r="P8" i="6"/>
  <c r="P169" i="6" s="1"/>
  <c r="O8" i="6"/>
  <c r="O170" i="6" s="1"/>
  <c r="N8" i="6"/>
  <c r="N170" i="6" s="1"/>
  <c r="P7" i="6"/>
  <c r="O7" i="6"/>
  <c r="O168" i="6" s="1"/>
  <c r="Q168" i="6" s="1"/>
  <c r="N7" i="6"/>
  <c r="P6" i="6"/>
  <c r="P165" i="6" s="1"/>
  <c r="O6" i="6"/>
  <c r="N6" i="6"/>
  <c r="N166" i="6" s="1"/>
  <c r="P5" i="6"/>
  <c r="O5" i="6"/>
  <c r="O164" i="6" s="1"/>
  <c r="Q164" i="6" s="1"/>
  <c r="N5" i="6"/>
  <c r="N164" i="6" s="1"/>
  <c r="Q186" i="6" l="1"/>
  <c r="X137" i="6"/>
  <c r="Q140" i="6"/>
  <c r="V143" i="6"/>
  <c r="AX152" i="6"/>
  <c r="O176" i="6"/>
  <c r="V74" i="6"/>
  <c r="V88" i="6"/>
  <c r="N139" i="6"/>
  <c r="Q15" i="6"/>
  <c r="Q17" i="6"/>
  <c r="O21" i="6"/>
  <c r="O188" i="6" s="1"/>
  <c r="X88" i="6"/>
  <c r="AX148" i="6"/>
  <c r="Q37" i="6"/>
  <c r="O31" i="6"/>
  <c r="Q83" i="6"/>
  <c r="X97" i="6"/>
  <c r="X99" i="6"/>
  <c r="AR134" i="6"/>
  <c r="Q183" i="6"/>
  <c r="T206" i="6"/>
  <c r="Q206" i="6"/>
  <c r="AX75" i="6"/>
  <c r="AV75" i="6"/>
  <c r="AX115" i="6"/>
  <c r="AV115" i="6"/>
  <c r="AV127" i="6"/>
  <c r="V149" i="6"/>
  <c r="AV232" i="6"/>
  <c r="AX231" i="6"/>
  <c r="AX232" i="6"/>
  <c r="Q13" i="6"/>
  <c r="Q20" i="6"/>
  <c r="Q27" i="6"/>
  <c r="AX203" i="6"/>
  <c r="AX204" i="6"/>
  <c r="AV204" i="6"/>
  <c r="Q44" i="6"/>
  <c r="X72" i="6"/>
  <c r="V75" i="6"/>
  <c r="AX89" i="6"/>
  <c r="AV89" i="6"/>
  <c r="N91" i="6"/>
  <c r="V94" i="6"/>
  <c r="AX100" i="6"/>
  <c r="AX99" i="6"/>
  <c r="V104" i="6"/>
  <c r="X115" i="6"/>
  <c r="V116" i="6"/>
  <c r="AU116" i="6"/>
  <c r="V123" i="6"/>
  <c r="V127" i="6"/>
  <c r="R131" i="6"/>
  <c r="AR130" i="6"/>
  <c r="AX142" i="6"/>
  <c r="AV142" i="6"/>
  <c r="X143" i="6"/>
  <c r="AV145" i="6"/>
  <c r="R146" i="6"/>
  <c r="AR146" i="6" s="1"/>
  <c r="AV152" i="6"/>
  <c r="AX153" i="6"/>
  <c r="AV153" i="6"/>
  <c r="X155" i="6"/>
  <c r="AV155" i="6"/>
  <c r="AV156" i="6"/>
  <c r="AX155" i="6"/>
  <c r="AX156" i="6"/>
  <c r="O174" i="6"/>
  <c r="X177" i="6"/>
  <c r="AT178" i="6"/>
  <c r="V182" i="6"/>
  <c r="X206" i="6"/>
  <c r="AV210" i="6"/>
  <c r="N225" i="6"/>
  <c r="AX242" i="6"/>
  <c r="AX241" i="6"/>
  <c r="AX73" i="6"/>
  <c r="AV73" i="6"/>
  <c r="AV81" i="6"/>
  <c r="AV80" i="6"/>
  <c r="AX80" i="6"/>
  <c r="AX81" i="6"/>
  <c r="AX94" i="6"/>
  <c r="AV94" i="6"/>
  <c r="AV123" i="6"/>
  <c r="AV149" i="6"/>
  <c r="AV150" i="6"/>
  <c r="AX149" i="6"/>
  <c r="AX182" i="6"/>
  <c r="AX181" i="6"/>
  <c r="AV192" i="6"/>
  <c r="AX192" i="6"/>
  <c r="AU191" i="6"/>
  <c r="AV191" i="6"/>
  <c r="AX246" i="6"/>
  <c r="AX245" i="6"/>
  <c r="AV245" i="6"/>
  <c r="AV246" i="6"/>
  <c r="O16" i="6"/>
  <c r="O181" i="6" s="1"/>
  <c r="Q22" i="6"/>
  <c r="Q36" i="6"/>
  <c r="X75" i="6"/>
  <c r="AV79" i="6"/>
  <c r="AR86" i="6"/>
  <c r="V89" i="6"/>
  <c r="X94" i="6"/>
  <c r="AX95" i="6"/>
  <c r="AV95" i="6"/>
  <c r="AX97" i="6"/>
  <c r="AV97" i="6"/>
  <c r="X100" i="6"/>
  <c r="X104" i="6"/>
  <c r="AV104" i="6"/>
  <c r="AX105" i="6"/>
  <c r="AV105" i="6"/>
  <c r="AX104" i="6"/>
  <c r="X116" i="6"/>
  <c r="AX117" i="6"/>
  <c r="AV117" i="6"/>
  <c r="AX118" i="6"/>
  <c r="AV118" i="6"/>
  <c r="V119" i="6"/>
  <c r="AU119" i="6"/>
  <c r="AV124" i="6"/>
  <c r="AT130" i="6"/>
  <c r="AR131" i="6"/>
  <c r="R134" i="6"/>
  <c r="O139" i="6"/>
  <c r="V142" i="6"/>
  <c r="AX147" i="6"/>
  <c r="P163" i="6"/>
  <c r="N168" i="6"/>
  <c r="AX177" i="6"/>
  <c r="AX178" i="6"/>
  <c r="AV182" i="6"/>
  <c r="X182" i="6"/>
  <c r="AR190" i="6"/>
  <c r="V204" i="6"/>
  <c r="P207" i="6"/>
  <c r="N237" i="6"/>
  <c r="AX237" i="6"/>
  <c r="AX238" i="6"/>
  <c r="AV238" i="6"/>
  <c r="AV72" i="6"/>
  <c r="AX72" i="6"/>
  <c r="X82" i="6"/>
  <c r="AU82" i="6"/>
  <c r="AV82" i="6" s="1"/>
  <c r="AX180" i="6"/>
  <c r="AX179" i="6"/>
  <c r="AV180" i="6"/>
  <c r="AV206" i="6"/>
  <c r="Q5" i="6"/>
  <c r="Q11" i="6"/>
  <c r="P16" i="6"/>
  <c r="P181" i="6" s="1"/>
  <c r="Q23" i="6"/>
  <c r="Q51" i="6"/>
  <c r="O55" i="6"/>
  <c r="Q55" i="6" s="1"/>
  <c r="Q63" i="6"/>
  <c r="Q65" i="6"/>
  <c r="AX74" i="6"/>
  <c r="AV74" i="6"/>
  <c r="AR83" i="6"/>
  <c r="R86" i="6"/>
  <c r="X89" i="6"/>
  <c r="V97" i="6"/>
  <c r="AX102" i="6"/>
  <c r="AV102" i="6"/>
  <c r="AV101" i="6"/>
  <c r="AX101" i="6"/>
  <c r="V105" i="6"/>
  <c r="AX107" i="6"/>
  <c r="AX108" i="6"/>
  <c r="AV107" i="6"/>
  <c r="AV108" i="6"/>
  <c r="X119" i="6"/>
  <c r="N122" i="6"/>
  <c r="AX125" i="6"/>
  <c r="AV125" i="6"/>
  <c r="AV126" i="6"/>
  <c r="Q128" i="6"/>
  <c r="AV136" i="6"/>
  <c r="AV137" i="6"/>
  <c r="AX137" i="6"/>
  <c r="X142" i="6"/>
  <c r="AV143" i="6"/>
  <c r="AX143" i="6"/>
  <c r="AX150" i="6"/>
  <c r="N189" i="6"/>
  <c r="N216" i="6"/>
  <c r="N223" i="6"/>
  <c r="P229" i="6"/>
  <c r="AV230" i="6"/>
  <c r="AX229" i="6"/>
  <c r="AX230" i="6"/>
  <c r="V238" i="6"/>
  <c r="AX240" i="6"/>
  <c r="AV240" i="6"/>
  <c r="AX239" i="6"/>
  <c r="AX243" i="6"/>
  <c r="AV243" i="6"/>
  <c r="AV244" i="6"/>
  <c r="AX244" i="6"/>
  <c r="AU243" i="6"/>
  <c r="P224" i="6"/>
  <c r="P174" i="6"/>
  <c r="P167" i="6"/>
  <c r="Q7" i="6"/>
  <c r="Q39" i="6"/>
  <c r="P209" i="6"/>
  <c r="O237" i="6"/>
  <c r="U243" i="6"/>
  <c r="V73" i="6"/>
  <c r="P122" i="6"/>
  <c r="P41" i="6"/>
  <c r="Q120" i="6"/>
  <c r="X147" i="6"/>
  <c r="X148" i="6"/>
  <c r="O172" i="6"/>
  <c r="X192" i="6"/>
  <c r="X191" i="6"/>
  <c r="U191" i="6"/>
  <c r="V191" i="6"/>
  <c r="V192" i="6"/>
  <c r="V246" i="6"/>
  <c r="V245" i="6"/>
  <c r="X246" i="6"/>
  <c r="Q8" i="6"/>
  <c r="P31" i="6"/>
  <c r="Q10" i="6"/>
  <c r="Q14" i="6"/>
  <c r="Q26" i="6"/>
  <c r="Q38" i="6"/>
  <c r="O208" i="6"/>
  <c r="O222" i="6"/>
  <c r="Q47" i="6"/>
  <c r="P237" i="6"/>
  <c r="Q56" i="6"/>
  <c r="V79" i="6"/>
  <c r="V82" i="6"/>
  <c r="X136" i="6"/>
  <c r="X150" i="6"/>
  <c r="X149" i="6"/>
  <c r="V153" i="6"/>
  <c r="X152" i="6"/>
  <c r="V152" i="6"/>
  <c r="Q170" i="6"/>
  <c r="P194" i="6"/>
  <c r="V230" i="6"/>
  <c r="X230" i="6"/>
  <c r="X232" i="6"/>
  <c r="V232" i="6"/>
  <c r="X245" i="6"/>
  <c r="Q9" i="6"/>
  <c r="O191" i="6"/>
  <c r="N195" i="6"/>
  <c r="P222" i="6"/>
  <c r="Q46" i="6"/>
  <c r="O236" i="6"/>
  <c r="Q59" i="6"/>
  <c r="Q58" i="6"/>
  <c r="N243" i="6"/>
  <c r="O110" i="6"/>
  <c r="Q110" i="6" s="1"/>
  <c r="X81" i="6"/>
  <c r="X80" i="6"/>
  <c r="V95" i="6"/>
  <c r="X95" i="6"/>
  <c r="X102" i="6"/>
  <c r="X101" i="6"/>
  <c r="V102" i="6"/>
  <c r="V101" i="6"/>
  <c r="V136" i="6"/>
  <c r="V150" i="6"/>
  <c r="X153" i="6"/>
  <c r="O166" i="6"/>
  <c r="N183" i="6"/>
  <c r="O183" i="6"/>
  <c r="Q19" i="6"/>
  <c r="Q18" i="6"/>
  <c r="P21" i="6"/>
  <c r="Q25" i="6"/>
  <c r="O196" i="6"/>
  <c r="Q29" i="6"/>
  <c r="Q28" i="6"/>
  <c r="O210" i="6"/>
  <c r="Q40" i="6"/>
  <c r="N228" i="6"/>
  <c r="O220" i="6"/>
  <c r="Q220" i="6" s="1"/>
  <c r="Q45" i="6"/>
  <c r="P176" i="6"/>
  <c r="P226" i="6"/>
  <c r="Q50" i="6"/>
  <c r="P235" i="6"/>
  <c r="Q54" i="6"/>
  <c r="P239" i="6"/>
  <c r="Q57" i="6"/>
  <c r="O243" i="6"/>
  <c r="Q61" i="6"/>
  <c r="Q60" i="6"/>
  <c r="N248" i="6"/>
  <c r="Q76" i="6"/>
  <c r="Q77" i="6"/>
  <c r="V81" i="6"/>
  <c r="O41" i="6"/>
  <c r="O122" i="6"/>
  <c r="V124" i="6"/>
  <c r="V126" i="6"/>
  <c r="P139" i="6"/>
  <c r="X180" i="6"/>
  <c r="V180" i="6"/>
  <c r="X189" i="6"/>
  <c r="V210" i="6"/>
  <c r="X241" i="6"/>
  <c r="V244" i="6"/>
  <c r="V243" i="6"/>
  <c r="X244" i="6"/>
  <c r="N31" i="6"/>
  <c r="O245" i="6"/>
  <c r="Q62" i="6"/>
  <c r="X108" i="6"/>
  <c r="V117" i="6"/>
  <c r="X118" i="6"/>
  <c r="N158" i="6"/>
  <c r="N43" i="6"/>
  <c r="X125" i="6"/>
  <c r="R141" i="6"/>
  <c r="AR141" i="6" s="1"/>
  <c r="V145" i="6"/>
  <c r="X156" i="6"/>
  <c r="N172" i="6"/>
  <c r="X190" i="6"/>
  <c r="P216" i="6"/>
  <c r="P213" i="6"/>
  <c r="V240" i="6"/>
  <c r="X242" i="6"/>
  <c r="X243" i="6"/>
  <c r="Q6" i="6"/>
  <c r="O214" i="6"/>
  <c r="T212" i="6"/>
  <c r="AT212" i="6" s="1"/>
  <c r="P228" i="6"/>
  <c r="O231" i="6"/>
  <c r="Q52" i="6"/>
  <c r="Q53" i="6"/>
  <c r="Q234" i="6" s="1"/>
  <c r="N55" i="6"/>
  <c r="N235" i="6" s="1"/>
  <c r="V72" i="6"/>
  <c r="N110" i="6"/>
  <c r="V78" i="6"/>
  <c r="O91" i="6"/>
  <c r="Q91" i="6" s="1"/>
  <c r="X105" i="6"/>
  <c r="V107" i="6"/>
  <c r="V108" i="6"/>
  <c r="V115" i="6"/>
  <c r="X117" i="6"/>
  <c r="V118" i="6"/>
  <c r="V125" i="6"/>
  <c r="X145" i="6"/>
  <c r="V155" i="6"/>
  <c r="V156" i="6"/>
  <c r="Q172" i="6"/>
  <c r="P171" i="6"/>
  <c r="Q204" i="6"/>
  <c r="X204" i="6"/>
  <c r="V206" i="6"/>
  <c r="U212" i="6"/>
  <c r="AU212" i="6" s="1"/>
  <c r="Q212" i="6"/>
  <c r="P211" i="6"/>
  <c r="X238" i="6"/>
  <c r="X240" i="6"/>
  <c r="Q247" i="6"/>
  <c r="AV212" i="6" l="1"/>
  <c r="AX211" i="6"/>
  <c r="AX212" i="6"/>
  <c r="Q139" i="6"/>
  <c r="Q16" i="6"/>
  <c r="AV119" i="6"/>
  <c r="AX119" i="6"/>
  <c r="AX116" i="6"/>
  <c r="AV116" i="6"/>
  <c r="AT206" i="6"/>
  <c r="P227" i="6"/>
  <c r="N171" i="6"/>
  <c r="N198" i="6"/>
  <c r="N197" i="6" s="1"/>
  <c r="Q226" i="6"/>
  <c r="Q210" i="6"/>
  <c r="T210" i="6"/>
  <c r="AT210" i="6" s="1"/>
  <c r="Q196" i="6"/>
  <c r="Q195" i="6"/>
  <c r="Q208" i="6"/>
  <c r="T208" i="6"/>
  <c r="AT208" i="6" s="1"/>
  <c r="O198" i="6"/>
  <c r="O197" i="6" s="1"/>
  <c r="Q171" i="6"/>
  <c r="O171" i="6"/>
  <c r="Q121" i="6"/>
  <c r="P43" i="6"/>
  <c r="P158" i="6"/>
  <c r="Q122" i="6"/>
  <c r="Q224" i="6"/>
  <c r="X212" i="6"/>
  <c r="V212" i="6"/>
  <c r="O213" i="6"/>
  <c r="O216" i="6"/>
  <c r="Q216" i="6" s="1"/>
  <c r="N67" i="6"/>
  <c r="N215" i="6"/>
  <c r="N227" i="6"/>
  <c r="Q166" i="6"/>
  <c r="O235" i="6"/>
  <c r="Q214" i="6"/>
  <c r="P250" i="6"/>
  <c r="Q215" i="6"/>
  <c r="Q235" i="6"/>
  <c r="Q176" i="6"/>
  <c r="O228" i="6"/>
  <c r="P188" i="6"/>
  <c r="Q21" i="6"/>
  <c r="Q194" i="6"/>
  <c r="Q198" i="6" s="1"/>
  <c r="P198" i="6"/>
  <c r="Q193" i="6"/>
  <c r="Q109" i="6"/>
  <c r="N250" i="6"/>
  <c r="O158" i="6"/>
  <c r="O43" i="6"/>
  <c r="Q236" i="6"/>
  <c r="Q30" i="6"/>
  <c r="Q31" i="6"/>
  <c r="Q41" i="6"/>
  <c r="Q174" i="6"/>
  <c r="N249" i="6" l="1"/>
  <c r="AX205" i="6"/>
  <c r="AX206" i="6"/>
  <c r="AX208" i="6"/>
  <c r="AX207" i="6"/>
  <c r="AX210" i="6"/>
  <c r="AX209" i="6"/>
  <c r="O67" i="6"/>
  <c r="O227" i="6"/>
  <c r="Q157" i="6"/>
  <c r="Q158" i="6"/>
  <c r="X210" i="6"/>
  <c r="P197" i="6"/>
  <c r="Q197" i="6"/>
  <c r="Q42" i="6"/>
  <c r="P67" i="6"/>
  <c r="P249" i="6" s="1"/>
  <c r="Q43" i="6"/>
  <c r="X208" i="6"/>
  <c r="Q227" i="6"/>
  <c r="O215" i="6"/>
  <c r="O250" i="6"/>
  <c r="O249" i="6" s="1"/>
  <c r="Q188" i="6"/>
  <c r="P215" i="6"/>
  <c r="Q228" i="6"/>
  <c r="Q250" i="6" l="1"/>
  <c r="Q249" i="6"/>
  <c r="Q66" i="6"/>
  <c r="Q67" i="6"/>
  <c r="AQ9" i="8" l="1"/>
  <c r="V37" i="8"/>
  <c r="V36" i="8"/>
  <c r="V35" i="8"/>
  <c r="V34" i="8"/>
  <c r="V33" i="8"/>
  <c r="V32" i="8"/>
  <c r="V31" i="8"/>
  <c r="P31" i="8"/>
  <c r="V22" i="8"/>
  <c r="V30" i="8" s="1"/>
  <c r="V14" i="8"/>
  <c r="V6" i="8"/>
  <c r="AL47" i="8" l="1"/>
  <c r="AK47" i="8"/>
  <c r="AF47" i="8"/>
  <c r="AE47" i="8"/>
  <c r="Z47" i="8"/>
  <c r="Y47" i="8"/>
  <c r="T47" i="8"/>
  <c r="N47" i="8"/>
  <c r="M47" i="8"/>
  <c r="AQ48" i="8"/>
  <c r="AF38" i="8" l="1"/>
  <c r="H38" i="8"/>
  <c r="E46" i="8"/>
  <c r="F46" i="8"/>
  <c r="F38" i="8" s="1"/>
  <c r="AQ45" i="8"/>
  <c r="AX45" i="8" s="1"/>
  <c r="AY45" i="8" s="1"/>
  <c r="AQ43" i="8"/>
  <c r="AQ40" i="8"/>
  <c r="AR40" i="8" s="1"/>
  <c r="AQ39" i="8"/>
  <c r="AR39" i="8" s="1"/>
  <c r="E38" i="8"/>
  <c r="AQ11" i="8" l="1"/>
  <c r="AX7" i="8"/>
  <c r="AQ17" i="8" l="1"/>
  <c r="AX17" i="8" l="1"/>
  <c r="H12" i="9" s="1"/>
  <c r="M246" i="6" l="1"/>
  <c r="M245" i="6"/>
  <c r="M244" i="6"/>
  <c r="M243" i="6"/>
  <c r="L243" i="6"/>
  <c r="M242" i="6"/>
  <c r="J242" i="6"/>
  <c r="M241" i="6"/>
  <c r="M240" i="6"/>
  <c r="M238" i="6"/>
  <c r="M232" i="6"/>
  <c r="M230" i="6"/>
  <c r="L216" i="6"/>
  <c r="K214" i="6"/>
  <c r="K216" i="6" s="1"/>
  <c r="J214" i="6"/>
  <c r="J216" i="6" s="1"/>
  <c r="M212" i="6"/>
  <c r="M210" i="6"/>
  <c r="M208" i="6"/>
  <c r="M206" i="6"/>
  <c r="M204" i="6"/>
  <c r="L202" i="6"/>
  <c r="K202" i="6"/>
  <c r="J202" i="6"/>
  <c r="J201" i="6"/>
  <c r="M196" i="6"/>
  <c r="M195" i="6"/>
  <c r="M192" i="6"/>
  <c r="M191" i="6"/>
  <c r="L191" i="6"/>
  <c r="M190" i="6"/>
  <c r="J190" i="6"/>
  <c r="M189" i="6"/>
  <c r="L184" i="6"/>
  <c r="K184" i="6"/>
  <c r="M183" i="6" s="1"/>
  <c r="J184" i="6"/>
  <c r="M182" i="6"/>
  <c r="M180" i="6"/>
  <c r="M178" i="6"/>
  <c r="M177" i="6"/>
  <c r="L172" i="6"/>
  <c r="L162" i="6"/>
  <c r="K162" i="6"/>
  <c r="J162" i="6"/>
  <c r="J161" i="6"/>
  <c r="M156" i="6"/>
  <c r="M155" i="6"/>
  <c r="M153" i="6"/>
  <c r="M152" i="6"/>
  <c r="M150" i="6"/>
  <c r="M149" i="6"/>
  <c r="M148" i="6"/>
  <c r="J148" i="6"/>
  <c r="R148" i="6" s="1"/>
  <c r="M147" i="6"/>
  <c r="L146" i="6"/>
  <c r="K146" i="6"/>
  <c r="J146" i="6"/>
  <c r="M145" i="6"/>
  <c r="M143" i="6"/>
  <c r="M142" i="6"/>
  <c r="J141" i="6"/>
  <c r="K138" i="6"/>
  <c r="J138" i="6"/>
  <c r="M137" i="6"/>
  <c r="L135" i="6"/>
  <c r="L134" i="6" s="1"/>
  <c r="K135" i="6"/>
  <c r="T135" i="6" s="1"/>
  <c r="J134" i="6"/>
  <c r="L133" i="6"/>
  <c r="U133" i="6" s="1"/>
  <c r="L132" i="6"/>
  <c r="K132" i="6"/>
  <c r="T132" i="6" s="1"/>
  <c r="J131" i="6"/>
  <c r="L130" i="6"/>
  <c r="L129" i="6"/>
  <c r="L50" i="6" s="1"/>
  <c r="J129" i="6"/>
  <c r="M125" i="6"/>
  <c r="K123" i="6"/>
  <c r="T123" i="6" s="1"/>
  <c r="L120" i="6"/>
  <c r="L122" i="6" s="1"/>
  <c r="L43" i="6" s="1"/>
  <c r="K120" i="6"/>
  <c r="J120" i="6"/>
  <c r="J122" i="6" s="1"/>
  <c r="M119" i="6"/>
  <c r="M118" i="6"/>
  <c r="M117" i="6"/>
  <c r="M116" i="6"/>
  <c r="M115" i="6"/>
  <c r="L114" i="6"/>
  <c r="L35" i="6" s="1"/>
  <c r="K114" i="6"/>
  <c r="J114" i="6"/>
  <c r="J35" i="6" s="1"/>
  <c r="J113" i="6"/>
  <c r="M108" i="6"/>
  <c r="M107" i="6"/>
  <c r="M105" i="6"/>
  <c r="M104" i="6"/>
  <c r="M102" i="6"/>
  <c r="M101" i="6"/>
  <c r="M100" i="6"/>
  <c r="J100" i="6"/>
  <c r="M99" i="6"/>
  <c r="K98" i="6"/>
  <c r="M98" i="6" s="1"/>
  <c r="J98" i="6"/>
  <c r="M97" i="6"/>
  <c r="M95" i="6"/>
  <c r="M94" i="6"/>
  <c r="J93" i="6"/>
  <c r="K90" i="6"/>
  <c r="J90" i="6"/>
  <c r="M89" i="6"/>
  <c r="L87" i="6"/>
  <c r="K87" i="6"/>
  <c r="T87" i="6" s="1"/>
  <c r="J86" i="6"/>
  <c r="L85" i="6"/>
  <c r="U85" i="6" s="1"/>
  <c r="K84" i="6"/>
  <c r="T84" i="6" s="1"/>
  <c r="L83" i="6"/>
  <c r="J83" i="6"/>
  <c r="M82" i="6"/>
  <c r="M81" i="6"/>
  <c r="M80" i="6"/>
  <c r="K79" i="6"/>
  <c r="T79" i="6" s="1"/>
  <c r="K78" i="6"/>
  <c r="L77" i="6"/>
  <c r="M77" i="6" s="1"/>
  <c r="K77" i="6"/>
  <c r="J77" i="6"/>
  <c r="J110" i="6" s="1"/>
  <c r="M75" i="6"/>
  <c r="M72" i="6"/>
  <c r="L71" i="6"/>
  <c r="K71" i="6"/>
  <c r="J71" i="6"/>
  <c r="J70" i="6"/>
  <c r="L65" i="6"/>
  <c r="M65" i="6" s="1"/>
  <c r="K65" i="6"/>
  <c r="K248" i="6" s="1"/>
  <c r="J65" i="6"/>
  <c r="J248" i="6" s="1"/>
  <c r="L63" i="6"/>
  <c r="L245" i="6" s="1"/>
  <c r="K63" i="6"/>
  <c r="K245" i="6" s="1"/>
  <c r="J63" i="6"/>
  <c r="J245" i="6" s="1"/>
  <c r="K61" i="6"/>
  <c r="J61" i="6"/>
  <c r="L59" i="6"/>
  <c r="L241" i="6" s="1"/>
  <c r="K59" i="6"/>
  <c r="K241" i="6" s="1"/>
  <c r="J59" i="6"/>
  <c r="L57" i="6"/>
  <c r="K57" i="6"/>
  <c r="J57" i="6"/>
  <c r="J239" i="6" s="1"/>
  <c r="L56" i="6"/>
  <c r="L237" i="6" s="1"/>
  <c r="K56" i="6"/>
  <c r="K237" i="6" s="1"/>
  <c r="J56" i="6"/>
  <c r="J237" i="6" s="1"/>
  <c r="J55" i="6"/>
  <c r="L53" i="6"/>
  <c r="L234" i="6" s="1"/>
  <c r="K53" i="6"/>
  <c r="K234" i="6" s="1"/>
  <c r="J53" i="6"/>
  <c r="J234" i="6" s="1"/>
  <c r="L52" i="6"/>
  <c r="K52" i="6"/>
  <c r="K231" i="6" s="1"/>
  <c r="J52" i="6"/>
  <c r="J231" i="6" s="1"/>
  <c r="J51" i="6"/>
  <c r="J229" i="6" s="1"/>
  <c r="J50" i="6"/>
  <c r="L48" i="6"/>
  <c r="L226" i="6" s="1"/>
  <c r="U226" i="6" s="1"/>
  <c r="J48" i="6"/>
  <c r="J225" i="6" s="1"/>
  <c r="L47" i="6"/>
  <c r="L224" i="6" s="1"/>
  <c r="U224" i="6" s="1"/>
  <c r="J47" i="6"/>
  <c r="J223" i="6" s="1"/>
  <c r="L46" i="6"/>
  <c r="K46" i="6"/>
  <c r="K222" i="6" s="1"/>
  <c r="J46" i="6"/>
  <c r="L45" i="6"/>
  <c r="L220" i="6" s="1"/>
  <c r="U220" i="6" s="1"/>
  <c r="J45" i="6"/>
  <c r="J220" i="6" s="1"/>
  <c r="L44" i="6"/>
  <c r="L218" i="6" s="1"/>
  <c r="U218" i="6" s="1"/>
  <c r="K44" i="6"/>
  <c r="K218" i="6" s="1"/>
  <c r="J44" i="6"/>
  <c r="J218" i="6" s="1"/>
  <c r="L41" i="6"/>
  <c r="L213" i="6" s="1"/>
  <c r="K41" i="6"/>
  <c r="K213" i="6" s="1"/>
  <c r="J41" i="6"/>
  <c r="L40" i="6"/>
  <c r="L211" i="6" s="1"/>
  <c r="K40" i="6"/>
  <c r="K211" i="6" s="1"/>
  <c r="J40" i="6"/>
  <c r="J211" i="6" s="1"/>
  <c r="L39" i="6"/>
  <c r="K39" i="6"/>
  <c r="K209" i="6" s="1"/>
  <c r="J39" i="6"/>
  <c r="J209" i="6" s="1"/>
  <c r="L38" i="6"/>
  <c r="K38" i="6"/>
  <c r="J38" i="6"/>
  <c r="J208" i="6" s="1"/>
  <c r="L37" i="6"/>
  <c r="L205" i="6" s="1"/>
  <c r="K37" i="6"/>
  <c r="K205" i="6" s="1"/>
  <c r="J37" i="6"/>
  <c r="J205" i="6" s="1"/>
  <c r="L36" i="6"/>
  <c r="L203" i="6" s="1"/>
  <c r="K36" i="6"/>
  <c r="K203" i="6" s="1"/>
  <c r="J36" i="6"/>
  <c r="J203" i="6" s="1"/>
  <c r="M35" i="6"/>
  <c r="K35" i="6"/>
  <c r="J34" i="6"/>
  <c r="L29" i="6"/>
  <c r="L195" i="6" s="1"/>
  <c r="K29" i="6"/>
  <c r="J29" i="6"/>
  <c r="L27" i="6"/>
  <c r="K27" i="6"/>
  <c r="K194" i="6" s="1"/>
  <c r="J27" i="6"/>
  <c r="J194" i="6" s="1"/>
  <c r="K25" i="6"/>
  <c r="K191" i="6" s="1"/>
  <c r="J25" i="6"/>
  <c r="J191" i="6" s="1"/>
  <c r="L23" i="6"/>
  <c r="K23" i="6"/>
  <c r="K189" i="6" s="1"/>
  <c r="J23" i="6"/>
  <c r="L21" i="6"/>
  <c r="L188" i="6" s="1"/>
  <c r="K21" i="6"/>
  <c r="K188" i="6" s="1"/>
  <c r="J21" i="6"/>
  <c r="J187" i="6" s="1"/>
  <c r="L20" i="6"/>
  <c r="K20" i="6"/>
  <c r="K186" i="6" s="1"/>
  <c r="J20" i="6"/>
  <c r="J185" i="6" s="1"/>
  <c r="J19" i="6"/>
  <c r="L17" i="6"/>
  <c r="K17" i="6"/>
  <c r="M17" i="6" s="1"/>
  <c r="J17" i="6"/>
  <c r="J16" i="6"/>
  <c r="J181" i="6" s="1"/>
  <c r="L15" i="6"/>
  <c r="L179" i="6" s="1"/>
  <c r="J15" i="6"/>
  <c r="J179" i="6" s="1"/>
  <c r="L14" i="6"/>
  <c r="L177" i="6" s="1"/>
  <c r="K14" i="6"/>
  <c r="K177" i="6" s="1"/>
  <c r="J14" i="6"/>
  <c r="J177" i="6" s="1"/>
  <c r="L12" i="6"/>
  <c r="K12" i="6"/>
  <c r="J12" i="6"/>
  <c r="J176" i="6" s="1"/>
  <c r="L11" i="6"/>
  <c r="L174" i="6" s="1"/>
  <c r="U174" i="6" s="1"/>
  <c r="J11" i="6"/>
  <c r="L10" i="6"/>
  <c r="K10" i="6"/>
  <c r="J10" i="6"/>
  <c r="L8" i="6"/>
  <c r="K8" i="6"/>
  <c r="K170" i="6" s="1"/>
  <c r="J8" i="6"/>
  <c r="J170" i="6" s="1"/>
  <c r="L7" i="6"/>
  <c r="L167" i="6" s="1"/>
  <c r="K7" i="6"/>
  <c r="K168" i="6" s="1"/>
  <c r="J7" i="6"/>
  <c r="L6" i="6"/>
  <c r="L165" i="6" s="1"/>
  <c r="K6" i="6"/>
  <c r="K166" i="6" s="1"/>
  <c r="J6" i="6"/>
  <c r="J166" i="6" s="1"/>
  <c r="L5" i="6"/>
  <c r="L163" i="6" s="1"/>
  <c r="K5" i="6"/>
  <c r="K164" i="6" s="1"/>
  <c r="J5" i="6"/>
  <c r="J164" i="6" s="1"/>
  <c r="M5" i="6" l="1"/>
  <c r="M6" i="6"/>
  <c r="M10" i="6"/>
  <c r="M36" i="6"/>
  <c r="K127" i="6"/>
  <c r="T127" i="6" s="1"/>
  <c r="AT127" i="6" s="1"/>
  <c r="AX127" i="6" s="1"/>
  <c r="J158" i="6"/>
  <c r="J43" i="6"/>
  <c r="X127" i="6"/>
  <c r="L231" i="6"/>
  <c r="U52" i="6"/>
  <c r="AT123" i="6"/>
  <c r="AX123" i="6" s="1"/>
  <c r="X123" i="6"/>
  <c r="AT132" i="6"/>
  <c r="AT131" i="6" s="1"/>
  <c r="T131" i="6"/>
  <c r="AU174" i="6"/>
  <c r="V174" i="6"/>
  <c r="M40" i="6"/>
  <c r="AU220" i="6"/>
  <c r="M62" i="6"/>
  <c r="M63" i="6"/>
  <c r="K126" i="6"/>
  <c r="T126" i="6" s="1"/>
  <c r="T78" i="6"/>
  <c r="AT84" i="6"/>
  <c r="AT83" i="6" s="1"/>
  <c r="T83" i="6"/>
  <c r="AT87" i="6"/>
  <c r="AT86" i="6" s="1"/>
  <c r="T86" i="6"/>
  <c r="M120" i="6"/>
  <c r="M123" i="6"/>
  <c r="L138" i="6"/>
  <c r="U130" i="6"/>
  <c r="L141" i="6"/>
  <c r="U132" i="6"/>
  <c r="M146" i="6"/>
  <c r="K16" i="6"/>
  <c r="K181" i="6" s="1"/>
  <c r="J213" i="6"/>
  <c r="M44" i="6"/>
  <c r="AU224" i="6"/>
  <c r="V224" i="6"/>
  <c r="L51" i="6"/>
  <c r="L229" i="6" s="1"/>
  <c r="M52" i="6"/>
  <c r="M56" i="6"/>
  <c r="M58" i="6"/>
  <c r="M59" i="6"/>
  <c r="M64" i="6"/>
  <c r="AT79" i="6"/>
  <c r="AX79" i="6" s="1"/>
  <c r="X79" i="6"/>
  <c r="M84" i="6"/>
  <c r="J91" i="6"/>
  <c r="K124" i="6"/>
  <c r="AU133" i="6"/>
  <c r="V133" i="6"/>
  <c r="AT135" i="6"/>
  <c r="AT134" i="6" s="1"/>
  <c r="T134" i="6"/>
  <c r="AU226" i="6"/>
  <c r="V226" i="6"/>
  <c r="M13" i="6"/>
  <c r="M14" i="6"/>
  <c r="M28" i="6"/>
  <c r="AU218" i="6"/>
  <c r="K51" i="6"/>
  <c r="K229" i="6" s="1"/>
  <c r="M9" i="6"/>
  <c r="K15" i="6"/>
  <c r="L16" i="6"/>
  <c r="M21" i="6"/>
  <c r="M24" i="6"/>
  <c r="J241" i="6"/>
  <c r="M76" i="6"/>
  <c r="K83" i="6"/>
  <c r="M83" i="6" s="1"/>
  <c r="AU85" i="6"/>
  <c r="AV85" i="6" s="1"/>
  <c r="X85" i="6"/>
  <c r="V85" i="6"/>
  <c r="K129" i="6"/>
  <c r="L131" i="6"/>
  <c r="M133" i="6"/>
  <c r="M135" i="6"/>
  <c r="U135" i="6"/>
  <c r="AR148" i="6"/>
  <c r="V148" i="6"/>
  <c r="V147" i="6"/>
  <c r="M184" i="6"/>
  <c r="M26" i="6"/>
  <c r="M27" i="6"/>
  <c r="L209" i="6"/>
  <c r="M39" i="6"/>
  <c r="K179" i="6"/>
  <c r="L31" i="6"/>
  <c r="K207" i="6"/>
  <c r="J168" i="6"/>
  <c r="K176" i="6"/>
  <c r="L186" i="6"/>
  <c r="M20" i="6"/>
  <c r="J195" i="6"/>
  <c r="L215" i="6"/>
  <c r="K243" i="6"/>
  <c r="M60" i="6"/>
  <c r="M170" i="6"/>
  <c r="K172" i="6"/>
  <c r="K11" i="6"/>
  <c r="M11" i="6" s="1"/>
  <c r="L181" i="6"/>
  <c r="M16" i="6"/>
  <c r="K236" i="6"/>
  <c r="L55" i="6"/>
  <c r="L67" i="6" s="1"/>
  <c r="L239" i="6"/>
  <c r="M57" i="6"/>
  <c r="M127" i="6"/>
  <c r="K48" i="6"/>
  <c r="L169" i="6"/>
  <c r="M8" i="6"/>
  <c r="M22" i="6"/>
  <c r="L189" i="6"/>
  <c r="M23" i="6"/>
  <c r="J67" i="6"/>
  <c r="J228" i="6"/>
  <c r="M126" i="6"/>
  <c r="K47" i="6"/>
  <c r="M168" i="6"/>
  <c r="J31" i="6"/>
  <c r="L176" i="6"/>
  <c r="U176" i="6" s="1"/>
  <c r="M12" i="6"/>
  <c r="L207" i="6"/>
  <c r="M38" i="6"/>
  <c r="L222" i="6"/>
  <c r="M46" i="6"/>
  <c r="M51" i="6"/>
  <c r="J236" i="6"/>
  <c r="J235" i="6" s="1"/>
  <c r="K239" i="6"/>
  <c r="M61" i="6"/>
  <c r="L247" i="6"/>
  <c r="M78" i="6"/>
  <c r="M138" i="6"/>
  <c r="L139" i="6"/>
  <c r="M166" i="6"/>
  <c r="L236" i="6"/>
  <c r="L90" i="6"/>
  <c r="M85" i="6"/>
  <c r="K86" i="6"/>
  <c r="K93" i="6"/>
  <c r="M164" i="6"/>
  <c r="M7" i="6"/>
  <c r="J172" i="6"/>
  <c r="M15" i="6"/>
  <c r="M188" i="6"/>
  <c r="M25" i="6"/>
  <c r="M194" i="6"/>
  <c r="M193" i="6"/>
  <c r="M29" i="6"/>
  <c r="M37" i="6"/>
  <c r="M41" i="6"/>
  <c r="L228" i="6"/>
  <c r="M218" i="6"/>
  <c r="M53" i="6"/>
  <c r="M234" i="6" s="1"/>
  <c r="K55" i="6"/>
  <c r="J243" i="6"/>
  <c r="M248" i="6"/>
  <c r="M247" i="6"/>
  <c r="M79" i="6"/>
  <c r="K122" i="6"/>
  <c r="M122" i="6" s="1"/>
  <c r="J139" i="6"/>
  <c r="M87" i="6"/>
  <c r="L93" i="6"/>
  <c r="K141" i="6"/>
  <c r="L158" i="6"/>
  <c r="L86" i="6"/>
  <c r="M124" i="6"/>
  <c r="M130" i="6"/>
  <c r="K131" i="6"/>
  <c r="M132" i="6"/>
  <c r="K134" i="6"/>
  <c r="M134" i="6" s="1"/>
  <c r="M141" i="6"/>
  <c r="L198" i="6"/>
  <c r="L171" i="6"/>
  <c r="J189" i="6"/>
  <c r="J215" i="6"/>
  <c r="J183" i="6"/>
  <c r="M215" i="6"/>
  <c r="M216" i="6"/>
  <c r="L183" i="6"/>
  <c r="M214" i="6"/>
  <c r="AU130" i="6" l="1"/>
  <c r="X130" i="6"/>
  <c r="V130" i="6"/>
  <c r="AU135" i="6"/>
  <c r="V135" i="6"/>
  <c r="X135" i="6"/>
  <c r="M129" i="6"/>
  <c r="K50" i="6"/>
  <c r="AV226" i="6"/>
  <c r="AX133" i="6"/>
  <c r="AV133" i="6"/>
  <c r="AV224" i="6"/>
  <c r="AT78" i="6"/>
  <c r="AX78" i="6" s="1"/>
  <c r="X78" i="6"/>
  <c r="AV174" i="6"/>
  <c r="AV147" i="6"/>
  <c r="AV148" i="6"/>
  <c r="M86" i="6"/>
  <c r="AU176" i="6"/>
  <c r="X134" i="6"/>
  <c r="U134" i="6"/>
  <c r="V134" i="6" s="1"/>
  <c r="AU132" i="6"/>
  <c r="X132" i="6"/>
  <c r="U131" i="6"/>
  <c r="V132" i="6"/>
  <c r="M128" i="6"/>
  <c r="AT126" i="6"/>
  <c r="AX126" i="6" s="1"/>
  <c r="X126" i="6"/>
  <c r="AU52" i="6"/>
  <c r="U231" i="6"/>
  <c r="M131" i="6"/>
  <c r="T124" i="6"/>
  <c r="K45" i="6"/>
  <c r="M93" i="6"/>
  <c r="M92" i="6"/>
  <c r="L91" i="6"/>
  <c r="L110" i="6"/>
  <c r="L197" i="6"/>
  <c r="M236" i="6"/>
  <c r="L235" i="6"/>
  <c r="M235" i="6"/>
  <c r="M176" i="6"/>
  <c r="K224" i="6"/>
  <c r="M47" i="6"/>
  <c r="K198" i="6"/>
  <c r="K171" i="6"/>
  <c r="M171" i="6"/>
  <c r="L250" i="6"/>
  <c r="K158" i="6"/>
  <c r="M157" i="6" s="1"/>
  <c r="M121" i="6"/>
  <c r="K43" i="6"/>
  <c r="L227" i="6"/>
  <c r="M186" i="6"/>
  <c r="K91" i="6"/>
  <c r="K19" i="6"/>
  <c r="K174" i="6"/>
  <c r="T174" i="6" s="1"/>
  <c r="J250" i="6"/>
  <c r="J249" i="6" s="1"/>
  <c r="M172" i="6"/>
  <c r="K139" i="6"/>
  <c r="M139" i="6" s="1"/>
  <c r="M140" i="6"/>
  <c r="J198" i="6"/>
  <c r="J197" i="6" s="1"/>
  <c r="J171" i="6"/>
  <c r="M90" i="6"/>
  <c r="K110" i="6"/>
  <c r="J227" i="6"/>
  <c r="K226" i="6"/>
  <c r="M48" i="6"/>
  <c r="M54" i="6"/>
  <c r="M55" i="6"/>
  <c r="K235" i="6"/>
  <c r="AQ8" i="8"/>
  <c r="AX135" i="6" l="1"/>
  <c r="AU134" i="6"/>
  <c r="AV135" i="6"/>
  <c r="AU141" i="6"/>
  <c r="K220" i="6"/>
  <c r="M45" i="6"/>
  <c r="X131" i="6"/>
  <c r="V131" i="6"/>
  <c r="M50" i="6"/>
  <c r="M49" i="6"/>
  <c r="AT124" i="6"/>
  <c r="AX124" i="6" s="1"/>
  <c r="X124" i="6"/>
  <c r="AX132" i="6"/>
  <c r="AU131" i="6"/>
  <c r="AV132" i="6"/>
  <c r="M158" i="6"/>
  <c r="AT174" i="6"/>
  <c r="X174" i="6"/>
  <c r="AU231" i="6"/>
  <c r="AV130" i="6"/>
  <c r="AX130" i="6"/>
  <c r="M174" i="6"/>
  <c r="M197" i="6"/>
  <c r="K183" i="6"/>
  <c r="M19" i="6"/>
  <c r="M18" i="6"/>
  <c r="K31" i="6"/>
  <c r="M224" i="6"/>
  <c r="M198" i="6"/>
  <c r="M109" i="6"/>
  <c r="M110" i="6"/>
  <c r="M226" i="6"/>
  <c r="K67" i="6"/>
  <c r="M43" i="6"/>
  <c r="M42" i="6"/>
  <c r="K215" i="6"/>
  <c r="L249" i="6"/>
  <c r="M91" i="6"/>
  <c r="AW31" i="8"/>
  <c r="AX174" i="6" l="1"/>
  <c r="AX173" i="6"/>
  <c r="AV140" i="6"/>
  <c r="AV141" i="6"/>
  <c r="M220" i="6"/>
  <c r="K228" i="6"/>
  <c r="AV131" i="6"/>
  <c r="AX131" i="6"/>
  <c r="AV134" i="6"/>
  <c r="AX134" i="6"/>
  <c r="M31" i="6"/>
  <c r="M30" i="6"/>
  <c r="K197" i="6"/>
  <c r="M66" i="6"/>
  <c r="M67" i="6"/>
  <c r="T21" i="8"/>
  <c r="S21" i="8"/>
  <c r="T20" i="8"/>
  <c r="S20" i="8"/>
  <c r="T19" i="8"/>
  <c r="S19" i="8"/>
  <c r="T18" i="8"/>
  <c r="W18" i="8" s="1"/>
  <c r="S18" i="8"/>
  <c r="T17" i="8"/>
  <c r="W17" i="8" s="1"/>
  <c r="S17" i="8"/>
  <c r="T16" i="8"/>
  <c r="S16" i="8"/>
  <c r="T15" i="8"/>
  <c r="W15" i="8" s="1"/>
  <c r="S15" i="8"/>
  <c r="T13" i="8"/>
  <c r="W13" i="8" s="1"/>
  <c r="S13" i="8"/>
  <c r="T12" i="8"/>
  <c r="W12" i="8" s="1"/>
  <c r="S12" i="8"/>
  <c r="T11" i="8"/>
  <c r="W11" i="8" s="1"/>
  <c r="S11" i="8"/>
  <c r="T10" i="8"/>
  <c r="W10" i="8" s="1"/>
  <c r="S10" i="8"/>
  <c r="T9" i="8"/>
  <c r="W9" i="8" s="1"/>
  <c r="S9" i="8"/>
  <c r="T8" i="8"/>
  <c r="S8" i="8"/>
  <c r="T7" i="8"/>
  <c r="S7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16" i="8"/>
  <c r="M23" i="8"/>
  <c r="N21" i="8"/>
  <c r="N20" i="8"/>
  <c r="N19" i="8"/>
  <c r="M21" i="8"/>
  <c r="M20" i="8"/>
  <c r="M19" i="8"/>
  <c r="N18" i="8"/>
  <c r="M18" i="8"/>
  <c r="N17" i="8"/>
  <c r="M17" i="8"/>
  <c r="N16" i="8"/>
  <c r="M16" i="8"/>
  <c r="M15" i="8"/>
  <c r="N15" i="8"/>
  <c r="N13" i="8"/>
  <c r="M13" i="8"/>
  <c r="N12" i="8"/>
  <c r="M12" i="8"/>
  <c r="N11" i="8"/>
  <c r="M11" i="8"/>
  <c r="N10" i="8"/>
  <c r="M10" i="8"/>
  <c r="N9" i="8"/>
  <c r="M9" i="8"/>
  <c r="N8" i="8"/>
  <c r="M8" i="8"/>
  <c r="P6" i="8"/>
  <c r="J6" i="8"/>
  <c r="N7" i="8"/>
  <c r="M7" i="8"/>
  <c r="L5" i="5"/>
  <c r="K5" i="5"/>
  <c r="J5" i="5"/>
  <c r="I5" i="5"/>
  <c r="H5" i="5"/>
  <c r="G5" i="5"/>
  <c r="P22" i="8"/>
  <c r="P14" i="8"/>
  <c r="P30" i="8" s="1"/>
  <c r="P37" i="8"/>
  <c r="P36" i="8"/>
  <c r="P35" i="8"/>
  <c r="P34" i="8"/>
  <c r="P33" i="8"/>
  <c r="P32" i="8"/>
  <c r="K250" i="6" l="1"/>
  <c r="K227" i="6"/>
  <c r="M228" i="6"/>
  <c r="M227" i="6"/>
  <c r="W8" i="8"/>
  <c r="W7" i="8"/>
  <c r="M31" i="8"/>
  <c r="M6" i="8"/>
  <c r="W19" i="8"/>
  <c r="W21" i="8"/>
  <c r="W20" i="8"/>
  <c r="T14" i="8"/>
  <c r="W14" i="8" s="1"/>
  <c r="S14" i="8"/>
  <c r="T6" i="8"/>
  <c r="W6" i="8" s="1"/>
  <c r="S6" i="8"/>
  <c r="M14" i="8"/>
  <c r="N14" i="8"/>
  <c r="Q14" i="8" s="1"/>
  <c r="N6" i="8"/>
  <c r="M250" i="6" l="1"/>
  <c r="M249" i="6"/>
  <c r="K249" i="6"/>
  <c r="Q6" i="8"/>
  <c r="Q8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21" i="8"/>
  <c r="Q20" i="8"/>
  <c r="Q19" i="8"/>
  <c r="Q18" i="8"/>
  <c r="Q17" i="8"/>
  <c r="Q16" i="8"/>
  <c r="Q15" i="8"/>
  <c r="Q13" i="8"/>
  <c r="Q12" i="8"/>
  <c r="Q11" i="8"/>
  <c r="Q10" i="8"/>
  <c r="Q9" i="8"/>
  <c r="Q7" i="8"/>
  <c r="O6" i="9" l="1"/>
  <c r="L6" i="9"/>
  <c r="I6" i="9"/>
  <c r="N6" i="9"/>
  <c r="K6" i="9"/>
  <c r="H6" i="9"/>
  <c r="AI272" i="6" l="1"/>
  <c r="AH272" i="6"/>
  <c r="AE272" i="6"/>
  <c r="AD272" i="6"/>
  <c r="AA272" i="6"/>
  <c r="Z272" i="6"/>
  <c r="P272" i="6"/>
  <c r="O272" i="6"/>
  <c r="L272" i="6"/>
  <c r="K272" i="6"/>
  <c r="H272" i="6"/>
  <c r="AI264" i="6"/>
  <c r="AH264" i="6"/>
  <c r="AE264" i="6"/>
  <c r="AD264" i="6"/>
  <c r="AA264" i="6"/>
  <c r="Z264" i="6"/>
  <c r="X264" i="6"/>
  <c r="P264" i="6"/>
  <c r="O264" i="6"/>
  <c r="L264" i="6"/>
  <c r="K264" i="6"/>
  <c r="H264" i="6"/>
  <c r="G264" i="6"/>
  <c r="X263" i="6"/>
  <c r="X262" i="6"/>
  <c r="X261" i="6"/>
  <c r="X260" i="6"/>
  <c r="AA259" i="6"/>
  <c r="X259" i="6"/>
  <c r="L259" i="6"/>
  <c r="H259" i="6"/>
  <c r="G259" i="6"/>
  <c r="X258" i="6"/>
  <c r="AI257" i="6"/>
  <c r="AH257" i="6"/>
  <c r="AE257" i="6"/>
  <c r="AD257" i="6"/>
  <c r="AA257" i="6"/>
  <c r="Z257" i="6"/>
  <c r="X257" i="6"/>
  <c r="P257" i="6"/>
  <c r="O257" i="6"/>
  <c r="L257" i="6"/>
  <c r="K257" i="6"/>
  <c r="H257" i="6"/>
  <c r="G257" i="6"/>
  <c r="X256" i="6"/>
  <c r="AI255" i="6"/>
  <c r="AH255" i="6"/>
  <c r="AE255" i="6"/>
  <c r="AD255" i="6"/>
  <c r="AA255" i="6"/>
  <c r="Z255" i="6"/>
  <c r="X255" i="6"/>
  <c r="P255" i="6"/>
  <c r="O255" i="6"/>
  <c r="L255" i="6"/>
  <c r="K255" i="6"/>
  <c r="H255" i="6"/>
  <c r="G255" i="6"/>
  <c r="X254" i="6"/>
  <c r="X253" i="6"/>
  <c r="X252" i="6"/>
  <c r="I246" i="6"/>
  <c r="I245" i="6"/>
  <c r="I244" i="6"/>
  <c r="I243" i="6"/>
  <c r="H243" i="6"/>
  <c r="I242" i="6"/>
  <c r="F242" i="6"/>
  <c r="R242" i="6" s="1"/>
  <c r="I241" i="6"/>
  <c r="I240" i="6"/>
  <c r="I238" i="6"/>
  <c r="I232" i="6"/>
  <c r="H231" i="6"/>
  <c r="I230" i="6"/>
  <c r="G225" i="6"/>
  <c r="G223" i="6"/>
  <c r="H214" i="6"/>
  <c r="U214" i="6" s="1"/>
  <c r="G214" i="6"/>
  <c r="T214" i="6" s="1"/>
  <c r="F214" i="6"/>
  <c r="I212" i="6"/>
  <c r="I210" i="6"/>
  <c r="I208" i="6"/>
  <c r="I206" i="6"/>
  <c r="I204" i="6"/>
  <c r="H202" i="6"/>
  <c r="G202" i="6"/>
  <c r="F201" i="6"/>
  <c r="I192" i="6"/>
  <c r="I191" i="6"/>
  <c r="H191" i="6"/>
  <c r="I190" i="6"/>
  <c r="F190" i="6"/>
  <c r="R190" i="6" s="1"/>
  <c r="I189" i="6"/>
  <c r="H184" i="6"/>
  <c r="U184" i="6" s="1"/>
  <c r="G184" i="6"/>
  <c r="T184" i="6" s="1"/>
  <c r="F184" i="6"/>
  <c r="R184" i="6" s="1"/>
  <c r="I182" i="6"/>
  <c r="I180" i="6"/>
  <c r="I178" i="6"/>
  <c r="F178" i="6"/>
  <c r="R178" i="6" s="1"/>
  <c r="I177" i="6"/>
  <c r="I174" i="6"/>
  <c r="H162" i="6"/>
  <c r="G162" i="6"/>
  <c r="F161" i="6"/>
  <c r="I156" i="6"/>
  <c r="I155" i="6"/>
  <c r="I153" i="6"/>
  <c r="I152" i="6"/>
  <c r="I150" i="6"/>
  <c r="I149" i="6"/>
  <c r="I148" i="6"/>
  <c r="I147" i="6"/>
  <c r="H146" i="6"/>
  <c r="G146" i="6"/>
  <c r="T146" i="6" s="1"/>
  <c r="AT146" i="6" s="1"/>
  <c r="F146" i="6"/>
  <c r="I145" i="6"/>
  <c r="I143" i="6"/>
  <c r="I142" i="6"/>
  <c r="H141" i="6"/>
  <c r="U141" i="6" s="1"/>
  <c r="G141" i="6"/>
  <c r="T141" i="6" s="1"/>
  <c r="F141" i="6"/>
  <c r="H138" i="6"/>
  <c r="G138" i="6"/>
  <c r="F138" i="6"/>
  <c r="I137" i="6"/>
  <c r="I136" i="6"/>
  <c r="I135" i="6"/>
  <c r="I134" i="6"/>
  <c r="H134" i="6"/>
  <c r="G134" i="6"/>
  <c r="F134" i="6"/>
  <c r="I133" i="6"/>
  <c r="I132" i="6"/>
  <c r="H131" i="6"/>
  <c r="G131" i="6"/>
  <c r="F131" i="6"/>
  <c r="I130" i="6"/>
  <c r="H129" i="6"/>
  <c r="U129" i="6" s="1"/>
  <c r="G129" i="6"/>
  <c r="T129" i="6" s="1"/>
  <c r="AT129" i="6" s="1"/>
  <c r="F129" i="6"/>
  <c r="R129" i="6" s="1"/>
  <c r="AR129" i="6" s="1"/>
  <c r="I127" i="6"/>
  <c r="I126" i="6"/>
  <c r="I125" i="6"/>
  <c r="I124" i="6"/>
  <c r="I123" i="6"/>
  <c r="Z265" i="6"/>
  <c r="H120" i="6"/>
  <c r="G120" i="6"/>
  <c r="F120" i="6"/>
  <c r="R120" i="6" s="1"/>
  <c r="AR120" i="6" s="1"/>
  <c r="I119" i="6"/>
  <c r="I118" i="6"/>
  <c r="I117" i="6"/>
  <c r="I116" i="6"/>
  <c r="I115" i="6"/>
  <c r="H114" i="6"/>
  <c r="G114" i="6"/>
  <c r="F113" i="6"/>
  <c r="I108" i="6"/>
  <c r="I107" i="6"/>
  <c r="I105" i="6"/>
  <c r="I104" i="6"/>
  <c r="I102" i="6"/>
  <c r="I101" i="6"/>
  <c r="AI259" i="6"/>
  <c r="AH259" i="6"/>
  <c r="AE259" i="6"/>
  <c r="AD259" i="6"/>
  <c r="Z259" i="6"/>
  <c r="P259" i="6"/>
  <c r="O259" i="6"/>
  <c r="K259" i="6"/>
  <c r="I100" i="6"/>
  <c r="F100" i="6"/>
  <c r="R100" i="6" s="1"/>
  <c r="I99" i="6"/>
  <c r="H98" i="6"/>
  <c r="G98" i="6"/>
  <c r="T98" i="6" s="1"/>
  <c r="AT98" i="6" s="1"/>
  <c r="F98" i="6"/>
  <c r="R98" i="6" s="1"/>
  <c r="AR98" i="6" s="1"/>
  <c r="I97" i="6"/>
  <c r="I95" i="6"/>
  <c r="I94" i="6"/>
  <c r="O261" i="6"/>
  <c r="K261" i="6"/>
  <c r="G93" i="6"/>
  <c r="G91" i="6" s="1"/>
  <c r="F93" i="6"/>
  <c r="R93" i="6" s="1"/>
  <c r="H90" i="6"/>
  <c r="G90" i="6"/>
  <c r="T90" i="6" s="1"/>
  <c r="AT90" i="6" s="1"/>
  <c r="F90" i="6"/>
  <c r="I89" i="6"/>
  <c r="H87" i="6"/>
  <c r="G86" i="6"/>
  <c r="F86" i="6"/>
  <c r="I85" i="6"/>
  <c r="H84" i="6"/>
  <c r="H83" i="6" s="1"/>
  <c r="I83" i="6" s="1"/>
  <c r="G83" i="6"/>
  <c r="F83" i="6"/>
  <c r="I82" i="6"/>
  <c r="I81" i="6"/>
  <c r="I80" i="6"/>
  <c r="I79" i="6"/>
  <c r="I78" i="6"/>
  <c r="H77" i="6"/>
  <c r="G77" i="6"/>
  <c r="T77" i="6" s="1"/>
  <c r="F77" i="6"/>
  <c r="I75" i="6"/>
  <c r="I72" i="6"/>
  <c r="H71" i="6"/>
  <c r="G71" i="6"/>
  <c r="F70" i="6"/>
  <c r="H65" i="6"/>
  <c r="G65" i="6"/>
  <c r="F65" i="6"/>
  <c r="H63" i="6"/>
  <c r="G63" i="6"/>
  <c r="F63" i="6"/>
  <c r="G61" i="6"/>
  <c r="I61" i="6" s="1"/>
  <c r="F61" i="6"/>
  <c r="R61" i="6" s="1"/>
  <c r="H59" i="6"/>
  <c r="G59" i="6"/>
  <c r="T59" i="6" s="1"/>
  <c r="F59" i="6"/>
  <c r="H57" i="6"/>
  <c r="U57" i="6" s="1"/>
  <c r="G57" i="6"/>
  <c r="F57" i="6"/>
  <c r="H56" i="6"/>
  <c r="G56" i="6"/>
  <c r="F56" i="6"/>
  <c r="AD267" i="6"/>
  <c r="G55" i="6"/>
  <c r="T55" i="6" s="1"/>
  <c r="AT55" i="6" s="1"/>
  <c r="F55" i="6"/>
  <c r="H53" i="6"/>
  <c r="G53" i="6"/>
  <c r="T53" i="6" s="1"/>
  <c r="AT53" i="6" s="1"/>
  <c r="F53" i="6"/>
  <c r="G52" i="6"/>
  <c r="T52" i="6" s="1"/>
  <c r="F52" i="6"/>
  <c r="H51" i="6"/>
  <c r="U51" i="6" s="1"/>
  <c r="G51" i="6"/>
  <c r="F51" i="6"/>
  <c r="G50" i="6"/>
  <c r="T50" i="6" s="1"/>
  <c r="AT50" i="6" s="1"/>
  <c r="F50" i="6"/>
  <c r="R50" i="6" s="1"/>
  <c r="AR50" i="6" s="1"/>
  <c r="H48" i="6"/>
  <c r="G48" i="6"/>
  <c r="T48" i="6" s="1"/>
  <c r="AT48" i="6" s="1"/>
  <c r="F48" i="6"/>
  <c r="H47" i="6"/>
  <c r="U47" i="6" s="1"/>
  <c r="G47" i="6"/>
  <c r="F47" i="6"/>
  <c r="H46" i="6"/>
  <c r="U46" i="6" s="1"/>
  <c r="G46" i="6"/>
  <c r="F46" i="6"/>
  <c r="R46" i="6" s="1"/>
  <c r="H45" i="6"/>
  <c r="U45" i="6" s="1"/>
  <c r="G45" i="6"/>
  <c r="F45" i="6"/>
  <c r="H44" i="6"/>
  <c r="G44" i="6"/>
  <c r="F44" i="6"/>
  <c r="AH265" i="6"/>
  <c r="AD265" i="6"/>
  <c r="P265" i="6"/>
  <c r="L265" i="6"/>
  <c r="H41" i="6"/>
  <c r="G41" i="6"/>
  <c r="F41" i="6"/>
  <c r="H40" i="6"/>
  <c r="I40" i="6" s="1"/>
  <c r="G40" i="6"/>
  <c r="F40" i="6"/>
  <c r="H39" i="6"/>
  <c r="G39" i="6"/>
  <c r="F39" i="6"/>
  <c r="H38" i="6"/>
  <c r="G38" i="6"/>
  <c r="F38" i="6"/>
  <c r="H37" i="6"/>
  <c r="G37" i="6"/>
  <c r="F37" i="6"/>
  <c r="I36" i="6"/>
  <c r="H36" i="6"/>
  <c r="U36" i="6" s="1"/>
  <c r="G36" i="6"/>
  <c r="T36" i="6" s="1"/>
  <c r="F36" i="6"/>
  <c r="R36" i="6" s="1"/>
  <c r="I35" i="6"/>
  <c r="H35" i="6"/>
  <c r="G35" i="6"/>
  <c r="F35" i="6"/>
  <c r="F34" i="6"/>
  <c r="H29" i="6"/>
  <c r="G29" i="6"/>
  <c r="F29" i="6"/>
  <c r="H27" i="6"/>
  <c r="G27" i="6"/>
  <c r="F27" i="6"/>
  <c r="G25" i="6"/>
  <c r="I24" i="6" s="1"/>
  <c r="F25" i="6"/>
  <c r="H23" i="6"/>
  <c r="G23" i="6"/>
  <c r="F23" i="6"/>
  <c r="H21" i="6"/>
  <c r="G21" i="6"/>
  <c r="F21" i="6"/>
  <c r="I20" i="6"/>
  <c r="H20" i="6"/>
  <c r="G20" i="6"/>
  <c r="F20" i="6"/>
  <c r="I19" i="6"/>
  <c r="G19" i="6"/>
  <c r="I18" i="6" s="1"/>
  <c r="F19" i="6"/>
  <c r="H17" i="6"/>
  <c r="U17" i="6" s="1"/>
  <c r="G17" i="6"/>
  <c r="F17" i="6"/>
  <c r="R17" i="6" s="1"/>
  <c r="AR17" i="6" s="1"/>
  <c r="F16" i="6"/>
  <c r="H15" i="6"/>
  <c r="G15" i="6"/>
  <c r="G16" i="6" s="1"/>
  <c r="F15" i="6"/>
  <c r="H14" i="6"/>
  <c r="I14" i="6" s="1"/>
  <c r="G14" i="6"/>
  <c r="F14" i="6"/>
  <c r="H12" i="6"/>
  <c r="U12" i="6" s="1"/>
  <c r="G12" i="6"/>
  <c r="F12" i="6"/>
  <c r="H11" i="6"/>
  <c r="U11" i="6" s="1"/>
  <c r="G11" i="6"/>
  <c r="T11" i="6" s="1"/>
  <c r="F11" i="6"/>
  <c r="R11" i="6" s="1"/>
  <c r="H10" i="6"/>
  <c r="G10" i="6"/>
  <c r="F10" i="6"/>
  <c r="R10" i="6" s="1"/>
  <c r="H8" i="6"/>
  <c r="U8" i="6" s="1"/>
  <c r="G8" i="6"/>
  <c r="F8" i="6"/>
  <c r="H7" i="6"/>
  <c r="G7" i="6"/>
  <c r="F7" i="6"/>
  <c r="H6" i="6"/>
  <c r="G6" i="6"/>
  <c r="F6" i="6"/>
  <c r="H5" i="6"/>
  <c r="G5" i="6"/>
  <c r="F5" i="6"/>
  <c r="G216" i="6" l="1"/>
  <c r="H183" i="6"/>
  <c r="I13" i="6"/>
  <c r="I84" i="6"/>
  <c r="I214" i="6"/>
  <c r="G181" i="6"/>
  <c r="T16" i="6"/>
  <c r="AT16" i="6" s="1"/>
  <c r="AT181" i="6" s="1"/>
  <c r="G170" i="6"/>
  <c r="T170" i="6" s="1"/>
  <c r="T8" i="6"/>
  <c r="AT8" i="6" s="1"/>
  <c r="F181" i="6"/>
  <c r="R16" i="6"/>
  <c r="F191" i="6"/>
  <c r="R25" i="6"/>
  <c r="R203" i="6"/>
  <c r="AR36" i="6"/>
  <c r="AR203" i="6" s="1"/>
  <c r="G207" i="6"/>
  <c r="T38" i="6"/>
  <c r="AU46" i="6"/>
  <c r="V46" i="6"/>
  <c r="AT59" i="6"/>
  <c r="AT241" i="6" s="1"/>
  <c r="T241" i="6"/>
  <c r="H248" i="6"/>
  <c r="U248" i="6" s="1"/>
  <c r="U65" i="6"/>
  <c r="X140" i="6"/>
  <c r="V141" i="6"/>
  <c r="X141" i="6"/>
  <c r="V140" i="6"/>
  <c r="T216" i="6"/>
  <c r="G23" i="8"/>
  <c r="F166" i="6"/>
  <c r="R166" i="6" s="1"/>
  <c r="R6" i="6"/>
  <c r="AR6" i="6" s="1"/>
  <c r="G168" i="6"/>
  <c r="T168" i="6" s="1"/>
  <c r="T7" i="6"/>
  <c r="AT7" i="6" s="1"/>
  <c r="AU8" i="6"/>
  <c r="U169" i="6"/>
  <c r="I9" i="6"/>
  <c r="U10" i="6"/>
  <c r="F176" i="6"/>
  <c r="R176" i="6" s="1"/>
  <c r="R12" i="6"/>
  <c r="AR12" i="6" s="1"/>
  <c r="F177" i="6"/>
  <c r="R14" i="6"/>
  <c r="AR14" i="6" s="1"/>
  <c r="F179" i="6"/>
  <c r="R15" i="6"/>
  <c r="F185" i="6"/>
  <c r="R20" i="6"/>
  <c r="F187" i="6"/>
  <c r="R21" i="6"/>
  <c r="G189" i="6"/>
  <c r="T23" i="6"/>
  <c r="G191" i="6"/>
  <c r="T25" i="6"/>
  <c r="H194" i="6"/>
  <c r="U194" i="6" s="1"/>
  <c r="U27" i="6"/>
  <c r="H196" i="6"/>
  <c r="U196" i="6" s="1"/>
  <c r="U29" i="6"/>
  <c r="H13" i="8"/>
  <c r="AT36" i="6"/>
  <c r="AT203" i="6" s="1"/>
  <c r="T203" i="6"/>
  <c r="G205" i="6"/>
  <c r="T37" i="6"/>
  <c r="H207" i="6"/>
  <c r="U38" i="6"/>
  <c r="F211" i="6"/>
  <c r="R40" i="6"/>
  <c r="F213" i="6"/>
  <c r="R41" i="6"/>
  <c r="AR41" i="6" s="1"/>
  <c r="I44" i="6"/>
  <c r="U44" i="6"/>
  <c r="I45" i="6"/>
  <c r="F223" i="6"/>
  <c r="R47" i="6"/>
  <c r="F229" i="6"/>
  <c r="R51" i="6"/>
  <c r="AT52" i="6"/>
  <c r="T231" i="6"/>
  <c r="X52" i="6"/>
  <c r="G237" i="6"/>
  <c r="T56" i="6"/>
  <c r="G239" i="6"/>
  <c r="T57" i="6"/>
  <c r="H241" i="6"/>
  <c r="U59" i="6"/>
  <c r="H245" i="6"/>
  <c r="U63" i="6"/>
  <c r="I65" i="6"/>
  <c r="I76" i="6"/>
  <c r="U77" i="6"/>
  <c r="V100" i="6"/>
  <c r="AR100" i="6"/>
  <c r="V99" i="6"/>
  <c r="F122" i="6"/>
  <c r="AU129" i="6"/>
  <c r="X129" i="6"/>
  <c r="X128" i="6"/>
  <c r="V129" i="6"/>
  <c r="V128" i="6"/>
  <c r="I131" i="6"/>
  <c r="I138" i="6"/>
  <c r="U138" i="6"/>
  <c r="U139" i="6" s="1"/>
  <c r="I183" i="6"/>
  <c r="I184" i="6"/>
  <c r="AT214" i="6"/>
  <c r="AR242" i="6"/>
  <c r="V241" i="6"/>
  <c r="V242" i="6"/>
  <c r="F168" i="6"/>
  <c r="R168" i="6" s="1"/>
  <c r="R7" i="6"/>
  <c r="AR7" i="6" s="1"/>
  <c r="AU11" i="6"/>
  <c r="X11" i="6"/>
  <c r="V11" i="6"/>
  <c r="U173" i="6"/>
  <c r="AU17" i="6"/>
  <c r="V17" i="6"/>
  <c r="F189" i="6"/>
  <c r="R23" i="6"/>
  <c r="AR23" i="6" s="1"/>
  <c r="AR189" i="6" s="1"/>
  <c r="G194" i="6"/>
  <c r="T194" i="6" s="1"/>
  <c r="T27" i="6"/>
  <c r="AT27" i="6" s="1"/>
  <c r="G196" i="6"/>
  <c r="T196" i="6" s="1"/>
  <c r="T29" i="6"/>
  <c r="AT29" i="6" s="1"/>
  <c r="G13" i="8"/>
  <c r="F205" i="6"/>
  <c r="R37" i="6"/>
  <c r="H209" i="6"/>
  <c r="U39" i="6"/>
  <c r="AU45" i="6"/>
  <c r="U219" i="6"/>
  <c r="F225" i="6"/>
  <c r="R48" i="6"/>
  <c r="F231" i="6"/>
  <c r="R52" i="6"/>
  <c r="F237" i="6"/>
  <c r="R56" i="6"/>
  <c r="G243" i="6"/>
  <c r="T61" i="6"/>
  <c r="AR178" i="6"/>
  <c r="V177" i="6"/>
  <c r="V178" i="6"/>
  <c r="F216" i="6"/>
  <c r="R216" i="6" s="1"/>
  <c r="R214" i="6"/>
  <c r="F164" i="6"/>
  <c r="R164" i="6" s="1"/>
  <c r="R5" i="6"/>
  <c r="AR5" i="6" s="1"/>
  <c r="G166" i="6"/>
  <c r="T166" i="6" s="1"/>
  <c r="T6" i="6"/>
  <c r="AT6" i="6" s="1"/>
  <c r="H168" i="6"/>
  <c r="U168" i="6" s="1"/>
  <c r="U7" i="6"/>
  <c r="I8" i="6"/>
  <c r="AR11" i="6"/>
  <c r="AR173" i="6" s="1"/>
  <c r="R173" i="6"/>
  <c r="G176" i="6"/>
  <c r="T176" i="6" s="1"/>
  <c r="T12" i="6"/>
  <c r="G177" i="6"/>
  <c r="T14" i="6"/>
  <c r="G179" i="6"/>
  <c r="T15" i="6"/>
  <c r="AT15" i="6" s="1"/>
  <c r="AT179" i="6" s="1"/>
  <c r="F183" i="6"/>
  <c r="R19" i="6"/>
  <c r="G186" i="6"/>
  <c r="T186" i="6" s="1"/>
  <c r="T20" i="6"/>
  <c r="AT20" i="6" s="1"/>
  <c r="G188" i="6"/>
  <c r="T188" i="6" s="1"/>
  <c r="T21" i="6"/>
  <c r="AT21" i="6" s="1"/>
  <c r="H189" i="6"/>
  <c r="U23" i="6"/>
  <c r="I26" i="6"/>
  <c r="I28" i="6"/>
  <c r="I29" i="6"/>
  <c r="AU36" i="6"/>
  <c r="X36" i="6"/>
  <c r="U203" i="6"/>
  <c r="V36" i="6"/>
  <c r="H205" i="6"/>
  <c r="U37" i="6"/>
  <c r="F209" i="6"/>
  <c r="R39" i="6"/>
  <c r="G211" i="6"/>
  <c r="T40" i="6"/>
  <c r="G213" i="6"/>
  <c r="T41" i="6"/>
  <c r="AT41" i="6" s="1"/>
  <c r="F220" i="6"/>
  <c r="R220" i="6" s="1"/>
  <c r="R45" i="6"/>
  <c r="AR45" i="6" s="1"/>
  <c r="AR46" i="6"/>
  <c r="R221" i="6"/>
  <c r="I47" i="6"/>
  <c r="T47" i="6"/>
  <c r="AT47" i="6" s="1"/>
  <c r="I48" i="6"/>
  <c r="U48" i="6"/>
  <c r="G229" i="6"/>
  <c r="T51" i="6"/>
  <c r="F234" i="6"/>
  <c r="R234" i="6" s="1"/>
  <c r="R53" i="6"/>
  <c r="AR53" i="6" s="1"/>
  <c r="H237" i="6"/>
  <c r="U56" i="6"/>
  <c r="AU57" i="6"/>
  <c r="U239" i="6"/>
  <c r="X57" i="6"/>
  <c r="I60" i="6"/>
  <c r="I62" i="6"/>
  <c r="F248" i="6"/>
  <c r="R248" i="6" s="1"/>
  <c r="R65" i="6"/>
  <c r="AR65" i="6" s="1"/>
  <c r="I77" i="6"/>
  <c r="F91" i="6"/>
  <c r="R90" i="6"/>
  <c r="AR90" i="6" s="1"/>
  <c r="AR93" i="6"/>
  <c r="G122" i="6"/>
  <c r="T120" i="6"/>
  <c r="AT120" i="6" s="1"/>
  <c r="I146" i="6"/>
  <c r="U146" i="6"/>
  <c r="AR184" i="6"/>
  <c r="R183" i="6"/>
  <c r="AU214" i="6"/>
  <c r="X214" i="6"/>
  <c r="H164" i="6"/>
  <c r="U164" i="6" s="1"/>
  <c r="U5" i="6"/>
  <c r="G31" i="6"/>
  <c r="T10" i="6"/>
  <c r="G218" i="6"/>
  <c r="T218" i="6" s="1"/>
  <c r="T44" i="6"/>
  <c r="AT44" i="6" s="1"/>
  <c r="H234" i="6"/>
  <c r="U234" i="6" s="1"/>
  <c r="U53" i="6"/>
  <c r="F239" i="6"/>
  <c r="R57" i="6"/>
  <c r="V57" i="6" s="1"/>
  <c r="G245" i="6"/>
  <c r="T63" i="6"/>
  <c r="AT77" i="6"/>
  <c r="I87" i="6"/>
  <c r="U87" i="6"/>
  <c r="I90" i="6"/>
  <c r="U90" i="6"/>
  <c r="G139" i="6"/>
  <c r="T138" i="6"/>
  <c r="AT138" i="6" s="1"/>
  <c r="AU184" i="6"/>
  <c r="V183" i="6"/>
  <c r="U183" i="6"/>
  <c r="X183" i="6"/>
  <c r="X184" i="6"/>
  <c r="V184" i="6"/>
  <c r="G164" i="6"/>
  <c r="T164" i="6" s="1"/>
  <c r="T5" i="6"/>
  <c r="AT5" i="6" s="1"/>
  <c r="H166" i="6"/>
  <c r="U166" i="6" s="1"/>
  <c r="U6" i="6"/>
  <c r="F170" i="6"/>
  <c r="R170" i="6" s="1"/>
  <c r="R8" i="6"/>
  <c r="AR8" i="6" s="1"/>
  <c r="AR10" i="6"/>
  <c r="AT11" i="6"/>
  <c r="AT173" i="6" s="1"/>
  <c r="T173" i="6"/>
  <c r="AU12" i="6"/>
  <c r="X12" i="6"/>
  <c r="V12" i="6"/>
  <c r="U175" i="6"/>
  <c r="H177" i="6"/>
  <c r="U14" i="6"/>
  <c r="H179" i="6"/>
  <c r="U15" i="6"/>
  <c r="I17" i="6"/>
  <c r="T17" i="6"/>
  <c r="AT17" i="6" s="1"/>
  <c r="G183" i="6"/>
  <c r="T19" i="6"/>
  <c r="T183" i="6" s="1"/>
  <c r="H186" i="6"/>
  <c r="U186" i="6" s="1"/>
  <c r="U20" i="6"/>
  <c r="H188" i="6"/>
  <c r="U188" i="6" s="1"/>
  <c r="U21" i="6"/>
  <c r="F194" i="6"/>
  <c r="R194" i="6" s="1"/>
  <c r="R27" i="6"/>
  <c r="AR27" i="6" s="1"/>
  <c r="F195" i="6"/>
  <c r="R29" i="6"/>
  <c r="F208" i="6"/>
  <c r="R208" i="6" s="1"/>
  <c r="R38" i="6"/>
  <c r="AR38" i="6" s="1"/>
  <c r="G209" i="6"/>
  <c r="T39" i="6"/>
  <c r="AT39" i="6" s="1"/>
  <c r="AT209" i="6" s="1"/>
  <c r="H211" i="6"/>
  <c r="U40" i="6"/>
  <c r="F218" i="6"/>
  <c r="R218" i="6" s="1"/>
  <c r="R44" i="6"/>
  <c r="AR44" i="6" s="1"/>
  <c r="G220" i="6"/>
  <c r="T220" i="6" s="1"/>
  <c r="T45" i="6"/>
  <c r="AT45" i="6" s="1"/>
  <c r="G222" i="6"/>
  <c r="T222" i="6" s="1"/>
  <c r="T46" i="6"/>
  <c r="AT46" i="6" s="1"/>
  <c r="AU47" i="6"/>
  <c r="V47" i="6"/>
  <c r="U223" i="6"/>
  <c r="AU51" i="6"/>
  <c r="U229" i="6"/>
  <c r="I56" i="6"/>
  <c r="F241" i="6"/>
  <c r="R59" i="6"/>
  <c r="AR59" i="6" s="1"/>
  <c r="AR61" i="6"/>
  <c r="V60" i="6"/>
  <c r="V61" i="6"/>
  <c r="R243" i="6"/>
  <c r="F245" i="6"/>
  <c r="R63" i="6"/>
  <c r="G248" i="6"/>
  <c r="T248" i="6" s="1"/>
  <c r="T65" i="6"/>
  <c r="AT65" i="6" s="1"/>
  <c r="F110" i="6"/>
  <c r="R77" i="6"/>
  <c r="H93" i="6"/>
  <c r="U93" i="6" s="1"/>
  <c r="U84" i="6"/>
  <c r="G261" i="6"/>
  <c r="T93" i="6"/>
  <c r="I98" i="6"/>
  <c r="U98" i="6"/>
  <c r="H122" i="6"/>
  <c r="U120" i="6"/>
  <c r="F139" i="6"/>
  <c r="R138" i="6"/>
  <c r="AT141" i="6"/>
  <c r="T139" i="6"/>
  <c r="AT184" i="6"/>
  <c r="V189" i="6"/>
  <c r="R189" i="6"/>
  <c r="V190" i="6"/>
  <c r="AE271" i="6"/>
  <c r="G231" i="6"/>
  <c r="I52" i="6"/>
  <c r="F243" i="6"/>
  <c r="I128" i="6"/>
  <c r="I129" i="6"/>
  <c r="H50" i="6"/>
  <c r="U50" i="6" s="1"/>
  <c r="I5" i="6"/>
  <c r="I10" i="6"/>
  <c r="I15" i="6"/>
  <c r="H16" i="6"/>
  <c r="U16" i="6" s="1"/>
  <c r="H261" i="6"/>
  <c r="I92" i="6"/>
  <c r="I93" i="6"/>
  <c r="H91" i="6"/>
  <c r="I91" i="6" s="1"/>
  <c r="I11" i="6"/>
  <c r="I23" i="6"/>
  <c r="I25" i="6"/>
  <c r="I193" i="6"/>
  <c r="I194" i="6"/>
  <c r="F31" i="6"/>
  <c r="K271" i="6"/>
  <c r="O271" i="6"/>
  <c r="I38" i="6"/>
  <c r="F228" i="6"/>
  <c r="R228" i="6" s="1"/>
  <c r="H229" i="6"/>
  <c r="H55" i="6"/>
  <c r="U55" i="6" s="1"/>
  <c r="I51" i="6"/>
  <c r="G234" i="6"/>
  <c r="T234" i="6" s="1"/>
  <c r="I53" i="6"/>
  <c r="I234" i="6" s="1"/>
  <c r="H239" i="6"/>
  <c r="I57" i="6"/>
  <c r="AE261" i="6"/>
  <c r="H31" i="6"/>
  <c r="AA271" i="6"/>
  <c r="AE253" i="6"/>
  <c r="AI271" i="6"/>
  <c r="F172" i="6"/>
  <c r="R172" i="6" s="1"/>
  <c r="I176" i="6"/>
  <c r="I21" i="6"/>
  <c r="I37" i="6"/>
  <c r="K265" i="6"/>
  <c r="H222" i="6"/>
  <c r="U222" i="6" s="1"/>
  <c r="I46" i="6"/>
  <c r="AA253" i="6"/>
  <c r="P261" i="6"/>
  <c r="I6" i="6"/>
  <c r="I168" i="6"/>
  <c r="G172" i="6"/>
  <c r="T172" i="6" s="1"/>
  <c r="I170" i="6"/>
  <c r="I7" i="6"/>
  <c r="I12" i="6"/>
  <c r="I22" i="6"/>
  <c r="I27" i="6"/>
  <c r="H271" i="6"/>
  <c r="H203" i="6"/>
  <c r="L271" i="6"/>
  <c r="P271" i="6"/>
  <c r="Z271" i="6"/>
  <c r="AD271" i="6"/>
  <c r="AH271" i="6"/>
  <c r="I39" i="6"/>
  <c r="H213" i="6"/>
  <c r="I41" i="6"/>
  <c r="G241" i="6"/>
  <c r="I58" i="6"/>
  <c r="I59" i="6"/>
  <c r="AI253" i="6"/>
  <c r="L261" i="6"/>
  <c r="G228" i="6"/>
  <c r="T228" i="6" s="1"/>
  <c r="H236" i="6"/>
  <c r="U236" i="6" s="1"/>
  <c r="O267" i="6"/>
  <c r="I64" i="6"/>
  <c r="AH261" i="6"/>
  <c r="AE265" i="6"/>
  <c r="G266" i="6"/>
  <c r="K266" i="6"/>
  <c r="O266" i="6"/>
  <c r="G253" i="6"/>
  <c r="G110" i="6"/>
  <c r="K253" i="6"/>
  <c r="O253" i="6"/>
  <c r="AD261" i="6"/>
  <c r="G158" i="6"/>
  <c r="AH266" i="6"/>
  <c r="F236" i="6"/>
  <c r="F235" i="6" s="1"/>
  <c r="I63" i="6"/>
  <c r="I247" i="6"/>
  <c r="I248" i="6"/>
  <c r="H253" i="6"/>
  <c r="H110" i="6"/>
  <c r="L253" i="6"/>
  <c r="P253" i="6"/>
  <c r="Z253" i="6"/>
  <c r="AD253" i="6"/>
  <c r="AH253" i="6"/>
  <c r="H86" i="6"/>
  <c r="I86" i="6" s="1"/>
  <c r="Z261" i="6"/>
  <c r="I121" i="6"/>
  <c r="H139" i="6"/>
  <c r="I139" i="6" s="1"/>
  <c r="I140" i="6"/>
  <c r="I141" i="6"/>
  <c r="I120" i="6"/>
  <c r="G224" i="6"/>
  <c r="T224" i="6" s="1"/>
  <c r="H216" i="6"/>
  <c r="U216" i="6" s="1"/>
  <c r="G226" i="6"/>
  <c r="T226" i="6" s="1"/>
  <c r="AW14" i="8"/>
  <c r="AW6" i="8"/>
  <c r="K55" i="8"/>
  <c r="K54" i="8"/>
  <c r="K53" i="8"/>
  <c r="K52" i="8"/>
  <c r="K51" i="8"/>
  <c r="K50" i="8"/>
  <c r="K49" i="8"/>
  <c r="K48" i="8"/>
  <c r="K46" i="8"/>
  <c r="K45" i="8"/>
  <c r="K44" i="8"/>
  <c r="K43" i="8"/>
  <c r="K42" i="8"/>
  <c r="K41" i="8"/>
  <c r="K40" i="8"/>
  <c r="K39" i="8"/>
  <c r="J37" i="8"/>
  <c r="J36" i="8"/>
  <c r="J35" i="8"/>
  <c r="J34" i="8"/>
  <c r="J33" i="8"/>
  <c r="J32" i="8"/>
  <c r="J31" i="8"/>
  <c r="J22" i="8"/>
  <c r="J30" i="8" s="1"/>
  <c r="J14" i="8"/>
  <c r="R241" i="6" l="1"/>
  <c r="AT10" i="6"/>
  <c r="T31" i="6"/>
  <c r="AR91" i="6"/>
  <c r="AR248" i="6"/>
  <c r="AR247" i="6" s="1"/>
  <c r="R247" i="6"/>
  <c r="AR220" i="6"/>
  <c r="R219" i="6"/>
  <c r="V220" i="6"/>
  <c r="AV36" i="6"/>
  <c r="AX36" i="6"/>
  <c r="AU203" i="6"/>
  <c r="AU23" i="6"/>
  <c r="V22" i="6"/>
  <c r="V23" i="6"/>
  <c r="U189" i="6"/>
  <c r="X22" i="6"/>
  <c r="X23" i="6"/>
  <c r="T175" i="6"/>
  <c r="AT12" i="6"/>
  <c r="AT166" i="6"/>
  <c r="AT165" i="6" s="1"/>
  <c r="T165" i="6"/>
  <c r="AR216" i="6"/>
  <c r="AR177" i="6"/>
  <c r="AV177" i="6"/>
  <c r="AV178" i="6"/>
  <c r="X45" i="6"/>
  <c r="X17" i="6"/>
  <c r="R167" i="6"/>
  <c r="AR168" i="6"/>
  <c r="AR167" i="6" s="1"/>
  <c r="AR241" i="6"/>
  <c r="AV241" i="6"/>
  <c r="AV242" i="6"/>
  <c r="AV128" i="6"/>
  <c r="AX128" i="6"/>
  <c r="AX129" i="6"/>
  <c r="AV129" i="6"/>
  <c r="AU63" i="6"/>
  <c r="V62" i="6"/>
  <c r="U245" i="6"/>
  <c r="X62" i="6"/>
  <c r="X63" i="6"/>
  <c r="V63" i="6"/>
  <c r="AT57" i="6"/>
  <c r="AT239" i="6" s="1"/>
  <c r="T239" i="6"/>
  <c r="AU44" i="6"/>
  <c r="V44" i="6"/>
  <c r="X44" i="6"/>
  <c r="U217" i="6"/>
  <c r="AR40" i="6"/>
  <c r="AR211" i="6" s="1"/>
  <c r="R211" i="6"/>
  <c r="AT37" i="6"/>
  <c r="AT205" i="6" s="1"/>
  <c r="T205" i="6"/>
  <c r="AU194" i="6"/>
  <c r="X194" i="6"/>
  <c r="V194" i="6"/>
  <c r="X193" i="6"/>
  <c r="V193" i="6"/>
  <c r="U193" i="6"/>
  <c r="AV8" i="6"/>
  <c r="AX8" i="6"/>
  <c r="AR166" i="6"/>
  <c r="AR165" i="6" s="1"/>
  <c r="R165" i="6"/>
  <c r="U247" i="6"/>
  <c r="AU65" i="6"/>
  <c r="X64" i="6"/>
  <c r="X65" i="6"/>
  <c r="V65" i="6"/>
  <c r="V64" i="6"/>
  <c r="X46" i="6"/>
  <c r="AT170" i="6"/>
  <c r="X170" i="6"/>
  <c r="T169" i="6"/>
  <c r="AT224" i="6"/>
  <c r="T223" i="6"/>
  <c r="X224" i="6"/>
  <c r="AT234" i="6"/>
  <c r="AT233" i="6" s="1"/>
  <c r="T233" i="6"/>
  <c r="AU120" i="6"/>
  <c r="X120" i="6"/>
  <c r="V120" i="6"/>
  <c r="AT93" i="6"/>
  <c r="AT91" i="6" s="1"/>
  <c r="T91" i="6"/>
  <c r="AR63" i="6"/>
  <c r="AR245" i="6" s="1"/>
  <c r="R245" i="6"/>
  <c r="AT220" i="6"/>
  <c r="T219" i="6"/>
  <c r="X220" i="6"/>
  <c r="AR194" i="6"/>
  <c r="AR193" i="6" s="1"/>
  <c r="R193" i="6"/>
  <c r="AV12" i="6"/>
  <c r="AX12" i="6"/>
  <c r="AU175" i="6"/>
  <c r="AU166" i="6"/>
  <c r="V166" i="6"/>
  <c r="U165" i="6"/>
  <c r="X166" i="6"/>
  <c r="AV183" i="6"/>
  <c r="AV184" i="6"/>
  <c r="AX183" i="6"/>
  <c r="AU183" i="6"/>
  <c r="AX184" i="6"/>
  <c r="AT218" i="6"/>
  <c r="T217" i="6"/>
  <c r="X218" i="6"/>
  <c r="AX213" i="6"/>
  <c r="AX214" i="6"/>
  <c r="AU56" i="6"/>
  <c r="U237" i="6"/>
  <c r="X56" i="6"/>
  <c r="V56" i="6"/>
  <c r="AT51" i="6"/>
  <c r="AT229" i="6" s="1"/>
  <c r="T229" i="6"/>
  <c r="AU37" i="6"/>
  <c r="X37" i="6"/>
  <c r="U205" i="6"/>
  <c r="V37" i="6"/>
  <c r="U41" i="6"/>
  <c r="AR214" i="6"/>
  <c r="AR213" i="6" s="1"/>
  <c r="R213" i="6"/>
  <c r="AR48" i="6"/>
  <c r="AR225" i="6" s="1"/>
  <c r="R225" i="6"/>
  <c r="AV45" i="6"/>
  <c r="AX45" i="6"/>
  <c r="AU219" i="6"/>
  <c r="AR37" i="6"/>
  <c r="AR205" i="6" s="1"/>
  <c r="R205" i="6"/>
  <c r="AR51" i="6"/>
  <c r="AR229" i="6" s="1"/>
  <c r="R229" i="6"/>
  <c r="AU27" i="6"/>
  <c r="X26" i="6"/>
  <c r="V27" i="6"/>
  <c r="X27" i="6"/>
  <c r="V26" i="6"/>
  <c r="X139" i="6"/>
  <c r="AT38" i="6"/>
  <c r="T209" i="6"/>
  <c r="T207" i="6"/>
  <c r="I220" i="6"/>
  <c r="I196" i="6"/>
  <c r="I186" i="6"/>
  <c r="H172" i="6"/>
  <c r="U172" i="6" s="1"/>
  <c r="AT139" i="6"/>
  <c r="AX141" i="6"/>
  <c r="AX140" i="6"/>
  <c r="AR243" i="6"/>
  <c r="AV60" i="6"/>
  <c r="AV61" i="6"/>
  <c r="V51" i="6"/>
  <c r="AU21" i="6"/>
  <c r="V21" i="6"/>
  <c r="X21" i="6"/>
  <c r="AU15" i="6"/>
  <c r="U179" i="6"/>
  <c r="X15" i="6"/>
  <c r="V15" i="6"/>
  <c r="AU87" i="6"/>
  <c r="X87" i="6"/>
  <c r="V87" i="6"/>
  <c r="U86" i="6"/>
  <c r="AT63" i="6"/>
  <c r="AT245" i="6" s="1"/>
  <c r="T245" i="6"/>
  <c r="AU216" i="6"/>
  <c r="V215" i="6"/>
  <c r="V216" i="6"/>
  <c r="X215" i="6"/>
  <c r="X216" i="6"/>
  <c r="F250" i="6"/>
  <c r="U235" i="6"/>
  <c r="I195" i="6"/>
  <c r="I188" i="6"/>
  <c r="X54" i="6"/>
  <c r="X55" i="6"/>
  <c r="AU16" i="6"/>
  <c r="V16" i="6"/>
  <c r="X16" i="6"/>
  <c r="U181" i="6"/>
  <c r="AU50" i="6"/>
  <c r="V49" i="6"/>
  <c r="X50" i="6"/>
  <c r="V50" i="6"/>
  <c r="X49" i="6"/>
  <c r="I164" i="6"/>
  <c r="AR138" i="6"/>
  <c r="AR139" i="6" s="1"/>
  <c r="R139" i="6"/>
  <c r="V139" i="6" s="1"/>
  <c r="AU98" i="6"/>
  <c r="X98" i="6"/>
  <c r="V98" i="6"/>
  <c r="AU84" i="6"/>
  <c r="X84" i="6"/>
  <c r="V84" i="6"/>
  <c r="U83" i="6"/>
  <c r="X47" i="6"/>
  <c r="AT222" i="6"/>
  <c r="AT221" i="6" s="1"/>
  <c r="T221" i="6"/>
  <c r="AR218" i="6"/>
  <c r="R217" i="6"/>
  <c r="V218" i="6"/>
  <c r="AU188" i="6"/>
  <c r="V188" i="6"/>
  <c r="X188" i="6"/>
  <c r="U187" i="6"/>
  <c r="AR170" i="6"/>
  <c r="V170" i="6"/>
  <c r="R169" i="6"/>
  <c r="AT164" i="6"/>
  <c r="AT163" i="6" s="1"/>
  <c r="T163" i="6"/>
  <c r="AU234" i="6"/>
  <c r="U233" i="6"/>
  <c r="X234" i="6"/>
  <c r="V234" i="6"/>
  <c r="V214" i="6"/>
  <c r="T122" i="6"/>
  <c r="G43" i="6"/>
  <c r="AU48" i="6"/>
  <c r="X48" i="6"/>
  <c r="V48" i="6"/>
  <c r="U225" i="6"/>
  <c r="R209" i="6"/>
  <c r="AR39" i="6"/>
  <c r="AR209" i="6" s="1"/>
  <c r="AT186" i="6"/>
  <c r="T185" i="6"/>
  <c r="AT176" i="6"/>
  <c r="X176" i="6"/>
  <c r="AU7" i="6"/>
  <c r="V7" i="6"/>
  <c r="X7" i="6"/>
  <c r="R177" i="6"/>
  <c r="AT61" i="6"/>
  <c r="X60" i="6"/>
  <c r="X61" i="6"/>
  <c r="T243" i="6"/>
  <c r="AR52" i="6"/>
  <c r="R231" i="6"/>
  <c r="R55" i="6"/>
  <c r="V55" i="6" s="1"/>
  <c r="V52" i="6"/>
  <c r="AU39" i="6"/>
  <c r="U209" i="6"/>
  <c r="X39" i="6"/>
  <c r="V39" i="6"/>
  <c r="AT194" i="6"/>
  <c r="AT193" i="6" s="1"/>
  <c r="T193" i="6"/>
  <c r="T213" i="6"/>
  <c r="AU138" i="6"/>
  <c r="V138" i="6"/>
  <c r="X138" i="6"/>
  <c r="F158" i="6"/>
  <c r="R122" i="6"/>
  <c r="F43" i="6"/>
  <c r="AU77" i="6"/>
  <c r="U110" i="6"/>
  <c r="V76" i="6"/>
  <c r="V77" i="6"/>
  <c r="X77" i="6"/>
  <c r="X76" i="6"/>
  <c r="R223" i="6"/>
  <c r="AR47" i="6"/>
  <c r="AR223" i="6" s="1"/>
  <c r="AU29" i="6"/>
  <c r="X28" i="6"/>
  <c r="X29" i="6"/>
  <c r="V29" i="6"/>
  <c r="V28" i="6"/>
  <c r="AT25" i="6"/>
  <c r="X24" i="6"/>
  <c r="X25" i="6"/>
  <c r="T191" i="6"/>
  <c r="AR21" i="6"/>
  <c r="AR187" i="6" s="1"/>
  <c r="R187" i="6"/>
  <c r="AR15" i="6"/>
  <c r="AR179" i="6" s="1"/>
  <c r="R179" i="6"/>
  <c r="V8" i="6"/>
  <c r="AU248" i="6"/>
  <c r="X248" i="6"/>
  <c r="V247" i="6"/>
  <c r="X247" i="6"/>
  <c r="V248" i="6"/>
  <c r="AR16" i="6"/>
  <c r="AR181" i="6" s="1"/>
  <c r="R181" i="6"/>
  <c r="AT228" i="6"/>
  <c r="AT227" i="6" s="1"/>
  <c r="T227" i="6"/>
  <c r="AR172" i="6"/>
  <c r="R198" i="6"/>
  <c r="R171" i="6"/>
  <c r="AR228" i="6"/>
  <c r="AR227" i="6" s="1"/>
  <c r="R227" i="6"/>
  <c r="AR77" i="6"/>
  <c r="AR110" i="6" s="1"/>
  <c r="AR111" i="6" s="1"/>
  <c r="R110" i="6"/>
  <c r="R111" i="6" s="1"/>
  <c r="AV51" i="6"/>
  <c r="AX51" i="6"/>
  <c r="AU229" i="6"/>
  <c r="AU55" i="6"/>
  <c r="AX47" i="6"/>
  <c r="AV47" i="6"/>
  <c r="AU223" i="6"/>
  <c r="AR208" i="6"/>
  <c r="R207" i="6"/>
  <c r="V208" i="6"/>
  <c r="AU186" i="6"/>
  <c r="V186" i="6"/>
  <c r="U185" i="6"/>
  <c r="X186" i="6"/>
  <c r="AT110" i="6"/>
  <c r="AT111" i="6" s="1"/>
  <c r="AU164" i="6"/>
  <c r="X164" i="6"/>
  <c r="U163" i="6"/>
  <c r="V164" i="6"/>
  <c r="AT40" i="6"/>
  <c r="AT211" i="6" s="1"/>
  <c r="T211" i="6"/>
  <c r="AT188" i="6"/>
  <c r="AT187" i="6" s="1"/>
  <c r="T187" i="6"/>
  <c r="R237" i="6"/>
  <c r="AR56" i="6"/>
  <c r="AR237" i="6" s="1"/>
  <c r="AT196" i="6"/>
  <c r="AT195" i="6" s="1"/>
  <c r="T195" i="6"/>
  <c r="AV99" i="6"/>
  <c r="AV100" i="6"/>
  <c r="AT23" i="6"/>
  <c r="T189" i="6"/>
  <c r="AR20" i="6"/>
  <c r="AR185" i="6" s="1"/>
  <c r="R185" i="6"/>
  <c r="AU10" i="6"/>
  <c r="V10" i="6"/>
  <c r="U31" i="6"/>
  <c r="V9" i="6"/>
  <c r="X9" i="6"/>
  <c r="X10" i="6"/>
  <c r="R191" i="6"/>
  <c r="AR25" i="6"/>
  <c r="V24" i="6"/>
  <c r="V25" i="6"/>
  <c r="AT226" i="6"/>
  <c r="T225" i="6"/>
  <c r="X226" i="6"/>
  <c r="AT172" i="6"/>
  <c r="T198" i="6"/>
  <c r="T197" i="6" s="1"/>
  <c r="T171" i="6"/>
  <c r="I166" i="6"/>
  <c r="U122" i="6"/>
  <c r="H43" i="6"/>
  <c r="AR29" i="6"/>
  <c r="AR195" i="6" s="1"/>
  <c r="R195" i="6"/>
  <c r="AT19" i="6"/>
  <c r="X19" i="6"/>
  <c r="X18" i="6"/>
  <c r="AU53" i="6"/>
  <c r="X53" i="6"/>
  <c r="V53" i="6"/>
  <c r="I122" i="6"/>
  <c r="I218" i="6"/>
  <c r="AU222" i="6"/>
  <c r="U221" i="6"/>
  <c r="X222" i="6"/>
  <c r="V222" i="6"/>
  <c r="H158" i="6"/>
  <c r="I157" i="6" s="1"/>
  <c r="AU93" i="6"/>
  <c r="U91" i="6"/>
  <c r="X93" i="6"/>
  <c r="V93" i="6"/>
  <c r="V92" i="6"/>
  <c r="X92" i="6"/>
  <c r="AT248" i="6"/>
  <c r="AT247" i="6" s="1"/>
  <c r="T247" i="6"/>
  <c r="X51" i="6"/>
  <c r="AU40" i="6"/>
  <c r="V40" i="6"/>
  <c r="X40" i="6"/>
  <c r="U211" i="6"/>
  <c r="AU20" i="6"/>
  <c r="X20" i="6"/>
  <c r="V20" i="6"/>
  <c r="AU14" i="6"/>
  <c r="X14" i="6"/>
  <c r="X13" i="6"/>
  <c r="U177" i="6"/>
  <c r="V14" i="6"/>
  <c r="V13" i="6"/>
  <c r="R31" i="6"/>
  <c r="AU6" i="6"/>
  <c r="V6" i="6"/>
  <c r="X6" i="6"/>
  <c r="AU90" i="6"/>
  <c r="V90" i="6"/>
  <c r="X90" i="6"/>
  <c r="T110" i="6"/>
  <c r="T111" i="6" s="1"/>
  <c r="AR57" i="6"/>
  <c r="AR239" i="6" s="1"/>
  <c r="R239" i="6"/>
  <c r="AU5" i="6"/>
  <c r="X5" i="6"/>
  <c r="V5" i="6"/>
  <c r="AU146" i="6"/>
  <c r="X146" i="6"/>
  <c r="V146" i="6"/>
  <c r="R91" i="6"/>
  <c r="AX57" i="6"/>
  <c r="AU239" i="6"/>
  <c r="AR234" i="6"/>
  <c r="R236" i="6"/>
  <c r="R250" i="6" s="1"/>
  <c r="R233" i="6"/>
  <c r="AR19" i="6"/>
  <c r="V18" i="6"/>
  <c r="V19" i="6"/>
  <c r="AT14" i="6"/>
  <c r="AT177" i="6" s="1"/>
  <c r="T177" i="6"/>
  <c r="AU168" i="6"/>
  <c r="X168" i="6"/>
  <c r="V168" i="6"/>
  <c r="U167" i="6"/>
  <c r="AR164" i="6"/>
  <c r="AR163" i="6" s="1"/>
  <c r="R163" i="6"/>
  <c r="V45" i="6"/>
  <c r="AX17" i="6"/>
  <c r="AV17" i="6"/>
  <c r="AX11" i="6"/>
  <c r="AV11" i="6"/>
  <c r="AU173" i="6"/>
  <c r="AT213" i="6"/>
  <c r="AU59" i="6"/>
  <c r="U241" i="6"/>
  <c r="X59" i="6"/>
  <c r="X58" i="6"/>
  <c r="V59" i="6"/>
  <c r="V58" i="6"/>
  <c r="AT56" i="6"/>
  <c r="AT237" i="6" s="1"/>
  <c r="T237" i="6"/>
  <c r="AT231" i="6"/>
  <c r="AX52" i="6"/>
  <c r="AU38" i="6"/>
  <c r="AU207" i="6" s="1"/>
  <c r="U207" i="6"/>
  <c r="X38" i="6"/>
  <c r="V38" i="6"/>
  <c r="AU196" i="6"/>
  <c r="V195" i="6"/>
  <c r="V196" i="6"/>
  <c r="U195" i="6"/>
  <c r="X196" i="6"/>
  <c r="X195" i="6"/>
  <c r="AR176" i="6"/>
  <c r="R175" i="6"/>
  <c r="V176" i="6"/>
  <c r="X8" i="6"/>
  <c r="AT168" i="6"/>
  <c r="AT167" i="6" s="1"/>
  <c r="T167" i="6"/>
  <c r="AT216" i="6"/>
  <c r="AV46" i="6"/>
  <c r="AX46" i="6"/>
  <c r="I224" i="6"/>
  <c r="I109" i="6"/>
  <c r="I110" i="6"/>
  <c r="L267" i="6"/>
  <c r="AI265" i="6"/>
  <c r="I226" i="6"/>
  <c r="AD266" i="6"/>
  <c r="F227" i="6"/>
  <c r="AA267" i="6"/>
  <c r="Z266" i="6"/>
  <c r="K267" i="6"/>
  <c r="G227" i="6"/>
  <c r="AI261" i="6"/>
  <c r="Z267" i="6"/>
  <c r="F198" i="6"/>
  <c r="F197" i="6" s="1"/>
  <c r="F171" i="6"/>
  <c r="I31" i="6"/>
  <c r="I30" i="6"/>
  <c r="I49" i="6"/>
  <c r="H67" i="6"/>
  <c r="I50" i="6"/>
  <c r="AI267" i="6"/>
  <c r="AI266" i="6"/>
  <c r="G198" i="6"/>
  <c r="G197" i="6" s="1"/>
  <c r="G171" i="6"/>
  <c r="H250" i="6"/>
  <c r="I216" i="6"/>
  <c r="I215" i="6"/>
  <c r="H215" i="6"/>
  <c r="AE267" i="6"/>
  <c r="AA265" i="6"/>
  <c r="H228" i="6"/>
  <c r="U228" i="6" s="1"/>
  <c r="H267" i="6"/>
  <c r="I55" i="6"/>
  <c r="I54" i="6"/>
  <c r="AH267" i="6"/>
  <c r="H198" i="6"/>
  <c r="H171" i="6"/>
  <c r="I172" i="6"/>
  <c r="I171" i="6"/>
  <c r="H235" i="6"/>
  <c r="AA261" i="6"/>
  <c r="G236" i="6"/>
  <c r="T236" i="6" s="1"/>
  <c r="X235" i="6" s="1"/>
  <c r="H181" i="6"/>
  <c r="I16" i="6"/>
  <c r="P267" i="6"/>
  <c r="H21" i="8"/>
  <c r="K21" i="8" s="1"/>
  <c r="G21" i="8"/>
  <c r="H20" i="8"/>
  <c r="K20" i="8" s="1"/>
  <c r="G20" i="8"/>
  <c r="H19" i="8"/>
  <c r="K19" i="8" s="1"/>
  <c r="G19" i="8"/>
  <c r="H18" i="8"/>
  <c r="K18" i="8" s="1"/>
  <c r="G18" i="8"/>
  <c r="H17" i="8"/>
  <c r="K17" i="8" s="1"/>
  <c r="G17" i="8"/>
  <c r="H16" i="8"/>
  <c r="K16" i="8" s="1"/>
  <c r="G16" i="8"/>
  <c r="H15" i="8"/>
  <c r="K13" i="8"/>
  <c r="H12" i="8"/>
  <c r="K12" i="8" s="1"/>
  <c r="G12" i="8"/>
  <c r="H11" i="8"/>
  <c r="K11" i="8" s="1"/>
  <c r="G11" i="8"/>
  <c r="H10" i="8"/>
  <c r="K10" i="8" s="1"/>
  <c r="G10" i="8"/>
  <c r="H9" i="8"/>
  <c r="K9" i="8" s="1"/>
  <c r="G9" i="8"/>
  <c r="H8" i="8"/>
  <c r="K8" i="8" s="1"/>
  <c r="G8" i="8"/>
  <c r="H7" i="8"/>
  <c r="K7" i="8" s="1"/>
  <c r="G7" i="8"/>
  <c r="F22" i="8"/>
  <c r="AQ264" i="6"/>
  <c r="AX263" i="6"/>
  <c r="AQ263" i="6"/>
  <c r="AU262" i="6"/>
  <c r="AR262" i="6"/>
  <c r="AY262" i="6" s="1"/>
  <c r="AQ262" i="6"/>
  <c r="AX261" i="6"/>
  <c r="AQ261" i="6"/>
  <c r="AU260" i="6"/>
  <c r="AZ260" i="6" s="1"/>
  <c r="AR260" i="6"/>
  <c r="AY260" i="6" s="1"/>
  <c r="AQ260" i="6"/>
  <c r="AX259" i="6"/>
  <c r="AQ259" i="6"/>
  <c r="AU258" i="6"/>
  <c r="AR258" i="6"/>
  <c r="AY258" i="6" s="1"/>
  <c r="AQ258" i="6"/>
  <c r="AX257" i="6"/>
  <c r="AQ257" i="6"/>
  <c r="AU256" i="6"/>
  <c r="AZ256" i="6" s="1"/>
  <c r="AR256" i="6"/>
  <c r="AY256" i="6" s="1"/>
  <c r="AQ256" i="6"/>
  <c r="AX255" i="6"/>
  <c r="AQ255" i="6"/>
  <c r="AU254" i="6"/>
  <c r="AR254" i="6"/>
  <c r="AY254" i="6" s="1"/>
  <c r="AQ254" i="6"/>
  <c r="AX253" i="6"/>
  <c r="AR253" i="6"/>
  <c r="AQ253" i="6"/>
  <c r="AX252" i="6"/>
  <c r="AQ252" i="6"/>
  <c r="AZ246" i="6"/>
  <c r="AY238" i="6"/>
  <c r="AZ202" i="6"/>
  <c r="AY192" i="6"/>
  <c r="AY186" i="6"/>
  <c r="AZ162" i="6"/>
  <c r="AY156" i="6"/>
  <c r="AY153" i="6"/>
  <c r="AY145" i="6"/>
  <c r="AY144" i="6"/>
  <c r="AY142" i="6"/>
  <c r="AY129" i="6"/>
  <c r="AZ114" i="6"/>
  <c r="AY108" i="6"/>
  <c r="AY105" i="6"/>
  <c r="AZ102" i="6"/>
  <c r="AY100" i="6"/>
  <c r="AZ97" i="6"/>
  <c r="AY96" i="6"/>
  <c r="AY95" i="6"/>
  <c r="AY94" i="6"/>
  <c r="AZ81" i="6"/>
  <c r="AZ71" i="6"/>
  <c r="AY50" i="6"/>
  <c r="AZ35" i="6"/>
  <c r="AY35" i="6"/>
  <c r="AY4" i="6"/>
  <c r="AV57" i="6" l="1"/>
  <c r="G6" i="8"/>
  <c r="AR31" i="6"/>
  <c r="AV195" i="6"/>
  <c r="AV196" i="6"/>
  <c r="AU195" i="6"/>
  <c r="AX195" i="6"/>
  <c r="AX196" i="6"/>
  <c r="AV19" i="6"/>
  <c r="AV18" i="6"/>
  <c r="AT171" i="6"/>
  <c r="AR207" i="6"/>
  <c r="AV208" i="6"/>
  <c r="X110" i="6"/>
  <c r="X111" i="6" s="1"/>
  <c r="U111" i="6"/>
  <c r="V110" i="6"/>
  <c r="V111" i="6" s="1"/>
  <c r="X109" i="6"/>
  <c r="V109" i="6"/>
  <c r="AX48" i="6"/>
  <c r="AV48" i="6"/>
  <c r="AU225" i="6"/>
  <c r="V54" i="6"/>
  <c r="AX38" i="6"/>
  <c r="AT207" i="6"/>
  <c r="AV120" i="6"/>
  <c r="AX120" i="6"/>
  <c r="AT169" i="6"/>
  <c r="AX170" i="6"/>
  <c r="AX169" i="6"/>
  <c r="I235" i="6"/>
  <c r="AX5" i="6"/>
  <c r="AV5" i="6"/>
  <c r="AX14" i="6"/>
  <c r="AV14" i="6"/>
  <c r="AV13" i="6"/>
  <c r="AX13" i="6"/>
  <c r="AU177" i="6"/>
  <c r="AV38" i="6"/>
  <c r="AV40" i="6"/>
  <c r="AX40" i="6"/>
  <c r="AU211" i="6"/>
  <c r="V91" i="6"/>
  <c r="X91" i="6"/>
  <c r="AV53" i="6"/>
  <c r="AX53" i="6"/>
  <c r="AV10" i="6"/>
  <c r="AX9" i="6"/>
  <c r="AX10" i="6"/>
  <c r="AV9" i="6"/>
  <c r="AU31" i="6"/>
  <c r="AZ10" i="6"/>
  <c r="AU190" i="6"/>
  <c r="AU185" i="6"/>
  <c r="AX186" i="6"/>
  <c r="AX185" i="6"/>
  <c r="AV186" i="6"/>
  <c r="R197" i="6"/>
  <c r="AX29" i="6"/>
  <c r="AX28" i="6"/>
  <c r="AV29" i="6"/>
  <c r="AV28" i="6"/>
  <c r="AX77" i="6"/>
  <c r="AU110" i="6"/>
  <c r="AV76" i="6"/>
  <c r="AV77" i="6"/>
  <c r="AX76" i="6"/>
  <c r="T43" i="6"/>
  <c r="G15" i="8"/>
  <c r="G67" i="6"/>
  <c r="I66" i="6" s="1"/>
  <c r="G215" i="6"/>
  <c r="G265" i="6"/>
  <c r="AR169" i="6"/>
  <c r="AV170" i="6"/>
  <c r="AX187" i="6"/>
  <c r="AV188" i="6"/>
  <c r="AX188" i="6"/>
  <c r="AU187" i="6"/>
  <c r="V236" i="6"/>
  <c r="AV215" i="6"/>
  <c r="AX216" i="6"/>
  <c r="AV216" i="6"/>
  <c r="AX215" i="6"/>
  <c r="AX56" i="6"/>
  <c r="AV56" i="6"/>
  <c r="AU237" i="6"/>
  <c r="AX165" i="6"/>
  <c r="AX166" i="6"/>
  <c r="AV166" i="6"/>
  <c r="AU165" i="6"/>
  <c r="AT219" i="6"/>
  <c r="AX220" i="6"/>
  <c r="AX219" i="6"/>
  <c r="AT223" i="6"/>
  <c r="AX224" i="6"/>
  <c r="AX223" i="6"/>
  <c r="AU193" i="6"/>
  <c r="AV194" i="6"/>
  <c r="AX193" i="6"/>
  <c r="AX194" i="6"/>
  <c r="AV193" i="6"/>
  <c r="AV44" i="6"/>
  <c r="AX44" i="6"/>
  <c r="AU217" i="6"/>
  <c r="AX63" i="6"/>
  <c r="AV62" i="6"/>
  <c r="AV63" i="6"/>
  <c r="AX62" i="6"/>
  <c r="AU245" i="6"/>
  <c r="AV221" i="6"/>
  <c r="AX222" i="6"/>
  <c r="AX221" i="6"/>
  <c r="AV222" i="6"/>
  <c r="AU221" i="6"/>
  <c r="AU122" i="6"/>
  <c r="V121" i="6"/>
  <c r="U158" i="6"/>
  <c r="X121" i="6"/>
  <c r="X122" i="6"/>
  <c r="X158" i="6" s="1"/>
  <c r="X159" i="6" s="1"/>
  <c r="V122" i="6"/>
  <c r="V158" i="6" s="1"/>
  <c r="V159" i="6" s="1"/>
  <c r="AT191" i="6"/>
  <c r="AX24" i="6"/>
  <c r="AX25" i="6"/>
  <c r="AX191" i="6" s="1"/>
  <c r="V83" i="6"/>
  <c r="X83" i="6"/>
  <c r="AX23" i="6"/>
  <c r="AX22" i="6"/>
  <c r="AV22" i="6"/>
  <c r="AV23" i="6"/>
  <c r="AT236" i="6"/>
  <c r="AT235" i="6" s="1"/>
  <c r="T235" i="6"/>
  <c r="AU228" i="6"/>
  <c r="AU250" i="6" s="1"/>
  <c r="X228" i="6"/>
  <c r="V227" i="6"/>
  <c r="U227" i="6"/>
  <c r="V228" i="6"/>
  <c r="X227" i="6"/>
  <c r="I158" i="6"/>
  <c r="AR175" i="6"/>
  <c r="AV176" i="6"/>
  <c r="AV59" i="6"/>
  <c r="AX58" i="6"/>
  <c r="AX59" i="6"/>
  <c r="AV58" i="6"/>
  <c r="AU241" i="6"/>
  <c r="R235" i="6"/>
  <c r="AX146" i="6"/>
  <c r="AV146" i="6"/>
  <c r="AX6" i="6"/>
  <c r="AV6" i="6"/>
  <c r="AX93" i="6"/>
  <c r="AV92" i="6"/>
  <c r="AU91" i="6"/>
  <c r="AV93" i="6"/>
  <c r="AX92" i="6"/>
  <c r="AV25" i="6"/>
  <c r="AV24" i="6"/>
  <c r="AR191" i="6"/>
  <c r="AR171" i="6"/>
  <c r="AR198" i="6"/>
  <c r="AR197" i="6" s="1"/>
  <c r="R43" i="6"/>
  <c r="F67" i="6"/>
  <c r="F215" i="6"/>
  <c r="AV39" i="6"/>
  <c r="AX39" i="6"/>
  <c r="AU209" i="6"/>
  <c r="AR55" i="6"/>
  <c r="AV55" i="6" s="1"/>
  <c r="AR231" i="6"/>
  <c r="AV52" i="6"/>
  <c r="AT243" i="6"/>
  <c r="AX61" i="6"/>
  <c r="AX60" i="6"/>
  <c r="AX7" i="6"/>
  <c r="AV7" i="6"/>
  <c r="AU169" i="6"/>
  <c r="AT190" i="6"/>
  <c r="AT189" i="6" s="1"/>
  <c r="AT185" i="6"/>
  <c r="AT122" i="6"/>
  <c r="AT158" i="6" s="1"/>
  <c r="AT159" i="6" s="1"/>
  <c r="T158" i="6"/>
  <c r="T159" i="6" s="1"/>
  <c r="AX98" i="6"/>
  <c r="AV98" i="6"/>
  <c r="AX50" i="6"/>
  <c r="AV49" i="6"/>
  <c r="AV50" i="6"/>
  <c r="AX49" i="6"/>
  <c r="AV16" i="6"/>
  <c r="AX16" i="6"/>
  <c r="AU181" i="6"/>
  <c r="X236" i="6"/>
  <c r="F249" i="6"/>
  <c r="U250" i="6"/>
  <c r="AV21" i="6"/>
  <c r="AX21" i="6"/>
  <c r="AU172" i="6"/>
  <c r="X172" i="6"/>
  <c r="X198" i="6" s="1"/>
  <c r="V172" i="6"/>
  <c r="V198" i="6" s="1"/>
  <c r="U171" i="6"/>
  <c r="V171" i="6"/>
  <c r="U198" i="6"/>
  <c r="X171" i="6"/>
  <c r="AV214" i="6"/>
  <c r="AV65" i="6"/>
  <c r="AX64" i="6"/>
  <c r="AX65" i="6"/>
  <c r="AV64" i="6"/>
  <c r="AR219" i="6"/>
  <c r="AV220" i="6"/>
  <c r="AV20" i="6"/>
  <c r="AX20" i="6"/>
  <c r="AX19" i="6"/>
  <c r="AX18" i="6"/>
  <c r="AX54" i="6"/>
  <c r="AX55" i="6"/>
  <c r="AV54" i="6"/>
  <c r="AT175" i="6"/>
  <c r="AX175" i="6"/>
  <c r="AV234" i="6"/>
  <c r="AV233" i="6"/>
  <c r="AU233" i="6"/>
  <c r="AX234" i="6"/>
  <c r="AU236" i="6"/>
  <c r="AR217" i="6"/>
  <c r="AV218" i="6"/>
  <c r="V86" i="6"/>
  <c r="X86" i="6"/>
  <c r="AT217" i="6"/>
  <c r="AX218" i="6"/>
  <c r="AX217" i="6"/>
  <c r="AX256" i="6"/>
  <c r="AX260" i="6"/>
  <c r="G14" i="8"/>
  <c r="T250" i="6"/>
  <c r="AX167" i="6"/>
  <c r="AU167" i="6"/>
  <c r="AV168" i="6"/>
  <c r="AX168" i="6"/>
  <c r="AR233" i="6"/>
  <c r="AR236" i="6"/>
  <c r="AV90" i="6"/>
  <c r="AX90" i="6"/>
  <c r="AT183" i="6"/>
  <c r="U43" i="6"/>
  <c r="H265" i="6"/>
  <c r="I42" i="6"/>
  <c r="I43" i="6"/>
  <c r="AT225" i="6"/>
  <c r="AX226" i="6"/>
  <c r="AX225" i="6"/>
  <c r="V30" i="6"/>
  <c r="V31" i="6"/>
  <c r="X31" i="6"/>
  <c r="X30" i="6"/>
  <c r="AX164" i="6"/>
  <c r="AX163" i="6"/>
  <c r="AU163" i="6"/>
  <c r="AV164" i="6"/>
  <c r="AU247" i="6"/>
  <c r="AV248" i="6"/>
  <c r="AX248" i="6"/>
  <c r="AX247" i="6"/>
  <c r="AV247" i="6"/>
  <c r="AR122" i="6"/>
  <c r="AR158" i="6" s="1"/>
  <c r="AR159" i="6" s="1"/>
  <c r="R158" i="6"/>
  <c r="R159" i="6" s="1"/>
  <c r="AV138" i="6"/>
  <c r="AX138" i="6"/>
  <c r="AU139" i="6"/>
  <c r="AR183" i="6"/>
  <c r="AX84" i="6"/>
  <c r="AU83" i="6"/>
  <c r="AV84" i="6"/>
  <c r="AX82" i="6"/>
  <c r="V235" i="6"/>
  <c r="V250" i="6"/>
  <c r="AX87" i="6"/>
  <c r="AU86" i="6"/>
  <c r="AV87" i="6"/>
  <c r="AX85" i="6"/>
  <c r="AX15" i="6"/>
  <c r="AV15" i="6"/>
  <c r="AU179" i="6"/>
  <c r="AV27" i="6"/>
  <c r="AV26" i="6"/>
  <c r="AX26" i="6"/>
  <c r="AX27" i="6"/>
  <c r="AU41" i="6"/>
  <c r="X41" i="6"/>
  <c r="V41" i="6"/>
  <c r="U213" i="6"/>
  <c r="AV37" i="6"/>
  <c r="AX37" i="6"/>
  <c r="AU205" i="6"/>
  <c r="AT31" i="6"/>
  <c r="K15" i="8"/>
  <c r="H14" i="8"/>
  <c r="K14" i="8" s="1"/>
  <c r="AZ150" i="6"/>
  <c r="AY264" i="6"/>
  <c r="P266" i="6"/>
  <c r="H249" i="6"/>
  <c r="I227" i="6"/>
  <c r="H227" i="6"/>
  <c r="I228" i="6"/>
  <c r="H266" i="6"/>
  <c r="O265" i="6"/>
  <c r="AY246" i="6"/>
  <c r="BB246" i="6" s="1"/>
  <c r="H6" i="8"/>
  <c r="K6" i="8" s="1"/>
  <c r="G235" i="6"/>
  <c r="G267" i="6"/>
  <c r="G250" i="6"/>
  <c r="I236" i="6"/>
  <c r="L266" i="6"/>
  <c r="I197" i="6"/>
  <c r="H197" i="6"/>
  <c r="I198" i="6"/>
  <c r="I67" i="6"/>
  <c r="AE266" i="6"/>
  <c r="AA266" i="6"/>
  <c r="AY98" i="6"/>
  <c r="AY148" i="6"/>
  <c r="AZ105" i="6"/>
  <c r="AY23" i="6"/>
  <c r="AY61" i="6"/>
  <c r="AZ153" i="6"/>
  <c r="AY146" i="6"/>
  <c r="AZ244" i="6"/>
  <c r="AZ254" i="6"/>
  <c r="AU264" i="6"/>
  <c r="AX264" i="6" s="1"/>
  <c r="AX254" i="6"/>
  <c r="AZ258" i="6"/>
  <c r="AX258" i="6"/>
  <c r="AZ262" i="6"/>
  <c r="AX262" i="6"/>
  <c r="AR264" i="6"/>
  <c r="X250" i="6" l="1"/>
  <c r="AT250" i="6"/>
  <c r="AV110" i="6"/>
  <c r="AV41" i="6"/>
  <c r="AX41" i="6"/>
  <c r="AU213" i="6"/>
  <c r="AV83" i="6"/>
  <c r="AX83" i="6"/>
  <c r="AR43" i="6"/>
  <c r="R67" i="6"/>
  <c r="R249" i="6" s="1"/>
  <c r="R215" i="6"/>
  <c r="AV91" i="6"/>
  <c r="AX91" i="6"/>
  <c r="G249" i="6"/>
  <c r="G22" i="8"/>
  <c r="AX235" i="6"/>
  <c r="AX236" i="6"/>
  <c r="AV236" i="6"/>
  <c r="AU235" i="6"/>
  <c r="AV235" i="6"/>
  <c r="AX228" i="6"/>
  <c r="AX250" i="6" s="1"/>
  <c r="AV227" i="6"/>
  <c r="AV228" i="6"/>
  <c r="AX227" i="6"/>
  <c r="AU227" i="6"/>
  <c r="X157" i="6"/>
  <c r="U159" i="6"/>
  <c r="V157" i="6"/>
  <c r="AV190" i="6"/>
  <c r="AX189" i="6"/>
  <c r="AV189" i="6"/>
  <c r="AU189" i="6"/>
  <c r="AX86" i="6"/>
  <c r="AV86" i="6"/>
  <c r="G30" i="8"/>
  <c r="V197" i="6"/>
  <c r="U197" i="6"/>
  <c r="X197" i="6"/>
  <c r="V249" i="6"/>
  <c r="X249" i="6"/>
  <c r="AX249" i="6"/>
  <c r="AT43" i="6"/>
  <c r="T67" i="6"/>
  <c r="T249" i="6" s="1"/>
  <c r="T215" i="6"/>
  <c r="AU111" i="6"/>
  <c r="AX109" i="6"/>
  <c r="AV109" i="6"/>
  <c r="AZ264" i="6"/>
  <c r="AX139" i="6"/>
  <c r="AV139" i="6"/>
  <c r="AU43" i="6"/>
  <c r="X42" i="6"/>
  <c r="V43" i="6"/>
  <c r="U67" i="6"/>
  <c r="U249" i="6" s="1"/>
  <c r="X43" i="6"/>
  <c r="V42" i="6"/>
  <c r="U215" i="6"/>
  <c r="AR235" i="6"/>
  <c r="AR250" i="6"/>
  <c r="AV249" i="6" s="1"/>
  <c r="AV171" i="6"/>
  <c r="AX171" i="6"/>
  <c r="AX172" i="6"/>
  <c r="AU198" i="6"/>
  <c r="AV172" i="6"/>
  <c r="AU171" i="6"/>
  <c r="AV121" i="6"/>
  <c r="AU158" i="6"/>
  <c r="AX122" i="6"/>
  <c r="AX158" i="6" s="1"/>
  <c r="AX159" i="6" s="1"/>
  <c r="AV122" i="6"/>
  <c r="AV158" i="6" s="1"/>
  <c r="AV159" i="6" s="1"/>
  <c r="AX121" i="6"/>
  <c r="AV250" i="6"/>
  <c r="AX110" i="6"/>
  <c r="AX190" i="6"/>
  <c r="AX31" i="6"/>
  <c r="AX30" i="6"/>
  <c r="AV30" i="6"/>
  <c r="AV31" i="6"/>
  <c r="AT198" i="6"/>
  <c r="AT197" i="6" s="1"/>
  <c r="I6" i="8"/>
  <c r="L6" i="8" s="1"/>
  <c r="I249" i="6"/>
  <c r="I250" i="6"/>
  <c r="AY196" i="6"/>
  <c r="AY29" i="6"/>
  <c r="BB105" i="6"/>
  <c r="AY19" i="6"/>
  <c r="AY242" i="6"/>
  <c r="AY240" i="6"/>
  <c r="AZ242" i="6"/>
  <c r="AZ178" i="6"/>
  <c r="AZ156" i="6"/>
  <c r="AZ148" i="6"/>
  <c r="AY237" i="6"/>
  <c r="AY65" i="6"/>
  <c r="AY55" i="6"/>
  <c r="AY184" i="6"/>
  <c r="AY97" i="6"/>
  <c r="BB153" i="6"/>
  <c r="AY143" i="6"/>
  <c r="AZ108" i="6"/>
  <c r="AY81" i="6"/>
  <c r="AY185" i="6"/>
  <c r="AY27" i="6"/>
  <c r="AY14" i="6"/>
  <c r="AY239" i="6"/>
  <c r="AY244" i="6"/>
  <c r="BB244" i="6" s="1"/>
  <c r="AZ192" i="6"/>
  <c r="AY102" i="6"/>
  <c r="AY248" i="6"/>
  <c r="AY59" i="6"/>
  <c r="AY188" i="6"/>
  <c r="AY187" i="6"/>
  <c r="AY150" i="6"/>
  <c r="AY194" i="6"/>
  <c r="AX157" i="6" l="1"/>
  <c r="AU159" i="6"/>
  <c r="AV157" i="6"/>
  <c r="AU197" i="6"/>
  <c r="AX197" i="6"/>
  <c r="AV197" i="6"/>
  <c r="AV43" i="6"/>
  <c r="AV67" i="6" s="1"/>
  <c r="AU67" i="6"/>
  <c r="AX43" i="6"/>
  <c r="AX42" i="6"/>
  <c r="AV42" i="6"/>
  <c r="AU215" i="6"/>
  <c r="AR67" i="6"/>
  <c r="AR249" i="6" s="1"/>
  <c r="AR215" i="6"/>
  <c r="AV198" i="6"/>
  <c r="AX198" i="6"/>
  <c r="V66" i="6"/>
  <c r="X67" i="6"/>
  <c r="V67" i="6"/>
  <c r="X66" i="6"/>
  <c r="AT67" i="6"/>
  <c r="AT249" i="6" s="1"/>
  <c r="AT215" i="6"/>
  <c r="AZ248" i="6"/>
  <c r="AZ59" i="6"/>
  <c r="BB81" i="6"/>
  <c r="AY10" i="6"/>
  <c r="AY178" i="6"/>
  <c r="BB178" i="6" s="1"/>
  <c r="AY122" i="6"/>
  <c r="AZ61" i="6"/>
  <c r="AY63" i="6"/>
  <c r="AY245" i="6"/>
  <c r="BB97" i="6"/>
  <c r="AZ23" i="6"/>
  <c r="AY141" i="6"/>
  <c r="BB242" i="6"/>
  <c r="AZ63" i="6"/>
  <c r="AY236" i="6"/>
  <c r="AZ25" i="6"/>
  <c r="AZ191" i="6" s="1"/>
  <c r="AY77" i="6"/>
  <c r="AZ100" i="6"/>
  <c r="AZ12" i="6"/>
  <c r="AZ27" i="6"/>
  <c r="AZ29" i="6"/>
  <c r="AZ141" i="6"/>
  <c r="BB156" i="6"/>
  <c r="AZ77" i="6"/>
  <c r="BB102" i="6"/>
  <c r="BB192" i="6"/>
  <c r="BB150" i="6"/>
  <c r="AY190" i="6"/>
  <c r="AZ196" i="6"/>
  <c r="AZ14" i="6"/>
  <c r="AY25" i="6"/>
  <c r="BB108" i="6"/>
  <c r="AZ65" i="6"/>
  <c r="AY93" i="6"/>
  <c r="BB148" i="6"/>
  <c r="AZ184" i="6"/>
  <c r="AX67" i="6" l="1"/>
  <c r="AV66" i="6"/>
  <c r="AX66" i="6"/>
  <c r="AU249" i="6"/>
  <c r="AZ236" i="6"/>
  <c r="BB77" i="6"/>
  <c r="BB141" i="6"/>
  <c r="BB27" i="6"/>
  <c r="AY110" i="6"/>
  <c r="BB25" i="6"/>
  <c r="BB63" i="6"/>
  <c r="AY216" i="6"/>
  <c r="AY67" i="6"/>
  <c r="AY43" i="6"/>
  <c r="BB14" i="6"/>
  <c r="AZ172" i="6"/>
  <c r="AZ216" i="6"/>
  <c r="BB59" i="6"/>
  <c r="BB184" i="6"/>
  <c r="BB65" i="6"/>
  <c r="BB196" i="6"/>
  <c r="BB191" i="6"/>
  <c r="AY172" i="6"/>
  <c r="BB23" i="6"/>
  <c r="AY158" i="6"/>
  <c r="BB248" i="6"/>
  <c r="AZ55" i="6"/>
  <c r="BB100" i="6"/>
  <c r="AZ129" i="6"/>
  <c r="AZ93" i="6"/>
  <c r="AY228" i="6"/>
  <c r="BB29" i="6"/>
  <c r="AZ122" i="6"/>
  <c r="BB61" i="6"/>
  <c r="AY31" i="6"/>
  <c r="AZ194" i="6"/>
  <c r="AZ43" i="6" l="1"/>
  <c r="BB172" i="6"/>
  <c r="BB93" i="6"/>
  <c r="BB10" i="6"/>
  <c r="BB55" i="6"/>
  <c r="BB216" i="6"/>
  <c r="AY250" i="6"/>
  <c r="BB129" i="6"/>
  <c r="AY198" i="6"/>
  <c r="AZ19" i="6"/>
  <c r="AZ31" i="6" s="1"/>
  <c r="BB236" i="6"/>
  <c r="BB194" i="6"/>
  <c r="BB122" i="6"/>
  <c r="AZ158" i="6"/>
  <c r="AZ110" i="6"/>
  <c r="BB31" i="6" l="1"/>
  <c r="BB19" i="6"/>
  <c r="AZ190" i="6"/>
  <c r="BB43" i="6"/>
  <c r="BB110" i="6"/>
  <c r="AZ50" i="6"/>
  <c r="BB158" i="6"/>
  <c r="BB190" i="6" l="1"/>
  <c r="AZ198" i="6"/>
  <c r="AZ228" i="6"/>
  <c r="BB50" i="6"/>
  <c r="AZ67" i="6"/>
  <c r="BB198" i="6" l="1"/>
  <c r="BB67" i="6"/>
  <c r="BB228" i="6"/>
  <c r="AZ250" i="6"/>
  <c r="BB250" i="6" l="1"/>
  <c r="AN22" i="8" l="1"/>
  <c r="AL19" i="8"/>
  <c r="AL18" i="8"/>
  <c r="AL11" i="8"/>
  <c r="AL10" i="8"/>
  <c r="AL9" i="8"/>
  <c r="AL8" i="8"/>
  <c r="AN14" i="8"/>
  <c r="AN6" i="8"/>
  <c r="AO55" i="8"/>
  <c r="AO54" i="8"/>
  <c r="AO53" i="8"/>
  <c r="AO52" i="8"/>
  <c r="AO51" i="8"/>
  <c r="AO50" i="8"/>
  <c r="AO49" i="8"/>
  <c r="AO48" i="8"/>
  <c r="AO46" i="8"/>
  <c r="AO45" i="8"/>
  <c r="AO44" i="8"/>
  <c r="AO43" i="8"/>
  <c r="AO42" i="8"/>
  <c r="AO41" i="8"/>
  <c r="AO40" i="8"/>
  <c r="AO39" i="8"/>
  <c r="AN37" i="8"/>
  <c r="AN36" i="8"/>
  <c r="AN35" i="8"/>
  <c r="AN34" i="8"/>
  <c r="AN33" i="8"/>
  <c r="AN32" i="8"/>
  <c r="AN31" i="8"/>
  <c r="AK16" i="8"/>
  <c r="AL20" i="8"/>
  <c r="AL17" i="8"/>
  <c r="AK17" i="8"/>
  <c r="AL16" i="8"/>
  <c r="AK10" i="8"/>
  <c r="AK7" i="8"/>
  <c r="AO16" i="8" l="1"/>
  <c r="AK15" i="8"/>
  <c r="AL7" i="8"/>
  <c r="AK9" i="8"/>
  <c r="AK11" i="8"/>
  <c r="AK13" i="8"/>
  <c r="AK19" i="8"/>
  <c r="AK18" i="8"/>
  <c r="AL13" i="8"/>
  <c r="AK20" i="8"/>
  <c r="AL12" i="8"/>
  <c r="AK8" i="8"/>
  <c r="AK12" i="8"/>
  <c r="AK21" i="8"/>
  <c r="AL21" i="8"/>
  <c r="AN30" i="8"/>
  <c r="AK6" i="8" l="1"/>
  <c r="AL6" i="8"/>
  <c r="AK14" i="8"/>
  <c r="AM7" i="8"/>
  <c r="AL15" i="8"/>
  <c r="AL14" i="8" s="1"/>
  <c r="AM15" i="8" l="1"/>
  <c r="AH31" i="8" l="1"/>
  <c r="AH22" i="8"/>
  <c r="AH37" i="8"/>
  <c r="AH36" i="8"/>
  <c r="AH35" i="8"/>
  <c r="AH34" i="8"/>
  <c r="AH33" i="8"/>
  <c r="AH32" i="8"/>
  <c r="AH14" i="8"/>
  <c r="AH30" i="8" l="1"/>
  <c r="AF19" i="8"/>
  <c r="AE18" i="8"/>
  <c r="AF13" i="8"/>
  <c r="AF11" i="8"/>
  <c r="AF9" i="8"/>
  <c r="AF8" i="8"/>
  <c r="AE12" i="8"/>
  <c r="AI55" i="8"/>
  <c r="AI54" i="8"/>
  <c r="AI53" i="8"/>
  <c r="AI52" i="8"/>
  <c r="AI51" i="8"/>
  <c r="AI50" i="8"/>
  <c r="AI49" i="8"/>
  <c r="AI48" i="8"/>
  <c r="AI46" i="8"/>
  <c r="AI45" i="8"/>
  <c r="AI44" i="8"/>
  <c r="AI43" i="8"/>
  <c r="AI42" i="8"/>
  <c r="AI41" i="8"/>
  <c r="AI40" i="8"/>
  <c r="AI39" i="8"/>
  <c r="AH6" i="8"/>
  <c r="AE20" i="8"/>
  <c r="AF17" i="8"/>
  <c r="AE16" i="8"/>
  <c r="AF15" i="8"/>
  <c r="AF7" i="8" l="1"/>
  <c r="AE8" i="8"/>
  <c r="AE9" i="8"/>
  <c r="AE13" i="8"/>
  <c r="AF10" i="8"/>
  <c r="AE19" i="8"/>
  <c r="AF20" i="8"/>
  <c r="AE10" i="8"/>
  <c r="AF21" i="8"/>
  <c r="AF16" i="8"/>
  <c r="AE11" i="8"/>
  <c r="AF12" i="8"/>
  <c r="AE17" i="8"/>
  <c r="AE21" i="8"/>
  <c r="AF18" i="8"/>
  <c r="AE7" i="8"/>
  <c r="AE6" i="8" l="1"/>
  <c r="AF14" i="8"/>
  <c r="AF6" i="8"/>
  <c r="AI6" i="8" s="1"/>
  <c r="AE15" i="8"/>
  <c r="AE14" i="8" s="1"/>
  <c r="AG14" i="8" l="1"/>
  <c r="AG6" i="8"/>
  <c r="BB160" i="6"/>
  <c r="BD114" i="6"/>
  <c r="BD71" i="6"/>
  <c r="BB69" i="6"/>
  <c r="BB2" i="6"/>
  <c r="Z13" i="8" l="1"/>
  <c r="AW32" i="8" l="1"/>
  <c r="AW33" i="8"/>
  <c r="AW34" i="8"/>
  <c r="AW35" i="8"/>
  <c r="AW36" i="8"/>
  <c r="AW37" i="8"/>
  <c r="AW22" i="8"/>
  <c r="AC39" i="8"/>
  <c r="AC40" i="8"/>
  <c r="AC41" i="8"/>
  <c r="AC42" i="8"/>
  <c r="AC43" i="8"/>
  <c r="AC44" i="8"/>
  <c r="AC45" i="8"/>
  <c r="AC46" i="8"/>
  <c r="AC48" i="8"/>
  <c r="AC49" i="8"/>
  <c r="AC50" i="8"/>
  <c r="AC51" i="8"/>
  <c r="AC52" i="8"/>
  <c r="AC53" i="8"/>
  <c r="AC54" i="8"/>
  <c r="AC55" i="8"/>
  <c r="AB14" i="8"/>
  <c r="AB6" i="8"/>
  <c r="Y15" i="8"/>
  <c r="Z21" i="8"/>
  <c r="AC21" i="8" s="1"/>
  <c r="Z20" i="8"/>
  <c r="AC20" i="8" s="1"/>
  <c r="Z19" i="8"/>
  <c r="AC19" i="8" s="1"/>
  <c r="G19" i="5" s="1"/>
  <c r="Z18" i="8"/>
  <c r="AC18" i="8" s="1"/>
  <c r="Z17" i="8"/>
  <c r="AC17" i="8" s="1"/>
  <c r="G11" i="5" s="1"/>
  <c r="Z16" i="8"/>
  <c r="AC16" i="8" s="1"/>
  <c r="G8" i="5" s="1"/>
  <c r="Z15" i="8"/>
  <c r="Y21" i="8"/>
  <c r="Y20" i="8"/>
  <c r="Y19" i="8"/>
  <c r="Y18" i="8"/>
  <c r="Y17" i="8"/>
  <c r="Y16" i="8"/>
  <c r="AC13" i="8"/>
  <c r="Z12" i="8"/>
  <c r="AC12" i="8" s="1"/>
  <c r="Z11" i="8"/>
  <c r="AC11" i="8" s="1"/>
  <c r="E19" i="5" s="1"/>
  <c r="Z10" i="8"/>
  <c r="AC10" i="8" s="1"/>
  <c r="Z9" i="8"/>
  <c r="AC9" i="8" s="1"/>
  <c r="E11" i="5" s="1"/>
  <c r="Z8" i="8"/>
  <c r="AC8" i="8" s="1"/>
  <c r="E8" i="5" s="1"/>
  <c r="Z7" i="8"/>
  <c r="Y12" i="8"/>
  <c r="Y11" i="8"/>
  <c r="Y10" i="8"/>
  <c r="Y9" i="8"/>
  <c r="Y8" i="8"/>
  <c r="Y7" i="8"/>
  <c r="Y6" i="8" s="1"/>
  <c r="Z6" i="8" l="1"/>
  <c r="AA6" i="8" s="1"/>
  <c r="Y14" i="8"/>
  <c r="AC15" i="8"/>
  <c r="G14" i="5" s="1"/>
  <c r="Z14" i="8"/>
  <c r="AC14" i="8" s="1"/>
  <c r="G23" i="5" s="1"/>
  <c r="AC7" i="8"/>
  <c r="E14" i="5" s="1"/>
  <c r="AW30" i="8"/>
  <c r="W38" i="8"/>
  <c r="AC6" i="8" l="1"/>
  <c r="E23" i="5" s="1"/>
  <c r="AL38" i="8"/>
  <c r="AO38" i="8" s="1"/>
  <c r="M38" i="8"/>
  <c r="AK38" i="8"/>
  <c r="BE102" i="6" l="1"/>
  <c r="BE178" i="6"/>
  <c r="BE108" i="6"/>
  <c r="BE156" i="6"/>
  <c r="BE129" i="6" l="1"/>
  <c r="BE150" i="6"/>
  <c r="BC102" i="6"/>
  <c r="BD102" i="6"/>
  <c r="BE100" i="6"/>
  <c r="BC108" i="6"/>
  <c r="BD108" i="6"/>
  <c r="BE246" i="6"/>
  <c r="BE61" i="6"/>
  <c r="BE105" i="6"/>
  <c r="BE25" i="6"/>
  <c r="BE97" i="6"/>
  <c r="BD178" i="6"/>
  <c r="BE153" i="6"/>
  <c r="BE184" i="6"/>
  <c r="BE242" i="6"/>
  <c r="BC192" i="6"/>
  <c r="BC148" i="6"/>
  <c r="BD148" i="6"/>
  <c r="BE81" i="6"/>
  <c r="BE244" i="6"/>
  <c r="BD61" i="6"/>
  <c r="AQ19" i="8"/>
  <c r="AT19" i="8" s="1"/>
  <c r="BD141" i="6" l="1"/>
  <c r="BD156" i="6"/>
  <c r="BC156" i="6"/>
  <c r="BD192" i="6"/>
  <c r="BD244" i="6"/>
  <c r="BC244" i="6"/>
  <c r="BE19" i="6"/>
  <c r="BD242" i="6"/>
  <c r="BE77" i="6"/>
  <c r="BD77" i="6"/>
  <c r="BE148" i="6"/>
  <c r="BD100" i="6"/>
  <c r="BD153" i="6"/>
  <c r="BC153" i="6"/>
  <c r="BD25" i="6"/>
  <c r="BD105" i="6"/>
  <c r="BC105" i="6"/>
  <c r="BD246" i="6"/>
  <c r="BC246" i="6"/>
  <c r="BC150" i="6"/>
  <c r="BD150" i="6"/>
  <c r="BD81" i="6"/>
  <c r="BC81" i="6"/>
  <c r="BD184" i="6"/>
  <c r="BC97" i="6"/>
  <c r="BD97" i="6"/>
  <c r="BE192" i="6"/>
  <c r="BE191" i="6" s="1"/>
  <c r="BD129" i="6"/>
  <c r="AT11" i="8"/>
  <c r="F14" i="8" l="1"/>
  <c r="BD19" i="6" l="1"/>
  <c r="BC190" i="6" l="1"/>
  <c r="BD190" i="6"/>
  <c r="F6" i="8"/>
  <c r="AT9" i="8"/>
  <c r="A243" i="6" l="1"/>
  <c r="A245" i="6" s="1"/>
  <c r="A247" i="6" s="1"/>
  <c r="A241" i="6"/>
  <c r="A235" i="6"/>
  <c r="A227" i="6"/>
  <c r="A191" i="6"/>
  <c r="A193" i="6" s="1"/>
  <c r="A195" i="6" s="1"/>
  <c r="A189" i="6"/>
  <c r="A183" i="6"/>
  <c r="A177" i="6"/>
  <c r="U24" i="9" l="1"/>
  <c r="U23" i="9"/>
  <c r="U22" i="9"/>
  <c r="U21" i="9"/>
  <c r="U19" i="9"/>
  <c r="U18" i="9"/>
  <c r="U17" i="9"/>
  <c r="U16" i="9"/>
  <c r="U14" i="9"/>
  <c r="U13" i="9"/>
  <c r="U11" i="9"/>
  <c r="U10" i="9"/>
  <c r="U8" i="9"/>
  <c r="T6" i="9"/>
  <c r="U38" i="8"/>
  <c r="X38" i="8" s="1"/>
  <c r="AT39" i="8"/>
  <c r="AU39" i="8" s="1"/>
  <c r="K38" i="8"/>
  <c r="N38" i="8"/>
  <c r="Q38" i="8" s="1"/>
  <c r="H47" i="8"/>
  <c r="K47" i="8" s="1"/>
  <c r="AC47" i="8"/>
  <c r="AI47" i="8"/>
  <c r="V20" i="10"/>
  <c r="T20" i="10"/>
  <c r="R20" i="10"/>
  <c r="V19" i="10"/>
  <c r="V18" i="10"/>
  <c r="V17" i="10"/>
  <c r="V16" i="10"/>
  <c r="V15" i="10"/>
  <c r="T15" i="10"/>
  <c r="R15" i="10"/>
  <c r="V14" i="10"/>
  <c r="V13" i="10"/>
  <c r="T13" i="10"/>
  <c r="R13" i="10"/>
  <c r="V12" i="10"/>
  <c r="V11" i="10"/>
  <c r="T11" i="10"/>
  <c r="R11" i="10"/>
  <c r="V10" i="10"/>
  <c r="V9" i="10"/>
  <c r="T9" i="10"/>
  <c r="R9" i="10"/>
  <c r="V8" i="10"/>
  <c r="T7" i="10"/>
  <c r="R7" i="10"/>
  <c r="U6" i="10"/>
  <c r="N6" i="10"/>
  <c r="J6" i="10"/>
  <c r="H6" i="10"/>
  <c r="F47" i="8"/>
  <c r="E47" i="8"/>
  <c r="F36" i="8"/>
  <c r="F35" i="8"/>
  <c r="F34" i="8"/>
  <c r="F33" i="8"/>
  <c r="F32" i="8"/>
  <c r="E18" i="8"/>
  <c r="G29" i="8"/>
  <c r="G37" i="8" s="1"/>
  <c r="E21" i="8"/>
  <c r="E12" i="8"/>
  <c r="E8" i="8"/>
  <c r="AF25" i="8"/>
  <c r="AF33" i="8" s="1"/>
  <c r="R24" i="9"/>
  <c r="R23" i="9"/>
  <c r="R22" i="9"/>
  <c r="R21" i="9"/>
  <c r="R19" i="9"/>
  <c r="R18" i="9"/>
  <c r="R17" i="9"/>
  <c r="R16" i="9"/>
  <c r="R14" i="9"/>
  <c r="R13" i="9"/>
  <c r="R11" i="9"/>
  <c r="R10" i="9"/>
  <c r="R8" i="9"/>
  <c r="Q6" i="9"/>
  <c r="J6" i="9"/>
  <c r="S25" i="8"/>
  <c r="S33" i="8" s="1"/>
  <c r="F6" i="5"/>
  <c r="H6" i="5"/>
  <c r="J6" i="5"/>
  <c r="L6" i="5"/>
  <c r="F9" i="5"/>
  <c r="H9" i="5"/>
  <c r="L9" i="5"/>
  <c r="F12" i="5"/>
  <c r="H12" i="5"/>
  <c r="L12" i="5"/>
  <c r="F15" i="5"/>
  <c r="F17" i="5"/>
  <c r="G17" i="5"/>
  <c r="H17" i="5" s="1"/>
  <c r="K17" i="5"/>
  <c r="L17" i="5" s="1"/>
  <c r="F28" i="5"/>
  <c r="H28" i="5"/>
  <c r="L28" i="5"/>
  <c r="F29" i="5"/>
  <c r="H29" i="5"/>
  <c r="L29" i="5"/>
  <c r="H5" i="7"/>
  <c r="N5" i="7"/>
  <c r="F6" i="7"/>
  <c r="I6" i="7"/>
  <c r="O6" i="7"/>
  <c r="R6" i="7"/>
  <c r="R7" i="7"/>
  <c r="F8" i="7"/>
  <c r="I8" i="7"/>
  <c r="O8" i="7"/>
  <c r="R8" i="7"/>
  <c r="R9" i="7"/>
  <c r="F10" i="7"/>
  <c r="I10" i="7"/>
  <c r="O10" i="7"/>
  <c r="R10" i="7"/>
  <c r="R11" i="7"/>
  <c r="I12" i="7"/>
  <c r="O12" i="7"/>
  <c r="R12" i="7"/>
  <c r="R13" i="7"/>
  <c r="F14" i="7"/>
  <c r="I14" i="7"/>
  <c r="O14" i="7"/>
  <c r="R14" i="7"/>
  <c r="R15" i="7"/>
  <c r="F16" i="7"/>
  <c r="I16" i="7"/>
  <c r="R16" i="7"/>
  <c r="R17" i="7"/>
  <c r="R19" i="7"/>
  <c r="F20" i="7"/>
  <c r="I20" i="7"/>
  <c r="O20" i="7"/>
  <c r="R20" i="7"/>
  <c r="R21" i="7"/>
  <c r="AO6" i="8"/>
  <c r="AA7" i="8"/>
  <c r="E13" i="5" s="1"/>
  <c r="AI7" i="8"/>
  <c r="AO7" i="8"/>
  <c r="AI8" i="8"/>
  <c r="AO8" i="8"/>
  <c r="AI9" i="8"/>
  <c r="AO9" i="8"/>
  <c r="AI10" i="8"/>
  <c r="AO10" i="8"/>
  <c r="AI11" i="8"/>
  <c r="AO11" i="8"/>
  <c r="AI12" i="8"/>
  <c r="AO12" i="8"/>
  <c r="AI13" i="8"/>
  <c r="AO13" i="8"/>
  <c r="AI14" i="8"/>
  <c r="AO14" i="8"/>
  <c r="AI15" i="8"/>
  <c r="AO15" i="8"/>
  <c r="AI16" i="8"/>
  <c r="AI17" i="8"/>
  <c r="AA18" i="8"/>
  <c r="AD18" i="8" s="1"/>
  <c r="AI18" i="8"/>
  <c r="AO18" i="8"/>
  <c r="AI19" i="8"/>
  <c r="AO19" i="8"/>
  <c r="AO20" i="8"/>
  <c r="AO21" i="8"/>
  <c r="H26" i="8"/>
  <c r="M26" i="8"/>
  <c r="M34" i="8" s="1"/>
  <c r="N26" i="8"/>
  <c r="S26" i="8"/>
  <c r="S34" i="8" s="1"/>
  <c r="T26" i="8"/>
  <c r="Y26" i="8"/>
  <c r="Y34" i="8" s="1"/>
  <c r="Z26" i="8"/>
  <c r="Z34" i="8" s="1"/>
  <c r="AE26" i="8"/>
  <c r="AE34" i="8" s="1"/>
  <c r="AF26" i="8"/>
  <c r="AF34" i="8" s="1"/>
  <c r="AK26" i="8"/>
  <c r="AK34" i="8" s="1"/>
  <c r="AL26" i="8"/>
  <c r="AL34" i="8" s="1"/>
  <c r="E27" i="8"/>
  <c r="G27" i="8"/>
  <c r="G35" i="8" s="1"/>
  <c r="H27" i="8"/>
  <c r="M27" i="8"/>
  <c r="M35" i="8" s="1"/>
  <c r="N27" i="8"/>
  <c r="S27" i="8"/>
  <c r="S35" i="8" s="1"/>
  <c r="T27" i="8"/>
  <c r="Y27" i="8"/>
  <c r="Y35" i="8" s="1"/>
  <c r="Z27" i="8"/>
  <c r="Z35" i="8" s="1"/>
  <c r="AE27" i="8"/>
  <c r="AE35" i="8" s="1"/>
  <c r="AF27" i="8"/>
  <c r="AF35" i="8" s="1"/>
  <c r="AG35" i="8" s="1"/>
  <c r="AK27" i="8"/>
  <c r="AK35" i="8" s="1"/>
  <c r="AL27" i="8"/>
  <c r="AL35" i="8" s="1"/>
  <c r="E28" i="8"/>
  <c r="G28" i="8"/>
  <c r="G36" i="8" s="1"/>
  <c r="H28" i="8"/>
  <c r="M28" i="8"/>
  <c r="M36" i="8" s="1"/>
  <c r="N28" i="8"/>
  <c r="S28" i="8"/>
  <c r="S36" i="8" s="1"/>
  <c r="T28" i="8"/>
  <c r="Y28" i="8"/>
  <c r="Y36" i="8" s="1"/>
  <c r="Z28" i="8"/>
  <c r="Z36" i="8" s="1"/>
  <c r="AE28" i="8"/>
  <c r="AE36" i="8" s="1"/>
  <c r="AF28" i="8"/>
  <c r="AF36" i="8" s="1"/>
  <c r="AK28" i="8"/>
  <c r="AK36" i="8" s="1"/>
  <c r="AL28" i="8"/>
  <c r="AL36" i="8" s="1"/>
  <c r="M29" i="8"/>
  <c r="M37" i="8" s="1"/>
  <c r="N29" i="8"/>
  <c r="S29" i="8"/>
  <c r="S37" i="8" s="1"/>
  <c r="T29" i="8"/>
  <c r="Y29" i="8"/>
  <c r="Y37" i="8" s="1"/>
  <c r="AF29" i="8"/>
  <c r="AF37" i="8" s="1"/>
  <c r="AK29" i="8"/>
  <c r="AK37" i="8" s="1"/>
  <c r="AL29" i="8"/>
  <c r="AL37" i="8" s="1"/>
  <c r="G38" i="8"/>
  <c r="AM38" i="8"/>
  <c r="AP38" i="8" s="1"/>
  <c r="I39" i="8"/>
  <c r="L39" i="8" s="1"/>
  <c r="O39" i="8"/>
  <c r="R39" i="8" s="1"/>
  <c r="U39" i="8"/>
  <c r="X39" i="8" s="1"/>
  <c r="AA39" i="8"/>
  <c r="AD39" i="8" s="1"/>
  <c r="AG39" i="8"/>
  <c r="AJ39" i="8" s="1"/>
  <c r="AM39" i="8"/>
  <c r="AP39" i="8" s="1"/>
  <c r="I40" i="8"/>
  <c r="L40" i="8" s="1"/>
  <c r="O40" i="8"/>
  <c r="R40" i="8" s="1"/>
  <c r="U40" i="8"/>
  <c r="X40" i="8" s="1"/>
  <c r="AA40" i="8"/>
  <c r="AD40" i="8" s="1"/>
  <c r="AG40" i="8"/>
  <c r="AJ40" i="8" s="1"/>
  <c r="AM40" i="8"/>
  <c r="AP40" i="8" s="1"/>
  <c r="AX40" i="8"/>
  <c r="AY40" i="8" s="1"/>
  <c r="I41" i="8"/>
  <c r="L41" i="8" s="1"/>
  <c r="O41" i="8"/>
  <c r="R41" i="8" s="1"/>
  <c r="U41" i="8"/>
  <c r="X41" i="8" s="1"/>
  <c r="AA41" i="8"/>
  <c r="AD41" i="8" s="1"/>
  <c r="AG41" i="8"/>
  <c r="AJ41" i="8" s="1"/>
  <c r="AM41" i="8"/>
  <c r="AP41" i="8" s="1"/>
  <c r="AQ41" i="8"/>
  <c r="AT41" i="8" s="1"/>
  <c r="AU41" i="8" s="1"/>
  <c r="I42" i="8"/>
  <c r="L42" i="8" s="1"/>
  <c r="O42" i="8"/>
  <c r="R42" i="8" s="1"/>
  <c r="U42" i="8"/>
  <c r="X42" i="8" s="1"/>
  <c r="AA42" i="8"/>
  <c r="AD42" i="8" s="1"/>
  <c r="AG42" i="8"/>
  <c r="AJ42" i="8" s="1"/>
  <c r="AM42" i="8"/>
  <c r="AP42" i="8" s="1"/>
  <c r="AQ42" i="8"/>
  <c r="AT42" i="8" s="1"/>
  <c r="AU42" i="8" s="1"/>
  <c r="I43" i="8"/>
  <c r="L43" i="8" s="1"/>
  <c r="O43" i="8"/>
  <c r="R43" i="8" s="1"/>
  <c r="U43" i="8"/>
  <c r="X43" i="8" s="1"/>
  <c r="AA43" i="8"/>
  <c r="AD43" i="8" s="1"/>
  <c r="AG43" i="8"/>
  <c r="AJ43" i="8" s="1"/>
  <c r="AM43" i="8"/>
  <c r="AP43" i="8" s="1"/>
  <c r="I44" i="8"/>
  <c r="L44" i="8" s="1"/>
  <c r="O44" i="8"/>
  <c r="R44" i="8" s="1"/>
  <c r="U44" i="8"/>
  <c r="X44" i="8" s="1"/>
  <c r="AA44" i="8"/>
  <c r="AD44" i="8" s="1"/>
  <c r="AG44" i="8"/>
  <c r="AJ44" i="8" s="1"/>
  <c r="AM44" i="8"/>
  <c r="AP44" i="8" s="1"/>
  <c r="AQ44" i="8"/>
  <c r="I45" i="8"/>
  <c r="L45" i="8" s="1"/>
  <c r="O45" i="8"/>
  <c r="R45" i="8" s="1"/>
  <c r="U45" i="8"/>
  <c r="X45" i="8" s="1"/>
  <c r="AA45" i="8"/>
  <c r="AD45" i="8" s="1"/>
  <c r="AG45" i="8"/>
  <c r="AJ45" i="8" s="1"/>
  <c r="AM45" i="8"/>
  <c r="AP45" i="8" s="1"/>
  <c r="AT45" i="8"/>
  <c r="AU45" i="8" s="1"/>
  <c r="I46" i="8"/>
  <c r="L46" i="8" s="1"/>
  <c r="O46" i="8"/>
  <c r="R46" i="8" s="1"/>
  <c r="U46" i="8"/>
  <c r="X46" i="8" s="1"/>
  <c r="AA46" i="8"/>
  <c r="AD46" i="8" s="1"/>
  <c r="AG46" i="8"/>
  <c r="AJ46" i="8" s="1"/>
  <c r="AM46" i="8"/>
  <c r="AP46" i="8" s="1"/>
  <c r="AQ46" i="8"/>
  <c r="AT46" i="8" s="1"/>
  <c r="AU46" i="8" s="1"/>
  <c r="G47" i="8"/>
  <c r="AG47" i="8"/>
  <c r="AJ47" i="8" s="1"/>
  <c r="AO47" i="8"/>
  <c r="I48" i="8"/>
  <c r="L48" i="8" s="1"/>
  <c r="O48" i="8"/>
  <c r="R48" i="8" s="1"/>
  <c r="U48" i="8"/>
  <c r="X48" i="8" s="1"/>
  <c r="AA48" i="8"/>
  <c r="AD48" i="8" s="1"/>
  <c r="AG48" i="8"/>
  <c r="AJ48" i="8" s="1"/>
  <c r="AM48" i="8"/>
  <c r="AP48" i="8" s="1"/>
  <c r="AT48" i="8"/>
  <c r="AU48" i="8" s="1"/>
  <c r="I49" i="8"/>
  <c r="L49" i="8" s="1"/>
  <c r="O49" i="8"/>
  <c r="R49" i="8" s="1"/>
  <c r="U49" i="8"/>
  <c r="X49" i="8" s="1"/>
  <c r="AA49" i="8"/>
  <c r="AD49" i="8" s="1"/>
  <c r="AG49" i="8"/>
  <c r="AJ49" i="8" s="1"/>
  <c r="AM49" i="8"/>
  <c r="AP49" i="8" s="1"/>
  <c r="AQ49" i="8"/>
  <c r="AT49" i="8" s="1"/>
  <c r="AU49" i="8" s="1"/>
  <c r="I50" i="8"/>
  <c r="L50" i="8" s="1"/>
  <c r="O50" i="8"/>
  <c r="R50" i="8" s="1"/>
  <c r="U50" i="8"/>
  <c r="X50" i="8" s="1"/>
  <c r="AA50" i="8"/>
  <c r="AD50" i="8" s="1"/>
  <c r="AG50" i="8"/>
  <c r="AJ50" i="8" s="1"/>
  <c r="AM50" i="8"/>
  <c r="AP50" i="8" s="1"/>
  <c r="AQ50" i="8"/>
  <c r="I51" i="8"/>
  <c r="L51" i="8" s="1"/>
  <c r="O51" i="8"/>
  <c r="R51" i="8" s="1"/>
  <c r="U51" i="8"/>
  <c r="X51" i="8" s="1"/>
  <c r="AA51" i="8"/>
  <c r="AD51" i="8" s="1"/>
  <c r="AG51" i="8"/>
  <c r="AJ51" i="8" s="1"/>
  <c r="AM51" i="8"/>
  <c r="AP51" i="8" s="1"/>
  <c r="AQ51" i="8"/>
  <c r="AT51" i="8" s="1"/>
  <c r="AU51" i="8" s="1"/>
  <c r="I52" i="8"/>
  <c r="L52" i="8" s="1"/>
  <c r="O52" i="8"/>
  <c r="R52" i="8" s="1"/>
  <c r="U52" i="8"/>
  <c r="X52" i="8" s="1"/>
  <c r="AA52" i="8"/>
  <c r="AD52" i="8" s="1"/>
  <c r="AG52" i="8"/>
  <c r="AJ52" i="8" s="1"/>
  <c r="AM52" i="8"/>
  <c r="AP52" i="8" s="1"/>
  <c r="AQ52" i="8"/>
  <c r="AX52" i="8" s="1"/>
  <c r="AY52" i="8" s="1"/>
  <c r="I53" i="8"/>
  <c r="L53" i="8" s="1"/>
  <c r="O53" i="8"/>
  <c r="R53" i="8" s="1"/>
  <c r="U53" i="8"/>
  <c r="X53" i="8" s="1"/>
  <c r="AA53" i="8"/>
  <c r="AD53" i="8" s="1"/>
  <c r="AG53" i="8"/>
  <c r="AJ53" i="8" s="1"/>
  <c r="AM53" i="8"/>
  <c r="AP53" i="8" s="1"/>
  <c r="AQ53" i="8"/>
  <c r="I54" i="8"/>
  <c r="L54" i="8" s="1"/>
  <c r="O54" i="8"/>
  <c r="R54" i="8" s="1"/>
  <c r="U54" i="8"/>
  <c r="X54" i="8" s="1"/>
  <c r="AA54" i="8"/>
  <c r="AD54" i="8" s="1"/>
  <c r="AG54" i="8"/>
  <c r="AJ54" i="8" s="1"/>
  <c r="AM54" i="8"/>
  <c r="AP54" i="8" s="1"/>
  <c r="AQ54" i="8"/>
  <c r="I55" i="8"/>
  <c r="L55" i="8" s="1"/>
  <c r="O55" i="8"/>
  <c r="R55" i="8" s="1"/>
  <c r="U55" i="8"/>
  <c r="X55" i="8" s="1"/>
  <c r="AA55" i="8"/>
  <c r="AD55" i="8" s="1"/>
  <c r="AG55" i="8"/>
  <c r="AJ55" i="8" s="1"/>
  <c r="AM55" i="8"/>
  <c r="AP55" i="8" s="1"/>
  <c r="AQ55" i="8"/>
  <c r="Y25" i="8"/>
  <c r="Y33" i="8" s="1"/>
  <c r="AO17" i="8"/>
  <c r="AL25" i="8"/>
  <c r="AL33" i="8" s="1"/>
  <c r="N25" i="8"/>
  <c r="T25" i="8"/>
  <c r="AE25" i="8"/>
  <c r="AE33" i="8" s="1"/>
  <c r="S24" i="8"/>
  <c r="S32" i="8" s="1"/>
  <c r="AK25" i="8"/>
  <c r="AK33" i="8" s="1"/>
  <c r="AK24" i="8"/>
  <c r="AK32" i="8" s="1"/>
  <c r="M25" i="8"/>
  <c r="M33" i="8" s="1"/>
  <c r="M24" i="8"/>
  <c r="M32" i="8" s="1"/>
  <c r="Z25" i="8"/>
  <c r="Z33" i="8" s="1"/>
  <c r="Z24" i="8"/>
  <c r="Z32" i="8" s="1"/>
  <c r="AC32" i="8" s="1"/>
  <c r="Z23" i="8"/>
  <c r="Z31" i="8" s="1"/>
  <c r="H23" i="8"/>
  <c r="AM37" i="8" l="1"/>
  <c r="AA36" i="8"/>
  <c r="AT44" i="8"/>
  <c r="AU44" i="8" s="1"/>
  <c r="AX44" i="8"/>
  <c r="AY44" i="8" s="1"/>
  <c r="AM35" i="8"/>
  <c r="AA35" i="8"/>
  <c r="AG33" i="8"/>
  <c r="AA33" i="8"/>
  <c r="I38" i="8"/>
  <c r="L38" i="8" s="1"/>
  <c r="I47" i="8"/>
  <c r="L47" i="8" s="1"/>
  <c r="AG36" i="8"/>
  <c r="AM34" i="8"/>
  <c r="AA34" i="8"/>
  <c r="AM33" i="8"/>
  <c r="N35" i="8"/>
  <c r="Q27" i="8"/>
  <c r="N33" i="8"/>
  <c r="Q25" i="8"/>
  <c r="W28" i="8"/>
  <c r="T36" i="8"/>
  <c r="T63" i="8" s="1"/>
  <c r="N34" i="8"/>
  <c r="Q26" i="8"/>
  <c r="W25" i="8"/>
  <c r="T33" i="8"/>
  <c r="T60" i="8" s="1"/>
  <c r="W27" i="8"/>
  <c r="T35" i="8"/>
  <c r="T62" i="8" s="1"/>
  <c r="N37" i="8"/>
  <c r="Q29" i="8"/>
  <c r="W29" i="8"/>
  <c r="T37" i="8"/>
  <c r="T64" i="8" s="1"/>
  <c r="AM36" i="8"/>
  <c r="N36" i="8"/>
  <c r="Q28" i="8"/>
  <c r="AG34" i="8"/>
  <c r="W26" i="8"/>
  <c r="T34" i="8"/>
  <c r="T61" i="8" s="1"/>
  <c r="K27" i="8"/>
  <c r="H35" i="8"/>
  <c r="K26" i="8"/>
  <c r="H34" i="8"/>
  <c r="K23" i="8"/>
  <c r="H31" i="8"/>
  <c r="K28" i="8"/>
  <c r="H36" i="8"/>
  <c r="E7" i="8"/>
  <c r="AR7" i="8" s="1"/>
  <c r="E14" i="9" s="1"/>
  <c r="AO26" i="8"/>
  <c r="AO34" i="8"/>
  <c r="AO29" i="8"/>
  <c r="AO37" i="8"/>
  <c r="AO28" i="8"/>
  <c r="O21" i="8"/>
  <c r="AO25" i="8"/>
  <c r="AO27" i="8"/>
  <c r="AO35" i="8"/>
  <c r="H25" i="8"/>
  <c r="AI27" i="8"/>
  <c r="AI35" i="8"/>
  <c r="AI26" i="8"/>
  <c r="AI34" i="8"/>
  <c r="O18" i="8"/>
  <c r="R18" i="8" s="1"/>
  <c r="AI29" i="8"/>
  <c r="AI37" i="8"/>
  <c r="AI28" i="8"/>
  <c r="AI25" i="8"/>
  <c r="AI33" i="8"/>
  <c r="AA38" i="8"/>
  <c r="AD38" i="8" s="1"/>
  <c r="AC38" i="8"/>
  <c r="AG38" i="8"/>
  <c r="AJ38" i="8" s="1"/>
  <c r="AI38" i="8"/>
  <c r="AG20" i="8"/>
  <c r="AJ20" i="8" s="1"/>
  <c r="AI20" i="8"/>
  <c r="O20" i="8"/>
  <c r="R20" i="8" s="1"/>
  <c r="AM19" i="8"/>
  <c r="AI21" i="8"/>
  <c r="AD7" i="8"/>
  <c r="AP7" i="8"/>
  <c r="AC24" i="8"/>
  <c r="K8" i="5" s="1"/>
  <c r="AC28" i="8"/>
  <c r="AC23" i="8"/>
  <c r="K14" i="5" s="1"/>
  <c r="AC25" i="8"/>
  <c r="K11" i="5" s="1"/>
  <c r="AC27" i="8"/>
  <c r="K19" i="5" s="1"/>
  <c r="AC26" i="8"/>
  <c r="AM17" i="8"/>
  <c r="AA17" i="8"/>
  <c r="G10" i="5" s="1"/>
  <c r="I10" i="8"/>
  <c r="E13" i="10" s="1"/>
  <c r="F13" i="10" s="1"/>
  <c r="E22" i="5"/>
  <c r="O29" i="8"/>
  <c r="I8" i="8"/>
  <c r="AG26" i="8"/>
  <c r="AJ26" i="8" s="1"/>
  <c r="AM27" i="8"/>
  <c r="O27" i="8"/>
  <c r="I27" i="8"/>
  <c r="I21" i="8"/>
  <c r="L21" i="8" s="1"/>
  <c r="U17" i="8"/>
  <c r="I17" i="8"/>
  <c r="AJ14" i="8"/>
  <c r="O12" i="8"/>
  <c r="R12" i="8" s="1"/>
  <c r="AM11" i="8"/>
  <c r="AA11" i="8"/>
  <c r="E18" i="5" s="1"/>
  <c r="AM10" i="8"/>
  <c r="AP10" i="8" s="1"/>
  <c r="AA10" i="8"/>
  <c r="AD10" i="8" s="1"/>
  <c r="O10" i="8"/>
  <c r="R10" i="8" s="1"/>
  <c r="Q33" i="8"/>
  <c r="U29" i="8"/>
  <c r="AM28" i="8"/>
  <c r="AP28" i="8" s="1"/>
  <c r="AA16" i="8"/>
  <c r="G7" i="5" s="1"/>
  <c r="O16" i="8"/>
  <c r="AG15" i="8"/>
  <c r="AT55" i="8"/>
  <c r="AU55" i="8" s="1"/>
  <c r="AX55" i="8"/>
  <c r="AY55" i="8" s="1"/>
  <c r="AR53" i="8"/>
  <c r="AS53" i="8" s="1"/>
  <c r="AX53" i="8"/>
  <c r="AY53" i="8" s="1"/>
  <c r="AT54" i="8"/>
  <c r="AU54" i="8" s="1"/>
  <c r="AX54" i="8"/>
  <c r="AY54" i="8" s="1"/>
  <c r="AM26" i="8"/>
  <c r="K16" i="5" s="1"/>
  <c r="L16" i="5" s="1"/>
  <c r="AG7" i="8"/>
  <c r="O8" i="8"/>
  <c r="AA12" i="8"/>
  <c r="AD12" i="8" s="1"/>
  <c r="AG10" i="8"/>
  <c r="AJ10" i="8" s="1"/>
  <c r="I28" i="8"/>
  <c r="I20" i="8"/>
  <c r="H17" i="10" s="1"/>
  <c r="I17" i="10" s="1"/>
  <c r="I13" i="8"/>
  <c r="L13" i="8" s="1"/>
  <c r="I12" i="8"/>
  <c r="E17" i="10" s="1"/>
  <c r="F17" i="10" s="1"/>
  <c r="U47" i="8"/>
  <c r="X47" i="8" s="1"/>
  <c r="AA47" i="8"/>
  <c r="AD47" i="8" s="1"/>
  <c r="U7" i="8"/>
  <c r="U11" i="8"/>
  <c r="AM8" i="8"/>
  <c r="AA8" i="8"/>
  <c r="E7" i="5" s="1"/>
  <c r="AG13" i="8"/>
  <c r="AJ13" i="8" s="1"/>
  <c r="AA14" i="8"/>
  <c r="G22" i="5" s="1"/>
  <c r="AM20" i="8"/>
  <c r="AP20" i="8" s="1"/>
  <c r="AG18" i="8"/>
  <c r="AJ18" i="8" s="1"/>
  <c r="AG17" i="8"/>
  <c r="AG9" i="8"/>
  <c r="AR49" i="8"/>
  <c r="AS49" i="8" s="1"/>
  <c r="O47" i="8"/>
  <c r="R47" i="8" s="1"/>
  <c r="AM47" i="8"/>
  <c r="AP47" i="8" s="1"/>
  <c r="AS39" i="8"/>
  <c r="AX49" i="8"/>
  <c r="AY49" i="8" s="1"/>
  <c r="AX51" i="8"/>
  <c r="AY51" i="8" s="1"/>
  <c r="AR51" i="8"/>
  <c r="AS51" i="8" s="1"/>
  <c r="AQ47" i="8"/>
  <c r="AR47" i="8" s="1"/>
  <c r="AS47" i="8" s="1"/>
  <c r="AT53" i="8"/>
  <c r="AU53" i="8" s="1"/>
  <c r="AR48" i="8"/>
  <c r="AS48" i="8" s="1"/>
  <c r="AR55" i="8"/>
  <c r="AS55" i="8" s="1"/>
  <c r="AX48" i="8"/>
  <c r="AY48" i="8" s="1"/>
  <c r="AR54" i="8"/>
  <c r="AS54" i="8" s="1"/>
  <c r="AS40" i="8"/>
  <c r="AX46" i="8"/>
  <c r="AY46" i="8" s="1"/>
  <c r="AR44" i="8"/>
  <c r="AS44" i="8" s="1"/>
  <c r="AX39" i="8"/>
  <c r="AY39" i="8" s="1"/>
  <c r="AQ38" i="8"/>
  <c r="AR45" i="8"/>
  <c r="AS45" i="8" s="1"/>
  <c r="AX42" i="8"/>
  <c r="AY42" i="8" s="1"/>
  <c r="AR42" i="8"/>
  <c r="AS42" i="8" s="1"/>
  <c r="AR46" i="8"/>
  <c r="AS46" i="8" s="1"/>
  <c r="AT40" i="8"/>
  <c r="AU40" i="8" s="1"/>
  <c r="O38" i="8"/>
  <c r="R38" i="8" s="1"/>
  <c r="O9" i="8"/>
  <c r="AA25" i="8"/>
  <c r="K10" i="5" s="1"/>
  <c r="U16" i="8"/>
  <c r="U25" i="8"/>
  <c r="AA19" i="8"/>
  <c r="G18" i="5" s="1"/>
  <c r="AA13" i="8"/>
  <c r="O13" i="8"/>
  <c r="AM12" i="8"/>
  <c r="AP12" i="8" s="1"/>
  <c r="O6" i="8"/>
  <c r="R6" i="8" s="1"/>
  <c r="U8" i="8"/>
  <c r="AM29" i="8"/>
  <c r="AP29" i="8" s="1"/>
  <c r="O28" i="8"/>
  <c r="R28" i="8" s="1"/>
  <c r="AA27" i="8"/>
  <c r="K18" i="5" s="1"/>
  <c r="AA21" i="8"/>
  <c r="AG19" i="8"/>
  <c r="AG16" i="8"/>
  <c r="AA15" i="8"/>
  <c r="G13" i="5" s="1"/>
  <c r="AG12" i="8"/>
  <c r="AJ12" i="8" s="1"/>
  <c r="O11" i="8"/>
  <c r="U10" i="8"/>
  <c r="X10" i="8" s="1"/>
  <c r="G31" i="8"/>
  <c r="AQ28" i="8"/>
  <c r="I19" i="8"/>
  <c r="I7" i="8"/>
  <c r="I18" i="8"/>
  <c r="H13" i="10" s="1"/>
  <c r="I13" i="10" s="1"/>
  <c r="U13" i="8"/>
  <c r="U6" i="8"/>
  <c r="U28" i="8"/>
  <c r="X28" i="8" s="1"/>
  <c r="AM21" i="8"/>
  <c r="AP21" i="8" s="1"/>
  <c r="AM18" i="8"/>
  <c r="O17" i="8"/>
  <c r="AM13" i="8"/>
  <c r="AP13" i="8" s="1"/>
  <c r="U12" i="8"/>
  <c r="X12" i="8" s="1"/>
  <c r="AM9" i="8"/>
  <c r="AA9" i="8"/>
  <c r="E10" i="5" s="1"/>
  <c r="AG8" i="8"/>
  <c r="AA20" i="8"/>
  <c r="AD20" i="8" s="1"/>
  <c r="U27" i="8"/>
  <c r="U21" i="8"/>
  <c r="U18" i="8"/>
  <c r="X18" i="8" s="1"/>
  <c r="AM16" i="8"/>
  <c r="O25" i="8"/>
  <c r="U19" i="8"/>
  <c r="O19" i="8"/>
  <c r="AX19" i="8"/>
  <c r="H20" i="9" s="1"/>
  <c r="O7" i="8"/>
  <c r="G25" i="8"/>
  <c r="G33" i="8" s="1"/>
  <c r="U9" i="8"/>
  <c r="AG27" i="8"/>
  <c r="H29" i="8"/>
  <c r="Q34" i="8"/>
  <c r="O26" i="8"/>
  <c r="R26" i="8" s="1"/>
  <c r="AQ26" i="8"/>
  <c r="AX26" i="8" s="1"/>
  <c r="AR43" i="8"/>
  <c r="AS43" i="8" s="1"/>
  <c r="AT43" i="8"/>
  <c r="AU43" i="8" s="1"/>
  <c r="AX43" i="8"/>
  <c r="AY43" i="8" s="1"/>
  <c r="AG28" i="8"/>
  <c r="AJ28" i="8" s="1"/>
  <c r="AI36" i="8"/>
  <c r="AQ27" i="8"/>
  <c r="AQ35" i="8" s="1"/>
  <c r="AM25" i="8"/>
  <c r="AA28" i="8"/>
  <c r="AD28" i="8" s="1"/>
  <c r="AA26" i="8"/>
  <c r="AD26" i="8" s="1"/>
  <c r="I11" i="8"/>
  <c r="AG25" i="8"/>
  <c r="AX50" i="8"/>
  <c r="AY50" i="8" s="1"/>
  <c r="AT50" i="8"/>
  <c r="AU50" i="8" s="1"/>
  <c r="AR50" i="8"/>
  <c r="AS50" i="8" s="1"/>
  <c r="AX41" i="8"/>
  <c r="AY41" i="8" s="1"/>
  <c r="AR41" i="8"/>
  <c r="AS41" i="8" s="1"/>
  <c r="U20" i="8"/>
  <c r="X20" i="8" s="1"/>
  <c r="AG11" i="8"/>
  <c r="AO36" i="8"/>
  <c r="U26" i="8"/>
  <c r="X26" i="8" s="1"/>
  <c r="AG21" i="8"/>
  <c r="AJ21" i="8" s="1"/>
  <c r="AT52" i="8"/>
  <c r="AU52" i="8" s="1"/>
  <c r="AR52" i="8"/>
  <c r="AS52" i="8" s="1"/>
  <c r="G26" i="8"/>
  <c r="G34" i="8" s="1"/>
  <c r="F37" i="8"/>
  <c r="AM6" i="8"/>
  <c r="AJ6" i="8"/>
  <c r="AD21" i="8" l="1"/>
  <c r="G20" i="5"/>
  <c r="H20" i="5" s="1"/>
  <c r="AD13" i="8"/>
  <c r="E20" i="5"/>
  <c r="F20" i="5" s="1"/>
  <c r="K36" i="8"/>
  <c r="K34" i="8"/>
  <c r="O36" i="8"/>
  <c r="W33" i="8"/>
  <c r="Q37" i="8"/>
  <c r="O35" i="8"/>
  <c r="K31" i="8"/>
  <c r="I31" i="8"/>
  <c r="K35" i="8"/>
  <c r="O33" i="8"/>
  <c r="X21" i="8"/>
  <c r="X13" i="8"/>
  <c r="X29" i="8"/>
  <c r="AT38" i="8"/>
  <c r="AU38" i="8" s="1"/>
  <c r="AR38" i="8"/>
  <c r="AS38" i="8" s="1"/>
  <c r="Q36" i="8"/>
  <c r="U33" i="8"/>
  <c r="X33" i="8" s="1"/>
  <c r="U34" i="8"/>
  <c r="X34" i="8" s="1"/>
  <c r="W34" i="8"/>
  <c r="Q35" i="8"/>
  <c r="W36" i="8"/>
  <c r="U36" i="8"/>
  <c r="X36" i="8" s="1"/>
  <c r="R27" i="8"/>
  <c r="L18" i="5"/>
  <c r="W37" i="8"/>
  <c r="U37" i="8"/>
  <c r="X37" i="8" s="1"/>
  <c r="W35" i="8"/>
  <c r="U35" i="8"/>
  <c r="X35" i="8" s="1"/>
  <c r="R16" i="8"/>
  <c r="F22" i="5"/>
  <c r="R11" i="8"/>
  <c r="F18" i="5"/>
  <c r="R9" i="8"/>
  <c r="R8" i="8"/>
  <c r="F7" i="5"/>
  <c r="E13" i="9"/>
  <c r="F13" i="9" s="1"/>
  <c r="N15" i="10"/>
  <c r="O15" i="10" s="1"/>
  <c r="E7" i="9"/>
  <c r="F7" i="9" s="1"/>
  <c r="E18" i="9"/>
  <c r="F18" i="9" s="1"/>
  <c r="H15" i="10"/>
  <c r="I15" i="10" s="1"/>
  <c r="H18" i="5"/>
  <c r="H9" i="10"/>
  <c r="I9" i="10" s="1"/>
  <c r="H10" i="5"/>
  <c r="K29" i="8"/>
  <c r="H37" i="8"/>
  <c r="AQ25" i="8"/>
  <c r="AX25" i="8" s="1"/>
  <c r="K25" i="8"/>
  <c r="H33" i="8"/>
  <c r="R21" i="8"/>
  <c r="O34" i="8"/>
  <c r="R34" i="8" s="1"/>
  <c r="AX35" i="8"/>
  <c r="AT35" i="8"/>
  <c r="AP27" i="8"/>
  <c r="AP19" i="8"/>
  <c r="E17" i="8"/>
  <c r="AR17" i="8" s="1"/>
  <c r="E13" i="8"/>
  <c r="AP25" i="8"/>
  <c r="AP16" i="8"/>
  <c r="AP9" i="8"/>
  <c r="E20" i="8"/>
  <c r="E36" i="8" s="1"/>
  <c r="AP6" i="8"/>
  <c r="AP11" i="8"/>
  <c r="AP8" i="8"/>
  <c r="AP17" i="8"/>
  <c r="AJ27" i="8"/>
  <c r="AJ8" i="8"/>
  <c r="R29" i="8"/>
  <c r="AJ17" i="8"/>
  <c r="AJ25" i="8"/>
  <c r="AP33" i="8"/>
  <c r="AO33" i="8"/>
  <c r="R36" i="8"/>
  <c r="AJ16" i="8"/>
  <c r="AJ11" i="8"/>
  <c r="L17" i="8"/>
  <c r="AJ19" i="8"/>
  <c r="AJ9" i="8"/>
  <c r="AJ15" i="8"/>
  <c r="AJ7" i="8"/>
  <c r="F13" i="5"/>
  <c r="AD9" i="8"/>
  <c r="AC34" i="8"/>
  <c r="AD34" i="8"/>
  <c r="AC33" i="8"/>
  <c r="AD33" i="8"/>
  <c r="AC36" i="8"/>
  <c r="AD36" i="8"/>
  <c r="AD27" i="8"/>
  <c r="AD25" i="8"/>
  <c r="AD14" i="8"/>
  <c r="AD16" i="8"/>
  <c r="AD11" i="8"/>
  <c r="AD35" i="8"/>
  <c r="AC35" i="8"/>
  <c r="AC31" i="8"/>
  <c r="AD8" i="8"/>
  <c r="AD17" i="8"/>
  <c r="AD15" i="8"/>
  <c r="AD19" i="8"/>
  <c r="AD6" i="8"/>
  <c r="R33" i="8"/>
  <c r="E7" i="10"/>
  <c r="F7" i="10" s="1"/>
  <c r="L27" i="8"/>
  <c r="AP26" i="8"/>
  <c r="N18" i="9"/>
  <c r="O18" i="9" s="1"/>
  <c r="H18" i="9"/>
  <c r="I18" i="9" s="1"/>
  <c r="L12" i="8"/>
  <c r="L8" i="8"/>
  <c r="I35" i="8"/>
  <c r="J18" i="9" s="1"/>
  <c r="L10" i="8"/>
  <c r="AP37" i="8"/>
  <c r="E16" i="9"/>
  <c r="F16" i="9" s="1"/>
  <c r="I36" i="8"/>
  <c r="J17" i="10" s="1"/>
  <c r="H10" i="9"/>
  <c r="I10" i="9" s="1"/>
  <c r="X17" i="8"/>
  <c r="R35" i="8"/>
  <c r="AJ36" i="8"/>
  <c r="AP36" i="8"/>
  <c r="AP35" i="8"/>
  <c r="I23" i="8"/>
  <c r="AJ33" i="8"/>
  <c r="I9" i="8"/>
  <c r="I34" i="8"/>
  <c r="J13" i="10" s="1"/>
  <c r="AJ35" i="8"/>
  <c r="X6" i="8"/>
  <c r="X8" i="8"/>
  <c r="X7" i="8"/>
  <c r="N17" i="10"/>
  <c r="O17" i="10" s="1"/>
  <c r="L28" i="8"/>
  <c r="AP34" i="8"/>
  <c r="AR28" i="8"/>
  <c r="N17" i="7" s="1"/>
  <c r="AX28" i="8"/>
  <c r="AY28" i="8" s="1"/>
  <c r="X16" i="8"/>
  <c r="L20" i="8"/>
  <c r="X9" i="8"/>
  <c r="X19" i="8"/>
  <c r="X27" i="8"/>
  <c r="X25" i="8"/>
  <c r="X11" i="8"/>
  <c r="O37" i="8"/>
  <c r="R37" i="8" s="1"/>
  <c r="AJ34" i="8"/>
  <c r="AX47" i="8"/>
  <c r="AY47" i="8" s="1"/>
  <c r="AT47" i="8"/>
  <c r="AU47" i="8" s="1"/>
  <c r="AX38" i="8"/>
  <c r="AY38" i="8" s="1"/>
  <c r="AT28" i="8"/>
  <c r="AU28" i="8" s="1"/>
  <c r="R13" i="8"/>
  <c r="AX9" i="8"/>
  <c r="E12" i="9" s="1"/>
  <c r="L7" i="8"/>
  <c r="E11" i="10"/>
  <c r="F11" i="10" s="1"/>
  <c r="E26" i="8"/>
  <c r="E34" i="8" s="1"/>
  <c r="H16" i="9"/>
  <c r="I16" i="9" s="1"/>
  <c r="L18" i="8"/>
  <c r="E16" i="8"/>
  <c r="L19" i="8"/>
  <c r="I26" i="8"/>
  <c r="L26" i="8" s="1"/>
  <c r="R17" i="8"/>
  <c r="G16" i="5"/>
  <c r="H16" i="5" s="1"/>
  <c r="AP18" i="8"/>
  <c r="Z22" i="8"/>
  <c r="O15" i="8"/>
  <c r="AE29" i="8"/>
  <c r="AE37" i="8" s="1"/>
  <c r="AG37" i="8" s="1"/>
  <c r="AT26" i="8"/>
  <c r="AU26" i="8" s="1"/>
  <c r="AY26" i="8"/>
  <c r="U15" i="8"/>
  <c r="L11" i="8"/>
  <c r="E15" i="10"/>
  <c r="F15" i="10" s="1"/>
  <c r="I16" i="8"/>
  <c r="R25" i="8"/>
  <c r="I25" i="8"/>
  <c r="L10" i="5" s="1"/>
  <c r="AE23" i="8"/>
  <c r="AE31" i="8" s="1"/>
  <c r="AX11" i="8"/>
  <c r="R7" i="8"/>
  <c r="AP15" i="8"/>
  <c r="AX27" i="8"/>
  <c r="N20" i="9" s="1"/>
  <c r="AT27" i="8"/>
  <c r="AR27" i="8"/>
  <c r="N19" i="9" s="1"/>
  <c r="AY19" i="8"/>
  <c r="AE24" i="8"/>
  <c r="AE32" i="8" s="1"/>
  <c r="Z29" i="8"/>
  <c r="Z37" i="8" s="1"/>
  <c r="AA37" i="8" s="1"/>
  <c r="I29" i="8"/>
  <c r="L29" i="8" s="1"/>
  <c r="I37" i="8"/>
  <c r="L37" i="8" s="1"/>
  <c r="R19" i="8"/>
  <c r="K33" i="8" l="1"/>
  <c r="K37" i="8"/>
  <c r="AC22" i="8"/>
  <c r="K23" i="5" s="1"/>
  <c r="Z30" i="8"/>
  <c r="AC30" i="8" s="1"/>
  <c r="H7" i="5"/>
  <c r="AT25" i="8"/>
  <c r="N13" i="9"/>
  <c r="O13" i="9" s="1"/>
  <c r="I33" i="8"/>
  <c r="J9" i="10" s="1"/>
  <c r="E9" i="10"/>
  <c r="F9" i="10" s="1"/>
  <c r="F10" i="5"/>
  <c r="BE248" i="6"/>
  <c r="BC25" i="6"/>
  <c r="E11" i="8"/>
  <c r="AR11" i="8" s="1"/>
  <c r="E16" i="10" s="1"/>
  <c r="F16" i="10" s="1"/>
  <c r="BE59" i="6"/>
  <c r="BE63" i="6"/>
  <c r="BE29" i="6"/>
  <c r="BC61" i="6"/>
  <c r="E19" i="8"/>
  <c r="BC184" i="6"/>
  <c r="BC141" i="6"/>
  <c r="E10" i="8"/>
  <c r="BE65" i="6"/>
  <c r="BC242" i="6"/>
  <c r="BE141" i="6"/>
  <c r="BE50" i="6"/>
  <c r="BE14" i="6"/>
  <c r="BE27" i="6"/>
  <c r="BE10" i="6"/>
  <c r="BE23" i="6"/>
  <c r="BC100" i="6"/>
  <c r="BC77" i="6"/>
  <c r="AQ29" i="8"/>
  <c r="AC29" i="8"/>
  <c r="AY25" i="8"/>
  <c r="N12" i="9"/>
  <c r="L34" i="8"/>
  <c r="L36" i="8"/>
  <c r="L35" i="8"/>
  <c r="J15" i="10"/>
  <c r="AS28" i="8"/>
  <c r="N18" i="10"/>
  <c r="O18" i="10" s="1"/>
  <c r="N16" i="9"/>
  <c r="O16" i="9" s="1"/>
  <c r="N13" i="10"/>
  <c r="O13" i="10" s="1"/>
  <c r="AR26" i="8"/>
  <c r="N14" i="10" s="1"/>
  <c r="O14" i="10" s="1"/>
  <c r="L23" i="8"/>
  <c r="J16" i="9"/>
  <c r="N11" i="10"/>
  <c r="O11" i="10" s="1"/>
  <c r="L9" i="8"/>
  <c r="AY9" i="8"/>
  <c r="AY27" i="8"/>
  <c r="AY11" i="8"/>
  <c r="E20" i="9"/>
  <c r="E10" i="9"/>
  <c r="F10" i="9" s="1"/>
  <c r="X15" i="8"/>
  <c r="H24" i="8"/>
  <c r="H22" i="8"/>
  <c r="AU9" i="8"/>
  <c r="AS27" i="8"/>
  <c r="N15" i="7"/>
  <c r="O15" i="7" s="1"/>
  <c r="N16" i="10"/>
  <c r="O16" i="10" s="1"/>
  <c r="AE22" i="8"/>
  <c r="AE30" i="8" s="1"/>
  <c r="J10" i="9"/>
  <c r="AA29" i="8"/>
  <c r="AU35" i="8"/>
  <c r="AY35" i="8"/>
  <c r="N23" i="8"/>
  <c r="AF23" i="8"/>
  <c r="AF31" i="8" s="1"/>
  <c r="AG31" i="8" s="1"/>
  <c r="AF24" i="8"/>
  <c r="AF32" i="8" s="1"/>
  <c r="AG32" i="8" s="1"/>
  <c r="L16" i="8"/>
  <c r="H7" i="9"/>
  <c r="I7" i="9" s="1"/>
  <c r="H7" i="10"/>
  <c r="I7" i="10" s="1"/>
  <c r="E29" i="8"/>
  <c r="E37" i="8" s="1"/>
  <c r="Y24" i="8"/>
  <c r="Y32" i="8" s="1"/>
  <c r="AA32" i="8" s="1"/>
  <c r="O19" i="9"/>
  <c r="AU27" i="8"/>
  <c r="G24" i="8"/>
  <c r="G32" i="8" s="1"/>
  <c r="I15" i="8"/>
  <c r="H13" i="5" s="1"/>
  <c r="U14" i="8"/>
  <c r="T23" i="8"/>
  <c r="W23" i="8" s="1"/>
  <c r="R15" i="8"/>
  <c r="AL23" i="8"/>
  <c r="AL31" i="8" s="1"/>
  <c r="S23" i="8"/>
  <c r="S31" i="8" s="1"/>
  <c r="N24" i="8"/>
  <c r="AU11" i="8"/>
  <c r="AL24" i="8"/>
  <c r="AL32" i="8" s="1"/>
  <c r="AM32" i="8" s="1"/>
  <c r="AU19" i="8"/>
  <c r="AM14" i="8"/>
  <c r="N10" i="9"/>
  <c r="O10" i="9" s="1"/>
  <c r="N9" i="10"/>
  <c r="O9" i="10" s="1"/>
  <c r="L25" i="8"/>
  <c r="T24" i="8"/>
  <c r="AG29" i="8"/>
  <c r="AJ29" i="8" s="1"/>
  <c r="AJ37" i="8"/>
  <c r="O14" i="8"/>
  <c r="AD29" i="8" l="1"/>
  <c r="K20" i="5"/>
  <c r="L20" i="5" s="1"/>
  <c r="AT29" i="8"/>
  <c r="AX29" i="8"/>
  <c r="AS11" i="8"/>
  <c r="E19" i="9"/>
  <c r="F19" i="9" s="1"/>
  <c r="AU25" i="8"/>
  <c r="AU29" i="8"/>
  <c r="N32" i="8"/>
  <c r="Q24" i="8"/>
  <c r="T32" i="8"/>
  <c r="T59" i="8" s="1"/>
  <c r="W24" i="8"/>
  <c r="N31" i="8"/>
  <c r="Q23" i="8"/>
  <c r="T31" i="8"/>
  <c r="E15" i="7"/>
  <c r="F15" i="7" s="1"/>
  <c r="L33" i="8"/>
  <c r="K22" i="8"/>
  <c r="H30" i="8"/>
  <c r="K24" i="8"/>
  <c r="H32" i="8"/>
  <c r="AO24" i="8"/>
  <c r="AO23" i="8"/>
  <c r="AO31" i="8"/>
  <c r="BD216" i="6"/>
  <c r="BE216" i="6"/>
  <c r="BE93" i="6"/>
  <c r="BE110" i="6"/>
  <c r="BE172" i="6"/>
  <c r="BC63" i="6"/>
  <c r="BD63" i="6"/>
  <c r="AQ20" i="8"/>
  <c r="BE55" i="6"/>
  <c r="BC59" i="6"/>
  <c r="BD59" i="6"/>
  <c r="AQ18" i="8"/>
  <c r="BC65" i="6"/>
  <c r="BD65" i="6"/>
  <c r="AQ21" i="8"/>
  <c r="AQ37" i="8" s="1"/>
  <c r="BD23" i="6"/>
  <c r="BC23" i="6"/>
  <c r="AQ10" i="8"/>
  <c r="BD27" i="6"/>
  <c r="BC27" i="6"/>
  <c r="AQ12" i="8"/>
  <c r="BC14" i="6"/>
  <c r="BD14" i="6"/>
  <c r="E15" i="8"/>
  <c r="E14" i="8" s="1"/>
  <c r="BE236" i="6"/>
  <c r="E35" i="8"/>
  <c r="AR35" i="8" s="1"/>
  <c r="J19" i="9" s="1"/>
  <c r="AR19" i="8"/>
  <c r="H19" i="9" s="1"/>
  <c r="I19" i="9" s="1"/>
  <c r="BD29" i="6"/>
  <c r="BC29" i="6"/>
  <c r="AQ13" i="8"/>
  <c r="AX13" i="8" s="1"/>
  <c r="BD248" i="6"/>
  <c r="BC248" i="6"/>
  <c r="AP14" i="8"/>
  <c r="BE194" i="6"/>
  <c r="BC10" i="6"/>
  <c r="BD10" i="6"/>
  <c r="BE31" i="6"/>
  <c r="BD50" i="6"/>
  <c r="BC50" i="6"/>
  <c r="AQ16" i="8"/>
  <c r="E9" i="8"/>
  <c r="BC19" i="6"/>
  <c r="BE196" i="6"/>
  <c r="BC93" i="6"/>
  <c r="BD93" i="6"/>
  <c r="BC129" i="6"/>
  <c r="BD172" i="6"/>
  <c r="AS26" i="8"/>
  <c r="AI24" i="8"/>
  <c r="AI23" i="8"/>
  <c r="N17" i="9"/>
  <c r="O17" i="9" s="1"/>
  <c r="AC37" i="8"/>
  <c r="AD37" i="8"/>
  <c r="N13" i="7"/>
  <c r="O13" i="7" s="1"/>
  <c r="X14" i="8"/>
  <c r="E23" i="9"/>
  <c r="F23" i="9" s="1"/>
  <c r="E19" i="10"/>
  <c r="F19" i="10" s="1"/>
  <c r="U23" i="8"/>
  <c r="AM24" i="8"/>
  <c r="J11" i="10"/>
  <c r="J13" i="9"/>
  <c r="L31" i="8"/>
  <c r="I24" i="8"/>
  <c r="R14" i="8"/>
  <c r="O24" i="8"/>
  <c r="AQ24" i="8"/>
  <c r="AK23" i="8"/>
  <c r="AK31" i="8" s="1"/>
  <c r="AM31" i="8" s="1"/>
  <c r="H11" i="10"/>
  <c r="I11" i="10" s="1"/>
  <c r="H13" i="9"/>
  <c r="I13" i="9" s="1"/>
  <c r="L15" i="8"/>
  <c r="AG24" i="8"/>
  <c r="AR29" i="8"/>
  <c r="N21" i="9" s="1"/>
  <c r="O21" i="9" s="1"/>
  <c r="T22" i="8"/>
  <c r="AG23" i="8"/>
  <c r="N22" i="8"/>
  <c r="AL22" i="8"/>
  <c r="AL30" i="8" s="1"/>
  <c r="T7" i="9"/>
  <c r="U7" i="9" s="1"/>
  <c r="AA24" i="8"/>
  <c r="K7" i="5" s="1"/>
  <c r="AD32" i="8"/>
  <c r="F31" i="8"/>
  <c r="Y23" i="8"/>
  <c r="Y31" i="8" s="1"/>
  <c r="AA31" i="8" s="1"/>
  <c r="Q7" i="9"/>
  <c r="R7" i="9" s="1"/>
  <c r="U24" i="8"/>
  <c r="U7" i="10"/>
  <c r="V7" i="10" s="1"/>
  <c r="I14" i="8"/>
  <c r="H22" i="5" s="1"/>
  <c r="S22" i="8"/>
  <c r="S30" i="8" s="1"/>
  <c r="AF22" i="8"/>
  <c r="AF30" i="8" s="1"/>
  <c r="AG30" i="8" s="1"/>
  <c r="AQ23" i="8"/>
  <c r="W31" i="8" l="1"/>
  <c r="T58" i="8"/>
  <c r="AQ6" i="8"/>
  <c r="AT6" i="8" s="1"/>
  <c r="AR16" i="8"/>
  <c r="H8" i="9" s="1"/>
  <c r="AX16" i="8"/>
  <c r="H9" i="9" s="1"/>
  <c r="K30" i="8"/>
  <c r="I30" i="8"/>
  <c r="K32" i="8"/>
  <c r="O32" i="8"/>
  <c r="R32" i="8" s="1"/>
  <c r="AS35" i="8"/>
  <c r="O31" i="8"/>
  <c r="Q31" i="8"/>
  <c r="W22" i="8"/>
  <c r="T30" i="8"/>
  <c r="U31" i="8"/>
  <c r="X31" i="8" s="1"/>
  <c r="AY29" i="8"/>
  <c r="N30" i="8"/>
  <c r="Q22" i="8"/>
  <c r="W32" i="8"/>
  <c r="U32" i="8"/>
  <c r="X32" i="8" s="1"/>
  <c r="Q32" i="8"/>
  <c r="J16" i="10"/>
  <c r="I32" i="8"/>
  <c r="J7" i="9" s="1"/>
  <c r="L7" i="9" s="1"/>
  <c r="AQ32" i="8"/>
  <c r="AX32" i="8" s="1"/>
  <c r="BC172" i="6"/>
  <c r="BE190" i="6"/>
  <c r="BE198" i="6"/>
  <c r="AP24" i="8"/>
  <c r="L7" i="5"/>
  <c r="BC236" i="6"/>
  <c r="AX20" i="8"/>
  <c r="AY20" i="8" s="1"/>
  <c r="AR20" i="8"/>
  <c r="AQ36" i="8"/>
  <c r="AT20" i="8"/>
  <c r="AU20" i="8" s="1"/>
  <c r="BC110" i="6"/>
  <c r="BD110" i="6"/>
  <c r="AR9" i="8"/>
  <c r="E11" i="9" s="1"/>
  <c r="F11" i="9" s="1"/>
  <c r="E6" i="8"/>
  <c r="AT13" i="8"/>
  <c r="AU13" i="8" s="1"/>
  <c r="AY13" i="8"/>
  <c r="AR13" i="8"/>
  <c r="E21" i="9" s="1"/>
  <c r="F21" i="9" s="1"/>
  <c r="H16" i="10"/>
  <c r="I16" i="10" s="1"/>
  <c r="AS19" i="8"/>
  <c r="H15" i="7"/>
  <c r="I15" i="7" s="1"/>
  <c r="AX21" i="8"/>
  <c r="AY21" i="8" s="1"/>
  <c r="AR21" i="8"/>
  <c r="H21" i="9" s="1"/>
  <c r="AT21" i="8"/>
  <c r="AX18" i="8"/>
  <c r="AY18" i="8" s="1"/>
  <c r="AT18" i="8"/>
  <c r="AU18" i="8" s="1"/>
  <c r="AR18" i="8"/>
  <c r="AQ34" i="8"/>
  <c r="AX37" i="8"/>
  <c r="AY37" i="8" s="1"/>
  <c r="AT37" i="8"/>
  <c r="AU37" i="8" s="1"/>
  <c r="BD236" i="6"/>
  <c r="BD55" i="6"/>
  <c r="BC55" i="6"/>
  <c r="BD198" i="6"/>
  <c r="BC196" i="6"/>
  <c r="BD196" i="6"/>
  <c r="AT7" i="8"/>
  <c r="BC194" i="6"/>
  <c r="BD194" i="6"/>
  <c r="AO22" i="8"/>
  <c r="AT16" i="8"/>
  <c r="BE43" i="6"/>
  <c r="BC31" i="6"/>
  <c r="BD31" i="6"/>
  <c r="AT8" i="8"/>
  <c r="AR8" i="8"/>
  <c r="E8" i="9" s="1"/>
  <c r="AX8" i="8"/>
  <c r="AX12" i="8"/>
  <c r="AY12" i="8" s="1"/>
  <c r="AR12" i="8"/>
  <c r="AT12" i="8"/>
  <c r="AU12" i="8" s="1"/>
  <c r="AX10" i="8"/>
  <c r="AY10" i="8" s="1"/>
  <c r="AT10" i="8"/>
  <c r="AU10" i="8" s="1"/>
  <c r="AR10" i="8"/>
  <c r="BC122" i="6"/>
  <c r="BD122" i="6"/>
  <c r="BE122" i="6"/>
  <c r="AJ23" i="8"/>
  <c r="AJ24" i="8"/>
  <c r="AP32" i="8"/>
  <c r="AO32" i="8"/>
  <c r="AR37" i="8"/>
  <c r="AI22" i="8"/>
  <c r="AJ32" i="8"/>
  <c r="AI32" i="8"/>
  <c r="AJ31" i="8"/>
  <c r="AI31" i="8"/>
  <c r="AD24" i="8"/>
  <c r="R31" i="8"/>
  <c r="X23" i="8"/>
  <c r="X24" i="8"/>
  <c r="AP31" i="8"/>
  <c r="AM23" i="8"/>
  <c r="E23" i="8"/>
  <c r="E31" i="8" s="1"/>
  <c r="O23" i="8"/>
  <c r="AT23" i="8"/>
  <c r="AX23" i="8"/>
  <c r="N15" i="9" s="1"/>
  <c r="F30" i="8"/>
  <c r="AK22" i="8"/>
  <c r="AK30" i="8" s="1"/>
  <c r="AM30" i="8" s="1"/>
  <c r="AT24" i="8"/>
  <c r="AX24" i="8"/>
  <c r="N9" i="9" s="1"/>
  <c r="M22" i="8"/>
  <c r="M30" i="8" s="1"/>
  <c r="J7" i="10"/>
  <c r="L7" i="10" s="1"/>
  <c r="AG22" i="8"/>
  <c r="H23" i="9"/>
  <c r="I23" i="9" s="1"/>
  <c r="L14" i="8"/>
  <c r="H19" i="10"/>
  <c r="I19" i="10" s="1"/>
  <c r="Y22" i="8"/>
  <c r="Y30" i="8" s="1"/>
  <c r="AA30" i="8" s="1"/>
  <c r="R24" i="8"/>
  <c r="N7" i="9"/>
  <c r="O7" i="9" s="1"/>
  <c r="N7" i="10"/>
  <c r="O7" i="10" s="1"/>
  <c r="L24" i="8"/>
  <c r="I22" i="8"/>
  <c r="AD31" i="8"/>
  <c r="AA23" i="8"/>
  <c r="K13" i="5" s="1"/>
  <c r="AO30" i="8"/>
  <c r="AQ22" i="8"/>
  <c r="AX22" i="8" s="1"/>
  <c r="U22" i="8"/>
  <c r="AS29" i="8"/>
  <c r="N19" i="7"/>
  <c r="O19" i="7" s="1"/>
  <c r="E25" i="8"/>
  <c r="E33" i="8" s="1"/>
  <c r="H7" i="7" l="1"/>
  <c r="I7" i="7" s="1"/>
  <c r="AS16" i="8"/>
  <c r="H8" i="10"/>
  <c r="I8" i="10" s="1"/>
  <c r="W30" i="8"/>
  <c r="T57" i="8"/>
  <c r="AX36" i="8"/>
  <c r="AY36" i="8" s="1"/>
  <c r="AT36" i="8"/>
  <c r="AU36" i="8" s="1"/>
  <c r="AR36" i="8"/>
  <c r="U30" i="8"/>
  <c r="AR6" i="8"/>
  <c r="E24" i="9" s="1"/>
  <c r="AU21" i="8"/>
  <c r="I21" i="9"/>
  <c r="O30" i="8"/>
  <c r="R30" i="8" s="1"/>
  <c r="Q30" i="8"/>
  <c r="AS37" i="8"/>
  <c r="J21" i="9"/>
  <c r="AT32" i="8"/>
  <c r="AU32" i="8" s="1"/>
  <c r="X30" i="8"/>
  <c r="L32" i="8"/>
  <c r="AP23" i="8"/>
  <c r="AY16" i="8"/>
  <c r="E14" i="10"/>
  <c r="F14" i="10" s="1"/>
  <c r="E17" i="9"/>
  <c r="F17" i="9" s="1"/>
  <c r="AS10" i="8"/>
  <c r="E17" i="7"/>
  <c r="F17" i="7" s="1"/>
  <c r="E18" i="10"/>
  <c r="F18" i="10" s="1"/>
  <c r="AS12" i="8"/>
  <c r="F8" i="9"/>
  <c r="AU8" i="8"/>
  <c r="AX6" i="8"/>
  <c r="BC228" i="6"/>
  <c r="BD228" i="6"/>
  <c r="BC216" i="6"/>
  <c r="AS9" i="8"/>
  <c r="E9" i="7"/>
  <c r="F9" i="7" s="1"/>
  <c r="E10" i="10"/>
  <c r="F10" i="10" s="1"/>
  <c r="F14" i="9"/>
  <c r="AU7" i="8"/>
  <c r="H19" i="7"/>
  <c r="I19" i="7" s="1"/>
  <c r="AS21" i="8"/>
  <c r="BD158" i="6"/>
  <c r="BC158" i="6"/>
  <c r="E12" i="10"/>
  <c r="F12" i="10" s="1"/>
  <c r="AS7" i="8"/>
  <c r="E11" i="7"/>
  <c r="F11" i="7" s="1"/>
  <c r="BE228" i="6"/>
  <c r="BE250" i="6"/>
  <c r="AQ33" i="8"/>
  <c r="H11" i="9"/>
  <c r="AT17" i="8"/>
  <c r="E19" i="7"/>
  <c r="F19" i="7" s="1"/>
  <c r="AS13" i="8"/>
  <c r="E8" i="10"/>
  <c r="F8" i="10" s="1"/>
  <c r="E7" i="7"/>
  <c r="F7" i="7" s="1"/>
  <c r="AS8" i="8"/>
  <c r="BD43" i="6"/>
  <c r="BC43" i="6"/>
  <c r="AQ15" i="8"/>
  <c r="H17" i="9"/>
  <c r="I17" i="9" s="1"/>
  <c r="AS18" i="8"/>
  <c r="H13" i="7"/>
  <c r="I13" i="7" s="1"/>
  <c r="H14" i="10"/>
  <c r="I14" i="10" s="1"/>
  <c r="BE158" i="6"/>
  <c r="AY8" i="8"/>
  <c r="E9" i="9"/>
  <c r="BE67" i="6"/>
  <c r="I8" i="9"/>
  <c r="AU16" i="8"/>
  <c r="E15" i="9"/>
  <c r="AY7" i="8"/>
  <c r="AX34" i="8"/>
  <c r="AY34" i="8" s="1"/>
  <c r="AT34" i="8"/>
  <c r="AU34" i="8" s="1"/>
  <c r="AR34" i="8"/>
  <c r="H18" i="10"/>
  <c r="I18" i="10" s="1"/>
  <c r="AS20" i="8"/>
  <c r="H17" i="7"/>
  <c r="I17" i="7" s="1"/>
  <c r="AJ22" i="8"/>
  <c r="AD23" i="8"/>
  <c r="AJ30" i="8"/>
  <c r="AI30" i="8"/>
  <c r="AT22" i="8"/>
  <c r="AY24" i="8"/>
  <c r="AY23" i="8"/>
  <c r="L13" i="5"/>
  <c r="X22" i="8"/>
  <c r="R23" i="8"/>
  <c r="AM22" i="8"/>
  <c r="E24" i="8"/>
  <c r="O22" i="8"/>
  <c r="AU23" i="8"/>
  <c r="AR25" i="8"/>
  <c r="N11" i="9" s="1"/>
  <c r="O11" i="9" s="1"/>
  <c r="AD30" i="8"/>
  <c r="AA22" i="8"/>
  <c r="K22" i="5" s="1"/>
  <c r="AY32" i="8"/>
  <c r="L30" i="8"/>
  <c r="J23" i="9"/>
  <c r="J19" i="10"/>
  <c r="AP30" i="8"/>
  <c r="N25" i="9"/>
  <c r="N19" i="10"/>
  <c r="O19" i="10" s="1"/>
  <c r="N23" i="9"/>
  <c r="O23" i="9" s="1"/>
  <c r="L22" i="8"/>
  <c r="AU24" i="8"/>
  <c r="AR23" i="8"/>
  <c r="N14" i="9" s="1"/>
  <c r="O14" i="9" s="1"/>
  <c r="E32" i="8" l="1"/>
  <c r="AR24" i="8"/>
  <c r="AT15" i="8"/>
  <c r="AR15" i="8"/>
  <c r="H14" i="9" s="1"/>
  <c r="AR33" i="8"/>
  <c r="AS33" i="8" s="1"/>
  <c r="AX33" i="8"/>
  <c r="AY33" i="8" s="1"/>
  <c r="R22" i="8"/>
  <c r="L22" i="5"/>
  <c r="AY17" i="8"/>
  <c r="BC178" i="6"/>
  <c r="I11" i="9"/>
  <c r="AU17" i="8"/>
  <c r="BD250" i="6"/>
  <c r="BC250" i="6"/>
  <c r="E25" i="9"/>
  <c r="AY6" i="8"/>
  <c r="AS34" i="8"/>
  <c r="J17" i="9"/>
  <c r="J14" i="10"/>
  <c r="J18" i="10"/>
  <c r="AS36" i="8"/>
  <c r="AS6" i="8"/>
  <c r="E20" i="10"/>
  <c r="F20" i="10" s="1"/>
  <c r="E21" i="7"/>
  <c r="F21" i="7" s="1"/>
  <c r="AP22" i="8"/>
  <c r="BD67" i="6"/>
  <c r="BC67" i="6"/>
  <c r="AQ14" i="8"/>
  <c r="AT14" i="8" s="1"/>
  <c r="AX15" i="8"/>
  <c r="AQ31" i="8"/>
  <c r="AX31" i="8" s="1"/>
  <c r="AS17" i="8"/>
  <c r="H10" i="10"/>
  <c r="I10" i="10" s="1"/>
  <c r="H9" i="7"/>
  <c r="I9" i="7" s="1"/>
  <c r="AT33" i="8"/>
  <c r="AU33" i="8" s="1"/>
  <c r="F24" i="9"/>
  <c r="AU6" i="8"/>
  <c r="AD22" i="8"/>
  <c r="AY22" i="8"/>
  <c r="AR32" i="8"/>
  <c r="J8" i="10" s="1"/>
  <c r="N8" i="9"/>
  <c r="O8" i="9" s="1"/>
  <c r="E22" i="8"/>
  <c r="N9" i="7"/>
  <c r="O9" i="7" s="1"/>
  <c r="N10" i="10"/>
  <c r="O10" i="10" s="1"/>
  <c r="AS25" i="8"/>
  <c r="AU22" i="8"/>
  <c r="N11" i="7"/>
  <c r="O11" i="7" s="1"/>
  <c r="N12" i="10"/>
  <c r="O12" i="10" s="1"/>
  <c r="AS23" i="8"/>
  <c r="J11" i="9" l="1"/>
  <c r="J10" i="10"/>
  <c r="AY31" i="8"/>
  <c r="AT31" i="8"/>
  <c r="AU31" i="8" s="1"/>
  <c r="AR31" i="8"/>
  <c r="AR14" i="8"/>
  <c r="H24" i="9" s="1"/>
  <c r="AX14" i="8"/>
  <c r="AQ30" i="8"/>
  <c r="AT30" i="8" s="1"/>
  <c r="AY15" i="8"/>
  <c r="H15" i="9"/>
  <c r="H12" i="10"/>
  <c r="I12" i="10" s="1"/>
  <c r="AS15" i="8"/>
  <c r="H11" i="7"/>
  <c r="I11" i="7" s="1"/>
  <c r="AU15" i="8"/>
  <c r="I14" i="9"/>
  <c r="BC198" i="6"/>
  <c r="E30" i="8"/>
  <c r="J8" i="9"/>
  <c r="AR22" i="8"/>
  <c r="N24" i="9" s="1"/>
  <c r="O24" i="9" s="1"/>
  <c r="AS32" i="8"/>
  <c r="N7" i="7"/>
  <c r="O7" i="7" s="1"/>
  <c r="AS24" i="8"/>
  <c r="N8" i="10"/>
  <c r="O8" i="10" s="1"/>
  <c r="AR30" i="8" l="1"/>
  <c r="J20" i="10" s="1"/>
  <c r="AS14" i="8"/>
  <c r="H20" i="10"/>
  <c r="I20" i="10" s="1"/>
  <c r="H21" i="7"/>
  <c r="I21" i="7" s="1"/>
  <c r="AX30" i="8"/>
  <c r="AY30" i="8" s="1"/>
  <c r="AU30" i="8"/>
  <c r="J12" i="10"/>
  <c r="J14" i="9"/>
  <c r="AS31" i="8"/>
  <c r="H25" i="9"/>
  <c r="AY14" i="8"/>
  <c r="I24" i="9"/>
  <c r="AU14" i="8"/>
  <c r="N20" i="10"/>
  <c r="O20" i="10" s="1"/>
  <c r="AS22" i="8"/>
  <c r="N21" i="7"/>
  <c r="O21" i="7" s="1"/>
  <c r="AS30" i="8" l="1"/>
  <c r="J24" i="9"/>
</calcChain>
</file>

<file path=xl/comments1.xml><?xml version="1.0" encoding="utf-8"?>
<comments xmlns="http://schemas.openxmlformats.org/spreadsheetml/2006/main">
  <authors>
    <author>matoba</author>
  </authors>
  <commentList>
    <comment ref="AW5" authorId="0" shapeId="0">
      <text>
        <r>
          <rPr>
            <b/>
            <sz val="9"/>
            <color indexed="81"/>
            <rFont val="ＭＳ Ｐゴシック"/>
            <family val="2"/>
          </rPr>
          <t xml:space="preserve">前年同期
</t>
        </r>
      </text>
    </comment>
  </commentList>
</comments>
</file>

<file path=xl/sharedStrings.xml><?xml version="1.0" encoding="utf-8"?>
<sst xmlns="http://schemas.openxmlformats.org/spreadsheetml/2006/main" count="780" uniqueCount="416">
  <si>
    <t>ｲﾝﾊﾞｰﾀ</t>
    <phoneticPr fontId="1" type="noConversion"/>
  </si>
  <si>
    <t>ｻｰﾎﾞ</t>
    <phoneticPr fontId="1" type="noConversion"/>
  </si>
  <si>
    <t>ﾛﾎﾞｯﾄ</t>
    <phoneticPr fontId="1" type="noConversion"/>
  </si>
  <si>
    <t>ｼｽﾃﾑ</t>
    <phoneticPr fontId="1" type="noConversion"/>
  </si>
  <si>
    <t>売上高</t>
    <phoneticPr fontId="1" type="noConversion"/>
  </si>
  <si>
    <t>受注高</t>
    <phoneticPr fontId="1" type="noConversion"/>
  </si>
  <si>
    <t>売上総利益</t>
    <phoneticPr fontId="1" type="noConversion"/>
  </si>
  <si>
    <t>売上総利益率</t>
    <phoneticPr fontId="1" type="noConversion"/>
  </si>
  <si>
    <t>間接費</t>
    <phoneticPr fontId="1" type="noConversion"/>
  </si>
  <si>
    <t>管理他</t>
    <phoneticPr fontId="1" type="noConversion"/>
  </si>
  <si>
    <t>　　評価指標</t>
    <phoneticPr fontId="1" type="noConversion"/>
  </si>
  <si>
    <t>予算達成率・・◎：110%以上、○：100%以上110%未満、△：95%以上100%未満、×：90%以上95%未満、××：90%未満</t>
  </si>
  <si>
    <t>××</t>
  </si>
  <si>
    <t>×</t>
  </si>
  <si>
    <t>△</t>
  </si>
  <si>
    <t>○</t>
  </si>
  <si>
    <t>◎</t>
  </si>
  <si>
    <t>営業利益</t>
    <phoneticPr fontId="1" type="noConversion"/>
  </si>
  <si>
    <t>売上総利益額</t>
    <phoneticPr fontId="1" type="noConversion"/>
  </si>
  <si>
    <t>達成率</t>
  </si>
  <si>
    <t>前回比</t>
  </si>
  <si>
    <t>サーボ</t>
    <phoneticPr fontId="1" type="noConversion"/>
  </si>
  <si>
    <t>インバータ</t>
    <phoneticPr fontId="1" type="noConversion"/>
  </si>
  <si>
    <t>ロボット</t>
    <phoneticPr fontId="1" type="noConversion"/>
  </si>
  <si>
    <t>××</t>
    <phoneticPr fontId="1" type="noConversion"/>
  </si>
  <si>
    <t>×</t>
    <phoneticPr fontId="1" type="noConversion"/>
  </si>
  <si>
    <t>△</t>
    <phoneticPr fontId="1" type="noConversion"/>
  </si>
  <si>
    <t>○</t>
    <phoneticPr fontId="1" type="noConversion"/>
  </si>
  <si>
    <t>◎</t>
    <phoneticPr fontId="1" type="noConversion"/>
  </si>
  <si>
    <t>判定</t>
    <phoneticPr fontId="13" type="noConversion"/>
  </si>
  <si>
    <t>遂行状況</t>
  </si>
  <si>
    <t>遂行状況</t>
    <phoneticPr fontId="1" type="noConversion"/>
  </si>
  <si>
    <t>達成率</t>
    <phoneticPr fontId="1" type="noConversion"/>
  </si>
  <si>
    <t>遂行状況・・◎：110%以上、○：100%以上110%未満、△：95%以上100%未満、×：90%以上95%未満、××：90%未満</t>
    <phoneticPr fontId="1" type="noConversion"/>
  </si>
  <si>
    <t>【千元単位】</t>
    <rPh sb="1" eb="2">
      <t>ゼイ</t>
    </rPh>
    <rPh sb="2" eb="3">
      <t>ヌ</t>
    </rPh>
    <rPh sb="5" eb="6">
      <t>センゲンタンイ</t>
    </rPh>
    <phoneticPr fontId="20"/>
  </si>
  <si>
    <t>計画</t>
  </si>
  <si>
    <t>実績</t>
  </si>
  <si>
    <t>実績</t>
    <rPh sb="0" eb="2">
      <t>ジッセキ</t>
    </rPh>
    <phoneticPr fontId="20"/>
  </si>
  <si>
    <t>予算</t>
  </si>
  <si>
    <t>前回見通</t>
  </si>
  <si>
    <t>計画差異</t>
  </si>
  <si>
    <t>ロボット</t>
  </si>
  <si>
    <t>JP品</t>
  </si>
  <si>
    <t>KD（瀋陽）生産品</t>
  </si>
  <si>
    <t>KD（SYD）生産品</t>
  </si>
  <si>
    <t>予算平均</t>
    <rPh sb="0" eb="2">
      <t>ヘイキン</t>
    </rPh>
    <phoneticPr fontId="20"/>
  </si>
  <si>
    <t>%=遂行率</t>
    <rPh sb="2" eb="4">
      <t>スイコウ</t>
    </rPh>
    <rPh sb="4" eb="5">
      <t>リツ</t>
    </rPh>
    <phoneticPr fontId="20"/>
  </si>
  <si>
    <t>インバータ</t>
  </si>
  <si>
    <t>KD品</t>
  </si>
  <si>
    <t>中国R分</t>
  </si>
  <si>
    <t>%=粗利率</t>
    <rPh sb="2" eb="4">
      <t>スイコウ</t>
    </rPh>
    <rPh sb="4" eb="5">
      <t>リツ</t>
    </rPh>
    <phoneticPr fontId="20"/>
  </si>
  <si>
    <t>%=粗利率</t>
  </si>
  <si>
    <t>うちΣ-Ⅴ</t>
  </si>
  <si>
    <t>予算比</t>
    <phoneticPr fontId="13" type="noConversion"/>
  </si>
  <si>
    <t>システム</t>
    <phoneticPr fontId="1" type="noConversion"/>
  </si>
  <si>
    <t>受注高</t>
    <phoneticPr fontId="1" type="noConversion"/>
  </si>
  <si>
    <t>売上高</t>
    <phoneticPr fontId="1" type="noConversion"/>
  </si>
  <si>
    <t>売上総利益率</t>
    <phoneticPr fontId="1" type="noConversion"/>
  </si>
  <si>
    <t>売上総利益額</t>
    <phoneticPr fontId="1" type="noConversion"/>
  </si>
  <si>
    <t>遂行率</t>
    <phoneticPr fontId="1" type="noConversion"/>
  </si>
  <si>
    <t>前回比</t>
    <phoneticPr fontId="1" type="noConversion"/>
  </si>
  <si>
    <t>サーボ</t>
    <phoneticPr fontId="1" type="noConversion"/>
  </si>
  <si>
    <t>インバータ</t>
    <phoneticPr fontId="1" type="noConversion"/>
  </si>
  <si>
    <t>ロボット</t>
    <phoneticPr fontId="1" type="noConversion"/>
  </si>
  <si>
    <t>システム</t>
    <phoneticPr fontId="1" type="noConversion"/>
  </si>
  <si>
    <t>（中国）全体</t>
    <phoneticPr fontId="1" type="noConversion"/>
  </si>
  <si>
    <t>予算達成率・・◎：110%以上、○：100%以上110%未満、△：95%以上100%未満、×：90%以上95%未満、××：90%未満</t>
    <phoneticPr fontId="1" type="noConversion"/>
  </si>
  <si>
    <t>××</t>
    <phoneticPr fontId="1" type="noConversion"/>
  </si>
  <si>
    <t>×</t>
    <phoneticPr fontId="1" type="noConversion"/>
  </si>
  <si>
    <t>△</t>
    <phoneticPr fontId="1" type="noConversion"/>
  </si>
  <si>
    <t>○</t>
    <phoneticPr fontId="1" type="noConversion"/>
  </si>
  <si>
    <t>◎</t>
    <phoneticPr fontId="1" type="noConversion"/>
  </si>
  <si>
    <t>前回</t>
  </si>
  <si>
    <t>前回</t>
    <phoneticPr fontId="23" type="noConversion"/>
  </si>
  <si>
    <t>今回</t>
  </si>
  <si>
    <t>今回</t>
    <phoneticPr fontId="1" type="noConversion"/>
  </si>
  <si>
    <t>達成状況</t>
    <phoneticPr fontId="1" type="noConversion"/>
  </si>
  <si>
    <t>前回比</t>
    <phoneticPr fontId="23" type="noConversion"/>
  </si>
  <si>
    <t>前回比</t>
    <phoneticPr fontId="23" type="noConversion"/>
  </si>
  <si>
    <t>（中国）全体</t>
  </si>
  <si>
    <t>医療</t>
    <phoneticPr fontId="13" type="noConversion"/>
  </si>
  <si>
    <t>医療</t>
    <phoneticPr fontId="1" type="noConversion"/>
  </si>
  <si>
    <t>非表示</t>
    <phoneticPr fontId="23" type="noConversion"/>
  </si>
  <si>
    <t>※売上総利益率は達成○、未達×</t>
  </si>
  <si>
    <t>計画差</t>
    <phoneticPr fontId="17" type="noConversion"/>
  </si>
  <si>
    <t>×</t>
    <phoneticPr fontId="17" type="noConversion"/>
  </si>
  <si>
    <t>予算差</t>
    <phoneticPr fontId="23" type="noConversion"/>
  </si>
  <si>
    <t>○</t>
    <phoneticPr fontId="23" type="noConversion"/>
  </si>
  <si>
    <t>※受注高・売上高・売上総利益は税抜で評価</t>
    <phoneticPr fontId="23" type="noConversion"/>
  </si>
  <si>
    <t>※受注高・売上高・売上総利益は税抜で評価</t>
    <phoneticPr fontId="17" type="noConversion"/>
  </si>
  <si>
    <t>○</t>
    <phoneticPr fontId="17" type="noConversion"/>
  </si>
  <si>
    <t>サーボ</t>
    <phoneticPr fontId="17" type="noConversion"/>
  </si>
  <si>
    <t>ロボット</t>
    <phoneticPr fontId="17" type="noConversion"/>
  </si>
  <si>
    <t>※本社提出値</t>
    <phoneticPr fontId="17" type="noConversion"/>
  </si>
  <si>
    <t>＋0.2ポイント</t>
  </si>
  <si>
    <t>△4.8ポイント</t>
  </si>
  <si>
    <t>事業部</t>
  </si>
  <si>
    <t>－</t>
  </si>
  <si>
    <t>非表示</t>
    <phoneticPr fontId="1" type="noConversion"/>
  </si>
  <si>
    <t>経常利益</t>
    <phoneticPr fontId="1" type="noConversion"/>
  </si>
  <si>
    <t>対
　　　３月計画</t>
    <phoneticPr fontId="1" type="noConversion"/>
  </si>
  <si>
    <t>対
　　　３月計画</t>
  </si>
  <si>
    <t>対
　　１５／上予算</t>
  </si>
  <si>
    <t>××</t>
    <phoneticPr fontId="1" type="noConversion"/>
  </si>
  <si>
    <t>×</t>
    <phoneticPr fontId="1" type="noConversion"/>
  </si>
  <si>
    <t>△</t>
    <phoneticPr fontId="1" type="noConversion"/>
  </si>
  <si>
    <t>○</t>
    <phoneticPr fontId="1" type="noConversion"/>
  </si>
  <si>
    <t>◎</t>
    <phoneticPr fontId="1" type="noConversion"/>
  </si>
  <si>
    <t>CS</t>
    <phoneticPr fontId="1" type="noConversion"/>
  </si>
  <si>
    <t>対
　　１６／上予算</t>
  </si>
  <si>
    <t>対
　　１６／上予算</t>
    <phoneticPr fontId="1" type="noConversion"/>
  </si>
  <si>
    <t>※受注高・売上高・売上総利益は税抜で評価</t>
  </si>
  <si>
    <t>＋0.8ポイント</t>
  </si>
  <si>
    <t>+0.2ポイント</t>
  </si>
  <si>
    <t>医療</t>
    <phoneticPr fontId="25" type="noConversion"/>
  </si>
  <si>
    <t>非表示</t>
    <phoneticPr fontId="25" type="noConversion"/>
  </si>
  <si>
    <t>×</t>
    <phoneticPr fontId="25" type="noConversion"/>
  </si>
  <si>
    <t>○</t>
    <phoneticPr fontId="25" type="noConversion"/>
  </si>
  <si>
    <t>医療</t>
  </si>
  <si>
    <t>C/S</t>
  </si>
  <si>
    <t>C/S</t>
    <phoneticPr fontId="1" type="noConversion"/>
  </si>
  <si>
    <t>その他</t>
    <phoneticPr fontId="24" type="noConversion"/>
  </si>
  <si>
    <t>FA</t>
  </si>
  <si>
    <t>FA</t>
    <phoneticPr fontId="24" type="noConversion"/>
  </si>
  <si>
    <t>遂行率</t>
    <phoneticPr fontId="13" type="noConversion"/>
  </si>
  <si>
    <t>判定</t>
    <phoneticPr fontId="13" type="noConversion"/>
  </si>
  <si>
    <t>遂行率</t>
  </si>
  <si>
    <t>FA</t>
    <phoneticPr fontId="1" type="noConversion"/>
  </si>
  <si>
    <t>CS</t>
    <phoneticPr fontId="1" type="noConversion"/>
  </si>
  <si>
    <t>×</t>
    <phoneticPr fontId="23" type="noConversion"/>
  </si>
  <si>
    <t>×</t>
    <phoneticPr fontId="23" type="noConversion"/>
  </si>
  <si>
    <t>達成状況</t>
  </si>
  <si>
    <t>棚卸資産</t>
    <phoneticPr fontId="1" type="noConversion"/>
  </si>
  <si>
    <t>×</t>
    <phoneticPr fontId="23" type="noConversion"/>
  </si>
  <si>
    <t>○</t>
    <phoneticPr fontId="23" type="noConversion"/>
  </si>
  <si>
    <t>△5.9ポイント</t>
    <phoneticPr fontId="23" type="noConversion"/>
  </si>
  <si>
    <t>△5.9ポイント</t>
  </si>
  <si>
    <t>-</t>
  </si>
  <si>
    <t>＋1.0ポイント</t>
    <phoneticPr fontId="23" type="noConversion"/>
  </si>
  <si>
    <t>△0.6ポイント</t>
    <phoneticPr fontId="23" type="noConversion"/>
  </si>
  <si>
    <t>＋1.0ポイント</t>
  </si>
  <si>
    <t>△0.6ポイント</t>
  </si>
  <si>
    <t>△1.3ポイント</t>
    <phoneticPr fontId="23" type="noConversion"/>
  </si>
  <si>
    <t>△2.1ポイント</t>
    <phoneticPr fontId="23" type="noConversion"/>
  </si>
  <si>
    <t>±0ポイント</t>
    <phoneticPr fontId="23" type="noConversion"/>
  </si>
  <si>
    <t>＋2.8ポイント</t>
    <phoneticPr fontId="23" type="noConversion"/>
  </si>
  <si>
    <t>17/上</t>
    <phoneticPr fontId="13" type="noConversion"/>
  </si>
  <si>
    <t>17/上見通し（中国）事業部別下期予算遂行状況</t>
    <phoneticPr fontId="1" type="noConversion"/>
  </si>
  <si>
    <t>前回：17/2時点実績　今回：17/3時点見通し</t>
    <phoneticPr fontId="1" type="noConversion"/>
  </si>
  <si>
    <t>△1.3ポイント</t>
  </si>
  <si>
    <t>＋2.8ポイント</t>
  </si>
  <si>
    <t>△2.1ポイント</t>
  </si>
  <si>
    <t>±0ポイント</t>
  </si>
  <si>
    <t>17/上見通し（中国）事業部別上期目標遂行状況</t>
    <phoneticPr fontId="1" type="noConversion"/>
  </si>
  <si>
    <t>目標差</t>
    <phoneticPr fontId="25" type="noConversion"/>
  </si>
  <si>
    <t>目標比</t>
    <phoneticPr fontId="13" type="noConversion"/>
  </si>
  <si>
    <t>△1.4ポイント</t>
  </si>
  <si>
    <t>△1.5ポイント</t>
  </si>
  <si>
    <t>SF</t>
    <phoneticPr fontId="13" type="noConversion"/>
  </si>
  <si>
    <t>うちGEM</t>
  </si>
  <si>
    <t>　用途特化型</t>
    <rPh sb="1" eb="3">
      <t>ヨウト</t>
    </rPh>
    <rPh sb="3" eb="6">
      <t>トッカガタ</t>
    </rPh>
    <phoneticPr fontId="20"/>
  </si>
  <si>
    <t>BEP</t>
    <phoneticPr fontId="1" type="noConversion"/>
  </si>
  <si>
    <t>受注高</t>
    <phoneticPr fontId="1" type="noConversion"/>
  </si>
  <si>
    <t>売上高</t>
    <phoneticPr fontId="1" type="noConversion"/>
  </si>
  <si>
    <t>売上総利益率</t>
    <phoneticPr fontId="1" type="noConversion"/>
  </si>
  <si>
    <t>売上総利益額</t>
    <phoneticPr fontId="1" type="noConversion"/>
  </si>
  <si>
    <t>達成率</t>
    <phoneticPr fontId="1" type="noConversion"/>
  </si>
  <si>
    <t>前回比</t>
    <phoneticPr fontId="1" type="noConversion"/>
  </si>
  <si>
    <t>サーボ</t>
    <phoneticPr fontId="1" type="noConversion"/>
  </si>
  <si>
    <t>対
　　　３月計画</t>
    <phoneticPr fontId="1" type="noConversion"/>
  </si>
  <si>
    <t>対
　　１６／上予算</t>
    <phoneticPr fontId="1" type="noConversion"/>
  </si>
  <si>
    <t>ロボット</t>
    <phoneticPr fontId="1" type="noConversion"/>
  </si>
  <si>
    <t>×</t>
    <phoneticPr fontId="1" type="noConversion"/>
  </si>
  <si>
    <t>インバータ</t>
    <phoneticPr fontId="1" type="noConversion"/>
  </si>
  <si>
    <t>システム</t>
    <phoneticPr fontId="1" type="noConversion"/>
  </si>
  <si>
    <t>CS</t>
    <phoneticPr fontId="1" type="noConversion"/>
  </si>
  <si>
    <t>（中国）全体</t>
    <phoneticPr fontId="1" type="noConversion"/>
  </si>
  <si>
    <t>棚卸資産</t>
    <phoneticPr fontId="1" type="noConversion"/>
  </si>
  <si>
    <t>事業部</t>
    <phoneticPr fontId="1" type="noConversion"/>
  </si>
  <si>
    <t>遂行状況</t>
    <phoneticPr fontId="1" type="noConversion"/>
  </si>
  <si>
    <t>前回</t>
    <phoneticPr fontId="1" type="noConversion"/>
  </si>
  <si>
    <t>今回</t>
    <phoneticPr fontId="1" type="noConversion"/>
  </si>
  <si>
    <t>△1.4ポイント</t>
    <phoneticPr fontId="1" type="noConversion"/>
  </si>
  <si>
    <t>医療</t>
    <phoneticPr fontId="1" type="noConversion"/>
  </si>
  <si>
    <t>【税抜受注高】</t>
    <phoneticPr fontId="1" type="noConversion"/>
  </si>
  <si>
    <t>ダイキン</t>
    <phoneticPr fontId="1" type="noConversion"/>
  </si>
  <si>
    <t>うちGEM</t>
    <phoneticPr fontId="20"/>
  </si>
  <si>
    <t>汎用品</t>
    <phoneticPr fontId="1" type="noConversion"/>
  </si>
  <si>
    <t>インバータ</t>
    <phoneticPr fontId="20"/>
  </si>
  <si>
    <t>うちΣ-Ⅴ</t>
    <phoneticPr fontId="1" type="noConversion"/>
  </si>
  <si>
    <t>うちΣ-7+ΣM</t>
    <phoneticPr fontId="1" type="noConversion"/>
  </si>
  <si>
    <t>サーボ</t>
    <phoneticPr fontId="20"/>
  </si>
  <si>
    <t>YSR分</t>
    <phoneticPr fontId="1" type="noConversion"/>
  </si>
  <si>
    <t>中国R分</t>
    <phoneticPr fontId="1" type="noConversion"/>
  </si>
  <si>
    <t>システム</t>
    <phoneticPr fontId="1" type="noConversion"/>
  </si>
  <si>
    <t>ＭＶ</t>
    <phoneticPr fontId="1" type="noConversion"/>
  </si>
  <si>
    <t>ＰＡ</t>
    <phoneticPr fontId="1" type="noConversion"/>
  </si>
  <si>
    <t>システム</t>
    <phoneticPr fontId="20"/>
  </si>
  <si>
    <t>CS</t>
    <phoneticPr fontId="20"/>
  </si>
  <si>
    <t>医療</t>
    <phoneticPr fontId="20"/>
  </si>
  <si>
    <t>ＳＦ</t>
    <phoneticPr fontId="20"/>
  </si>
  <si>
    <t>計</t>
    <phoneticPr fontId="1" type="noConversion"/>
  </si>
  <si>
    <t>【税抜売上高】</t>
    <phoneticPr fontId="1" type="noConversion"/>
  </si>
  <si>
    <t>ダイキン</t>
    <phoneticPr fontId="1" type="noConversion"/>
  </si>
  <si>
    <t>KD品</t>
    <phoneticPr fontId="1" type="noConversion"/>
  </si>
  <si>
    <t>うちΣ-7+Σ-M</t>
    <phoneticPr fontId="1" type="noConversion"/>
  </si>
  <si>
    <t>サーボ合計</t>
    <phoneticPr fontId="20"/>
  </si>
  <si>
    <t>ロボット</t>
    <phoneticPr fontId="20"/>
  </si>
  <si>
    <t>システム(案件リスト提出願います)</t>
    <phoneticPr fontId="20"/>
  </si>
  <si>
    <t>【税込受注高】</t>
    <phoneticPr fontId="1" type="noConversion"/>
  </si>
  <si>
    <t>うちGEM</t>
    <phoneticPr fontId="20"/>
  </si>
  <si>
    <t>汎用品</t>
    <phoneticPr fontId="1" type="noConversion"/>
  </si>
  <si>
    <t>うちΣ-Ⅴ</t>
    <phoneticPr fontId="1" type="noConversion"/>
  </si>
  <si>
    <t>うちΣ-7+ΣM</t>
    <phoneticPr fontId="1" type="noConversion"/>
  </si>
  <si>
    <t>サーボ</t>
    <phoneticPr fontId="20"/>
  </si>
  <si>
    <t>YSR台数</t>
    <phoneticPr fontId="1" type="noConversion"/>
  </si>
  <si>
    <t>YSR単価</t>
    <rPh sb="3" eb="5">
      <t>タンカ</t>
    </rPh>
    <phoneticPr fontId="1" type="noConversion"/>
  </si>
  <si>
    <t>YSR</t>
    <phoneticPr fontId="1" type="noConversion"/>
  </si>
  <si>
    <t>中国R台数</t>
    <phoneticPr fontId="1" type="noConversion"/>
  </si>
  <si>
    <t>中国R単価</t>
    <rPh sb="3" eb="5">
      <t>タンカ</t>
    </rPh>
    <phoneticPr fontId="1" type="noConversion"/>
  </si>
  <si>
    <t>中国R</t>
    <phoneticPr fontId="1" type="noConversion"/>
  </si>
  <si>
    <t>台数(合計）</t>
    <phoneticPr fontId="1" type="noConversion"/>
  </si>
  <si>
    <t>単価</t>
    <rPh sb="0" eb="2">
      <t>タンカ</t>
    </rPh>
    <phoneticPr fontId="1" type="noConversion"/>
  </si>
  <si>
    <t>ロボット</t>
    <phoneticPr fontId="20"/>
  </si>
  <si>
    <t>台数</t>
    <phoneticPr fontId="1" type="noConversion"/>
  </si>
  <si>
    <t>MV</t>
    <phoneticPr fontId="1" type="noConversion"/>
  </si>
  <si>
    <t>PA他</t>
    <phoneticPr fontId="1" type="noConversion"/>
  </si>
  <si>
    <t>MV台数</t>
    <phoneticPr fontId="1" type="noConversion"/>
  </si>
  <si>
    <t>台数</t>
    <phoneticPr fontId="20"/>
  </si>
  <si>
    <t>【税込売上高】</t>
    <phoneticPr fontId="1" type="noConversion"/>
  </si>
  <si>
    <t>JP品</t>
    <phoneticPr fontId="1" type="noConversion"/>
  </si>
  <si>
    <t>YSR台数</t>
    <phoneticPr fontId="1" type="noConversion"/>
  </si>
  <si>
    <t>ＭＶ</t>
    <phoneticPr fontId="1" type="noConversion"/>
  </si>
  <si>
    <t>ＰＡ他</t>
    <phoneticPr fontId="1" type="noConversion"/>
  </si>
  <si>
    <t>MV台数</t>
    <phoneticPr fontId="1" type="noConversion"/>
  </si>
  <si>
    <t>システム(案件リスト提出願います)</t>
    <phoneticPr fontId="20"/>
  </si>
  <si>
    <t>CS</t>
    <phoneticPr fontId="20"/>
  </si>
  <si>
    <t>台数</t>
    <phoneticPr fontId="20"/>
  </si>
  <si>
    <t>医療</t>
    <phoneticPr fontId="1" type="noConversion"/>
  </si>
  <si>
    <t>ＳＦ</t>
    <phoneticPr fontId="1" type="noConversion"/>
  </si>
  <si>
    <t>計</t>
    <phoneticPr fontId="1" type="noConversion"/>
  </si>
  <si>
    <t>【税抜受注粗利】</t>
    <phoneticPr fontId="1" type="noConversion"/>
  </si>
  <si>
    <t>ダイキン</t>
    <phoneticPr fontId="1" type="noConversion"/>
  </si>
  <si>
    <t>うちGEM</t>
    <phoneticPr fontId="20"/>
  </si>
  <si>
    <t>汎用品</t>
    <phoneticPr fontId="1" type="noConversion"/>
  </si>
  <si>
    <t>インバータ</t>
    <phoneticPr fontId="20"/>
  </si>
  <si>
    <t>うちΣ-7+Σ-M</t>
    <phoneticPr fontId="1" type="noConversion"/>
  </si>
  <si>
    <t>サーボ</t>
    <phoneticPr fontId="20"/>
  </si>
  <si>
    <t>YSR分</t>
    <phoneticPr fontId="1" type="noConversion"/>
  </si>
  <si>
    <t>ロボット</t>
    <phoneticPr fontId="20"/>
  </si>
  <si>
    <t>ＭＶ</t>
    <phoneticPr fontId="1" type="noConversion"/>
  </si>
  <si>
    <t>ＰＡ</t>
    <phoneticPr fontId="1" type="noConversion"/>
  </si>
  <si>
    <t>システム</t>
    <phoneticPr fontId="20"/>
  </si>
  <si>
    <t>CS</t>
    <phoneticPr fontId="20"/>
  </si>
  <si>
    <t>医療</t>
    <phoneticPr fontId="20"/>
  </si>
  <si>
    <t>ＳＦ</t>
    <phoneticPr fontId="20"/>
  </si>
  <si>
    <t>計</t>
    <phoneticPr fontId="1" type="noConversion"/>
  </si>
  <si>
    <t>【税抜売上粗利】</t>
    <phoneticPr fontId="1" type="noConversion"/>
  </si>
  <si>
    <t>KD品</t>
    <phoneticPr fontId="1" type="noConversion"/>
  </si>
  <si>
    <t>うちΣ-7+Σ-M</t>
    <phoneticPr fontId="1" type="noConversion"/>
  </si>
  <si>
    <t>サーボ合計</t>
    <phoneticPr fontId="20"/>
  </si>
  <si>
    <t>YSR分</t>
    <phoneticPr fontId="1" type="noConversion"/>
  </si>
  <si>
    <t>ＳＦ</t>
    <phoneticPr fontId="1" type="noConversion"/>
  </si>
  <si>
    <t>項目</t>
    <phoneticPr fontId="1" type="noConversion"/>
  </si>
  <si>
    <t>受注高</t>
    <phoneticPr fontId="1" type="noConversion"/>
  </si>
  <si>
    <t>売上高</t>
    <phoneticPr fontId="1" type="noConversion"/>
  </si>
  <si>
    <t>売上総利益</t>
    <phoneticPr fontId="1" type="noConversion"/>
  </si>
  <si>
    <t>売上総利益率</t>
    <phoneticPr fontId="1" type="noConversion"/>
  </si>
  <si>
    <t>間接費</t>
    <phoneticPr fontId="1" type="noConversion"/>
  </si>
  <si>
    <t>営業利益</t>
    <phoneticPr fontId="1" type="noConversion"/>
  </si>
  <si>
    <t xml:space="preserve"> </t>
  </si>
  <si>
    <t>遂行率</t>
    <phoneticPr fontId="13" type="noConversion"/>
  </si>
  <si>
    <t>判定</t>
    <phoneticPr fontId="13" type="noConversion"/>
  </si>
  <si>
    <t>計画</t>
    <phoneticPr fontId="1" type="noConversion"/>
  </si>
  <si>
    <t>同期比</t>
    <phoneticPr fontId="1" type="noConversion"/>
  </si>
  <si>
    <t>実績</t>
    <phoneticPr fontId="13" type="noConversion"/>
  </si>
  <si>
    <t>サーボ</t>
    <phoneticPr fontId="1" type="noConversion"/>
  </si>
  <si>
    <t>月予算差</t>
    <phoneticPr fontId="1" type="noConversion"/>
  </si>
  <si>
    <t>月目標差</t>
    <phoneticPr fontId="20"/>
  </si>
  <si>
    <t>月計画差</t>
    <phoneticPr fontId="1" type="noConversion"/>
  </si>
  <si>
    <t>月予算差</t>
    <phoneticPr fontId="1" type="noConversion"/>
  </si>
  <si>
    <t>月目標差</t>
    <phoneticPr fontId="20"/>
  </si>
  <si>
    <t>月計画差</t>
    <phoneticPr fontId="1" type="noConversion"/>
  </si>
  <si>
    <t>遂行率</t>
    <phoneticPr fontId="13" type="noConversion"/>
  </si>
  <si>
    <t>前年同期</t>
    <phoneticPr fontId="1" type="noConversion"/>
  </si>
  <si>
    <t>同期比</t>
    <phoneticPr fontId="1" type="noConversion"/>
  </si>
  <si>
    <t>判定</t>
    <phoneticPr fontId="13" type="noConversion"/>
  </si>
  <si>
    <t>１７／下　方針遂行状況モニタリング</t>
    <phoneticPr fontId="1" type="noConversion"/>
  </si>
  <si>
    <t>台数</t>
    <phoneticPr fontId="19" type="noConversion"/>
  </si>
  <si>
    <t>台数</t>
    <phoneticPr fontId="19" type="noConversion"/>
  </si>
  <si>
    <t>GP</t>
    <phoneticPr fontId="1" type="noConversion"/>
  </si>
  <si>
    <t>GP</t>
    <phoneticPr fontId="1" type="noConversion"/>
  </si>
  <si>
    <t>台数</t>
    <phoneticPr fontId="19" type="noConversion"/>
  </si>
  <si>
    <t>17/9</t>
    <phoneticPr fontId="1" type="noConversion"/>
  </si>
  <si>
    <t>予算</t>
    <phoneticPr fontId="20"/>
  </si>
  <si>
    <t>前回計画</t>
    <phoneticPr fontId="20"/>
  </si>
  <si>
    <t>今回計画</t>
    <rPh sb="0" eb="2">
      <t>ジッセキ</t>
    </rPh>
    <phoneticPr fontId="20"/>
  </si>
  <si>
    <t>見通し平均</t>
    <phoneticPr fontId="1" type="noConversion"/>
  </si>
  <si>
    <t>月予算差</t>
    <phoneticPr fontId="1" type="noConversion"/>
  </si>
  <si>
    <t>月予算差</t>
    <phoneticPr fontId="1" type="noConversion"/>
  </si>
  <si>
    <t>月予算差</t>
    <phoneticPr fontId="1" type="noConversion"/>
  </si>
  <si>
    <t>計画差異</t>
    <phoneticPr fontId="1" type="noConversion"/>
  </si>
  <si>
    <t>月予算差</t>
    <phoneticPr fontId="1" type="noConversion"/>
  </si>
  <si>
    <t>予算平均</t>
  </si>
  <si>
    <t>確認</t>
    <phoneticPr fontId="1" type="noConversion"/>
  </si>
  <si>
    <t xml:space="preserve"> </t>
    <phoneticPr fontId="20"/>
  </si>
  <si>
    <t>１０月</t>
    <phoneticPr fontId="1" type="noConversion"/>
  </si>
  <si>
    <t>１月</t>
    <phoneticPr fontId="1" type="noConversion"/>
  </si>
  <si>
    <t>17/下</t>
    <phoneticPr fontId="1" type="noConversion"/>
  </si>
  <si>
    <t>17/下見通し（中国）事業部別下期見直計画遂行状況</t>
    <phoneticPr fontId="1" type="noConversion"/>
  </si>
  <si>
    <t>９月</t>
    <phoneticPr fontId="1" type="noConversion"/>
  </si>
  <si>
    <t>実績</t>
    <phoneticPr fontId="1" type="noConversion"/>
  </si>
  <si>
    <t>前年同期</t>
    <phoneticPr fontId="1" type="noConversion"/>
  </si>
  <si>
    <t>２月</t>
    <phoneticPr fontId="1" type="noConversion"/>
  </si>
  <si>
    <t>遂行率</t>
    <phoneticPr fontId="13" type="noConversion"/>
  </si>
  <si>
    <t>前年同期</t>
    <phoneticPr fontId="1" type="noConversion"/>
  </si>
  <si>
    <t>同期比</t>
    <phoneticPr fontId="1" type="noConversion"/>
  </si>
  <si>
    <t>判定</t>
    <phoneticPr fontId="13" type="noConversion"/>
  </si>
  <si>
    <t>17/下</t>
    <phoneticPr fontId="13" type="noConversion"/>
  </si>
  <si>
    <t>同期比</t>
  </si>
  <si>
    <t>16/下</t>
    <phoneticPr fontId="13" type="noConversion"/>
  </si>
  <si>
    <t>見通し平均</t>
  </si>
  <si>
    <t>見直計画達成率・・◎：110%以上、○：100%以上110%未満、△：95%以上100%未満、×：90%以上95%未満、××：90%未満</t>
    <rPh sb="0" eb="2">
      <t>もくひょう</t>
    </rPh>
    <phoneticPr fontId="1" type="noConversion"/>
  </si>
  <si>
    <t>予算（目標）</t>
    <phoneticPr fontId="13" type="noConversion"/>
  </si>
  <si>
    <t>レビュー</t>
    <phoneticPr fontId="13" type="noConversion"/>
  </si>
  <si>
    <t>今回計画</t>
    <phoneticPr fontId="24" type="noConversion"/>
  </si>
  <si>
    <t>前回計画</t>
    <phoneticPr fontId="24" type="noConversion"/>
  </si>
  <si>
    <t>判定</t>
  </si>
  <si>
    <t>SF</t>
    <phoneticPr fontId="1" type="noConversion"/>
  </si>
  <si>
    <t xml:space="preserve">         -</t>
    <phoneticPr fontId="1" type="noConversion"/>
  </si>
  <si>
    <t>SF</t>
    <phoneticPr fontId="1" type="noConversion"/>
  </si>
  <si>
    <t xml:space="preserve">         -</t>
  </si>
  <si>
    <r>
      <t xml:space="preserve">遂行率
        </t>
    </r>
    <r>
      <rPr>
        <sz val="11"/>
        <color theme="1"/>
        <rFont val="Meiryo UI"/>
        <family val="2"/>
      </rPr>
      <t>前年同期比</t>
    </r>
    <phoneticPr fontId="1" type="noConversion"/>
  </si>
  <si>
    <r>
      <t xml:space="preserve">遂行率
        </t>
    </r>
    <r>
      <rPr>
        <sz val="11"/>
        <color theme="1"/>
        <rFont val="Meiryo UI"/>
        <family val="2"/>
      </rPr>
      <t>前年同月比</t>
    </r>
    <phoneticPr fontId="1" type="noConversion"/>
  </si>
  <si>
    <t>17/10</t>
    <phoneticPr fontId="1" type="noConversion"/>
  </si>
  <si>
    <t>レビュー</t>
    <phoneticPr fontId="20"/>
  </si>
  <si>
    <t>前回計画</t>
    <phoneticPr fontId="20"/>
  </si>
  <si>
    <t>計画差異</t>
    <phoneticPr fontId="1" type="noConversion"/>
  </si>
  <si>
    <t>１１月</t>
    <phoneticPr fontId="1" type="noConversion"/>
  </si>
  <si>
    <t>前年同期</t>
    <phoneticPr fontId="1" type="noConversion"/>
  </si>
  <si>
    <t>※各評価指標の判定について、各月は対計画、17/下見通しは対予算で判定</t>
    <phoneticPr fontId="1" type="noConversion"/>
  </si>
  <si>
    <t>見通</t>
    <phoneticPr fontId="13" type="noConversion"/>
  </si>
  <si>
    <t>17/11</t>
    <phoneticPr fontId="1" type="noConversion"/>
  </si>
  <si>
    <t>18/1</t>
    <phoneticPr fontId="1" type="noConversion"/>
  </si>
  <si>
    <t>計画</t>
    <phoneticPr fontId="20"/>
  </si>
  <si>
    <t>前回見通</t>
    <phoneticPr fontId="1" type="noConversion"/>
  </si>
  <si>
    <t>計画</t>
    <phoneticPr fontId="24" type="noConversion"/>
  </si>
  <si>
    <t>ｲﾝﾊﾞｰﾀ</t>
  </si>
  <si>
    <t>ｻｰﾎﾞ</t>
  </si>
  <si>
    <t>ﾛﾎﾞｯﾄ</t>
  </si>
  <si>
    <t>ｼｽﾃﾑ</t>
  </si>
  <si>
    <t>＋0.5ポイント</t>
    <phoneticPr fontId="1" type="noConversion"/>
  </si>
  <si>
    <t>＋2.4ポイント</t>
    <phoneticPr fontId="1" type="noConversion"/>
  </si>
  <si>
    <t xml:space="preserve">         -</t>
    <phoneticPr fontId="1" type="noConversion"/>
  </si>
  <si>
    <t>17/9-17/11累計</t>
    <phoneticPr fontId="1" type="noConversion"/>
  </si>
  <si>
    <t>レビュー</t>
    <phoneticPr fontId="20"/>
  </si>
  <si>
    <t>目標</t>
    <phoneticPr fontId="20"/>
  </si>
  <si>
    <t>前回見通</t>
    <phoneticPr fontId="1" type="noConversion"/>
  </si>
  <si>
    <t>レビュー差異</t>
    <phoneticPr fontId="20"/>
  </si>
  <si>
    <t>目標債</t>
    <phoneticPr fontId="20"/>
  </si>
  <si>
    <t>計画差異</t>
    <phoneticPr fontId="1" type="noConversion"/>
  </si>
  <si>
    <t>前回計画</t>
    <phoneticPr fontId="20"/>
  </si>
  <si>
    <t>今回見通</t>
    <phoneticPr fontId="1" type="noConversion"/>
  </si>
  <si>
    <t>目標差</t>
    <phoneticPr fontId="20"/>
  </si>
  <si>
    <t>予算差異</t>
    <phoneticPr fontId="1" type="noConversion"/>
  </si>
  <si>
    <t>実績</t>
    <phoneticPr fontId="20"/>
  </si>
  <si>
    <t>計画差異</t>
    <phoneticPr fontId="1" type="noConversion"/>
  </si>
  <si>
    <t>前回見通</t>
    <phoneticPr fontId="1" type="noConversion"/>
  </si>
  <si>
    <t>計画差異</t>
    <phoneticPr fontId="1" type="noConversion"/>
  </si>
  <si>
    <t>前回見通</t>
    <phoneticPr fontId="1" type="noConversion"/>
  </si>
  <si>
    <t>予算差異</t>
    <phoneticPr fontId="1" type="noConversion"/>
  </si>
  <si>
    <t>計画差異</t>
    <phoneticPr fontId="20"/>
  </si>
  <si>
    <t>計画差異</t>
    <phoneticPr fontId="1" type="noConversion"/>
  </si>
  <si>
    <t>１２月</t>
    <phoneticPr fontId="1" type="noConversion"/>
  </si>
  <si>
    <t>遂行率</t>
    <phoneticPr fontId="13" type="noConversion"/>
  </si>
  <si>
    <t>前年同期</t>
    <phoneticPr fontId="1" type="noConversion"/>
  </si>
  <si>
    <t>同期比</t>
    <phoneticPr fontId="1" type="noConversion"/>
  </si>
  <si>
    <t>判定</t>
    <phoneticPr fontId="13" type="noConversion"/>
  </si>
  <si>
    <t>17/12月度（中国）事業部別計画遂行状況</t>
    <phoneticPr fontId="1" type="noConversion"/>
  </si>
  <si>
    <t>17/12</t>
    <phoneticPr fontId="1" type="noConversion"/>
  </si>
  <si>
    <t>18/2</t>
    <phoneticPr fontId="1" type="noConversion"/>
  </si>
  <si>
    <t>17/12-18/2累計</t>
    <phoneticPr fontId="1" type="noConversion"/>
  </si>
  <si>
    <t>17/下(17/12-18/2)累計</t>
    <phoneticPr fontId="1" type="noConversion"/>
  </si>
  <si>
    <t>目標</t>
    <phoneticPr fontId="20"/>
  </si>
  <si>
    <t>レビュー差異</t>
    <phoneticPr fontId="1" type="noConversion"/>
  </si>
  <si>
    <t>目標さ</t>
    <phoneticPr fontId="20"/>
  </si>
  <si>
    <t>計画差異</t>
    <phoneticPr fontId="1" type="noConversion"/>
  </si>
  <si>
    <t>前回見通</t>
    <phoneticPr fontId="1" type="noConversion"/>
  </si>
  <si>
    <t>実績</t>
    <phoneticPr fontId="20"/>
  </si>
  <si>
    <t>計画差異</t>
    <phoneticPr fontId="1" type="noConversion"/>
  </si>
  <si>
    <t>前回見通</t>
    <phoneticPr fontId="1" type="noConversion"/>
  </si>
  <si>
    <t>前回見通</t>
    <phoneticPr fontId="1" type="noConversion"/>
  </si>
  <si>
    <t>計画差異</t>
    <phoneticPr fontId="1" type="noConversion"/>
  </si>
  <si>
    <t>計画差異</t>
    <phoneticPr fontId="20"/>
  </si>
  <si>
    <t>計画差異</t>
    <phoneticPr fontId="20"/>
  </si>
  <si>
    <t>計画差異</t>
    <phoneticPr fontId="1" type="noConversion"/>
  </si>
  <si>
    <t>予算差異</t>
    <phoneticPr fontId="1" type="noConversion"/>
  </si>
  <si>
    <t>△1.4ポイント</t>
    <phoneticPr fontId="1" type="noConversion"/>
  </si>
  <si>
    <t>△0.2ポイント</t>
    <phoneticPr fontId="1" type="noConversion"/>
  </si>
  <si>
    <t>+2.6ポイント</t>
    <phoneticPr fontId="1" type="noConversion"/>
  </si>
  <si>
    <t>△0.7ポイント</t>
    <phoneticPr fontId="1" type="noConversion"/>
  </si>
  <si>
    <t>△0.4ポイント</t>
    <phoneticPr fontId="1" type="noConversion"/>
  </si>
  <si>
    <t>△1.2ポイント</t>
    <phoneticPr fontId="1" type="noConversion"/>
  </si>
  <si>
    <t>△1.0ポイント</t>
    <phoneticPr fontId="1" type="noConversion"/>
  </si>
  <si>
    <t>＋2.6ポイント</t>
    <phoneticPr fontId="1" type="noConversion"/>
  </si>
  <si>
    <t>＋41.5ポイント</t>
    <phoneticPr fontId="1" type="noConversion"/>
  </si>
  <si>
    <t>＋0.5ポイント</t>
    <phoneticPr fontId="1" type="noConversion"/>
  </si>
  <si>
    <t>△0.4ポイント</t>
    <phoneticPr fontId="25" type="noConversion"/>
  </si>
  <si>
    <t>△1.3ポイント</t>
    <phoneticPr fontId="25" type="noConversion"/>
  </si>
  <si>
    <t>△1.6ポイント</t>
    <phoneticPr fontId="1" type="noConversion"/>
  </si>
  <si>
    <t>+5.4ポイント</t>
    <phoneticPr fontId="1" type="noConversion"/>
  </si>
  <si>
    <t>△0.8ポイント</t>
    <phoneticPr fontId="1" type="noConversion"/>
  </si>
  <si>
    <t>＋1.3ポイント</t>
    <phoneticPr fontId="1" type="noConversion"/>
  </si>
  <si>
    <t>＋1.5ポイント</t>
    <phoneticPr fontId="1" type="noConversion"/>
  </si>
  <si>
    <t>＋8.2ポイント</t>
    <phoneticPr fontId="1" type="noConversion"/>
  </si>
  <si>
    <t>+1.4ポイント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</si>
</sst>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-* #,##0.00_-;\-* #,##0.00_-;_-* &quot;-&quot;??_-;_-@_-"/>
    <numFmt numFmtId="178" formatCode="#,##0_ ;[Red]\-#,##0\ "/>
    <numFmt numFmtId="179" formatCode="0.0%"/>
    <numFmt numFmtId="180" formatCode="\ e/m/d\ h:mm:ss"/>
    <numFmt numFmtId="181" formatCode="_ * #,##0_ ;_ * \-#,##0_ ;_ * &quot;-&quot;??_ ;_ @_ "/>
    <numFmt numFmtId="182" formatCode="#,##0_ "/>
  </numFmts>
  <fonts count="7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ＭＳ Ｐゴシック"/>
      <family val="2"/>
    </font>
    <font>
      <sz val="10"/>
      <name val="Arial"/>
      <family val="2"/>
    </font>
    <font>
      <sz val="10.5"/>
      <name val="ＭＳ Ｐゴシック"/>
      <family val="2"/>
    </font>
    <font>
      <b/>
      <sz val="12"/>
      <color indexed="8"/>
      <name val="Arial"/>
      <family val="2"/>
    </font>
    <font>
      <sz val="10.5"/>
      <name val="ＭＳ Ｐゴシック"/>
      <family val="2"/>
    </font>
    <font>
      <sz val="11"/>
      <name val="ＭＳ 明朝"/>
      <family val="3"/>
      <charset val="128"/>
    </font>
    <font>
      <sz val="11"/>
      <name val="ＭＳ Ｐゴシック"/>
      <family val="2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4"/>
      <name val="ＭＳ 明朝"/>
      <family val="3"/>
      <charset val="128"/>
    </font>
    <font>
      <sz val="11"/>
      <name val="돋움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9"/>
      <name val="宋体"/>
      <family val="3"/>
      <charset val="134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10.5"/>
      <name val="ＭＳ Ｐゴシック"/>
      <family val="2"/>
      <charset val="128"/>
    </font>
    <font>
      <b/>
      <sz val="9"/>
      <color indexed="81"/>
      <name val="ＭＳ Ｐゴシック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name val="ＭＳ 明朝"/>
      <family val="3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4"/>
      <name val="ＭＳ 明朝"/>
      <family val="3"/>
      <charset val="128"/>
    </font>
    <font>
      <sz val="11"/>
      <name val="ＭＳ 明朝"/>
      <family val="3"/>
      <charset val="128"/>
    </font>
    <font>
      <sz val="11"/>
      <name val="ＭＳ Ｐゴシック"/>
      <family val="2"/>
      <charset val="128"/>
    </font>
    <font>
      <sz val="11"/>
      <name val="ＭＳ Ｐゴシック"/>
      <family val="2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4"/>
      <name val="ＭＳ 明朝"/>
      <family val="3"/>
      <charset val="128"/>
    </font>
    <font>
      <sz val="11"/>
      <name val="Meiryo UI"/>
      <family val="2"/>
      <charset val="128"/>
    </font>
    <font>
      <sz val="14"/>
      <name val="Meiryo UI"/>
      <family val="2"/>
      <charset val="128"/>
    </font>
    <font>
      <b/>
      <sz val="10"/>
      <name val="Meiryo UI"/>
      <family val="2"/>
      <charset val="128"/>
    </font>
    <font>
      <sz val="10"/>
      <name val="Meiryo UI"/>
      <family val="2"/>
      <charset val="128"/>
    </font>
    <font>
      <b/>
      <sz val="14"/>
      <name val="Meiryo UI"/>
      <family val="2"/>
      <charset val="128"/>
    </font>
    <font>
      <b/>
      <sz val="10"/>
      <color indexed="8"/>
      <name val="Meiryo UI"/>
      <family val="2"/>
      <charset val="128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MS PGothic"/>
      <family val="2"/>
    </font>
    <font>
      <b/>
      <sz val="16"/>
      <color indexed="8"/>
      <name val="MS PGothic"/>
      <family val="2"/>
    </font>
    <font>
      <sz val="11"/>
      <color indexed="10"/>
      <name val="MS PGothic"/>
      <family val="2"/>
    </font>
    <font>
      <sz val="11"/>
      <color indexed="8"/>
      <name val="Meiryo UI"/>
      <family val="2"/>
      <charset val="128"/>
    </font>
    <font>
      <sz val="14"/>
      <color indexed="8"/>
      <name val="Meiryo UI"/>
      <family val="2"/>
      <charset val="128"/>
    </font>
    <font>
      <sz val="12"/>
      <color indexed="8"/>
      <name val="Meiryo UI"/>
      <family val="2"/>
      <charset val="128"/>
    </font>
    <font>
      <b/>
      <sz val="11"/>
      <color indexed="8"/>
      <name val="Meiryo UI"/>
      <family val="2"/>
      <charset val="128"/>
    </font>
    <font>
      <b/>
      <sz val="11"/>
      <color indexed="56"/>
      <name val="Meiryo UI"/>
      <family val="2"/>
      <charset val="128"/>
    </font>
    <font>
      <b/>
      <sz val="12"/>
      <color indexed="8"/>
      <name val="Meiryo UI"/>
      <family val="2"/>
      <charset val="128"/>
    </font>
    <font>
      <sz val="8"/>
      <color indexed="8"/>
      <name val="Meiryo UI"/>
      <family val="2"/>
      <charset val="128"/>
    </font>
    <font>
      <sz val="11"/>
      <color theme="1"/>
      <name val="宋体"/>
      <family val="3"/>
      <charset val="134"/>
      <scheme val="minor"/>
    </font>
    <font>
      <sz val="12"/>
      <color theme="1"/>
      <name val="Meiryo UI"/>
      <family val="2"/>
      <charset val="128"/>
    </font>
    <font>
      <b/>
      <sz val="12"/>
      <color theme="1"/>
      <name val="Meiryo UI"/>
      <family val="2"/>
      <charset val="128"/>
    </font>
    <font>
      <b/>
      <sz val="12"/>
      <color theme="3"/>
      <name val="Meiryo UI"/>
      <family val="2"/>
      <charset val="128"/>
    </font>
    <font>
      <sz val="9"/>
      <name val="Meiryo UI"/>
      <family val="2"/>
      <charset val="128"/>
    </font>
    <font>
      <b/>
      <sz val="10"/>
      <color theme="1"/>
      <name val="Meiryo UI"/>
      <family val="2"/>
      <charset val="128"/>
    </font>
    <font>
      <b/>
      <sz val="14"/>
      <color theme="0"/>
      <name val="Meiryo UI"/>
      <family val="2"/>
      <charset val="128"/>
    </font>
    <font>
      <sz val="11"/>
      <color theme="1"/>
      <name val="MS PGothic"/>
      <family val="2"/>
    </font>
    <font>
      <sz val="11"/>
      <color rgb="FF000000"/>
      <name val="MS PGothic"/>
      <family val="2"/>
    </font>
    <font>
      <sz val="11"/>
      <color theme="1"/>
      <name val="Meiryo UI"/>
      <family val="2"/>
    </font>
    <font>
      <i/>
      <sz val="11"/>
      <color theme="1"/>
      <name val="Meiryo UI"/>
      <family val="2"/>
      <charset val="128"/>
    </font>
    <font>
      <i/>
      <sz val="11"/>
      <color theme="1"/>
      <name val="Meiryo UI"/>
      <family val="2"/>
    </font>
    <font>
      <b/>
      <i/>
      <sz val="11"/>
      <color theme="3"/>
      <name val="Meiryo UI"/>
      <family val="2"/>
    </font>
    <font>
      <sz val="14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2"/>
      <color theme="1"/>
      <name val="Meiryo UI"/>
      <family val="2"/>
    </font>
    <font>
      <sz val="14"/>
      <color theme="1"/>
      <name val="Meiryo UI"/>
      <family val="2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color theme="1"/>
      <name val="MS P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72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10"/>
      </right>
      <top/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10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indexed="10"/>
      </right>
      <top/>
      <bottom/>
      <diagonal/>
    </border>
    <border>
      <left style="thin">
        <color indexed="64"/>
      </left>
      <right style="thick">
        <color indexed="1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medium">
        <color indexed="64"/>
      </bottom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dotted">
        <color indexed="64"/>
      </bottom>
      <diagonal/>
    </border>
    <border>
      <left style="thick">
        <color indexed="10"/>
      </left>
      <right style="thick">
        <color indexed="10"/>
      </right>
      <top style="dotted">
        <color indexed="64"/>
      </top>
      <bottom style="dotted">
        <color indexed="64"/>
      </bottom>
      <diagonal/>
    </border>
    <border>
      <left style="thick">
        <color indexed="10"/>
      </left>
      <right style="thick">
        <color indexed="10"/>
      </right>
      <top style="medium">
        <color indexed="64"/>
      </top>
      <bottom/>
      <diagonal/>
    </border>
    <border>
      <left style="thick">
        <color indexed="10"/>
      </left>
      <right style="thick">
        <color indexed="10"/>
      </right>
      <top style="dotted">
        <color indexed="64"/>
      </top>
      <bottom style="medium">
        <color indexed="64"/>
      </bottom>
      <diagonal/>
    </border>
    <border>
      <left style="thick">
        <color indexed="10"/>
      </left>
      <right style="thick">
        <color indexed="10"/>
      </right>
      <top style="medium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ck">
        <color indexed="10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0"/>
      </bottom>
      <diagonal/>
    </border>
    <border>
      <left style="thin">
        <color indexed="64"/>
      </left>
      <right style="thick">
        <color indexed="10"/>
      </right>
      <top/>
      <bottom style="thick">
        <color indexed="10"/>
      </bottom>
      <diagonal/>
    </border>
    <border>
      <left style="thin">
        <color indexed="64"/>
      </left>
      <right style="thick">
        <color indexed="10"/>
      </right>
      <top/>
      <bottom style="medium">
        <color indexed="64"/>
      </bottom>
      <diagonal/>
    </border>
    <border>
      <left style="thick">
        <color indexed="10"/>
      </left>
      <right style="thick">
        <color indexed="10"/>
      </right>
      <top/>
      <bottom style="medium">
        <color indexed="8"/>
      </bottom>
      <diagonal/>
    </border>
    <border>
      <left style="thick">
        <color indexed="10"/>
      </left>
      <right style="thick">
        <color indexed="10"/>
      </right>
      <top style="dotted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8"/>
      </top>
      <bottom style="medium">
        <color indexed="8"/>
      </bottom>
      <diagonal/>
    </border>
    <border>
      <left style="thin">
        <color indexed="64"/>
      </left>
      <right style="thick">
        <color indexed="10"/>
      </right>
      <top style="dotted">
        <color indexed="8"/>
      </top>
      <bottom style="medium">
        <color indexed="8"/>
      </bottom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ck">
        <color indexed="10"/>
      </left>
      <right style="thick">
        <color indexed="10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ck">
        <color indexed="10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/>
      <bottom style="dashed">
        <color indexed="64"/>
      </bottom>
      <diagonal/>
    </border>
    <border>
      <left style="thick">
        <color indexed="10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10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ck">
        <color indexed="10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10"/>
      </left>
      <right style="thin">
        <color indexed="64"/>
      </right>
      <top/>
      <bottom/>
      <diagonal/>
    </border>
    <border>
      <left style="thick">
        <color indexed="10"/>
      </left>
      <right style="thin">
        <color indexed="64"/>
      </right>
      <top style="dotted">
        <color indexed="8"/>
      </top>
      <bottom style="medium">
        <color indexed="8"/>
      </bottom>
      <diagonal/>
    </border>
    <border>
      <left style="thick">
        <color indexed="10"/>
      </left>
      <right style="thin">
        <color indexed="64"/>
      </right>
      <top/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ck">
        <color indexed="10"/>
      </left>
      <right style="thin">
        <color indexed="64"/>
      </right>
      <top style="dotted">
        <color indexed="64"/>
      </top>
      <bottom/>
      <diagonal/>
    </border>
    <border>
      <left style="thick">
        <color indexed="10"/>
      </left>
      <right style="thin">
        <color indexed="64"/>
      </right>
      <top style="dashed">
        <color indexed="64"/>
      </top>
      <bottom/>
      <diagonal/>
    </border>
    <border>
      <left style="thick">
        <color indexed="10"/>
      </left>
      <right style="thin">
        <color indexed="64"/>
      </right>
      <top/>
      <bottom style="dotted">
        <color indexed="64"/>
      </bottom>
      <diagonal/>
    </border>
    <border>
      <left style="thick">
        <color indexed="10"/>
      </left>
      <right style="thin">
        <color indexed="64"/>
      </right>
      <top/>
      <bottom style="thick">
        <color indexed="10"/>
      </bottom>
      <diagonal/>
    </border>
    <border>
      <left style="thick">
        <color indexed="10"/>
      </left>
      <right style="thin">
        <color indexed="64"/>
      </right>
      <top style="dotted">
        <color indexed="64"/>
      </top>
      <bottom style="dotted">
        <color indexed="8"/>
      </bottom>
      <diagonal/>
    </border>
    <border>
      <left style="thick">
        <color indexed="10"/>
      </left>
      <right style="thin">
        <color indexed="64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 style="thin">
        <color indexed="64"/>
      </bottom>
      <diagonal/>
    </border>
    <border>
      <left/>
      <right/>
      <top style="thick">
        <color rgb="FFFF0000"/>
      </top>
      <bottom style="thin">
        <color indexed="64"/>
      </bottom>
      <diagonal/>
    </border>
    <border>
      <left/>
      <right style="thick">
        <color rgb="FFFF0000"/>
      </right>
      <top style="thick">
        <color rgb="FFFF0000"/>
      </top>
      <bottom style="thin">
        <color indexed="64"/>
      </bottom>
      <diagonal/>
    </border>
    <border>
      <left/>
      <right style="thick">
        <color indexed="10"/>
      </right>
      <top style="medium">
        <color indexed="64"/>
      </top>
      <bottom/>
      <diagonal/>
    </border>
    <border>
      <left/>
      <right style="thick">
        <color indexed="10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ck">
        <color rgb="FFFF0000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10"/>
      </bottom>
      <diagonal/>
    </border>
    <border>
      <left style="thin">
        <color indexed="64"/>
      </left>
      <right style="thick">
        <color rgb="FFFF0000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ck">
        <color indexed="10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10"/>
      </left>
      <right/>
      <top style="medium">
        <color indexed="64"/>
      </top>
      <bottom style="thin">
        <color indexed="64"/>
      </bottom>
      <diagonal/>
    </border>
    <border>
      <left style="thick">
        <color indexed="10"/>
      </left>
      <right/>
      <top style="thin">
        <color indexed="64"/>
      </top>
      <bottom style="dotted">
        <color indexed="64"/>
      </bottom>
      <diagonal/>
    </border>
    <border>
      <left style="thick">
        <color indexed="10"/>
      </left>
      <right/>
      <top style="dotted">
        <color indexed="64"/>
      </top>
      <bottom style="dotted">
        <color indexed="64"/>
      </bottom>
      <diagonal/>
    </border>
    <border>
      <left style="thick">
        <color indexed="10"/>
      </left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10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8"/>
      </top>
      <bottom style="medium">
        <color indexed="8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dotted">
        <color indexed="64"/>
      </bottom>
      <diagonal/>
    </border>
    <border>
      <left style="thick">
        <color rgb="FFFF0000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ck">
        <color rgb="FFFF0000"/>
      </right>
      <top style="dotted">
        <color indexed="64"/>
      </top>
      <bottom style="dotted">
        <color indexed="64"/>
      </bottom>
      <diagonal/>
    </border>
    <border>
      <left style="thick">
        <color rgb="FFFF0000"/>
      </left>
      <right style="thin">
        <color indexed="64"/>
      </right>
      <top/>
      <bottom/>
      <diagonal/>
    </border>
    <border>
      <left style="thick">
        <color rgb="FFFF0000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/>
      <bottom style="medium">
        <color auto="1"/>
      </bottom>
      <diagonal/>
    </border>
    <border>
      <left style="thin">
        <color indexed="64"/>
      </left>
      <right style="thick">
        <color rgb="FFFF0000"/>
      </right>
      <top/>
      <bottom/>
      <diagonal/>
    </border>
    <border>
      <left style="thin">
        <color indexed="64"/>
      </left>
      <right style="thick">
        <color rgb="FFFF0000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dotted">
        <color indexed="64"/>
      </top>
      <bottom/>
      <diagonal/>
    </border>
    <border>
      <left style="thick">
        <color indexed="10"/>
      </left>
      <right style="thin">
        <color indexed="64"/>
      </right>
      <top style="dotted">
        <color indexed="64"/>
      </top>
      <bottom style="medium">
        <color theme="1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double">
        <color indexed="64"/>
      </right>
      <top/>
      <bottom style="medium">
        <color auto="1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ck">
        <color indexed="10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/>
      <bottom style="medium">
        <color indexed="8"/>
      </bottom>
      <diagonal/>
    </border>
    <border>
      <left style="thick">
        <color indexed="10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ck">
        <color indexed="10"/>
      </left>
      <right style="thick">
        <color indexed="10"/>
      </right>
      <top style="dotted">
        <color indexed="64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10"/>
      </bottom>
      <diagonal/>
    </border>
    <border>
      <left style="thin">
        <color indexed="64"/>
      </left>
      <right/>
      <top style="dotted">
        <color indexed="64"/>
      </top>
      <bottom style="thick">
        <color indexed="10"/>
      </bottom>
      <diagonal/>
    </border>
    <border>
      <left style="thin">
        <color indexed="64"/>
      </left>
      <right style="thick">
        <color indexed="10"/>
      </right>
      <top style="dotted">
        <color indexed="64"/>
      </top>
      <bottom style="thick">
        <color indexed="10"/>
      </bottom>
      <diagonal/>
    </border>
    <border>
      <left style="thick">
        <color indexed="10"/>
      </left>
      <right style="thin">
        <color indexed="64"/>
      </right>
      <top style="dotted">
        <color indexed="64"/>
      </top>
      <bottom style="thick">
        <color indexed="10"/>
      </bottom>
      <diagonal/>
    </border>
    <border>
      <left style="thick">
        <color indexed="10"/>
      </left>
      <right/>
      <top style="dotted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theme="1"/>
      </bottom>
      <diagonal/>
    </border>
    <border>
      <left style="thin">
        <color indexed="64"/>
      </left>
      <right/>
      <top style="dotted">
        <color indexed="64"/>
      </top>
      <bottom style="medium">
        <color theme="1"/>
      </bottom>
      <diagonal/>
    </border>
    <border>
      <left style="thin">
        <color indexed="64"/>
      </left>
      <right style="thick">
        <color indexed="10"/>
      </right>
      <top style="dotted">
        <color indexed="64"/>
      </top>
      <bottom style="medium">
        <color theme="1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theme="1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theme="1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dotted">
        <color indexed="64"/>
      </top>
      <bottom style="dotted">
        <color indexed="8"/>
      </bottom>
      <diagonal/>
    </border>
    <border>
      <left style="thin">
        <color theme="1"/>
      </left>
      <right style="thin">
        <color indexed="64"/>
      </right>
      <top/>
      <bottom style="medium">
        <color indexed="8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dotted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dotted">
        <color indexed="64"/>
      </bottom>
      <diagonal/>
    </border>
    <border>
      <left style="thin">
        <color theme="1"/>
      </left>
      <right/>
      <top style="dotted">
        <color indexed="64"/>
      </top>
      <bottom style="dotted">
        <color indexed="64"/>
      </bottom>
      <diagonal/>
    </border>
    <border>
      <left style="thin">
        <color theme="1"/>
      </left>
      <right/>
      <top style="dotted">
        <color indexed="64"/>
      </top>
      <bottom/>
      <diagonal/>
    </border>
    <border>
      <left style="thin">
        <color theme="1"/>
      </left>
      <right/>
      <top style="dotted">
        <color indexed="64"/>
      </top>
      <bottom style="medium">
        <color theme="1"/>
      </bottom>
      <diagonal/>
    </border>
    <border>
      <left style="thin">
        <color theme="1"/>
      </left>
      <right style="thin">
        <color indexed="64"/>
      </right>
      <top style="dotted">
        <color indexed="64"/>
      </top>
      <bottom/>
      <diagonal/>
    </border>
    <border>
      <left style="thin">
        <color theme="1"/>
      </left>
      <right style="thin">
        <color indexed="64"/>
      </right>
      <top/>
      <bottom style="dotted">
        <color indexed="64"/>
      </bottom>
      <diagonal/>
    </border>
    <border>
      <left style="thin">
        <color theme="1"/>
      </left>
      <right style="thin">
        <color indexed="64"/>
      </right>
      <top/>
      <bottom style="medium">
        <color theme="1"/>
      </bottom>
      <diagonal/>
    </border>
    <border>
      <left style="thick">
        <color indexed="10"/>
      </left>
      <right style="thin">
        <color indexed="64"/>
      </right>
      <top style="dashed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dotted">
        <color indexed="64"/>
      </top>
      <bottom/>
      <diagonal/>
    </border>
    <border>
      <left style="thick">
        <color rgb="FFFF0000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ck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ck">
        <color rgb="FFFF0000"/>
      </right>
      <top/>
      <bottom style="dotted">
        <color indexed="64"/>
      </bottom>
      <diagonal/>
    </border>
    <border>
      <left style="thick">
        <color rgb="FFFF0000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/>
      <top/>
      <bottom style="thick">
        <color rgb="FFFF0000"/>
      </bottom>
      <diagonal/>
    </border>
    <border>
      <left style="thin">
        <color indexed="64"/>
      </left>
      <right style="thick">
        <color rgb="FFFF0000"/>
      </right>
      <top/>
      <bottom style="thick">
        <color rgb="FFFF0000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ck">
        <color rgb="FFFF0000"/>
      </right>
      <top/>
      <bottom style="medium">
        <color theme="1"/>
      </bottom>
      <diagonal/>
    </border>
  </borders>
  <cellStyleXfs count="3339">
    <xf numFmtId="0" fontId="0" fillId="0" borderId="0">
      <alignment vertical="center"/>
    </xf>
    <xf numFmtId="0" fontId="3" fillId="0" borderId="0"/>
    <xf numFmtId="49" fontId="4" fillId="0" borderId="0">
      <alignment vertical="center"/>
    </xf>
    <xf numFmtId="49" fontId="4" fillId="0" borderId="0">
      <alignment vertical="center"/>
    </xf>
    <xf numFmtId="49" fontId="6" fillId="0" borderId="0">
      <alignment vertical="center"/>
    </xf>
    <xf numFmtId="49" fontId="6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4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4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6" fillId="0" borderId="0">
      <alignment vertical="center"/>
    </xf>
    <xf numFmtId="49" fontId="6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4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4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6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4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6" fillId="0" borderId="0">
      <alignment vertical="center"/>
    </xf>
    <xf numFmtId="49" fontId="6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4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4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6" fillId="0" borderId="0">
      <alignment vertical="center"/>
    </xf>
    <xf numFmtId="49" fontId="6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4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4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9" fontId="21" fillId="0" borderId="0">
      <alignment vertical="center"/>
    </xf>
    <xf numFmtId="4" fontId="5" fillId="3" borderId="1" applyNumberFormat="0" applyProtection="0">
      <alignment horizontal="left" vertical="center" indent="1"/>
    </xf>
    <xf numFmtId="9" fontId="2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5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/>
    <xf numFmtId="0" fontId="32" fillId="0" borderId="0">
      <alignment vertical="center"/>
    </xf>
    <xf numFmtId="0" fontId="2" fillId="0" borderId="0"/>
    <xf numFmtId="0" fontId="32" fillId="0" borderId="0">
      <alignment vertical="center"/>
    </xf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6" fillId="0" borderId="0">
      <alignment vertical="center"/>
    </xf>
    <xf numFmtId="0" fontId="18" fillId="0" borderId="0"/>
    <xf numFmtId="0" fontId="18" fillId="0" borderId="0"/>
    <xf numFmtId="0" fontId="2" fillId="0" borderId="0"/>
    <xf numFmtId="0" fontId="28" fillId="0" borderId="0"/>
    <xf numFmtId="0" fontId="34" fillId="0" borderId="0"/>
    <xf numFmtId="0" fontId="18" fillId="0" borderId="0"/>
    <xf numFmtId="0" fontId="18" fillId="0" borderId="0"/>
    <xf numFmtId="0" fontId="18" fillId="0" borderId="0"/>
    <xf numFmtId="0" fontId="28" fillId="0" borderId="0"/>
    <xf numFmtId="0" fontId="18" fillId="0" borderId="0"/>
    <xf numFmtId="0" fontId="18" fillId="0" borderId="0"/>
    <xf numFmtId="0" fontId="34" fillId="0" borderId="0"/>
    <xf numFmtId="0" fontId="18" fillId="0" borderId="0"/>
    <xf numFmtId="0" fontId="56" fillId="0" borderId="0">
      <alignment vertical="center"/>
    </xf>
    <xf numFmtId="0" fontId="56" fillId="0" borderId="0">
      <alignment vertical="center"/>
    </xf>
    <xf numFmtId="0" fontId="8" fillId="0" borderId="0"/>
    <xf numFmtId="0" fontId="14" fillId="0" borderId="0"/>
    <xf numFmtId="0" fontId="2" fillId="0" borderId="0"/>
    <xf numFmtId="0" fontId="27" fillId="0" borderId="0"/>
    <xf numFmtId="0" fontId="33" fillId="0" borderId="0"/>
    <xf numFmtId="0" fontId="2" fillId="0" borderId="0"/>
    <xf numFmtId="0" fontId="27" fillId="0" borderId="0"/>
    <xf numFmtId="0" fontId="33" fillId="0" borderId="0"/>
    <xf numFmtId="0" fontId="56" fillId="0" borderId="0">
      <alignment vertical="center"/>
    </xf>
    <xf numFmtId="0" fontId="2" fillId="0" borderId="0"/>
    <xf numFmtId="0" fontId="56" fillId="0" borderId="0">
      <alignment vertical="center"/>
    </xf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56" fillId="0" borderId="0">
      <alignment vertical="center"/>
    </xf>
    <xf numFmtId="0" fontId="2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56" fillId="0" borderId="0">
      <alignment vertical="center"/>
    </xf>
    <xf numFmtId="0" fontId="56" fillId="0" borderId="0">
      <alignment vertical="center"/>
    </xf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56" fillId="0" borderId="0">
      <alignment vertical="center"/>
    </xf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56" fillId="0" borderId="0">
      <alignment vertical="center"/>
    </xf>
    <xf numFmtId="0" fontId="56" fillId="0" borderId="0">
      <alignment vertical="center"/>
    </xf>
    <xf numFmtId="0" fontId="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6" fillId="0" borderId="0">
      <alignment vertical="center"/>
    </xf>
    <xf numFmtId="0" fontId="18" fillId="0" borderId="0"/>
    <xf numFmtId="0" fontId="18" fillId="0" borderId="0"/>
    <xf numFmtId="0" fontId="10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7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32" fillId="0" borderId="0" applyFont="0" applyFill="0" applyBorder="0" applyAlignment="0" applyProtection="0">
      <alignment vertical="center"/>
    </xf>
    <xf numFmtId="38" fontId="26" fillId="0" borderId="0" applyFont="0" applyFill="0" applyBorder="0" applyAlignment="0" applyProtection="0">
      <alignment vertical="center"/>
    </xf>
    <xf numFmtId="38" fontId="32" fillId="0" borderId="0" applyFont="0" applyFill="0" applyBorder="0" applyAlignment="0" applyProtection="0">
      <alignment vertical="center"/>
    </xf>
    <xf numFmtId="38" fontId="8" fillId="0" borderId="0" applyFont="0" applyFill="0" applyBorder="0" applyAlignment="0" applyProtection="0"/>
    <xf numFmtId="38" fontId="14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33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7" fillId="0" borderId="0" applyFont="0" applyFill="0" applyBorder="0" applyAlignment="0" applyProtection="0"/>
    <xf numFmtId="38" fontId="33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28" fillId="0" borderId="0" applyFont="0" applyFill="0" applyBorder="0" applyAlignment="0" applyProtection="0"/>
    <xf numFmtId="38" fontId="34" fillId="0" borderId="0" applyFont="0" applyFill="0" applyBorder="0" applyAlignment="0" applyProtection="0"/>
    <xf numFmtId="38" fontId="18" fillId="0" borderId="0" applyFont="0" applyFill="0" applyBorder="0" applyAlignment="0" applyProtection="0"/>
    <xf numFmtId="176" fontId="45" fillId="0" borderId="0" applyFont="0" applyFill="0" applyBorder="0" applyAlignment="0" applyProtection="0">
      <alignment vertical="center"/>
    </xf>
    <xf numFmtId="176" fontId="4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7" fontId="45" fillId="0" borderId="0" applyFont="0" applyFill="0" applyBorder="0" applyAlignment="0" applyProtection="0">
      <alignment vertical="center"/>
    </xf>
    <xf numFmtId="176" fontId="45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41" fontId="4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76" fontId="4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76" fontId="4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176" fontId="45" fillId="0" borderId="0" applyFont="0" applyFill="0" applyBorder="0" applyAlignment="0" applyProtection="0">
      <alignment vertical="center"/>
    </xf>
    <xf numFmtId="38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1" fillId="0" borderId="0"/>
    <xf numFmtId="0" fontId="31" fillId="0" borderId="0"/>
    <xf numFmtId="0" fontId="37" fillId="0" borderId="0"/>
    <xf numFmtId="0" fontId="31" fillId="0" borderId="0"/>
    <xf numFmtId="0" fontId="37" fillId="0" borderId="0"/>
    <xf numFmtId="0" fontId="12" fillId="0" borderId="0"/>
    <xf numFmtId="43" fontId="56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</cellStyleXfs>
  <cellXfs count="1581">
    <xf numFmtId="0" fontId="0" fillId="0" borderId="0" xfId="0">
      <alignment vertical="center"/>
    </xf>
    <xf numFmtId="0" fontId="46" fillId="0" borderId="0" xfId="0" applyFont="1">
      <alignment vertical="center"/>
    </xf>
    <xf numFmtId="178" fontId="46" fillId="4" borderId="2" xfId="0" applyNumberFormat="1" applyFont="1" applyFill="1" applyBorder="1">
      <alignment vertical="center"/>
    </xf>
    <xf numFmtId="178" fontId="46" fillId="4" borderId="3" xfId="0" applyNumberFormat="1" applyFont="1" applyFill="1" applyBorder="1">
      <alignment vertical="center"/>
    </xf>
    <xf numFmtId="178" fontId="46" fillId="4" borderId="4" xfId="0" applyNumberFormat="1" applyFont="1" applyFill="1" applyBorder="1">
      <alignment vertical="center"/>
    </xf>
    <xf numFmtId="179" fontId="46" fillId="4" borderId="2" xfId="588" applyNumberFormat="1" applyFont="1" applyFill="1" applyBorder="1">
      <alignment vertical="center"/>
    </xf>
    <xf numFmtId="179" fontId="46" fillId="4" borderId="3" xfId="588" applyNumberFormat="1" applyFont="1" applyFill="1" applyBorder="1">
      <alignment vertical="center"/>
    </xf>
    <xf numFmtId="179" fontId="46" fillId="4" borderId="4" xfId="588" applyNumberFormat="1" applyFont="1" applyFill="1" applyBorder="1">
      <alignment vertical="center"/>
    </xf>
    <xf numFmtId="179" fontId="46" fillId="4" borderId="5" xfId="588" applyNumberFormat="1" applyFont="1" applyFill="1" applyBorder="1">
      <alignment vertical="center"/>
    </xf>
    <xf numFmtId="0" fontId="46" fillId="0" borderId="0" xfId="0" applyFont="1" applyAlignment="1">
      <alignment horizontal="center" vertical="center"/>
    </xf>
    <xf numFmtId="0" fontId="46" fillId="5" borderId="0" xfId="0" applyFont="1" applyFill="1" applyAlignment="1">
      <alignment horizontal="center" vertical="center"/>
    </xf>
    <xf numFmtId="0" fontId="47" fillId="5" borderId="0" xfId="0" applyFont="1" applyFill="1">
      <alignment vertical="center"/>
    </xf>
    <xf numFmtId="0" fontId="46" fillId="5" borderId="6" xfId="0" applyFont="1" applyFill="1" applyBorder="1" applyAlignment="1">
      <alignment horizontal="center" vertical="center"/>
    </xf>
    <xf numFmtId="0" fontId="46" fillId="5" borderId="7" xfId="0" applyFont="1" applyFill="1" applyBorder="1">
      <alignment vertical="center"/>
    </xf>
    <xf numFmtId="0" fontId="46" fillId="5" borderId="8" xfId="0" applyFont="1" applyFill="1" applyBorder="1">
      <alignment vertical="center"/>
    </xf>
    <xf numFmtId="0" fontId="46" fillId="5" borderId="9" xfId="0" applyFont="1" applyFill="1" applyBorder="1">
      <alignment vertical="center"/>
    </xf>
    <xf numFmtId="0" fontId="46" fillId="5" borderId="11" xfId="0" applyFont="1" applyFill="1" applyBorder="1">
      <alignment vertical="center"/>
    </xf>
    <xf numFmtId="0" fontId="46" fillId="5" borderId="13" xfId="0" applyFont="1" applyFill="1" applyBorder="1">
      <alignment vertical="center"/>
    </xf>
    <xf numFmtId="0" fontId="46" fillId="5" borderId="14" xfId="0" applyFont="1" applyFill="1" applyBorder="1">
      <alignment vertical="center"/>
    </xf>
    <xf numFmtId="0" fontId="46" fillId="5" borderId="15" xfId="0" applyFont="1" applyFill="1" applyBorder="1">
      <alignment vertical="center"/>
    </xf>
    <xf numFmtId="178" fontId="46" fillId="4" borderId="7" xfId="0" applyNumberFormat="1" applyFont="1" applyFill="1" applyBorder="1">
      <alignment vertical="center"/>
    </xf>
    <xf numFmtId="0" fontId="46" fillId="5" borderId="18" xfId="0" applyFont="1" applyFill="1" applyBorder="1" applyAlignment="1">
      <alignment horizontal="center" vertical="center"/>
    </xf>
    <xf numFmtId="0" fontId="46" fillId="5" borderId="18" xfId="0" applyFont="1" applyFill="1" applyBorder="1">
      <alignment vertical="center"/>
    </xf>
    <xf numFmtId="0" fontId="46" fillId="5" borderId="0" xfId="0" applyFont="1" applyFill="1">
      <alignment vertical="center"/>
    </xf>
    <xf numFmtId="0" fontId="46" fillId="5" borderId="0" xfId="0" applyFont="1" applyFill="1" applyBorder="1">
      <alignment vertical="center"/>
    </xf>
    <xf numFmtId="179" fontId="46" fillId="4" borderId="7" xfId="588" applyNumberFormat="1" applyFont="1" applyFill="1" applyBorder="1">
      <alignment vertical="center"/>
    </xf>
    <xf numFmtId="0" fontId="46" fillId="5" borderId="20" xfId="0" applyFont="1" applyFill="1" applyBorder="1">
      <alignment vertical="center"/>
    </xf>
    <xf numFmtId="0" fontId="46" fillId="5" borderId="21" xfId="0" applyFont="1" applyFill="1" applyBorder="1">
      <alignment vertical="center"/>
    </xf>
    <xf numFmtId="178" fontId="46" fillId="4" borderId="22" xfId="0" applyNumberFormat="1" applyFont="1" applyFill="1" applyBorder="1">
      <alignment vertical="center"/>
    </xf>
    <xf numFmtId="179" fontId="46" fillId="4" borderId="22" xfId="588" applyNumberFormat="1" applyFont="1" applyFill="1" applyBorder="1">
      <alignment vertical="center"/>
    </xf>
    <xf numFmtId="0" fontId="46" fillId="4" borderId="24" xfId="0" applyFont="1" applyFill="1" applyBorder="1" applyAlignment="1">
      <alignment horizontal="center" vertical="center"/>
    </xf>
    <xf numFmtId="178" fontId="46" fillId="4" borderId="25" xfId="0" applyNumberFormat="1" applyFont="1" applyFill="1" applyBorder="1" applyAlignment="1">
      <alignment horizontal="center" vertical="center"/>
    </xf>
    <xf numFmtId="178" fontId="46" fillId="4" borderId="26" xfId="0" applyNumberFormat="1" applyFont="1" applyFill="1" applyBorder="1" applyAlignment="1">
      <alignment horizontal="center" vertical="center"/>
    </xf>
    <xf numFmtId="178" fontId="46" fillId="4" borderId="27" xfId="0" applyNumberFormat="1" applyFont="1" applyFill="1" applyBorder="1" applyAlignment="1">
      <alignment horizontal="center" vertical="center"/>
    </xf>
    <xf numFmtId="178" fontId="46" fillId="4" borderId="28" xfId="0" applyNumberFormat="1" applyFont="1" applyFill="1" applyBorder="1" applyAlignment="1">
      <alignment horizontal="center" vertical="center"/>
    </xf>
    <xf numFmtId="178" fontId="46" fillId="4" borderId="29" xfId="0" applyNumberFormat="1" applyFont="1" applyFill="1" applyBorder="1" applyAlignment="1">
      <alignment horizontal="center" vertical="center"/>
    </xf>
    <xf numFmtId="178" fontId="46" fillId="4" borderId="30" xfId="0" applyNumberFormat="1" applyFont="1" applyFill="1" applyBorder="1" applyAlignment="1">
      <alignment horizontal="center" vertical="center"/>
    </xf>
    <xf numFmtId="0" fontId="46" fillId="4" borderId="6" xfId="0" applyFont="1" applyFill="1" applyBorder="1" applyAlignment="1">
      <alignment horizontal="center" vertical="center"/>
    </xf>
    <xf numFmtId="0" fontId="46" fillId="4" borderId="32" xfId="0" applyFont="1" applyFill="1" applyBorder="1" applyAlignment="1">
      <alignment horizontal="center" vertical="center"/>
    </xf>
    <xf numFmtId="0" fontId="46" fillId="4" borderId="33" xfId="0" applyFont="1" applyFill="1" applyBorder="1" applyAlignment="1">
      <alignment horizontal="center" vertical="center"/>
    </xf>
    <xf numFmtId="178" fontId="46" fillId="4" borderId="34" xfId="0" applyNumberFormat="1" applyFont="1" applyFill="1" applyBorder="1">
      <alignment vertical="center"/>
    </xf>
    <xf numFmtId="178" fontId="46" fillId="4" borderId="35" xfId="0" applyNumberFormat="1" applyFont="1" applyFill="1" applyBorder="1">
      <alignment vertical="center"/>
    </xf>
    <xf numFmtId="178" fontId="46" fillId="4" borderId="36" xfId="0" applyNumberFormat="1" applyFont="1" applyFill="1" applyBorder="1">
      <alignment vertical="center"/>
    </xf>
    <xf numFmtId="178" fontId="46" fillId="4" borderId="37" xfId="0" applyNumberFormat="1" applyFont="1" applyFill="1" applyBorder="1">
      <alignment vertical="center"/>
    </xf>
    <xf numFmtId="178" fontId="46" fillId="4" borderId="38" xfId="0" applyNumberFormat="1" applyFont="1" applyFill="1" applyBorder="1">
      <alignment vertical="center"/>
    </xf>
    <xf numFmtId="179" fontId="46" fillId="4" borderId="35" xfId="588" applyNumberFormat="1" applyFont="1" applyFill="1" applyBorder="1">
      <alignment vertical="center"/>
    </xf>
    <xf numFmtId="179" fontId="46" fillId="4" borderId="36" xfId="588" applyNumberFormat="1" applyFont="1" applyFill="1" applyBorder="1">
      <alignment vertical="center"/>
    </xf>
    <xf numFmtId="179" fontId="46" fillId="4" borderId="39" xfId="588" applyNumberFormat="1" applyFont="1" applyFill="1" applyBorder="1">
      <alignment vertical="center"/>
    </xf>
    <xf numFmtId="179" fontId="46" fillId="4" borderId="40" xfId="588" applyNumberFormat="1" applyFont="1" applyFill="1" applyBorder="1">
      <alignment vertical="center"/>
    </xf>
    <xf numFmtId="179" fontId="46" fillId="4" borderId="41" xfId="588" applyNumberFormat="1" applyFont="1" applyFill="1" applyBorder="1">
      <alignment vertical="center"/>
    </xf>
    <xf numFmtId="178" fontId="46" fillId="4" borderId="42" xfId="0" applyNumberFormat="1" applyFont="1" applyFill="1" applyBorder="1" applyAlignment="1">
      <alignment horizontal="center" vertical="center"/>
    </xf>
    <xf numFmtId="0" fontId="46" fillId="5" borderId="43" xfId="0" applyFont="1" applyFill="1" applyBorder="1">
      <alignment vertical="center"/>
    </xf>
    <xf numFmtId="179" fontId="46" fillId="4" borderId="45" xfId="588" applyNumberFormat="1" applyFont="1" applyFill="1" applyBorder="1">
      <alignment vertical="center"/>
    </xf>
    <xf numFmtId="178" fontId="46" fillId="4" borderId="46" xfId="0" applyNumberFormat="1" applyFont="1" applyFill="1" applyBorder="1" applyAlignment="1">
      <alignment horizontal="center" vertical="center"/>
    </xf>
    <xf numFmtId="0" fontId="46" fillId="5" borderId="47" xfId="0" applyFont="1" applyFill="1" applyBorder="1">
      <alignment vertical="center"/>
    </xf>
    <xf numFmtId="0" fontId="46" fillId="5" borderId="30" xfId="0" applyFont="1" applyFill="1" applyBorder="1">
      <alignment vertical="center"/>
    </xf>
    <xf numFmtId="178" fontId="46" fillId="4" borderId="5" xfId="0" applyNumberFormat="1" applyFont="1" applyFill="1" applyBorder="1">
      <alignment vertical="center"/>
    </xf>
    <xf numFmtId="178" fontId="46" fillId="4" borderId="48" xfId="0" applyNumberFormat="1" applyFont="1" applyFill="1" applyBorder="1">
      <alignment vertical="center"/>
    </xf>
    <xf numFmtId="178" fontId="46" fillId="4" borderId="49" xfId="0" applyNumberFormat="1" applyFont="1" applyFill="1" applyBorder="1">
      <alignment vertical="center"/>
    </xf>
    <xf numFmtId="179" fontId="46" fillId="4" borderId="50" xfId="588" applyNumberFormat="1" applyFont="1" applyFill="1" applyBorder="1">
      <alignment vertical="center"/>
    </xf>
    <xf numFmtId="178" fontId="46" fillId="4" borderId="51" xfId="0" applyNumberFormat="1" applyFont="1" applyFill="1" applyBorder="1" applyAlignment="1">
      <alignment horizontal="center" vertical="center"/>
    </xf>
    <xf numFmtId="178" fontId="46" fillId="4" borderId="40" xfId="0" applyNumberFormat="1" applyFont="1" applyFill="1" applyBorder="1">
      <alignment vertical="center"/>
    </xf>
    <xf numFmtId="178" fontId="46" fillId="4" borderId="52" xfId="0" applyNumberFormat="1" applyFont="1" applyFill="1" applyBorder="1">
      <alignment vertical="center"/>
    </xf>
    <xf numFmtId="178" fontId="46" fillId="5" borderId="0" xfId="0" applyNumberFormat="1" applyFont="1" applyFill="1">
      <alignment vertical="center"/>
    </xf>
    <xf numFmtId="0" fontId="46" fillId="5" borderId="53" xfId="0" applyFont="1" applyFill="1" applyBorder="1">
      <alignment vertical="center"/>
    </xf>
    <xf numFmtId="178" fontId="46" fillId="4" borderId="54" xfId="0" applyNumberFormat="1" applyFont="1" applyFill="1" applyBorder="1">
      <alignment vertical="center"/>
    </xf>
    <xf numFmtId="179" fontId="46" fillId="4" borderId="55" xfId="588" applyNumberFormat="1" applyFont="1" applyFill="1" applyBorder="1">
      <alignment vertical="center"/>
    </xf>
    <xf numFmtId="178" fontId="46" fillId="4" borderId="56" xfId="0" applyNumberFormat="1" applyFont="1" applyFill="1" applyBorder="1" applyAlignment="1">
      <alignment horizontal="center" vertical="center"/>
    </xf>
    <xf numFmtId="0" fontId="46" fillId="4" borderId="59" xfId="0" applyFont="1" applyFill="1" applyBorder="1" applyAlignment="1">
      <alignment horizontal="center" vertical="center"/>
    </xf>
    <xf numFmtId="178" fontId="46" fillId="4" borderId="60" xfId="0" applyNumberFormat="1" applyFont="1" applyFill="1" applyBorder="1">
      <alignment vertical="center"/>
    </xf>
    <xf numFmtId="178" fontId="46" fillId="4" borderId="61" xfId="0" applyNumberFormat="1" applyFont="1" applyFill="1" applyBorder="1">
      <alignment vertical="center"/>
    </xf>
    <xf numFmtId="178" fontId="46" fillId="4" borderId="62" xfId="0" applyNumberFormat="1" applyFont="1" applyFill="1" applyBorder="1">
      <alignment vertical="center"/>
    </xf>
    <xf numFmtId="178" fontId="46" fillId="4" borderId="63" xfId="0" applyNumberFormat="1" applyFont="1" applyFill="1" applyBorder="1">
      <alignment vertical="center"/>
    </xf>
    <xf numFmtId="178" fontId="46" fillId="4" borderId="64" xfId="0" applyNumberFormat="1" applyFont="1" applyFill="1" applyBorder="1">
      <alignment vertical="center"/>
    </xf>
    <xf numFmtId="178" fontId="46" fillId="4" borderId="65" xfId="0" applyNumberFormat="1" applyFont="1" applyFill="1" applyBorder="1">
      <alignment vertical="center"/>
    </xf>
    <xf numFmtId="178" fontId="46" fillId="4" borderId="66" xfId="0" applyNumberFormat="1" applyFont="1" applyFill="1" applyBorder="1">
      <alignment vertical="center"/>
    </xf>
    <xf numFmtId="178" fontId="46" fillId="4" borderId="67" xfId="0" applyNumberFormat="1" applyFont="1" applyFill="1" applyBorder="1">
      <alignment vertical="center"/>
    </xf>
    <xf numFmtId="178" fontId="46" fillId="4" borderId="68" xfId="0" applyNumberFormat="1" applyFont="1" applyFill="1" applyBorder="1">
      <alignment vertical="center"/>
    </xf>
    <xf numFmtId="179" fontId="46" fillId="4" borderId="60" xfId="588" applyNumberFormat="1" applyFont="1" applyFill="1" applyBorder="1">
      <alignment vertical="center"/>
    </xf>
    <xf numFmtId="179" fontId="46" fillId="4" borderId="69" xfId="588" applyNumberFormat="1" applyFont="1" applyFill="1" applyBorder="1">
      <alignment vertical="center"/>
    </xf>
    <xf numFmtId="179" fontId="46" fillId="4" borderId="64" xfId="588" applyNumberFormat="1" applyFont="1" applyFill="1" applyBorder="1">
      <alignment vertical="center"/>
    </xf>
    <xf numFmtId="179" fontId="46" fillId="4" borderId="70" xfId="588" applyNumberFormat="1" applyFont="1" applyFill="1" applyBorder="1">
      <alignment vertical="center"/>
    </xf>
    <xf numFmtId="178" fontId="46" fillId="4" borderId="71" xfId="0" applyNumberFormat="1" applyFont="1" applyFill="1" applyBorder="1">
      <alignment vertical="center"/>
    </xf>
    <xf numFmtId="178" fontId="46" fillId="4" borderId="72" xfId="0" applyNumberFormat="1" applyFont="1" applyFill="1" applyBorder="1">
      <alignment vertical="center"/>
    </xf>
    <xf numFmtId="178" fontId="46" fillId="4" borderId="73" xfId="0" applyNumberFormat="1" applyFont="1" applyFill="1" applyBorder="1">
      <alignment vertical="center"/>
    </xf>
    <xf numFmtId="178" fontId="46" fillId="4" borderId="69" xfId="0" applyNumberFormat="1" applyFont="1" applyFill="1" applyBorder="1">
      <alignment vertical="center"/>
    </xf>
    <xf numFmtId="178" fontId="46" fillId="4" borderId="74" xfId="0" applyNumberFormat="1" applyFont="1" applyFill="1" applyBorder="1">
      <alignment vertical="center"/>
    </xf>
    <xf numFmtId="178" fontId="46" fillId="4" borderId="75" xfId="0" applyNumberFormat="1" applyFont="1" applyFill="1" applyBorder="1">
      <alignment vertical="center"/>
    </xf>
    <xf numFmtId="0" fontId="49" fillId="5" borderId="0" xfId="0" applyFont="1" applyFill="1">
      <alignment vertical="center"/>
    </xf>
    <xf numFmtId="0" fontId="49" fillId="7" borderId="0" xfId="0" applyFont="1" applyFill="1">
      <alignment vertical="center"/>
    </xf>
    <xf numFmtId="0" fontId="50" fillId="5" borderId="0" xfId="0" applyFont="1" applyFill="1">
      <alignment vertical="center"/>
    </xf>
    <xf numFmtId="0" fontId="51" fillId="5" borderId="0" xfId="0" applyFont="1" applyFill="1">
      <alignment vertical="center"/>
    </xf>
    <xf numFmtId="0" fontId="49" fillId="5" borderId="80" xfId="0" applyFont="1" applyFill="1" applyBorder="1">
      <alignment vertical="center"/>
    </xf>
    <xf numFmtId="0" fontId="49" fillId="5" borderId="21" xfId="0" applyFont="1" applyFill="1" applyBorder="1" applyAlignment="1">
      <alignment horizontal="center" vertical="center"/>
    </xf>
    <xf numFmtId="0" fontId="52" fillId="5" borderId="81" xfId="0" applyFont="1" applyFill="1" applyBorder="1" applyAlignment="1">
      <alignment horizontal="center" vertical="center"/>
    </xf>
    <xf numFmtId="0" fontId="49" fillId="7" borderId="82" xfId="0" applyFont="1" applyFill="1" applyBorder="1">
      <alignment vertical="center"/>
    </xf>
    <xf numFmtId="0" fontId="49" fillId="5" borderId="83" xfId="0" applyFont="1" applyFill="1" applyBorder="1">
      <alignment vertical="center"/>
    </xf>
    <xf numFmtId="0" fontId="49" fillId="5" borderId="84" xfId="0" applyFont="1" applyFill="1" applyBorder="1" applyAlignment="1">
      <alignment horizontal="center" vertical="center"/>
    </xf>
    <xf numFmtId="0" fontId="52" fillId="5" borderId="77" xfId="0" applyFont="1" applyFill="1" applyBorder="1" applyAlignment="1">
      <alignment horizontal="center" vertical="center"/>
    </xf>
    <xf numFmtId="0" fontId="49" fillId="7" borderId="85" xfId="0" applyFont="1" applyFill="1" applyBorder="1" applyAlignment="1">
      <alignment horizontal="center" vertical="center"/>
    </xf>
    <xf numFmtId="0" fontId="49" fillId="7" borderId="2" xfId="0" applyFont="1" applyFill="1" applyBorder="1" applyAlignment="1">
      <alignment horizontal="center" vertical="center"/>
    </xf>
    <xf numFmtId="0" fontId="49" fillId="7" borderId="84" xfId="0" applyFont="1" applyFill="1" applyBorder="1" applyAlignment="1">
      <alignment horizontal="center" vertical="center"/>
    </xf>
    <xf numFmtId="0" fontId="49" fillId="5" borderId="86" xfId="0" applyFont="1" applyFill="1" applyBorder="1" applyAlignment="1">
      <alignment horizontal="center" vertical="center"/>
    </xf>
    <xf numFmtId="0" fontId="49" fillId="5" borderId="87" xfId="0" applyFont="1" applyFill="1" applyBorder="1" applyAlignment="1">
      <alignment horizontal="center" vertical="center"/>
    </xf>
    <xf numFmtId="0" fontId="49" fillId="5" borderId="77" xfId="0" applyFont="1" applyFill="1" applyBorder="1" applyAlignment="1">
      <alignment horizontal="center" vertical="center"/>
    </xf>
    <xf numFmtId="0" fontId="49" fillId="5" borderId="2" xfId="0" applyFont="1" applyFill="1" applyBorder="1" applyAlignment="1">
      <alignment horizontal="center" vertical="center"/>
    </xf>
    <xf numFmtId="0" fontId="49" fillId="5" borderId="88" xfId="0" applyFont="1" applyFill="1" applyBorder="1" applyAlignment="1">
      <alignment horizontal="center" vertical="center"/>
    </xf>
    <xf numFmtId="0" fontId="52" fillId="5" borderId="82" xfId="0" applyFont="1" applyFill="1" applyBorder="1" applyAlignment="1">
      <alignment horizontal="center" vertical="center"/>
    </xf>
    <xf numFmtId="0" fontId="52" fillId="5" borderId="89" xfId="0" applyFont="1" applyFill="1" applyBorder="1" applyAlignment="1">
      <alignment horizontal="center" vertical="center"/>
    </xf>
    <xf numFmtId="0" fontId="52" fillId="5" borderId="0" xfId="0" applyFont="1" applyFill="1" applyBorder="1" applyAlignment="1">
      <alignment horizontal="center" vertical="center"/>
    </xf>
    <xf numFmtId="0" fontId="49" fillId="5" borderId="90" xfId="0" applyFont="1" applyFill="1" applyBorder="1">
      <alignment vertical="center"/>
    </xf>
    <xf numFmtId="0" fontId="49" fillId="5" borderId="77" xfId="0" applyFont="1" applyFill="1" applyBorder="1" applyAlignment="1">
      <alignment horizontal="left" vertical="top" wrapText="1"/>
    </xf>
    <xf numFmtId="179" fontId="49" fillId="5" borderId="77" xfId="588" applyNumberFormat="1" applyFont="1" applyFill="1" applyBorder="1" applyAlignment="1">
      <alignment horizontal="center" vertical="center"/>
    </xf>
    <xf numFmtId="179" fontId="49" fillId="5" borderId="86" xfId="588" applyNumberFormat="1" applyFont="1" applyFill="1" applyBorder="1" applyAlignment="1">
      <alignment horizontal="center" vertical="center"/>
    </xf>
    <xf numFmtId="9" fontId="49" fillId="5" borderId="88" xfId="588" applyFont="1" applyFill="1" applyBorder="1" applyAlignment="1">
      <alignment horizontal="center" vertical="center"/>
    </xf>
    <xf numFmtId="179" fontId="49" fillId="5" borderId="91" xfId="588" applyNumberFormat="1" applyFont="1" applyFill="1" applyBorder="1" applyAlignment="1">
      <alignment horizontal="center" vertical="center"/>
    </xf>
    <xf numFmtId="179" fontId="49" fillId="5" borderId="85" xfId="588" applyNumberFormat="1" applyFont="1" applyFill="1" applyBorder="1" applyAlignment="1">
      <alignment horizontal="center" vertical="center"/>
    </xf>
    <xf numFmtId="9" fontId="49" fillId="5" borderId="85" xfId="588" applyFont="1" applyFill="1" applyBorder="1" applyAlignment="1">
      <alignment horizontal="center" vertical="center"/>
    </xf>
    <xf numFmtId="179" fontId="49" fillId="5" borderId="92" xfId="588" applyNumberFormat="1" applyFont="1" applyFill="1" applyBorder="1" applyAlignment="1">
      <alignment horizontal="center" vertical="center"/>
    </xf>
    <xf numFmtId="9" fontId="49" fillId="5" borderId="91" xfId="588" applyFont="1" applyFill="1" applyBorder="1" applyAlignment="1">
      <alignment horizontal="center" vertical="center"/>
    </xf>
    <xf numFmtId="9" fontId="49" fillId="5" borderId="86" xfId="588" applyFont="1" applyFill="1" applyBorder="1" applyAlignment="1">
      <alignment horizontal="center" vertical="center"/>
    </xf>
    <xf numFmtId="9" fontId="49" fillId="5" borderId="77" xfId="588" applyFont="1" applyFill="1" applyBorder="1" applyAlignment="1">
      <alignment horizontal="center" vertical="center"/>
    </xf>
    <xf numFmtId="0" fontId="49" fillId="5" borderId="17" xfId="0" applyFont="1" applyFill="1" applyBorder="1" applyAlignment="1">
      <alignment horizontal="center" vertical="center"/>
    </xf>
    <xf numFmtId="0" fontId="49" fillId="0" borderId="0" xfId="0" applyFont="1" applyFill="1">
      <alignment vertical="center"/>
    </xf>
    <xf numFmtId="0" fontId="49" fillId="0" borderId="85" xfId="0" applyFont="1" applyFill="1" applyBorder="1" applyAlignment="1">
      <alignment horizontal="left" vertical="top" wrapText="1"/>
    </xf>
    <xf numFmtId="179" fontId="49" fillId="0" borderId="85" xfId="588" applyNumberFormat="1" applyFont="1" applyFill="1" applyBorder="1" applyAlignment="1">
      <alignment horizontal="center" vertical="center"/>
    </xf>
    <xf numFmtId="0" fontId="49" fillId="0" borderId="2" xfId="0" applyFont="1" applyFill="1" applyBorder="1" applyAlignment="1">
      <alignment horizontal="center" vertical="center"/>
    </xf>
    <xf numFmtId="0" fontId="49" fillId="0" borderId="84" xfId="0" applyFont="1" applyFill="1" applyBorder="1" applyAlignment="1">
      <alignment horizontal="center" vertical="center"/>
    </xf>
    <xf numFmtId="179" fontId="49" fillId="0" borderId="86" xfId="588" applyNumberFormat="1" applyFont="1" applyFill="1" applyBorder="1" applyAlignment="1">
      <alignment horizontal="center" vertical="center"/>
    </xf>
    <xf numFmtId="0" fontId="49" fillId="0" borderId="87" xfId="0" applyFont="1" applyFill="1" applyBorder="1" applyAlignment="1">
      <alignment horizontal="center" vertical="center"/>
    </xf>
    <xf numFmtId="179" fontId="49" fillId="0" borderId="93" xfId="588" applyNumberFormat="1" applyFont="1" applyFill="1" applyBorder="1" applyAlignment="1">
      <alignment horizontal="center" vertical="center"/>
    </xf>
    <xf numFmtId="179" fontId="49" fillId="0" borderId="77" xfId="588" applyNumberFormat="1" applyFont="1" applyFill="1" applyBorder="1" applyAlignment="1">
      <alignment horizontal="center" vertical="center"/>
    </xf>
    <xf numFmtId="179" fontId="49" fillId="0" borderId="92" xfId="588" applyNumberFormat="1" applyFont="1" applyFill="1" applyBorder="1" applyAlignment="1">
      <alignment horizontal="center" vertical="center"/>
    </xf>
    <xf numFmtId="0" fontId="49" fillId="0" borderId="88" xfId="0" applyFont="1" applyFill="1" applyBorder="1" applyAlignment="1">
      <alignment horizontal="center" vertical="center"/>
    </xf>
    <xf numFmtId="9" fontId="49" fillId="0" borderId="86" xfId="588" applyFont="1" applyFill="1" applyBorder="1" applyAlignment="1">
      <alignment horizontal="center" vertical="center"/>
    </xf>
    <xf numFmtId="9" fontId="49" fillId="0" borderId="77" xfId="588" applyFont="1" applyFill="1" applyBorder="1" applyAlignment="1">
      <alignment horizontal="center" vertical="center"/>
    </xf>
    <xf numFmtId="0" fontId="49" fillId="0" borderId="17" xfId="0" applyFont="1" applyFill="1" applyBorder="1" applyAlignment="1">
      <alignment horizontal="center" vertical="center"/>
    </xf>
    <xf numFmtId="0" fontId="49" fillId="0" borderId="82" xfId="0" applyFont="1" applyFill="1" applyBorder="1">
      <alignment vertical="center"/>
    </xf>
    <xf numFmtId="0" fontId="49" fillId="5" borderId="91" xfId="0" applyFont="1" applyFill="1" applyBorder="1" applyAlignment="1">
      <alignment horizontal="center" vertical="center"/>
    </xf>
    <xf numFmtId="179" fontId="49" fillId="5" borderId="84" xfId="588" applyNumberFormat="1" applyFont="1" applyFill="1" applyBorder="1" applyAlignment="1">
      <alignment horizontal="center" vertical="center"/>
    </xf>
    <xf numFmtId="0" fontId="49" fillId="5" borderId="94" xfId="0" applyFont="1" applyFill="1" applyBorder="1" applyAlignment="1">
      <alignment horizontal="center" vertical="center"/>
    </xf>
    <xf numFmtId="9" fontId="49" fillId="5" borderId="92" xfId="588" applyFont="1" applyFill="1" applyBorder="1" applyAlignment="1">
      <alignment horizontal="center" vertical="center"/>
    </xf>
    <xf numFmtId="0" fontId="49" fillId="5" borderId="95" xfId="0" applyFont="1" applyFill="1" applyBorder="1" applyAlignment="1">
      <alignment horizontal="center" vertical="center"/>
    </xf>
    <xf numFmtId="9" fontId="49" fillId="5" borderId="93" xfId="588" applyFont="1" applyFill="1" applyBorder="1" applyAlignment="1">
      <alignment horizontal="center" vertical="center"/>
    </xf>
    <xf numFmtId="0" fontId="49" fillId="5" borderId="96" xfId="0" applyFont="1" applyFill="1" applyBorder="1" applyAlignment="1">
      <alignment horizontal="center" vertical="center"/>
    </xf>
    <xf numFmtId="179" fontId="49" fillId="0" borderId="91" xfId="588" applyNumberFormat="1" applyFont="1" applyFill="1" applyBorder="1" applyAlignment="1">
      <alignment horizontal="center" vertical="center"/>
    </xf>
    <xf numFmtId="179" fontId="49" fillId="0" borderId="2" xfId="588" applyNumberFormat="1" applyFont="1" applyFill="1" applyBorder="1" applyAlignment="1">
      <alignment horizontal="center" vertical="center"/>
    </xf>
    <xf numFmtId="179" fontId="49" fillId="5" borderId="2" xfId="588" applyNumberFormat="1" applyFont="1" applyFill="1" applyBorder="1" applyAlignment="1">
      <alignment horizontal="center" vertical="center"/>
    </xf>
    <xf numFmtId="0" fontId="53" fillId="0" borderId="84" xfId="0" applyFont="1" applyFill="1" applyBorder="1" applyAlignment="1">
      <alignment horizontal="center" vertical="center"/>
    </xf>
    <xf numFmtId="179" fontId="49" fillId="0" borderId="2" xfId="588" quotePrefix="1" applyNumberFormat="1" applyFont="1" applyFill="1" applyBorder="1" applyAlignment="1">
      <alignment horizontal="center" vertical="center"/>
    </xf>
    <xf numFmtId="0" fontId="49" fillId="5" borderId="82" xfId="0" applyFont="1" applyFill="1" applyBorder="1">
      <alignment vertical="center"/>
    </xf>
    <xf numFmtId="0" fontId="49" fillId="0" borderId="0" xfId="0" applyFont="1" applyFill="1" applyBorder="1" applyAlignment="1">
      <alignment horizontal="center" vertical="center"/>
    </xf>
    <xf numFmtId="0" fontId="49" fillId="5" borderId="89" xfId="0" applyFont="1" applyFill="1" applyBorder="1" applyAlignment="1">
      <alignment horizontal="center" vertical="center"/>
    </xf>
    <xf numFmtId="9" fontId="49" fillId="5" borderId="90" xfId="588" applyFont="1" applyFill="1" applyBorder="1" applyAlignment="1">
      <alignment horizontal="center" vertical="center"/>
    </xf>
    <xf numFmtId="0" fontId="49" fillId="5" borderId="97" xfId="0" applyFont="1" applyFill="1" applyBorder="1" applyAlignment="1">
      <alignment horizontal="center" vertical="center"/>
    </xf>
    <xf numFmtId="9" fontId="49" fillId="5" borderId="79" xfId="588" applyFont="1" applyFill="1" applyBorder="1" applyAlignment="1">
      <alignment horizontal="center" vertical="center"/>
    </xf>
    <xf numFmtId="0" fontId="49" fillId="5" borderId="8" xfId="0" applyFont="1" applyFill="1" applyBorder="1" applyAlignment="1">
      <alignment horizontal="center" vertical="center"/>
    </xf>
    <xf numFmtId="0" fontId="49" fillId="0" borderId="89" xfId="0" applyFont="1" applyFill="1" applyBorder="1" applyAlignment="1">
      <alignment horizontal="center" vertical="center"/>
    </xf>
    <xf numFmtId="9" fontId="49" fillId="0" borderId="90" xfId="588" applyFont="1" applyFill="1" applyBorder="1" applyAlignment="1">
      <alignment horizontal="center" vertical="center"/>
    </xf>
    <xf numFmtId="0" fontId="49" fillId="0" borderId="97" xfId="0" applyFont="1" applyFill="1" applyBorder="1" applyAlignment="1">
      <alignment horizontal="center" vertical="center"/>
    </xf>
    <xf numFmtId="9" fontId="49" fillId="0" borderId="79" xfId="588" applyFont="1" applyFill="1" applyBorder="1" applyAlignment="1">
      <alignment horizontal="center" vertical="center"/>
    </xf>
    <xf numFmtId="0" fontId="49" fillId="0" borderId="8" xfId="0" applyFont="1" applyFill="1" applyBorder="1" applyAlignment="1">
      <alignment horizontal="center" vertical="center"/>
    </xf>
    <xf numFmtId="0" fontId="49" fillId="5" borderId="0" xfId="0" applyFont="1" applyFill="1" applyBorder="1" applyAlignment="1">
      <alignment horizontal="center" vertical="center"/>
    </xf>
    <xf numFmtId="0" fontId="49" fillId="4" borderId="6" xfId="0" applyFont="1" applyFill="1" applyBorder="1" applyAlignment="1">
      <alignment horizontal="left" vertical="top" wrapText="1"/>
    </xf>
    <xf numFmtId="179" fontId="49" fillId="4" borderId="6" xfId="588" applyNumberFormat="1" applyFont="1" applyFill="1" applyBorder="1" applyAlignment="1">
      <alignment horizontal="center" vertical="center"/>
    </xf>
    <xf numFmtId="0" fontId="49" fillId="4" borderId="6" xfId="0" applyFont="1" applyFill="1" applyBorder="1" applyAlignment="1">
      <alignment horizontal="center" vertical="center"/>
    </xf>
    <xf numFmtId="0" fontId="49" fillId="4" borderId="98" xfId="0" applyFont="1" applyFill="1" applyBorder="1" applyAlignment="1">
      <alignment horizontal="center" vertical="center"/>
    </xf>
    <xf numFmtId="179" fontId="49" fillId="4" borderId="99" xfId="588" applyNumberFormat="1" applyFont="1" applyFill="1" applyBorder="1" applyAlignment="1">
      <alignment horizontal="center" vertical="center"/>
    </xf>
    <xf numFmtId="0" fontId="49" fillId="4" borderId="100" xfId="0" applyFont="1" applyFill="1" applyBorder="1" applyAlignment="1">
      <alignment horizontal="center" vertical="center"/>
    </xf>
    <xf numFmtId="179" fontId="49" fillId="4" borderId="98" xfId="588" applyNumberFormat="1" applyFont="1" applyFill="1" applyBorder="1" applyAlignment="1">
      <alignment horizontal="center" vertical="center"/>
    </xf>
    <xf numFmtId="179" fontId="49" fillId="4" borderId="6" xfId="588" quotePrefix="1" applyNumberFormat="1" applyFont="1" applyFill="1" applyBorder="1" applyAlignment="1">
      <alignment horizontal="center" vertical="center"/>
    </xf>
    <xf numFmtId="0" fontId="49" fillId="4" borderId="76" xfId="0" applyFont="1" applyFill="1" applyBorder="1" applyAlignment="1">
      <alignment horizontal="center" vertical="center"/>
    </xf>
    <xf numFmtId="0" fontId="49" fillId="4" borderId="101" xfId="0" applyFont="1" applyFill="1" applyBorder="1" applyAlignment="1">
      <alignment horizontal="center" vertical="center"/>
    </xf>
    <xf numFmtId="9" fontId="49" fillId="5" borderId="99" xfId="588" applyFont="1" applyFill="1" applyBorder="1" applyAlignment="1">
      <alignment horizontal="center" vertical="center"/>
    </xf>
    <xf numFmtId="0" fontId="49" fillId="5" borderId="100" xfId="0" applyFont="1" applyFill="1" applyBorder="1" applyAlignment="1">
      <alignment horizontal="center" vertical="center"/>
    </xf>
    <xf numFmtId="9" fontId="49" fillId="5" borderId="76" xfId="588" applyFont="1" applyFill="1" applyBorder="1" applyAlignment="1">
      <alignment horizontal="center" vertical="center"/>
    </xf>
    <xf numFmtId="0" fontId="49" fillId="5" borderId="31" xfId="0" applyFont="1" applyFill="1" applyBorder="1" applyAlignment="1">
      <alignment horizontal="center" vertical="center"/>
    </xf>
    <xf numFmtId="0" fontId="49" fillId="5" borderId="0" xfId="0" applyFont="1" applyFill="1" applyBorder="1">
      <alignment vertical="center"/>
    </xf>
    <xf numFmtId="9" fontId="49" fillId="5" borderId="0" xfId="588" applyFont="1" applyFill="1" applyBorder="1" applyAlignment="1">
      <alignment horizontal="center" vertical="center"/>
    </xf>
    <xf numFmtId="9" fontId="49" fillId="7" borderId="0" xfId="588" applyFont="1" applyFill="1" applyBorder="1" applyAlignment="1">
      <alignment horizontal="center" vertical="center"/>
    </xf>
    <xf numFmtId="0" fontId="49" fillId="7" borderId="0" xfId="0" applyFont="1" applyFill="1" applyBorder="1">
      <alignment vertical="center"/>
    </xf>
    <xf numFmtId="9" fontId="49" fillId="7" borderId="0" xfId="588" applyFont="1" applyFill="1">
      <alignment vertical="center"/>
    </xf>
    <xf numFmtId="0" fontId="50" fillId="5" borderId="0" xfId="0" applyFont="1" applyFill="1" applyAlignment="1">
      <alignment vertical="center"/>
    </xf>
    <xf numFmtId="0" fontId="49" fillId="5" borderId="0" xfId="0" applyFont="1" applyFill="1" applyAlignment="1"/>
    <xf numFmtId="0" fontId="49" fillId="7" borderId="0" xfId="0" applyFont="1" applyFill="1" applyAlignment="1">
      <alignment horizontal="center" vertical="center"/>
    </xf>
    <xf numFmtId="0" fontId="54" fillId="5" borderId="81" xfId="0" applyFont="1" applyFill="1" applyBorder="1" applyAlignment="1">
      <alignment horizontal="center" vertical="center"/>
    </xf>
    <xf numFmtId="0" fontId="54" fillId="5" borderId="102" xfId="0" applyFont="1" applyFill="1" applyBorder="1" applyAlignment="1">
      <alignment horizontal="center" vertical="center"/>
    </xf>
    <xf numFmtId="0" fontId="51" fillId="7" borderId="6" xfId="0" applyFont="1" applyFill="1" applyBorder="1" applyAlignment="1">
      <alignment horizontal="center" vertical="center"/>
    </xf>
    <xf numFmtId="0" fontId="51" fillId="7" borderId="14" xfId="0" applyFont="1" applyFill="1" applyBorder="1" applyAlignment="1">
      <alignment horizontal="center" vertical="center"/>
    </xf>
    <xf numFmtId="0" fontId="51" fillId="5" borderId="103" xfId="0" applyFont="1" applyFill="1" applyBorder="1" applyAlignment="1">
      <alignment horizontal="center" vertical="center"/>
    </xf>
    <xf numFmtId="0" fontId="51" fillId="5" borderId="104" xfId="0" applyFont="1" applyFill="1" applyBorder="1" applyAlignment="1">
      <alignment horizontal="center" vertical="center"/>
    </xf>
    <xf numFmtId="0" fontId="51" fillId="5" borderId="102" xfId="0" applyFont="1" applyFill="1" applyBorder="1" applyAlignment="1">
      <alignment horizontal="center" vertical="center"/>
    </xf>
    <xf numFmtId="0" fontId="51" fillId="5" borderId="14" xfId="0" applyFont="1" applyFill="1" applyBorder="1" applyAlignment="1">
      <alignment horizontal="center" vertical="center"/>
    </xf>
    <xf numFmtId="0" fontId="51" fillId="5" borderId="105" xfId="0" applyFont="1" applyFill="1" applyBorder="1" applyAlignment="1">
      <alignment horizontal="center" vertical="center"/>
    </xf>
    <xf numFmtId="0" fontId="51" fillId="5" borderId="0" xfId="0" applyFont="1" applyFill="1" applyBorder="1" applyAlignment="1">
      <alignment horizontal="center" vertical="center"/>
    </xf>
    <xf numFmtId="179" fontId="51" fillId="5" borderId="0" xfId="588" applyNumberFormat="1" applyFont="1" applyFill="1" applyBorder="1" applyAlignment="1">
      <alignment horizontal="center" vertical="center"/>
    </xf>
    <xf numFmtId="0" fontId="49" fillId="0" borderId="0" xfId="0" applyFont="1" applyFill="1" applyBorder="1">
      <alignment vertical="center"/>
    </xf>
    <xf numFmtId="0" fontId="51" fillId="5" borderId="80" xfId="0" applyFont="1" applyFill="1" applyBorder="1">
      <alignment vertical="center"/>
    </xf>
    <xf numFmtId="0" fontId="51" fillId="5" borderId="21" xfId="0" applyFont="1" applyFill="1" applyBorder="1" applyAlignment="1">
      <alignment horizontal="center" vertical="center"/>
    </xf>
    <xf numFmtId="0" fontId="51" fillId="6" borderId="22" xfId="0" applyFont="1" applyFill="1" applyBorder="1" applyAlignment="1">
      <alignment horizontal="center" vertical="center"/>
    </xf>
    <xf numFmtId="179" fontId="51" fillId="6" borderId="22" xfId="588" applyNumberFormat="1" applyFont="1" applyFill="1" applyBorder="1" applyAlignment="1">
      <alignment horizontal="center" vertical="center"/>
    </xf>
    <xf numFmtId="0" fontId="51" fillId="6" borderId="23" xfId="0" applyFont="1" applyFill="1" applyBorder="1" applyAlignment="1">
      <alignment horizontal="center" vertical="center"/>
    </xf>
    <xf numFmtId="179" fontId="51" fillId="6" borderId="110" xfId="588" applyNumberFormat="1" applyFont="1" applyFill="1" applyBorder="1" applyAlignment="1">
      <alignment horizontal="center" vertical="center"/>
    </xf>
    <xf numFmtId="0" fontId="51" fillId="6" borderId="111" xfId="0" applyFont="1" applyFill="1" applyBorder="1" applyAlignment="1">
      <alignment horizontal="center" vertical="center"/>
    </xf>
    <xf numFmtId="179" fontId="51" fillId="6" borderId="78" xfId="588" applyNumberFormat="1" applyFont="1" applyFill="1" applyBorder="1" applyAlignment="1">
      <alignment horizontal="center" vertical="center"/>
    </xf>
    <xf numFmtId="0" fontId="51" fillId="6" borderId="112" xfId="0" applyFont="1" applyFill="1" applyBorder="1" applyAlignment="1">
      <alignment horizontal="center" vertical="center"/>
    </xf>
    <xf numFmtId="0" fontId="51" fillId="6" borderId="6" xfId="0" applyFont="1" applyFill="1" applyBorder="1" applyAlignment="1">
      <alignment horizontal="center" vertical="center"/>
    </xf>
    <xf numFmtId="179" fontId="51" fillId="6" borderId="6" xfId="588" applyNumberFormat="1" applyFont="1" applyFill="1" applyBorder="1" applyAlignment="1">
      <alignment horizontal="center" vertical="center"/>
    </xf>
    <xf numFmtId="0" fontId="51" fillId="6" borderId="14" xfId="0" applyFont="1" applyFill="1" applyBorder="1" applyAlignment="1">
      <alignment horizontal="center" vertical="center"/>
    </xf>
    <xf numFmtId="179" fontId="51" fillId="6" borderId="109" xfId="588" applyNumberFormat="1" applyFont="1" applyFill="1" applyBorder="1" applyAlignment="1">
      <alignment horizontal="center" vertical="center"/>
    </xf>
    <xf numFmtId="0" fontId="51" fillId="6" borderId="104" xfId="0" applyFont="1" applyFill="1" applyBorder="1" applyAlignment="1">
      <alignment horizontal="center" vertical="center"/>
    </xf>
    <xf numFmtId="179" fontId="51" fillId="6" borderId="76" xfId="588" applyNumberFormat="1" applyFont="1" applyFill="1" applyBorder="1" applyAlignment="1">
      <alignment horizontal="center" vertical="center"/>
    </xf>
    <xf numFmtId="0" fontId="51" fillId="6" borderId="31" xfId="0" applyFont="1" applyFill="1" applyBorder="1" applyAlignment="1">
      <alignment horizontal="center" vertical="center"/>
    </xf>
    <xf numFmtId="0" fontId="51" fillId="6" borderId="105" xfId="0" applyFont="1" applyFill="1" applyBorder="1" applyAlignment="1">
      <alignment horizontal="center" vertical="center"/>
    </xf>
    <xf numFmtId="0" fontId="49" fillId="5" borderId="0" xfId="0" applyFont="1" applyFill="1" applyAlignment="1">
      <alignment horizontal="center" vertical="center"/>
    </xf>
    <xf numFmtId="0" fontId="49" fillId="5" borderId="106" xfId="0" applyFont="1" applyFill="1" applyBorder="1" applyAlignment="1">
      <alignment horizontal="center" vertical="center"/>
    </xf>
    <xf numFmtId="0" fontId="49" fillId="5" borderId="113" xfId="0" applyFont="1" applyFill="1" applyBorder="1" applyAlignment="1">
      <alignment horizontal="center" vertical="center"/>
    </xf>
    <xf numFmtId="0" fontId="49" fillId="5" borderId="77" xfId="0" applyFont="1" applyFill="1" applyBorder="1" applyAlignment="1">
      <alignment horizontal="center" vertical="center" wrapText="1"/>
    </xf>
    <xf numFmtId="179" fontId="49" fillId="5" borderId="108" xfId="588" applyNumberFormat="1" applyFont="1" applyFill="1" applyBorder="1" applyAlignment="1">
      <alignment horizontal="center" vertical="center"/>
    </xf>
    <xf numFmtId="179" fontId="49" fillId="5" borderId="114" xfId="588" applyNumberFormat="1" applyFont="1" applyFill="1" applyBorder="1" applyAlignment="1">
      <alignment horizontal="center" vertical="center"/>
    </xf>
    <xf numFmtId="0" fontId="49" fillId="7" borderId="0" xfId="0" applyFont="1" applyFill="1" applyAlignment="1">
      <alignment horizontal="left" vertical="center" indent="1"/>
    </xf>
    <xf numFmtId="0" fontId="49" fillId="4" borderId="85" xfId="0" applyFont="1" applyFill="1" applyBorder="1" applyAlignment="1">
      <alignment horizontal="center" vertical="center" wrapText="1"/>
    </xf>
    <xf numFmtId="179" fontId="49" fillId="4" borderId="77" xfId="588" applyNumberFormat="1" applyFont="1" applyFill="1" applyBorder="1" applyAlignment="1">
      <alignment horizontal="center" vertical="center"/>
    </xf>
    <xf numFmtId="0" fontId="49" fillId="4" borderId="84" xfId="0" applyFont="1" applyFill="1" applyBorder="1" applyAlignment="1">
      <alignment horizontal="center" vertical="center"/>
    </xf>
    <xf numFmtId="179" fontId="49" fillId="4" borderId="106" xfId="588" applyNumberFormat="1" applyFont="1" applyFill="1" applyBorder="1" applyAlignment="1">
      <alignment horizontal="center" vertical="center"/>
    </xf>
    <xf numFmtId="0" fontId="49" fillId="4" borderId="113" xfId="0" applyFont="1" applyFill="1" applyBorder="1" applyAlignment="1">
      <alignment horizontal="center" vertical="center"/>
    </xf>
    <xf numFmtId="179" fontId="49" fillId="4" borderId="114" xfId="588" quotePrefix="1" applyNumberFormat="1" applyFont="1" applyFill="1" applyBorder="1" applyAlignment="1">
      <alignment horizontal="center" vertical="center"/>
    </xf>
    <xf numFmtId="179" fontId="49" fillId="4" borderId="115" xfId="588" applyNumberFormat="1" applyFont="1" applyFill="1" applyBorder="1" applyAlignment="1">
      <alignment horizontal="center" vertical="center"/>
    </xf>
    <xf numFmtId="0" fontId="49" fillId="4" borderId="88" xfId="0" applyFont="1" applyFill="1" applyBorder="1" applyAlignment="1">
      <alignment horizontal="center" vertical="center"/>
    </xf>
    <xf numFmtId="0" fontId="49" fillId="0" borderId="77" xfId="0" applyFont="1" applyFill="1" applyBorder="1" applyAlignment="1">
      <alignment horizontal="center" vertical="center" wrapText="1"/>
    </xf>
    <xf numFmtId="0" fontId="49" fillId="0" borderId="91" xfId="0" applyFont="1" applyFill="1" applyBorder="1" applyAlignment="1">
      <alignment horizontal="center" vertical="center"/>
    </xf>
    <xf numFmtId="179" fontId="49" fillId="0" borderId="108" xfId="588" applyNumberFormat="1" applyFont="1" applyFill="1" applyBorder="1" applyAlignment="1">
      <alignment horizontal="center" vertical="center"/>
    </xf>
    <xf numFmtId="0" fontId="49" fillId="0" borderId="116" xfId="0" applyFont="1" applyFill="1" applyBorder="1" applyAlignment="1">
      <alignment horizontal="center" vertical="center"/>
    </xf>
    <xf numFmtId="179" fontId="49" fillId="5" borderId="115" xfId="588" applyNumberFormat="1" applyFont="1" applyFill="1" applyBorder="1" applyAlignment="1">
      <alignment horizontal="center" vertical="center"/>
    </xf>
    <xf numFmtId="179" fontId="49" fillId="4" borderId="108" xfId="588" applyNumberFormat="1" applyFont="1" applyFill="1" applyBorder="1" applyAlignment="1">
      <alignment horizontal="center" vertical="center"/>
    </xf>
    <xf numFmtId="179" fontId="49" fillId="0" borderId="114" xfId="588" applyNumberFormat="1" applyFont="1" applyFill="1" applyBorder="1" applyAlignment="1">
      <alignment horizontal="center" vertical="center"/>
    </xf>
    <xf numFmtId="0" fontId="53" fillId="4" borderId="113" xfId="0" applyFont="1" applyFill="1" applyBorder="1" applyAlignment="1">
      <alignment horizontal="center" vertical="center"/>
    </xf>
    <xf numFmtId="179" fontId="49" fillId="0" borderId="115" xfId="588" quotePrefix="1" applyNumberFormat="1" applyFont="1" applyFill="1" applyBorder="1" applyAlignment="1">
      <alignment horizontal="center" vertical="center"/>
    </xf>
    <xf numFmtId="179" fontId="38" fillId="4" borderId="115" xfId="588" quotePrefix="1" applyNumberFormat="1" applyFont="1" applyFill="1" applyBorder="1" applyAlignment="1">
      <alignment horizontal="center" vertical="center"/>
    </xf>
    <xf numFmtId="179" fontId="49" fillId="0" borderId="114" xfId="588" quotePrefix="1" applyNumberFormat="1" applyFont="1" applyFill="1" applyBorder="1" applyAlignment="1">
      <alignment horizontal="center" vertical="center"/>
    </xf>
    <xf numFmtId="179" fontId="38" fillId="4" borderId="77" xfId="588" applyNumberFormat="1" applyFont="1" applyFill="1" applyBorder="1" applyAlignment="1">
      <alignment horizontal="center" vertical="center"/>
    </xf>
    <xf numFmtId="0" fontId="38" fillId="4" borderId="84" xfId="0" applyFont="1" applyFill="1" applyBorder="1" applyAlignment="1">
      <alignment horizontal="center" vertical="center"/>
    </xf>
    <xf numFmtId="179" fontId="38" fillId="4" borderId="106" xfId="588" applyNumberFormat="1" applyFont="1" applyFill="1" applyBorder="1" applyAlignment="1">
      <alignment horizontal="center" vertical="center"/>
    </xf>
    <xf numFmtId="0" fontId="38" fillId="4" borderId="113" xfId="0" applyFont="1" applyFill="1" applyBorder="1" applyAlignment="1">
      <alignment horizontal="center" vertical="center"/>
    </xf>
    <xf numFmtId="179" fontId="38" fillId="4" borderId="108" xfId="588" applyNumberFormat="1" applyFont="1" applyFill="1" applyBorder="1" applyAlignment="1">
      <alignment horizontal="center" vertical="center"/>
    </xf>
    <xf numFmtId="0" fontId="55" fillId="5" borderId="0" xfId="0" applyFont="1" applyFill="1" applyAlignment="1">
      <alignment vertical="center" wrapText="1"/>
    </xf>
    <xf numFmtId="0" fontId="49" fillId="0" borderId="117" xfId="0" applyFont="1" applyFill="1" applyBorder="1" applyAlignment="1">
      <alignment horizontal="center" vertical="center"/>
    </xf>
    <xf numFmtId="179" fontId="49" fillId="0" borderId="118" xfId="588" applyNumberFormat="1" applyFont="1" applyFill="1" applyBorder="1" applyAlignment="1">
      <alignment horizontal="center" vertical="center"/>
    </xf>
    <xf numFmtId="179" fontId="49" fillId="5" borderId="119" xfId="588" applyNumberFormat="1" applyFont="1" applyFill="1" applyBorder="1" applyAlignment="1">
      <alignment horizontal="center" vertical="center"/>
    </xf>
    <xf numFmtId="0" fontId="49" fillId="4" borderId="77" xfId="0" applyFont="1" applyFill="1" applyBorder="1" applyAlignment="1">
      <alignment horizontal="center" vertical="center" wrapText="1"/>
    </xf>
    <xf numFmtId="0" fontId="49" fillId="4" borderId="96" xfId="0" applyFont="1" applyFill="1" applyBorder="1" applyAlignment="1">
      <alignment horizontal="center" vertical="center"/>
    </xf>
    <xf numFmtId="0" fontId="49" fillId="4" borderId="116" xfId="0" applyFont="1" applyFill="1" applyBorder="1" applyAlignment="1">
      <alignment horizontal="center" vertical="center"/>
    </xf>
    <xf numFmtId="179" fontId="49" fillId="4" borderId="114" xfId="588" applyNumberFormat="1" applyFont="1" applyFill="1" applyBorder="1" applyAlignment="1">
      <alignment horizontal="center" vertical="center"/>
    </xf>
    <xf numFmtId="0" fontId="49" fillId="4" borderId="94" xfId="0" applyFont="1" applyFill="1" applyBorder="1" applyAlignment="1">
      <alignment horizontal="center" vertical="center"/>
    </xf>
    <xf numFmtId="179" fontId="49" fillId="5" borderId="106" xfId="588" applyNumberFormat="1" applyFont="1" applyFill="1" applyBorder="1" applyAlignment="1">
      <alignment horizontal="center" vertical="center"/>
    </xf>
    <xf numFmtId="0" fontId="49" fillId="5" borderId="117" xfId="0" applyFont="1" applyFill="1" applyBorder="1" applyAlignment="1">
      <alignment horizontal="center" vertical="center"/>
    </xf>
    <xf numFmtId="0" fontId="49" fillId="4" borderId="6" xfId="0" applyFont="1" applyFill="1" applyBorder="1" applyAlignment="1">
      <alignment horizontal="center" vertical="center" wrapText="1"/>
    </xf>
    <xf numFmtId="179" fontId="49" fillId="4" borderId="109" xfId="588" applyNumberFormat="1" applyFont="1" applyFill="1" applyBorder="1" applyAlignment="1">
      <alignment horizontal="center" vertical="center"/>
    </xf>
    <xf numFmtId="0" fontId="49" fillId="4" borderId="120" xfId="0" applyFont="1" applyFill="1" applyBorder="1" applyAlignment="1">
      <alignment horizontal="center" vertical="center"/>
    </xf>
    <xf numFmtId="179" fontId="49" fillId="4" borderId="109" xfId="588" quotePrefix="1" applyNumberFormat="1" applyFont="1" applyFill="1" applyBorder="1" applyAlignment="1">
      <alignment horizontal="center" vertical="center"/>
    </xf>
    <xf numFmtId="0" fontId="50" fillId="5" borderId="2" xfId="0" applyFont="1" applyFill="1" applyBorder="1" applyAlignment="1">
      <alignment horizontal="center" vertical="center"/>
    </xf>
    <xf numFmtId="0" fontId="50" fillId="4" borderId="2" xfId="0" applyFont="1" applyFill="1" applyBorder="1" applyAlignment="1">
      <alignment horizontal="center" vertical="center"/>
    </xf>
    <xf numFmtId="9" fontId="50" fillId="0" borderId="77" xfId="588" applyFont="1" applyFill="1" applyBorder="1" applyAlignment="1">
      <alignment horizontal="center" vertical="center"/>
    </xf>
    <xf numFmtId="9" fontId="50" fillId="4" borderId="77" xfId="588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50" fillId="0" borderId="77" xfId="0" applyFont="1" applyFill="1" applyBorder="1" applyAlignment="1">
      <alignment horizontal="center" vertical="center"/>
    </xf>
    <xf numFmtId="9" fontId="50" fillId="5" borderId="77" xfId="588" applyFont="1" applyFill="1" applyBorder="1" applyAlignment="1">
      <alignment horizontal="center" vertical="center"/>
    </xf>
    <xf numFmtId="0" fontId="50" fillId="4" borderId="6" xfId="0" applyFont="1" applyFill="1" applyBorder="1" applyAlignment="1">
      <alignment horizontal="center" vertical="center"/>
    </xf>
    <xf numFmtId="0" fontId="50" fillId="0" borderId="93" xfId="0" applyFont="1" applyFill="1" applyBorder="1" applyAlignment="1">
      <alignment horizontal="center" vertical="center"/>
    </xf>
    <xf numFmtId="9" fontId="50" fillId="5" borderId="85" xfId="588" applyFont="1" applyFill="1" applyBorder="1" applyAlignment="1">
      <alignment horizontal="center" vertical="center"/>
    </xf>
    <xf numFmtId="0" fontId="50" fillId="0" borderId="2" xfId="0" applyFont="1" applyFill="1" applyBorder="1" applyAlignment="1">
      <alignment horizontal="center" vertical="center"/>
    </xf>
    <xf numFmtId="9" fontId="50" fillId="0" borderId="85" xfId="588" applyFont="1" applyFill="1" applyBorder="1" applyAlignment="1">
      <alignment horizontal="center" vertical="center"/>
    </xf>
    <xf numFmtId="0" fontId="50" fillId="0" borderId="7" xfId="0" applyFont="1" applyFill="1" applyBorder="1" applyAlignment="1">
      <alignment horizontal="center" vertical="center"/>
    </xf>
    <xf numFmtId="0" fontId="50" fillId="4" borderId="85" xfId="0" applyFont="1" applyFill="1" applyBorder="1" applyAlignment="1">
      <alignment horizontal="center" vertical="center"/>
    </xf>
    <xf numFmtId="9" fontId="50" fillId="5" borderId="2" xfId="588" applyFont="1" applyFill="1" applyBorder="1" applyAlignment="1">
      <alignment horizontal="center" vertical="center"/>
    </xf>
    <xf numFmtId="0" fontId="50" fillId="0" borderId="85" xfId="0" applyFont="1" applyFill="1" applyBorder="1" applyAlignment="1">
      <alignment horizontal="center" vertical="center"/>
    </xf>
    <xf numFmtId="9" fontId="51" fillId="7" borderId="0" xfId="588" applyFont="1" applyFill="1">
      <alignment vertical="center"/>
    </xf>
    <xf numFmtId="0" fontId="51" fillId="7" borderId="0" xfId="0" applyFont="1" applyFill="1">
      <alignment vertical="center"/>
    </xf>
    <xf numFmtId="38" fontId="41" fillId="7" borderId="0" xfId="2566" applyFont="1" applyFill="1" applyAlignment="1">
      <alignment vertical="center"/>
    </xf>
    <xf numFmtId="38" fontId="42" fillId="5" borderId="0" xfId="2566" applyFont="1" applyFill="1" applyAlignment="1">
      <alignment vertical="center"/>
    </xf>
    <xf numFmtId="38" fontId="40" fillId="7" borderId="0" xfId="2566" applyFont="1" applyFill="1" applyAlignment="1">
      <alignment horizontal="center" vertical="center"/>
    </xf>
    <xf numFmtId="38" fontId="41" fillId="5" borderId="92" xfId="2566" applyFont="1" applyFill="1" applyBorder="1" applyAlignment="1">
      <alignment horizontal="center" vertical="center" shrinkToFit="1"/>
    </xf>
    <xf numFmtId="38" fontId="41" fillId="5" borderId="85" xfId="2566" applyFont="1" applyFill="1" applyBorder="1" applyAlignment="1">
      <alignment horizontal="center" vertical="center" shrinkToFit="1"/>
    </xf>
    <xf numFmtId="38" fontId="40" fillId="5" borderId="85" xfId="2566" applyFont="1" applyFill="1" applyBorder="1" applyAlignment="1">
      <alignment horizontal="center" vertical="center" shrinkToFit="1"/>
    </xf>
    <xf numFmtId="38" fontId="41" fillId="5" borderId="86" xfId="2566" applyFont="1" applyFill="1" applyBorder="1" applyAlignment="1">
      <alignment horizontal="center" vertical="center" shrinkToFit="1"/>
    </xf>
    <xf numFmtId="38" fontId="41" fillId="5" borderId="84" xfId="2566" applyFont="1" applyFill="1" applyBorder="1" applyAlignment="1">
      <alignment horizontal="center" vertical="center" shrinkToFit="1"/>
    </xf>
    <xf numFmtId="38" fontId="41" fillId="5" borderId="95" xfId="2566" applyFont="1" applyFill="1" applyBorder="1" applyAlignment="1">
      <alignment horizontal="center" vertical="center" shrinkToFit="1"/>
    </xf>
    <xf numFmtId="38" fontId="41" fillId="5" borderId="96" xfId="2566" applyFont="1" applyFill="1" applyBorder="1" applyAlignment="1">
      <alignment horizontal="center" vertical="center" shrinkToFit="1"/>
    </xf>
    <xf numFmtId="38" fontId="41" fillId="5" borderId="93" xfId="2566" applyFont="1" applyFill="1" applyBorder="1" applyAlignment="1">
      <alignment horizontal="center" vertical="center" shrinkToFit="1"/>
    </xf>
    <xf numFmtId="38" fontId="41" fillId="5" borderId="133" xfId="2566" applyFont="1" applyFill="1" applyBorder="1" applyAlignment="1">
      <alignment vertical="center" shrinkToFit="1"/>
    </xf>
    <xf numFmtId="38" fontId="41" fillId="5" borderId="86" xfId="2566" applyFont="1" applyFill="1" applyBorder="1" applyAlignment="1">
      <alignment horizontal="right" vertical="center" shrinkToFit="1"/>
    </xf>
    <xf numFmtId="38" fontId="41" fillId="5" borderId="87" xfId="2566" applyFont="1" applyFill="1" applyBorder="1" applyAlignment="1">
      <alignment vertical="center" shrinkToFit="1"/>
    </xf>
    <xf numFmtId="38" fontId="41" fillId="5" borderId="131" xfId="2566" applyFont="1" applyFill="1" applyBorder="1" applyAlignment="1">
      <alignment horizontal="center" vertical="center" shrinkToFit="1"/>
    </xf>
    <xf numFmtId="38" fontId="41" fillId="7" borderId="0" xfId="2566" applyFont="1" applyFill="1" applyAlignment="1">
      <alignment horizontal="center" vertical="center"/>
    </xf>
    <xf numFmtId="38" fontId="41" fillId="5" borderId="92" xfId="2566" applyFont="1" applyFill="1" applyBorder="1" applyAlignment="1">
      <alignment horizontal="right" vertical="center" shrinkToFit="1"/>
    </xf>
    <xf numFmtId="38" fontId="41" fillId="5" borderId="8" xfId="2566" applyFont="1" applyFill="1" applyBorder="1" applyAlignment="1">
      <alignment horizontal="right" vertical="center" shrinkToFit="1"/>
    </xf>
    <xf numFmtId="38" fontId="41" fillId="5" borderId="93" xfId="2566" applyFont="1" applyFill="1" applyBorder="1" applyAlignment="1" applyProtection="1">
      <alignment horizontal="right" vertical="center" shrinkToFit="1"/>
      <protection locked="0"/>
    </xf>
    <xf numFmtId="38" fontId="40" fillId="5" borderId="90" xfId="2566" applyFont="1" applyFill="1" applyBorder="1" applyAlignment="1">
      <alignment horizontal="center" vertical="center" shrinkToFit="1"/>
    </xf>
    <xf numFmtId="38" fontId="40" fillId="5" borderId="7" xfId="2566" applyFont="1" applyFill="1" applyBorder="1" applyAlignment="1">
      <alignment horizontal="center" vertical="center" shrinkToFit="1"/>
    </xf>
    <xf numFmtId="38" fontId="40" fillId="5" borderId="133" xfId="2566" applyFont="1" applyFill="1" applyBorder="1" applyAlignment="1">
      <alignment horizontal="center" vertical="center" shrinkToFit="1"/>
    </xf>
    <xf numFmtId="179" fontId="40" fillId="5" borderId="97" xfId="595" applyNumberFormat="1" applyFont="1" applyFill="1" applyBorder="1" applyAlignment="1">
      <alignment horizontal="left" vertical="center" shrinkToFit="1"/>
    </xf>
    <xf numFmtId="9" fontId="40" fillId="5" borderId="97" xfId="595" applyFont="1" applyFill="1" applyBorder="1" applyAlignment="1">
      <alignment horizontal="left" vertical="center" shrinkToFit="1"/>
    </xf>
    <xf numFmtId="38" fontId="40" fillId="7" borderId="0" xfId="2566" applyFont="1" applyFill="1" applyAlignment="1">
      <alignment vertical="center"/>
    </xf>
    <xf numFmtId="38" fontId="40" fillId="5" borderId="17" xfId="2566" applyFont="1" applyFill="1" applyBorder="1" applyAlignment="1">
      <alignment vertical="center" shrinkToFit="1"/>
    </xf>
    <xf numFmtId="38" fontId="40" fillId="5" borderId="2" xfId="2566" applyFont="1" applyFill="1" applyBorder="1" applyAlignment="1">
      <alignment vertical="center" shrinkToFit="1"/>
    </xf>
    <xf numFmtId="38" fontId="40" fillId="5" borderId="86" xfId="2566" applyFont="1" applyFill="1" applyBorder="1" applyAlignment="1" applyProtection="1">
      <alignment vertical="center" shrinkToFit="1"/>
      <protection locked="0"/>
    </xf>
    <xf numFmtId="38" fontId="40" fillId="5" borderId="2" xfId="2566" applyFont="1" applyFill="1" applyBorder="1" applyAlignment="1" applyProtection="1">
      <alignment vertical="center" shrinkToFit="1"/>
      <protection locked="0"/>
    </xf>
    <xf numFmtId="38" fontId="40" fillId="5" borderId="87" xfId="2566" applyFont="1" applyFill="1" applyBorder="1" applyAlignment="1">
      <alignment vertical="center" shrinkToFit="1"/>
    </xf>
    <xf numFmtId="38" fontId="41" fillId="5" borderId="17" xfId="2566" applyFont="1" applyFill="1" applyBorder="1" applyAlignment="1">
      <alignment vertical="center" shrinkToFit="1"/>
    </xf>
    <xf numFmtId="38" fontId="41" fillId="5" borderId="2" xfId="2566" applyFont="1" applyFill="1" applyBorder="1" applyAlignment="1">
      <alignment vertical="center" shrinkToFit="1"/>
    </xf>
    <xf numFmtId="38" fontId="41" fillId="5" borderId="86" xfId="2566" applyFont="1" applyFill="1" applyBorder="1" applyAlignment="1" applyProtection="1">
      <alignment vertical="center" shrinkToFit="1"/>
      <protection locked="0"/>
    </xf>
    <xf numFmtId="38" fontId="41" fillId="5" borderId="2" xfId="2566" applyFont="1" applyFill="1" applyBorder="1" applyAlignment="1" applyProtection="1">
      <alignment vertical="center" shrinkToFit="1"/>
      <protection locked="0"/>
    </xf>
    <xf numFmtId="38" fontId="41" fillId="5" borderId="84" xfId="2566" applyFont="1" applyFill="1" applyBorder="1" applyAlignment="1">
      <alignment vertical="center" shrinkToFit="1"/>
    </xf>
    <xf numFmtId="38" fontId="41" fillId="5" borderId="95" xfId="2566" applyFont="1" applyFill="1" applyBorder="1" applyAlignment="1">
      <alignment vertical="center" shrinkToFit="1"/>
    </xf>
    <xf numFmtId="38" fontId="41" fillId="5" borderId="92" xfId="2566" applyFont="1" applyFill="1" applyBorder="1" applyAlignment="1" applyProtection="1">
      <alignment vertical="center" shrinkToFit="1"/>
      <protection locked="0"/>
    </xf>
    <xf numFmtId="38" fontId="41" fillId="5" borderId="85" xfId="2566" applyFont="1" applyFill="1" applyBorder="1" applyAlignment="1" applyProtection="1">
      <alignment vertical="center" shrinkToFit="1"/>
      <protection locked="0"/>
    </xf>
    <xf numFmtId="38" fontId="40" fillId="5" borderId="7" xfId="2566" applyFont="1" applyFill="1" applyBorder="1" applyAlignment="1" applyProtection="1">
      <alignment vertical="center" shrinkToFit="1"/>
      <protection locked="0"/>
    </xf>
    <xf numFmtId="38" fontId="40" fillId="5" borderId="133" xfId="2566" applyFont="1" applyFill="1" applyBorder="1" applyAlignment="1" applyProtection="1">
      <alignment vertical="center" shrinkToFit="1"/>
      <protection locked="0"/>
    </xf>
    <xf numFmtId="38" fontId="40" fillId="5" borderId="130" xfId="2566" applyFont="1" applyFill="1" applyBorder="1" applyAlignment="1" applyProtection="1">
      <alignment vertical="center" shrinkToFit="1"/>
      <protection locked="0"/>
    </xf>
    <xf numFmtId="179" fontId="40" fillId="5" borderId="131" xfId="595" applyNumberFormat="1" applyFont="1" applyFill="1" applyBorder="1" applyAlignment="1">
      <alignment horizontal="left" vertical="center" shrinkToFit="1"/>
    </xf>
    <xf numFmtId="9" fontId="40" fillId="5" borderId="131" xfId="595" applyFont="1" applyFill="1" applyBorder="1" applyAlignment="1">
      <alignment horizontal="left" vertical="center" shrinkToFit="1"/>
    </xf>
    <xf numFmtId="38" fontId="40" fillId="5" borderId="90" xfId="2566" applyFont="1" applyFill="1" applyBorder="1" applyAlignment="1" applyProtection="1">
      <alignment vertical="center" shrinkToFit="1"/>
      <protection locked="0"/>
    </xf>
    <xf numFmtId="9" fontId="40" fillId="0" borderId="131" xfId="595" applyFont="1" applyFill="1" applyBorder="1" applyAlignment="1">
      <alignment horizontal="left" vertical="center" shrinkToFit="1"/>
    </xf>
    <xf numFmtId="38" fontId="40" fillId="5" borderId="84" xfId="2566" applyFont="1" applyFill="1" applyBorder="1" applyAlignment="1">
      <alignment vertical="center" shrinkToFit="1"/>
    </xf>
    <xf numFmtId="9" fontId="41" fillId="5" borderId="131" xfId="595" applyFont="1" applyFill="1" applyBorder="1" applyAlignment="1">
      <alignment horizontal="left" vertical="center" shrinkToFit="1"/>
    </xf>
    <xf numFmtId="38" fontId="41" fillId="5" borderId="0" xfId="2566" applyFont="1" applyFill="1" applyBorder="1" applyAlignment="1">
      <alignment vertical="center"/>
    </xf>
    <xf numFmtId="38" fontId="39" fillId="5" borderId="0" xfId="2566" applyFont="1" applyFill="1" applyAlignment="1">
      <alignment vertical="center"/>
    </xf>
    <xf numFmtId="38" fontId="41" fillId="5" borderId="17" xfId="2566" applyFont="1" applyFill="1" applyBorder="1" applyAlignment="1">
      <alignment horizontal="center" vertical="center" shrinkToFit="1"/>
    </xf>
    <xf numFmtId="38" fontId="41" fillId="5" borderId="77" xfId="2566" applyFont="1" applyFill="1" applyBorder="1" applyAlignment="1">
      <alignment horizontal="center" vertical="center" shrinkToFit="1"/>
    </xf>
    <xf numFmtId="38" fontId="41" fillId="5" borderId="85" xfId="2566" applyFont="1" applyFill="1" applyBorder="1" applyAlignment="1">
      <alignment horizontal="right" vertical="center" shrinkToFit="1"/>
    </xf>
    <xf numFmtId="38" fontId="41" fillId="5" borderId="96" xfId="2566" applyFont="1" applyFill="1" applyBorder="1" applyAlignment="1">
      <alignment horizontal="right" vertical="center" shrinkToFit="1"/>
    </xf>
    <xf numFmtId="38" fontId="41" fillId="5" borderId="95" xfId="2566" applyFont="1" applyFill="1" applyBorder="1" applyAlignment="1">
      <alignment horizontal="right" vertical="center" shrinkToFit="1"/>
    </xf>
    <xf numFmtId="38" fontId="41" fillId="5" borderId="91" xfId="2566" applyFont="1" applyFill="1" applyBorder="1" applyAlignment="1">
      <alignment horizontal="right" vertical="center" shrinkToFit="1"/>
    </xf>
    <xf numFmtId="38" fontId="41" fillId="5" borderId="87" xfId="2566" applyFont="1" applyFill="1" applyBorder="1" applyAlignment="1">
      <alignment horizontal="right" vertical="center" shrinkToFit="1"/>
    </xf>
    <xf numFmtId="38" fontId="41" fillId="5" borderId="90" xfId="2566" applyFont="1" applyFill="1" applyBorder="1" applyAlignment="1">
      <alignment horizontal="center" vertical="center" shrinkToFit="1"/>
    </xf>
    <xf numFmtId="9" fontId="41" fillId="5" borderId="97" xfId="595" applyFont="1" applyFill="1" applyBorder="1" applyAlignment="1">
      <alignment horizontal="left" vertical="center" shrinkToFit="1"/>
    </xf>
    <xf numFmtId="38" fontId="40" fillId="7" borderId="0" xfId="2566" applyFont="1" applyFill="1" applyBorder="1" applyAlignment="1">
      <alignment vertical="center"/>
    </xf>
    <xf numFmtId="38" fontId="41" fillId="7" borderId="0" xfId="2566" applyFont="1" applyFill="1" applyBorder="1" applyAlignment="1">
      <alignment vertical="center"/>
    </xf>
    <xf numFmtId="38" fontId="41" fillId="5" borderId="130" xfId="2566" applyFont="1" applyFill="1" applyBorder="1" applyAlignment="1">
      <alignment horizontal="center" vertical="center" shrinkToFit="1"/>
    </xf>
    <xf numFmtId="179" fontId="41" fillId="5" borderId="131" xfId="595" applyNumberFormat="1" applyFont="1" applyFill="1" applyBorder="1" applyAlignment="1">
      <alignment horizontal="left" vertical="center" shrinkToFit="1"/>
    </xf>
    <xf numFmtId="38" fontId="41" fillId="0" borderId="86" xfId="2566" applyFont="1" applyFill="1" applyBorder="1" applyAlignment="1" applyProtection="1">
      <alignment vertical="center" shrinkToFit="1"/>
      <protection locked="0"/>
    </xf>
    <xf numFmtId="38" fontId="41" fillId="0" borderId="2" xfId="2566" applyFont="1" applyFill="1" applyBorder="1" applyAlignment="1" applyProtection="1">
      <alignment vertical="center" shrinkToFit="1"/>
      <protection locked="0"/>
    </xf>
    <xf numFmtId="38" fontId="41" fillId="0" borderId="17" xfId="2566" applyFont="1" applyFill="1" applyBorder="1" applyAlignment="1">
      <alignment vertical="center" shrinkToFit="1"/>
    </xf>
    <xf numFmtId="38" fontId="41" fillId="0" borderId="87" xfId="2566" applyFont="1" applyFill="1" applyBorder="1" applyAlignment="1">
      <alignment vertical="center" shrinkToFit="1"/>
    </xf>
    <xf numFmtId="38" fontId="41" fillId="5" borderId="90" xfId="2566" applyFont="1" applyFill="1" applyBorder="1" applyAlignment="1" applyProtection="1">
      <alignment vertical="center" shrinkToFit="1"/>
      <protection locked="0"/>
    </xf>
    <xf numFmtId="9" fontId="41" fillId="0" borderId="131" xfId="595" applyFont="1" applyFill="1" applyBorder="1" applyAlignment="1">
      <alignment horizontal="left" vertical="center" shrinkToFit="1"/>
    </xf>
    <xf numFmtId="9" fontId="41" fillId="5" borderId="0" xfId="595" applyFont="1" applyFill="1" applyBorder="1" applyAlignment="1">
      <alignment vertical="center"/>
    </xf>
    <xf numFmtId="38" fontId="41" fillId="5" borderId="0" xfId="2566" applyFont="1" applyFill="1" applyAlignment="1">
      <alignment vertical="center" shrinkToFit="1"/>
    </xf>
    <xf numFmtId="38" fontId="41" fillId="5" borderId="87" xfId="2566" applyFont="1" applyFill="1" applyBorder="1" applyAlignment="1">
      <alignment horizontal="center" vertical="center" shrinkToFit="1"/>
    </xf>
    <xf numFmtId="179" fontId="40" fillId="5" borderId="7" xfId="595" applyNumberFormat="1" applyFont="1" applyFill="1" applyBorder="1" applyAlignment="1">
      <alignment horizontal="left" vertical="center" shrinkToFit="1"/>
    </xf>
    <xf numFmtId="179" fontId="40" fillId="5" borderId="8" xfId="595" applyNumberFormat="1" applyFont="1" applyFill="1" applyBorder="1" applyAlignment="1">
      <alignment horizontal="left" vertical="center" shrinkToFit="1"/>
    </xf>
    <xf numFmtId="38" fontId="41" fillId="5" borderId="90" xfId="2566" applyFont="1" applyFill="1" applyBorder="1" applyAlignment="1">
      <alignment horizontal="left" vertical="center" shrinkToFit="1"/>
    </xf>
    <xf numFmtId="179" fontId="40" fillId="5" borderId="0" xfId="595" applyNumberFormat="1" applyFont="1" applyFill="1" applyBorder="1" applyAlignment="1">
      <alignment horizontal="left" vertical="center" shrinkToFit="1"/>
    </xf>
    <xf numFmtId="38" fontId="41" fillId="7" borderId="0" xfId="2566" applyFont="1" applyFill="1" applyAlignment="1">
      <alignment horizontal="left" vertical="center"/>
    </xf>
    <xf numFmtId="38" fontId="41" fillId="5" borderId="93" xfId="2566" applyFont="1" applyFill="1" applyBorder="1" applyAlignment="1" applyProtection="1">
      <alignment vertical="center" shrinkToFit="1"/>
      <protection locked="0"/>
    </xf>
    <xf numFmtId="38" fontId="41" fillId="5" borderId="7" xfId="2566" applyFont="1" applyFill="1" applyBorder="1" applyAlignment="1" applyProtection="1">
      <alignment vertical="center" shrinkToFit="1"/>
      <protection locked="0"/>
    </xf>
    <xf numFmtId="38" fontId="41" fillId="5" borderId="79" xfId="2566" applyFont="1" applyFill="1" applyBorder="1" applyAlignment="1" applyProtection="1">
      <alignment horizontal="left" vertical="center" shrinkToFit="1"/>
      <protection locked="0"/>
    </xf>
    <xf numFmtId="38" fontId="41" fillId="5" borderId="90" xfId="2566" applyFont="1" applyFill="1" applyBorder="1" applyAlignment="1" applyProtection="1">
      <alignment horizontal="left" vertical="center" shrinkToFit="1"/>
      <protection locked="0"/>
    </xf>
    <xf numFmtId="38" fontId="41" fillId="5" borderId="7" xfId="2566" applyFont="1" applyFill="1" applyBorder="1" applyAlignment="1" applyProtection="1">
      <alignment horizontal="left" vertical="center" shrinkToFit="1"/>
      <protection locked="0"/>
    </xf>
    <xf numFmtId="38" fontId="41" fillId="5" borderId="88" xfId="2566" applyFont="1" applyFill="1" applyBorder="1" applyAlignment="1">
      <alignment vertical="center" shrinkToFit="1"/>
    </xf>
    <xf numFmtId="38" fontId="41" fillId="5" borderId="94" xfId="2566" applyFont="1" applyFill="1" applyBorder="1" applyAlignment="1">
      <alignment horizontal="right" vertical="center" shrinkToFit="1"/>
    </xf>
    <xf numFmtId="38" fontId="41" fillId="5" borderId="2" xfId="2566" applyFont="1" applyFill="1" applyBorder="1" applyAlignment="1" applyProtection="1">
      <alignment horizontal="right" vertical="center" shrinkToFit="1"/>
      <protection locked="0"/>
    </xf>
    <xf numFmtId="0" fontId="57" fillId="8" borderId="80" xfId="0" applyFont="1" applyFill="1" applyBorder="1">
      <alignment vertical="center"/>
    </xf>
    <xf numFmtId="0" fontId="57" fillId="8" borderId="21" xfId="0" applyFont="1" applyFill="1" applyBorder="1" applyAlignment="1">
      <alignment horizontal="center" vertical="center"/>
    </xf>
    <xf numFmtId="0" fontId="58" fillId="8" borderId="81" xfId="0" applyFont="1" applyFill="1" applyBorder="1" applyAlignment="1">
      <alignment horizontal="center" vertical="center"/>
    </xf>
    <xf numFmtId="0" fontId="57" fillId="8" borderId="83" xfId="0" applyFont="1" applyFill="1" applyBorder="1">
      <alignment vertical="center"/>
    </xf>
    <xf numFmtId="0" fontId="57" fillId="8" borderId="84" xfId="0" applyFont="1" applyFill="1" applyBorder="1" applyAlignment="1">
      <alignment horizontal="center" vertical="center"/>
    </xf>
    <xf numFmtId="0" fontId="58" fillId="8" borderId="77" xfId="0" applyFont="1" applyFill="1" applyBorder="1" applyAlignment="1">
      <alignment horizontal="center" vertical="center"/>
    </xf>
    <xf numFmtId="0" fontId="57" fillId="7" borderId="2" xfId="0" applyFont="1" applyFill="1" applyBorder="1" applyAlignment="1">
      <alignment horizontal="center" vertical="center"/>
    </xf>
    <xf numFmtId="0" fontId="57" fillId="7" borderId="84" xfId="0" applyFont="1" applyFill="1" applyBorder="1" applyAlignment="1">
      <alignment horizontal="center" vertical="center"/>
    </xf>
    <xf numFmtId="0" fontId="57" fillId="8" borderId="86" xfId="0" applyFont="1" applyFill="1" applyBorder="1" applyAlignment="1">
      <alignment horizontal="center" vertical="center"/>
    </xf>
    <xf numFmtId="0" fontId="57" fillId="8" borderId="87" xfId="0" applyFont="1" applyFill="1" applyBorder="1" applyAlignment="1">
      <alignment horizontal="center" vertical="center"/>
    </xf>
    <xf numFmtId="0" fontId="57" fillId="8" borderId="77" xfId="0" applyFont="1" applyFill="1" applyBorder="1" applyAlignment="1">
      <alignment horizontal="center" vertical="center"/>
    </xf>
    <xf numFmtId="0" fontId="57" fillId="8" borderId="2" xfId="0" applyFont="1" applyFill="1" applyBorder="1" applyAlignment="1">
      <alignment horizontal="center" vertical="center"/>
    </xf>
    <xf numFmtId="0" fontId="57" fillId="8" borderId="88" xfId="0" applyFont="1" applyFill="1" applyBorder="1" applyAlignment="1">
      <alignment horizontal="center" vertical="center"/>
    </xf>
    <xf numFmtId="0" fontId="57" fillId="8" borderId="90" xfId="0" applyFont="1" applyFill="1" applyBorder="1">
      <alignment vertical="center"/>
    </xf>
    <xf numFmtId="0" fontId="57" fillId="8" borderId="77" xfId="0" applyFont="1" applyFill="1" applyBorder="1" applyAlignment="1">
      <alignment horizontal="left" vertical="top" wrapText="1"/>
    </xf>
    <xf numFmtId="179" fontId="57" fillId="8" borderId="77" xfId="588" applyNumberFormat="1" applyFont="1" applyFill="1" applyBorder="1" applyAlignment="1">
      <alignment horizontal="center" vertical="center"/>
    </xf>
    <xf numFmtId="179" fontId="57" fillId="8" borderId="86" xfId="588" applyNumberFormat="1" applyFont="1" applyFill="1" applyBorder="1" applyAlignment="1">
      <alignment horizontal="center" vertical="center"/>
    </xf>
    <xf numFmtId="179" fontId="57" fillId="8" borderId="91" xfId="588" applyNumberFormat="1" applyFont="1" applyFill="1" applyBorder="1" applyAlignment="1">
      <alignment horizontal="center" vertical="center"/>
    </xf>
    <xf numFmtId="9" fontId="57" fillId="8" borderId="85" xfId="588" applyFont="1" applyFill="1" applyBorder="1" applyAlignment="1">
      <alignment horizontal="center" vertical="center"/>
    </xf>
    <xf numFmtId="179" fontId="57" fillId="8" borderId="92" xfId="588" applyNumberFormat="1" applyFont="1" applyFill="1" applyBorder="1" applyAlignment="1">
      <alignment horizontal="center" vertical="center"/>
    </xf>
    <xf numFmtId="9" fontId="57" fillId="8" borderId="91" xfId="588" applyFont="1" applyFill="1" applyBorder="1" applyAlignment="1">
      <alignment horizontal="center" vertical="center"/>
    </xf>
    <xf numFmtId="0" fontId="57" fillId="8" borderId="85" xfId="0" applyFont="1" applyFill="1" applyBorder="1" applyAlignment="1">
      <alignment horizontal="left" vertical="top" wrapText="1"/>
    </xf>
    <xf numFmtId="9" fontId="57" fillId="8" borderId="77" xfId="588" applyFont="1" applyFill="1" applyBorder="1" applyAlignment="1">
      <alignment horizontal="center" vertical="center"/>
    </xf>
    <xf numFmtId="0" fontId="57" fillId="8" borderId="91" xfId="0" applyFont="1" applyFill="1" applyBorder="1" applyAlignment="1">
      <alignment horizontal="center" vertical="center"/>
    </xf>
    <xf numFmtId="179" fontId="57" fillId="8" borderId="84" xfId="588" applyNumberFormat="1" applyFont="1" applyFill="1" applyBorder="1" applyAlignment="1">
      <alignment horizontal="center" vertical="center"/>
    </xf>
    <xf numFmtId="0" fontId="57" fillId="8" borderId="94" xfId="0" applyFont="1" applyFill="1" applyBorder="1" applyAlignment="1">
      <alignment horizontal="center" vertical="center"/>
    </xf>
    <xf numFmtId="0" fontId="57" fillId="0" borderId="2" xfId="0" applyFont="1" applyFill="1" applyBorder="1" applyAlignment="1">
      <alignment horizontal="center" vertical="center"/>
    </xf>
    <xf numFmtId="0" fontId="57" fillId="0" borderId="85" xfId="0" applyFont="1" applyFill="1" applyBorder="1" applyAlignment="1">
      <alignment horizontal="left" vertical="top" wrapText="1"/>
    </xf>
    <xf numFmtId="179" fontId="57" fillId="0" borderId="85" xfId="588" applyNumberFormat="1" applyFont="1" applyFill="1" applyBorder="1" applyAlignment="1">
      <alignment horizontal="center" vertical="center"/>
    </xf>
    <xf numFmtId="0" fontId="57" fillId="0" borderId="84" xfId="0" applyFont="1" applyFill="1" applyBorder="1" applyAlignment="1">
      <alignment horizontal="center" vertical="center"/>
    </xf>
    <xf numFmtId="179" fontId="57" fillId="0" borderId="91" xfId="588" applyNumberFormat="1" applyFont="1" applyFill="1" applyBorder="1" applyAlignment="1">
      <alignment horizontal="center" vertical="center"/>
    </xf>
    <xf numFmtId="179" fontId="57" fillId="0" borderId="92" xfId="588" applyNumberFormat="1" applyFont="1" applyFill="1" applyBorder="1" applyAlignment="1">
      <alignment horizontal="center" vertical="center"/>
    </xf>
    <xf numFmtId="0" fontId="57" fillId="0" borderId="88" xfId="0" applyFont="1" applyFill="1" applyBorder="1" applyAlignment="1">
      <alignment horizontal="center" vertical="center"/>
    </xf>
    <xf numFmtId="0" fontId="57" fillId="8" borderId="82" xfId="0" applyFont="1" applyFill="1" applyBorder="1">
      <alignment vertical="center"/>
    </xf>
    <xf numFmtId="0" fontId="57" fillId="8" borderId="89" xfId="0" applyFont="1" applyFill="1" applyBorder="1" applyAlignment="1">
      <alignment horizontal="center" vertical="center"/>
    </xf>
    <xf numFmtId="0" fontId="57" fillId="0" borderId="89" xfId="0" applyFont="1" applyFill="1" applyBorder="1" applyAlignment="1">
      <alignment horizontal="center" vertical="center"/>
    </xf>
    <xf numFmtId="0" fontId="57" fillId="8" borderId="0" xfId="0" applyFont="1" applyFill="1" applyBorder="1" applyAlignment="1">
      <alignment horizontal="center" vertical="center"/>
    </xf>
    <xf numFmtId="0" fontId="57" fillId="9" borderId="6" xfId="0" applyFont="1" applyFill="1" applyBorder="1" applyAlignment="1">
      <alignment horizontal="center" vertical="center"/>
    </xf>
    <xf numFmtId="179" fontId="57" fillId="9" borderId="99" xfId="588" applyNumberFormat="1" applyFont="1" applyFill="1" applyBorder="1" applyAlignment="1">
      <alignment horizontal="center" vertical="center"/>
    </xf>
    <xf numFmtId="0" fontId="57" fillId="9" borderId="76" xfId="0" applyFont="1" applyFill="1" applyBorder="1" applyAlignment="1">
      <alignment horizontal="center" vertical="center"/>
    </xf>
    <xf numFmtId="0" fontId="57" fillId="9" borderId="101" xfId="0" applyFont="1" applyFill="1" applyBorder="1" applyAlignment="1">
      <alignment horizontal="center" vertical="center"/>
    </xf>
    <xf numFmtId="0" fontId="58" fillId="8" borderId="102" xfId="0" applyFont="1" applyFill="1" applyBorder="1" applyAlignment="1">
      <alignment horizontal="center" vertical="center"/>
    </xf>
    <xf numFmtId="0" fontId="57" fillId="7" borderId="14" xfId="0" applyFont="1" applyFill="1" applyBorder="1" applyAlignment="1">
      <alignment horizontal="center" vertical="center"/>
    </xf>
    <xf numFmtId="0" fontId="57" fillId="8" borderId="104" xfId="0" applyFont="1" applyFill="1" applyBorder="1" applyAlignment="1">
      <alignment horizontal="center" vertical="center"/>
    </xf>
    <xf numFmtId="0" fontId="57" fillId="8" borderId="14" xfId="0" applyFont="1" applyFill="1" applyBorder="1" applyAlignment="1">
      <alignment horizontal="center" vertical="center"/>
    </xf>
    <xf numFmtId="0" fontId="57" fillId="8" borderId="105" xfId="0" applyFont="1" applyFill="1" applyBorder="1" applyAlignment="1">
      <alignment horizontal="center" vertical="center"/>
    </xf>
    <xf numFmtId="0" fontId="57" fillId="8" borderId="17" xfId="0" applyFont="1" applyFill="1" applyBorder="1" applyAlignment="1">
      <alignment horizontal="center" vertical="center"/>
    </xf>
    <xf numFmtId="9" fontId="57" fillId="8" borderId="106" xfId="588" applyFont="1" applyFill="1" applyBorder="1" applyAlignment="1">
      <alignment horizontal="center" vertical="center"/>
    </xf>
    <xf numFmtId="0" fontId="57" fillId="8" borderId="107" xfId="0" applyFont="1" applyFill="1" applyBorder="1" applyAlignment="1">
      <alignment horizontal="center" vertical="center"/>
    </xf>
    <xf numFmtId="0" fontId="57" fillId="9" borderId="85" xfId="0" applyFont="1" applyFill="1" applyBorder="1" applyAlignment="1">
      <alignment horizontal="center" vertical="center"/>
    </xf>
    <xf numFmtId="179" fontId="57" fillId="8" borderId="106" xfId="588" applyNumberFormat="1" applyFont="1" applyFill="1" applyBorder="1" applyAlignment="1">
      <alignment horizontal="center" vertical="center"/>
    </xf>
    <xf numFmtId="0" fontId="57" fillId="9" borderId="77" xfId="0" applyFont="1" applyFill="1" applyBorder="1" applyAlignment="1">
      <alignment horizontal="center" vertical="center"/>
    </xf>
    <xf numFmtId="0" fontId="57" fillId="8" borderId="82" xfId="0" applyFont="1" applyFill="1" applyBorder="1" applyAlignment="1">
      <alignment vertical="center"/>
    </xf>
    <xf numFmtId="0" fontId="57" fillId="8" borderId="79" xfId="0" applyFont="1" applyFill="1" applyBorder="1" applyAlignment="1">
      <alignment horizontal="center" vertical="center"/>
    </xf>
    <xf numFmtId="38" fontId="41" fillId="8" borderId="0" xfId="2566" applyFont="1" applyFill="1" applyAlignment="1">
      <alignment vertical="center"/>
    </xf>
    <xf numFmtId="38" fontId="41" fillId="5" borderId="0" xfId="2566" applyFont="1" applyFill="1" applyAlignment="1">
      <alignment vertical="center"/>
    </xf>
    <xf numFmtId="38" fontId="42" fillId="8" borderId="0" xfId="2566" applyFont="1" applyFill="1" applyAlignment="1">
      <alignment vertical="center"/>
    </xf>
    <xf numFmtId="38" fontId="39" fillId="8" borderId="0" xfId="2566" applyFont="1" applyFill="1" applyAlignment="1">
      <alignment horizontal="right" vertical="center"/>
    </xf>
    <xf numFmtId="38" fontId="41" fillId="5" borderId="0" xfId="2566" applyFont="1" applyFill="1" applyAlignment="1">
      <alignment horizontal="right" vertical="center"/>
    </xf>
    <xf numFmtId="38" fontId="42" fillId="8" borderId="0" xfId="2566" applyFont="1" applyFill="1" applyAlignment="1">
      <alignment horizontal="right" vertical="center"/>
    </xf>
    <xf numFmtId="38" fontId="40" fillId="8" borderId="82" xfId="2566" applyFont="1" applyFill="1" applyBorder="1" applyAlignment="1">
      <alignment horizontal="center" vertical="center"/>
    </xf>
    <xf numFmtId="38" fontId="40" fillId="8" borderId="0" xfId="2566" applyFont="1" applyFill="1" applyAlignment="1">
      <alignment horizontal="center" vertical="center"/>
    </xf>
    <xf numFmtId="38" fontId="41" fillId="8" borderId="92" xfId="2566" applyFont="1" applyFill="1" applyBorder="1" applyAlignment="1">
      <alignment horizontal="center" vertical="center" shrinkToFit="1"/>
    </xf>
    <xf numFmtId="38" fontId="41" fillId="8" borderId="85" xfId="2566" applyFont="1" applyFill="1" applyBorder="1" applyAlignment="1">
      <alignment horizontal="center" vertical="center" shrinkToFit="1"/>
    </xf>
    <xf numFmtId="38" fontId="40" fillId="8" borderId="85" xfId="2566" applyFont="1" applyFill="1" applyBorder="1" applyAlignment="1">
      <alignment horizontal="center" vertical="center" shrinkToFit="1"/>
    </xf>
    <xf numFmtId="38" fontId="41" fillId="8" borderId="95" xfId="2566" applyFont="1" applyFill="1" applyBorder="1" applyAlignment="1">
      <alignment horizontal="center" vertical="center" shrinkToFit="1"/>
    </xf>
    <xf numFmtId="38" fontId="41" fillId="8" borderId="96" xfId="2566" applyFont="1" applyFill="1" applyBorder="1" applyAlignment="1">
      <alignment horizontal="center" vertical="center" shrinkToFit="1"/>
    </xf>
    <xf numFmtId="38" fontId="41" fillId="8" borderId="133" xfId="2566" applyFont="1" applyFill="1" applyBorder="1" applyAlignment="1">
      <alignment vertical="center" shrinkToFit="1"/>
    </xf>
    <xf numFmtId="38" fontId="41" fillId="8" borderId="85" xfId="2566" applyFont="1" applyFill="1" applyBorder="1" applyAlignment="1">
      <alignment vertical="center" shrinkToFit="1"/>
    </xf>
    <xf numFmtId="38" fontId="41" fillId="8" borderId="121" xfId="2566" applyFont="1" applyFill="1" applyBorder="1" applyAlignment="1">
      <alignment vertical="center" shrinkToFit="1"/>
    </xf>
    <xf numFmtId="38" fontId="41" fillId="8" borderId="84" xfId="2566" applyFont="1" applyFill="1" applyBorder="1" applyAlignment="1">
      <alignment horizontal="right" vertical="center" shrinkToFit="1"/>
    </xf>
    <xf numFmtId="38" fontId="41" fillId="5" borderId="2" xfId="2566" applyFont="1" applyFill="1" applyBorder="1" applyAlignment="1">
      <alignment horizontal="right" vertical="center" shrinkToFit="1"/>
    </xf>
    <xf numFmtId="38" fontId="41" fillId="5" borderId="131" xfId="2566" applyFont="1" applyFill="1" applyBorder="1" applyAlignment="1">
      <alignment horizontal="right" vertical="center" shrinkToFit="1"/>
    </xf>
    <xf numFmtId="38" fontId="41" fillId="8" borderId="87" xfId="2566" applyFont="1" applyFill="1" applyBorder="1" applyAlignment="1">
      <alignment vertical="center" shrinkToFit="1"/>
    </xf>
    <xf numFmtId="38" fontId="41" fillId="5" borderId="84" xfId="2566" applyFont="1" applyFill="1" applyBorder="1" applyAlignment="1">
      <alignment horizontal="right" vertical="center" shrinkToFit="1"/>
    </xf>
    <xf numFmtId="38" fontId="41" fillId="8" borderId="82" xfId="2566" applyFont="1" applyFill="1" applyBorder="1" applyAlignment="1">
      <alignment horizontal="center" vertical="center" shrinkToFit="1"/>
    </xf>
    <xf numFmtId="38" fontId="41" fillId="8" borderId="0" xfId="2566" applyFont="1" applyFill="1" applyBorder="1" applyAlignment="1">
      <alignment horizontal="center" vertical="center" shrinkToFit="1"/>
    </xf>
    <xf numFmtId="38" fontId="41" fillId="8" borderId="92" xfId="2566" applyFont="1" applyFill="1" applyBorder="1" applyAlignment="1">
      <alignment horizontal="right" vertical="center" shrinkToFit="1"/>
    </xf>
    <xf numFmtId="38" fontId="41" fillId="8" borderId="92" xfId="2566" applyFont="1" applyFill="1" applyBorder="1" applyAlignment="1">
      <alignment vertical="center" shrinkToFit="1"/>
    </xf>
    <xf numFmtId="38" fontId="41" fillId="8" borderId="91" xfId="2566" applyFont="1" applyFill="1" applyBorder="1" applyAlignment="1">
      <alignment vertical="center" shrinkToFit="1"/>
    </xf>
    <xf numFmtId="38" fontId="41" fillId="8" borderId="95" xfId="2566" applyFont="1" applyFill="1" applyBorder="1" applyAlignment="1">
      <alignment vertical="center" shrinkToFit="1"/>
    </xf>
    <xf numFmtId="38" fontId="41" fillId="5" borderId="96" xfId="2566" applyFont="1" applyFill="1" applyBorder="1" applyAlignment="1">
      <alignment vertical="center" shrinkToFit="1"/>
    </xf>
    <xf numFmtId="38" fontId="41" fillId="8" borderId="82" xfId="2566" applyFont="1" applyFill="1" applyBorder="1" applyAlignment="1">
      <alignment vertical="center" shrinkToFit="1"/>
    </xf>
    <xf numFmtId="38" fontId="41" fillId="8" borderId="0" xfId="2566" applyFont="1" applyFill="1" applyBorder="1" applyAlignment="1">
      <alignment vertical="center" shrinkToFit="1"/>
    </xf>
    <xf numFmtId="38" fontId="41" fillId="8" borderId="2" xfId="2566" applyFont="1" applyFill="1" applyBorder="1" applyAlignment="1">
      <alignment vertical="center" shrinkToFit="1"/>
    </xf>
    <xf numFmtId="38" fontId="41" fillId="8" borderId="90" xfId="2566" applyFont="1" applyFill="1" applyBorder="1" applyAlignment="1">
      <alignment vertical="center" shrinkToFit="1"/>
    </xf>
    <xf numFmtId="38" fontId="41" fillId="8" borderId="86" xfId="2566" applyFont="1" applyFill="1" applyBorder="1" applyAlignment="1">
      <alignment vertical="center" shrinkToFit="1"/>
    </xf>
    <xf numFmtId="38" fontId="40" fillId="8" borderId="90" xfId="2566" applyFont="1" applyFill="1" applyBorder="1" applyAlignment="1">
      <alignment horizontal="center" vertical="center" shrinkToFit="1"/>
    </xf>
    <xf numFmtId="38" fontId="40" fillId="8" borderId="8" xfId="2566" applyFont="1" applyFill="1" applyBorder="1" applyAlignment="1">
      <alignment horizontal="center" vertical="center" shrinkToFit="1"/>
    </xf>
    <xf numFmtId="38" fontId="40" fillId="8" borderId="7" xfId="2566" applyFont="1" applyFill="1" applyBorder="1" applyAlignment="1">
      <alignment horizontal="center" vertical="center" shrinkToFit="1"/>
    </xf>
    <xf numFmtId="38" fontId="40" fillId="5" borderId="130" xfId="2566" applyFont="1" applyFill="1" applyBorder="1" applyAlignment="1">
      <alignment horizontal="center" vertical="center" shrinkToFit="1"/>
    </xf>
    <xf numFmtId="179" fontId="40" fillId="5" borderId="130" xfId="595" applyNumberFormat="1" applyFont="1" applyFill="1" applyBorder="1" applyAlignment="1">
      <alignment horizontal="left" vertical="center" shrinkToFit="1"/>
    </xf>
    <xf numFmtId="179" fontId="40" fillId="5" borderId="121" xfId="595" applyNumberFormat="1" applyFont="1" applyFill="1" applyBorder="1" applyAlignment="1">
      <alignment horizontal="left" vertical="center" shrinkToFit="1"/>
    </xf>
    <xf numFmtId="179" fontId="40" fillId="8" borderId="97" xfId="595" applyNumberFormat="1" applyFont="1" applyFill="1" applyBorder="1" applyAlignment="1">
      <alignment horizontal="left" vertical="center" shrinkToFit="1"/>
    </xf>
    <xf numFmtId="9" fontId="40" fillId="8" borderId="97" xfId="595" applyFont="1" applyFill="1" applyBorder="1" applyAlignment="1">
      <alignment horizontal="left" vertical="center" shrinkToFit="1"/>
    </xf>
    <xf numFmtId="38" fontId="40" fillId="8" borderId="82" xfId="2566" applyFont="1" applyFill="1" applyBorder="1" applyAlignment="1">
      <alignment vertical="center"/>
    </xf>
    <xf numFmtId="38" fontId="40" fillId="8" borderId="0" xfId="2566" applyFont="1" applyFill="1" applyBorder="1" applyAlignment="1">
      <alignment vertical="center"/>
    </xf>
    <xf numFmtId="38" fontId="40" fillId="8" borderId="86" xfId="2566" applyFont="1" applyFill="1" applyBorder="1" applyAlignment="1">
      <alignment vertical="center" shrinkToFit="1"/>
    </xf>
    <xf numFmtId="38" fontId="40" fillId="8" borderId="17" xfId="2566" applyFont="1" applyFill="1" applyBorder="1" applyAlignment="1">
      <alignment vertical="center" shrinkToFit="1"/>
    </xf>
    <xf numFmtId="38" fontId="40" fillId="8" borderId="2" xfId="2566" applyFont="1" applyFill="1" applyBorder="1" applyAlignment="1">
      <alignment vertical="center" shrinkToFit="1"/>
    </xf>
    <xf numFmtId="38" fontId="40" fillId="8" borderId="86" xfId="2566" applyFont="1" applyFill="1" applyBorder="1" applyAlignment="1" applyProtection="1">
      <alignment vertical="center" shrinkToFit="1"/>
      <protection locked="0"/>
    </xf>
    <xf numFmtId="38" fontId="40" fillId="8" borderId="84" xfId="2566" applyFont="1" applyFill="1" applyBorder="1" applyAlignment="1" applyProtection="1">
      <alignment vertical="center" shrinkToFit="1"/>
      <protection locked="0"/>
    </xf>
    <xf numFmtId="38" fontId="40" fillId="8" borderId="2" xfId="2566" applyFont="1" applyFill="1" applyBorder="1" applyAlignment="1" applyProtection="1">
      <alignment vertical="center" shrinkToFit="1"/>
      <protection locked="0"/>
    </xf>
    <xf numFmtId="38" fontId="40" fillId="8" borderId="87" xfId="2566" applyFont="1" applyFill="1" applyBorder="1" applyAlignment="1">
      <alignment vertical="center" shrinkToFit="1"/>
    </xf>
    <xf numFmtId="38" fontId="41" fillId="8" borderId="17" xfId="2566" applyFont="1" applyFill="1" applyBorder="1" applyAlignment="1">
      <alignment vertical="center" shrinkToFit="1"/>
    </xf>
    <xf numFmtId="38" fontId="41" fillId="8" borderId="86" xfId="2566" applyFont="1" applyFill="1" applyBorder="1" applyAlignment="1" applyProtection="1">
      <alignment vertical="center" shrinkToFit="1"/>
      <protection locked="0"/>
    </xf>
    <xf numFmtId="38" fontId="41" fillId="8" borderId="84" xfId="2566" applyFont="1" applyFill="1" applyBorder="1" applyAlignment="1" applyProtection="1">
      <alignment vertical="center" shrinkToFit="1"/>
      <protection locked="0"/>
    </xf>
    <xf numFmtId="38" fontId="41" fillId="8" borderId="2" xfId="2566" applyFont="1" applyFill="1" applyBorder="1" applyAlignment="1" applyProtection="1">
      <alignment vertical="center" shrinkToFit="1"/>
      <protection locked="0"/>
    </xf>
    <xf numFmtId="38" fontId="41" fillId="8" borderId="84" xfId="2566" applyFont="1" applyFill="1" applyBorder="1" applyAlignment="1">
      <alignment vertical="center" shrinkToFit="1"/>
    </xf>
    <xf numFmtId="38" fontId="41" fillId="8" borderId="82" xfId="2566" applyFont="1" applyFill="1" applyBorder="1" applyAlignment="1">
      <alignment vertical="center"/>
    </xf>
    <xf numFmtId="38" fontId="41" fillId="8" borderId="0" xfId="2566" applyFont="1" applyFill="1" applyBorder="1" applyAlignment="1">
      <alignment vertical="center"/>
    </xf>
    <xf numFmtId="38" fontId="41" fillId="8" borderId="96" xfId="2566" applyFont="1" applyFill="1" applyBorder="1" applyAlignment="1">
      <alignment vertical="center" shrinkToFit="1"/>
    </xf>
    <xf numFmtId="38" fontId="41" fillId="8" borderId="92" xfId="2566" applyFont="1" applyFill="1" applyBorder="1" applyAlignment="1" applyProtection="1">
      <alignment vertical="center" shrinkToFit="1"/>
      <protection locked="0"/>
    </xf>
    <xf numFmtId="38" fontId="41" fillId="8" borderId="91" xfId="2566" applyFont="1" applyFill="1" applyBorder="1" applyAlignment="1" applyProtection="1">
      <alignment vertical="center" shrinkToFit="1"/>
      <protection locked="0"/>
    </xf>
    <xf numFmtId="38" fontId="41" fillId="8" borderId="85" xfId="2566" applyFont="1" applyFill="1" applyBorder="1" applyAlignment="1" applyProtection="1">
      <alignment vertical="center" shrinkToFit="1"/>
      <protection locked="0"/>
    </xf>
    <xf numFmtId="38" fontId="40" fillId="8" borderId="90" xfId="2566" applyFont="1" applyFill="1" applyBorder="1" applyAlignment="1">
      <alignment vertical="center" shrinkToFit="1"/>
    </xf>
    <xf numFmtId="38" fontId="40" fillId="8" borderId="8" xfId="2566" applyFont="1" applyFill="1" applyBorder="1" applyAlignment="1">
      <alignment vertical="center" shrinkToFit="1"/>
    </xf>
    <xf numFmtId="38" fontId="40" fillId="8" borderId="7" xfId="2566" applyFont="1" applyFill="1" applyBorder="1" applyAlignment="1">
      <alignment vertical="center" shrinkToFit="1"/>
    </xf>
    <xf numFmtId="38" fontId="40" fillId="8" borderId="0" xfId="2566" applyFont="1" applyFill="1" applyBorder="1" applyAlignment="1" applyProtection="1">
      <alignment vertical="center" shrinkToFit="1"/>
      <protection locked="0"/>
    </xf>
    <xf numFmtId="38" fontId="40" fillId="8" borderId="7" xfId="2566" applyFont="1" applyFill="1" applyBorder="1" applyAlignment="1" applyProtection="1">
      <alignment vertical="center" shrinkToFit="1"/>
      <protection locked="0"/>
    </xf>
    <xf numFmtId="38" fontId="40" fillId="8" borderId="133" xfId="2566" applyFont="1" applyFill="1" applyBorder="1" applyAlignment="1">
      <alignment vertical="center" shrinkToFit="1"/>
    </xf>
    <xf numFmtId="38" fontId="40" fillId="8" borderId="121" xfId="2566" applyFont="1" applyFill="1" applyBorder="1" applyAlignment="1">
      <alignment vertical="center" shrinkToFit="1"/>
    </xf>
    <xf numFmtId="38" fontId="40" fillId="8" borderId="130" xfId="2566" applyFont="1" applyFill="1" applyBorder="1" applyAlignment="1">
      <alignment vertical="center" shrinkToFit="1"/>
    </xf>
    <xf numFmtId="38" fontId="40" fillId="8" borderId="130" xfId="2566" applyFont="1" applyFill="1" applyBorder="1" applyAlignment="1" applyProtection="1">
      <alignment vertical="center" shrinkToFit="1"/>
      <protection locked="0"/>
    </xf>
    <xf numFmtId="179" fontId="40" fillId="8" borderId="131" xfId="595" applyNumberFormat="1" applyFont="1" applyFill="1" applyBorder="1" applyAlignment="1">
      <alignment horizontal="left" vertical="center" shrinkToFit="1"/>
    </xf>
    <xf numFmtId="9" fontId="40" fillId="8" borderId="131" xfId="595" applyFont="1" applyFill="1" applyBorder="1" applyAlignment="1">
      <alignment horizontal="left" vertical="center" shrinkToFit="1"/>
    </xf>
    <xf numFmtId="38" fontId="40" fillId="8" borderId="90" xfId="2566" applyFont="1" applyFill="1" applyBorder="1" applyAlignment="1" applyProtection="1">
      <alignment vertical="center" shrinkToFit="1"/>
      <protection locked="0"/>
    </xf>
    <xf numFmtId="38" fontId="40" fillId="8" borderId="84" xfId="2566" applyFont="1" applyFill="1" applyBorder="1" applyAlignment="1">
      <alignment vertical="center" shrinkToFit="1"/>
    </xf>
    <xf numFmtId="38" fontId="41" fillId="8" borderId="130" xfId="2566" applyFont="1" applyFill="1" applyBorder="1" applyAlignment="1">
      <alignment vertical="center" shrinkToFit="1"/>
    </xf>
    <xf numFmtId="38" fontId="41" fillId="5" borderId="133" xfId="2566" applyFont="1" applyFill="1" applyBorder="1" applyAlignment="1" applyProtection="1">
      <alignment vertical="center" shrinkToFit="1"/>
      <protection locked="0"/>
    </xf>
    <xf numFmtId="9" fontId="41" fillId="8" borderId="131" xfId="595" applyFont="1" applyFill="1" applyBorder="1" applyAlignment="1">
      <alignment horizontal="left" vertical="center" shrinkToFit="1"/>
    </xf>
    <xf numFmtId="38" fontId="40" fillId="8" borderId="96" xfId="2566" applyFont="1" applyFill="1" applyBorder="1" applyAlignment="1">
      <alignment horizontal="center" vertical="center" shrinkToFit="1"/>
    </xf>
    <xf numFmtId="38" fontId="41" fillId="8" borderId="17" xfId="2566" applyFont="1" applyFill="1" applyBorder="1" applyAlignment="1">
      <alignment horizontal="center" vertical="center" shrinkToFit="1"/>
    </xf>
    <xf numFmtId="38" fontId="41" fillId="8" borderId="121" xfId="2566" applyFont="1" applyFill="1" applyBorder="1" applyAlignment="1">
      <alignment horizontal="right" vertical="center" shrinkToFit="1"/>
    </xf>
    <xf numFmtId="38" fontId="41" fillId="5" borderId="92" xfId="2566" applyFont="1" applyFill="1" applyBorder="1" applyAlignment="1">
      <alignment vertical="center" shrinkToFit="1"/>
    </xf>
    <xf numFmtId="38" fontId="41" fillId="5" borderId="91" xfId="2566" applyFont="1" applyFill="1" applyBorder="1" applyAlignment="1">
      <alignment vertical="center" shrinkToFit="1"/>
    </xf>
    <xf numFmtId="38" fontId="41" fillId="8" borderId="85" xfId="2566" applyFont="1" applyFill="1" applyBorder="1" applyAlignment="1">
      <alignment horizontal="right" vertical="center" shrinkToFit="1"/>
    </xf>
    <xf numFmtId="38" fontId="41" fillId="8" borderId="96" xfId="2566" applyFont="1" applyFill="1" applyBorder="1" applyAlignment="1">
      <alignment horizontal="right" vertical="center" shrinkToFit="1"/>
    </xf>
    <xf numFmtId="38" fontId="41" fillId="8" borderId="95" xfId="2566" applyFont="1" applyFill="1" applyBorder="1" applyAlignment="1">
      <alignment horizontal="right" vertical="center" shrinkToFit="1"/>
    </xf>
    <xf numFmtId="38" fontId="41" fillId="8" borderId="91" xfId="2566" applyFont="1" applyFill="1" applyBorder="1" applyAlignment="1">
      <alignment horizontal="right" vertical="center" shrinkToFit="1"/>
    </xf>
    <xf numFmtId="38" fontId="41" fillId="5" borderId="85" xfId="2566" applyFont="1" applyFill="1" applyBorder="1" applyAlignment="1">
      <alignment vertical="center" shrinkToFit="1"/>
    </xf>
    <xf numFmtId="38" fontId="41" fillId="8" borderId="131" xfId="2566" applyFont="1" applyFill="1" applyBorder="1" applyAlignment="1">
      <alignment vertical="center" shrinkToFit="1"/>
    </xf>
    <xf numFmtId="38" fontId="41" fillId="8" borderId="90" xfId="2566" applyFont="1" applyFill="1" applyBorder="1" applyAlignment="1">
      <alignment horizontal="right" vertical="center" shrinkToFit="1"/>
    </xf>
    <xf numFmtId="38" fontId="41" fillId="5" borderId="90" xfId="2566" applyFont="1" applyFill="1" applyBorder="1" applyAlignment="1">
      <alignment vertical="center" shrinkToFit="1"/>
    </xf>
    <xf numFmtId="38" fontId="41" fillId="5" borderId="0" xfId="2566" applyFont="1" applyFill="1" applyBorder="1" applyAlignment="1">
      <alignment vertical="center" shrinkToFit="1"/>
    </xf>
    <xf numFmtId="38" fontId="41" fillId="8" borderId="7" xfId="2566" applyFont="1" applyFill="1" applyBorder="1" applyAlignment="1">
      <alignment vertical="center" shrinkToFit="1"/>
    </xf>
    <xf numFmtId="38" fontId="41" fillId="8" borderId="8" xfId="2566" applyFont="1" applyFill="1" applyBorder="1" applyAlignment="1">
      <alignment vertical="center" shrinkToFit="1"/>
    </xf>
    <xf numFmtId="38" fontId="41" fillId="8" borderId="97" xfId="2566" applyFont="1" applyFill="1" applyBorder="1" applyAlignment="1">
      <alignment vertical="center" shrinkToFit="1"/>
    </xf>
    <xf numFmtId="38" fontId="41" fillId="8" borderId="87" xfId="2566" applyFont="1" applyFill="1" applyBorder="1" applyAlignment="1">
      <alignment horizontal="right" vertical="center" shrinkToFit="1"/>
    </xf>
    <xf numFmtId="38" fontId="41" fillId="8" borderId="90" xfId="2566" applyFont="1" applyFill="1" applyBorder="1" applyAlignment="1">
      <alignment horizontal="center" vertical="center" shrinkToFit="1"/>
    </xf>
    <xf numFmtId="38" fontId="41" fillId="8" borderId="8" xfId="2566" applyFont="1" applyFill="1" applyBorder="1" applyAlignment="1">
      <alignment horizontal="center" vertical="center" shrinkToFit="1"/>
    </xf>
    <xf numFmtId="38" fontId="41" fillId="5" borderId="0" xfId="2566" applyFont="1" applyFill="1" applyBorder="1" applyAlignment="1">
      <alignment horizontal="center" vertical="center" shrinkToFit="1"/>
    </xf>
    <xf numFmtId="179" fontId="41" fillId="8" borderId="97" xfId="595" applyNumberFormat="1" applyFont="1" applyFill="1" applyBorder="1" applyAlignment="1">
      <alignment horizontal="left" vertical="center" shrinkToFit="1"/>
    </xf>
    <xf numFmtId="9" fontId="41" fillId="8" borderId="97" xfId="595" applyFont="1" applyFill="1" applyBorder="1" applyAlignment="1">
      <alignment horizontal="left" vertical="center" shrinkToFit="1"/>
    </xf>
    <xf numFmtId="38" fontId="41" fillId="8" borderId="83" xfId="2566" applyFont="1" applyFill="1" applyBorder="1" applyAlignment="1">
      <alignment vertical="center" shrinkToFit="1"/>
    </xf>
    <xf numFmtId="38" fontId="41" fillId="5" borderId="121" xfId="2566" applyFont="1" applyFill="1" applyBorder="1" applyAlignment="1">
      <alignment vertical="center" shrinkToFit="1"/>
    </xf>
    <xf numFmtId="38" fontId="41" fillId="8" borderId="137" xfId="2566" applyFont="1" applyFill="1" applyBorder="1" applyAlignment="1">
      <alignment vertical="center" shrinkToFit="1"/>
    </xf>
    <xf numFmtId="38" fontId="41" fillId="8" borderId="128" xfId="2566" applyFont="1" applyFill="1" applyBorder="1" applyAlignment="1">
      <alignment vertical="center" shrinkToFit="1"/>
    </xf>
    <xf numFmtId="179" fontId="41" fillId="8" borderId="131" xfId="595" applyNumberFormat="1" applyFont="1" applyFill="1" applyBorder="1" applyAlignment="1">
      <alignment horizontal="left" vertical="center" shrinkToFit="1"/>
    </xf>
    <xf numFmtId="38" fontId="41" fillId="8" borderId="90" xfId="2566" applyFont="1" applyFill="1" applyBorder="1" applyAlignment="1" applyProtection="1">
      <alignment vertical="center" shrinkToFit="1"/>
      <protection locked="0"/>
    </xf>
    <xf numFmtId="38" fontId="41" fillId="8" borderId="7" xfId="2566" applyFont="1" applyFill="1" applyBorder="1" applyAlignment="1" applyProtection="1">
      <alignment vertical="center" shrinkToFit="1"/>
      <protection locked="0"/>
    </xf>
    <xf numFmtId="9" fontId="41" fillId="8" borderId="0" xfId="595" applyFont="1" applyFill="1" applyAlignment="1">
      <alignment vertical="center"/>
    </xf>
    <xf numFmtId="38" fontId="41" fillId="8" borderId="0" xfId="2566" applyFont="1" applyFill="1" applyAlignment="1">
      <alignment vertical="center" shrinkToFit="1"/>
    </xf>
    <xf numFmtId="38" fontId="41" fillId="8" borderId="137" xfId="2566" applyFont="1" applyFill="1" applyBorder="1" applyAlignment="1">
      <alignment horizontal="center" vertical="center" shrinkToFit="1"/>
    </xf>
    <xf numFmtId="38" fontId="40" fillId="8" borderId="136" xfId="2566" applyFont="1" applyFill="1" applyBorder="1" applyAlignment="1">
      <alignment horizontal="center" vertical="center" shrinkToFit="1"/>
    </xf>
    <xf numFmtId="38" fontId="40" fillId="9" borderId="144" xfId="2566" applyFont="1" applyFill="1" applyBorder="1" applyAlignment="1">
      <alignment horizontal="center" vertical="center" shrinkToFit="1"/>
    </xf>
    <xf numFmtId="38" fontId="41" fillId="8" borderId="94" xfId="2566" applyFont="1" applyFill="1" applyBorder="1" applyAlignment="1">
      <alignment horizontal="center" vertical="center" shrinkToFit="1"/>
    </xf>
    <xf numFmtId="38" fontId="41" fillId="8" borderId="128" xfId="2566" applyFont="1" applyFill="1" applyBorder="1" applyAlignment="1">
      <alignment horizontal="right" vertical="center" shrinkToFit="1"/>
    </xf>
    <xf numFmtId="38" fontId="41" fillId="8" borderId="124" xfId="2566" applyFont="1" applyFill="1" applyBorder="1" applyAlignment="1">
      <alignment horizontal="right" vertical="center" shrinkToFit="1"/>
    </xf>
    <xf numFmtId="38" fontId="41" fillId="9" borderId="123" xfId="2566" applyFont="1" applyFill="1" applyBorder="1" applyAlignment="1">
      <alignment horizontal="right" vertical="center" shrinkToFit="1"/>
    </xf>
    <xf numFmtId="38" fontId="41" fillId="5" borderId="129" xfId="2566" applyFont="1" applyFill="1" applyBorder="1" applyAlignment="1">
      <alignment horizontal="right" vertical="center" shrinkToFit="1"/>
    </xf>
    <xf numFmtId="38" fontId="41" fillId="5" borderId="0" xfId="2566" applyFont="1" applyFill="1" applyBorder="1" applyAlignment="1">
      <alignment horizontal="right" vertical="center" shrinkToFit="1"/>
    </xf>
    <xf numFmtId="38" fontId="41" fillId="8" borderId="131" xfId="2566" applyFont="1" applyFill="1" applyBorder="1" applyAlignment="1">
      <alignment horizontal="right" vertical="center" shrinkToFit="1"/>
    </xf>
    <xf numFmtId="38" fontId="41" fillId="8" borderId="137" xfId="2566" applyFont="1" applyFill="1" applyBorder="1" applyAlignment="1">
      <alignment horizontal="right" vertical="center" shrinkToFit="1"/>
    </xf>
    <xf numFmtId="38" fontId="41" fillId="8" borderId="136" xfId="2566" applyFont="1" applyFill="1" applyBorder="1" applyAlignment="1">
      <alignment horizontal="right" vertical="center" shrinkToFit="1"/>
    </xf>
    <xf numFmtId="38" fontId="41" fillId="9" borderId="135" xfId="2566" applyFont="1" applyFill="1" applyBorder="1" applyAlignment="1">
      <alignment horizontal="right" vertical="center" shrinkToFit="1"/>
    </xf>
    <xf numFmtId="38" fontId="41" fillId="5" borderId="93" xfId="2566" applyFont="1" applyFill="1" applyBorder="1" applyAlignment="1">
      <alignment horizontal="right" vertical="center" shrinkToFit="1"/>
    </xf>
    <xf numFmtId="38" fontId="41" fillId="8" borderId="124" xfId="2566" applyFont="1" applyFill="1" applyBorder="1" applyAlignment="1">
      <alignment vertical="center" shrinkToFit="1"/>
    </xf>
    <xf numFmtId="38" fontId="41" fillId="9" borderId="123" xfId="2566" applyFont="1" applyFill="1" applyBorder="1" applyAlignment="1">
      <alignment vertical="center" shrinkToFit="1"/>
    </xf>
    <xf numFmtId="38" fontId="41" fillId="5" borderId="89" xfId="2566" applyFont="1" applyFill="1" applyBorder="1" applyAlignment="1">
      <alignment horizontal="right" vertical="center" shrinkToFit="1"/>
    </xf>
    <xf numFmtId="38" fontId="41" fillId="8" borderId="2" xfId="2566" applyFont="1" applyFill="1" applyBorder="1" applyAlignment="1">
      <alignment horizontal="right" vertical="center" shrinkToFit="1"/>
    </xf>
    <xf numFmtId="38" fontId="41" fillId="8" borderId="17" xfId="2566" applyFont="1" applyFill="1" applyBorder="1" applyAlignment="1">
      <alignment horizontal="right" vertical="center" shrinkToFit="1"/>
    </xf>
    <xf numFmtId="38" fontId="41" fillId="8" borderId="89" xfId="2566" applyFont="1" applyFill="1" applyBorder="1" applyAlignment="1">
      <alignment horizontal="right" vertical="center" shrinkToFit="1"/>
    </xf>
    <xf numFmtId="38" fontId="41" fillId="8" borderId="128" xfId="2566" applyFont="1" applyFill="1" applyBorder="1" applyAlignment="1">
      <alignment horizontal="left" vertical="center" shrinkToFit="1"/>
    </xf>
    <xf numFmtId="38" fontId="40" fillId="8" borderId="126" xfId="2566" applyFont="1" applyFill="1" applyBorder="1" applyAlignment="1">
      <alignment horizontal="left" vertical="center" shrinkToFit="1"/>
    </xf>
    <xf numFmtId="38" fontId="40" fillId="9" borderId="125" xfId="2566" applyFont="1" applyFill="1" applyBorder="1" applyAlignment="1">
      <alignment horizontal="left" vertical="center" shrinkToFit="1"/>
    </xf>
    <xf numFmtId="179" fontId="40" fillId="8" borderId="129" xfId="595" applyNumberFormat="1" applyFont="1" applyFill="1" applyBorder="1" applyAlignment="1">
      <alignment horizontal="left" vertical="center" shrinkToFit="1"/>
    </xf>
    <xf numFmtId="38" fontId="41" fillId="8" borderId="82" xfId="2566" applyFont="1" applyFill="1" applyBorder="1" applyAlignment="1">
      <alignment horizontal="left" vertical="center" shrinkToFit="1"/>
    </xf>
    <xf numFmtId="38" fontId="41" fillId="8" borderId="0" xfId="2566" applyFont="1" applyFill="1" applyBorder="1" applyAlignment="1">
      <alignment horizontal="left" vertical="center" shrinkToFit="1"/>
    </xf>
    <xf numFmtId="179" fontId="40" fillId="8" borderId="7" xfId="595" applyNumberFormat="1" applyFont="1" applyFill="1" applyBorder="1" applyAlignment="1">
      <alignment horizontal="left" vertical="center" shrinkToFit="1"/>
    </xf>
    <xf numFmtId="38" fontId="41" fillId="8" borderId="90" xfId="2566" applyFont="1" applyFill="1" applyBorder="1" applyAlignment="1">
      <alignment horizontal="left" vertical="center" shrinkToFit="1"/>
    </xf>
    <xf numFmtId="179" fontId="40" fillId="8" borderId="0" xfId="595" applyNumberFormat="1" applyFont="1" applyFill="1" applyBorder="1" applyAlignment="1">
      <alignment horizontal="left" vertical="center" shrinkToFit="1"/>
    </xf>
    <xf numFmtId="38" fontId="41" fillId="8" borderId="7" xfId="2566" applyFont="1" applyFill="1" applyBorder="1" applyAlignment="1">
      <alignment horizontal="left" vertical="center" shrinkToFit="1"/>
    </xf>
    <xf numFmtId="38" fontId="41" fillId="8" borderId="79" xfId="2566" applyFont="1" applyFill="1" applyBorder="1" applyAlignment="1">
      <alignment horizontal="left" vertical="center" shrinkToFit="1"/>
    </xf>
    <xf numFmtId="38" fontId="40" fillId="5" borderId="7" xfId="2566" applyFont="1" applyFill="1" applyBorder="1" applyAlignment="1">
      <alignment horizontal="left" vertical="center" shrinkToFit="1"/>
    </xf>
    <xf numFmtId="38" fontId="41" fillId="8" borderId="82" xfId="2566" applyFont="1" applyFill="1" applyBorder="1" applyAlignment="1">
      <alignment horizontal="left" vertical="center"/>
    </xf>
    <xf numFmtId="38" fontId="41" fillId="8" borderId="0" xfId="2566" applyFont="1" applyFill="1" applyBorder="1" applyAlignment="1">
      <alignment horizontal="left" vertical="center"/>
    </xf>
    <xf numFmtId="38" fontId="40" fillId="8" borderId="83" xfId="2566" applyFont="1" applyFill="1" applyBorder="1" applyAlignment="1">
      <alignment vertical="center" shrinkToFit="1"/>
    </xf>
    <xf numFmtId="38" fontId="40" fillId="11" borderId="134" xfId="2566" applyFont="1" applyFill="1" applyBorder="1" applyAlignment="1">
      <alignment vertical="center" shrinkToFit="1"/>
    </xf>
    <xf numFmtId="38" fontId="40" fillId="9" borderId="122" xfId="2566" applyFont="1" applyFill="1" applyBorder="1" applyAlignment="1">
      <alignment vertical="center" shrinkToFit="1"/>
    </xf>
    <xf numFmtId="38" fontId="40" fillId="8" borderId="88" xfId="2566" applyFont="1" applyFill="1" applyBorder="1" applyAlignment="1">
      <alignment vertical="center" shrinkToFit="1"/>
    </xf>
    <xf numFmtId="38" fontId="40" fillId="8" borderId="83" xfId="2566" applyFont="1" applyFill="1" applyBorder="1" applyAlignment="1" applyProtection="1">
      <alignment vertical="center" shrinkToFit="1"/>
      <protection locked="0"/>
    </xf>
    <xf numFmtId="38" fontId="41" fillId="5" borderId="77" xfId="2566" applyFont="1" applyFill="1" applyBorder="1" applyAlignment="1" applyProtection="1">
      <alignment vertical="center" shrinkToFit="1"/>
      <protection locked="0"/>
    </xf>
    <xf numFmtId="38" fontId="41" fillId="11" borderId="136" xfId="2566" applyFont="1" applyFill="1" applyBorder="1" applyAlignment="1">
      <alignment vertical="center" shrinkToFit="1"/>
    </xf>
    <xf numFmtId="38" fontId="41" fillId="9" borderId="135" xfId="2566" applyFont="1" applyFill="1" applyBorder="1" applyAlignment="1">
      <alignment vertical="center" shrinkToFit="1"/>
    </xf>
    <xf numFmtId="38" fontId="41" fillId="8" borderId="94" xfId="2566" applyFont="1" applyFill="1" applyBorder="1" applyAlignment="1">
      <alignment vertical="center" shrinkToFit="1"/>
    </xf>
    <xf numFmtId="38" fontId="40" fillId="8" borderId="124" xfId="2566" applyFont="1" applyFill="1" applyBorder="1" applyAlignment="1">
      <alignment vertical="center" shrinkToFit="1"/>
    </xf>
    <xf numFmtId="38" fontId="40" fillId="9" borderId="123" xfId="2566" applyFont="1" applyFill="1" applyBorder="1" applyAlignment="1">
      <alignment vertical="center" shrinkToFit="1"/>
    </xf>
    <xf numFmtId="179" fontId="40" fillId="8" borderId="89" xfId="595" applyNumberFormat="1" applyFont="1" applyFill="1" applyBorder="1" applyAlignment="1">
      <alignment horizontal="left" vertical="center" shrinkToFit="1"/>
    </xf>
    <xf numFmtId="38" fontId="41" fillId="8" borderId="82" xfId="2566" applyFont="1" applyFill="1" applyBorder="1" applyAlignment="1" applyProtection="1">
      <alignment vertical="center" shrinkToFit="1"/>
      <protection locked="0"/>
    </xf>
    <xf numFmtId="38" fontId="41" fillId="8" borderId="0" xfId="2566" applyFont="1" applyFill="1" applyBorder="1" applyAlignment="1" applyProtection="1">
      <alignment vertical="center" shrinkToFit="1"/>
      <protection locked="0"/>
    </xf>
    <xf numFmtId="9" fontId="40" fillId="8" borderId="89" xfId="595" applyFont="1" applyFill="1" applyBorder="1" applyAlignment="1">
      <alignment horizontal="left" vertical="center" shrinkToFit="1"/>
    </xf>
    <xf numFmtId="38" fontId="41" fillId="5" borderId="79" xfId="2566" applyFont="1" applyFill="1" applyBorder="1" applyAlignment="1" applyProtection="1">
      <alignment vertical="center" shrinkToFit="1"/>
      <protection locked="0"/>
    </xf>
    <xf numFmtId="38" fontId="43" fillId="8" borderId="134" xfId="2566" applyFont="1" applyFill="1" applyBorder="1" applyAlignment="1">
      <alignment vertical="center" shrinkToFit="1"/>
    </xf>
    <xf numFmtId="38" fontId="43" fillId="9" borderId="122" xfId="2566" applyFont="1" applyFill="1" applyBorder="1" applyAlignment="1">
      <alignment vertical="center" shrinkToFit="1"/>
    </xf>
    <xf numFmtId="38" fontId="41" fillId="8" borderId="126" xfId="2566" applyFont="1" applyFill="1" applyBorder="1" applyAlignment="1">
      <alignment horizontal="left" vertical="center" shrinkToFit="1"/>
    </xf>
    <xf numFmtId="38" fontId="41" fillId="9" borderId="125" xfId="2566" applyFont="1" applyFill="1" applyBorder="1" applyAlignment="1">
      <alignment horizontal="left" vertical="center" shrinkToFit="1"/>
    </xf>
    <xf numFmtId="38" fontId="41" fillId="8" borderId="129" xfId="2566" applyFont="1" applyFill="1" applyBorder="1" applyAlignment="1">
      <alignment horizontal="left" vertical="center" shrinkToFit="1"/>
    </xf>
    <xf numFmtId="38" fontId="41" fillId="5" borderId="130" xfId="2566" applyFont="1" applyFill="1" applyBorder="1" applyAlignment="1" applyProtection="1">
      <alignment horizontal="left" vertical="center" shrinkToFit="1"/>
      <protection locked="0"/>
    </xf>
    <xf numFmtId="38" fontId="41" fillId="8" borderId="133" xfId="2566" applyFont="1" applyFill="1" applyBorder="1" applyAlignment="1" applyProtection="1">
      <alignment horizontal="left" vertical="center" shrinkToFit="1"/>
      <protection locked="0"/>
    </xf>
    <xf numFmtId="38" fontId="41" fillId="8" borderId="79" xfId="2566" applyFont="1" applyFill="1" applyBorder="1" applyAlignment="1" applyProtection="1">
      <alignment horizontal="left" vertical="center" shrinkToFit="1"/>
      <protection locked="0"/>
    </xf>
    <xf numFmtId="38" fontId="41" fillId="8" borderId="124" xfId="2566" applyFont="1" applyFill="1" applyBorder="1" applyAlignment="1">
      <alignment horizontal="left" vertical="center" shrinkToFit="1"/>
    </xf>
    <xf numFmtId="38" fontId="41" fillId="9" borderId="123" xfId="2566" applyFont="1" applyFill="1" applyBorder="1" applyAlignment="1">
      <alignment horizontal="left" vertical="center" shrinkToFit="1"/>
    </xf>
    <xf numFmtId="38" fontId="41" fillId="8" borderId="89" xfId="2566" applyFont="1" applyFill="1" applyBorder="1" applyAlignment="1">
      <alignment horizontal="left" vertical="center" shrinkToFit="1"/>
    </xf>
    <xf numFmtId="38" fontId="41" fillId="8" borderId="0" xfId="2566" applyFont="1" applyFill="1" applyBorder="1" applyAlignment="1" applyProtection="1">
      <alignment horizontal="left" vertical="center" shrinkToFit="1"/>
      <protection locked="0"/>
    </xf>
    <xf numFmtId="38" fontId="41" fillId="8" borderId="90" xfId="2566" applyFont="1" applyFill="1" applyBorder="1" applyAlignment="1" applyProtection="1">
      <alignment horizontal="left" vertical="center" shrinkToFit="1"/>
      <protection locked="0"/>
    </xf>
    <xf numFmtId="38" fontId="41" fillId="8" borderId="134" xfId="2566" applyFont="1" applyFill="1" applyBorder="1" applyAlignment="1">
      <alignment vertical="center" shrinkToFit="1"/>
    </xf>
    <xf numFmtId="38" fontId="41" fillId="9" borderId="122" xfId="2566" applyFont="1" applyFill="1" applyBorder="1" applyAlignment="1">
      <alignment vertical="center" shrinkToFit="1"/>
    </xf>
    <xf numFmtId="38" fontId="41" fillId="8" borderId="88" xfId="2566" applyFont="1" applyFill="1" applyBorder="1" applyAlignment="1">
      <alignment vertical="center" shrinkToFit="1"/>
    </xf>
    <xf numFmtId="38" fontId="41" fillId="8" borderId="83" xfId="2566" applyFont="1" applyFill="1" applyBorder="1" applyAlignment="1" applyProtection="1">
      <alignment vertical="center" shrinkToFit="1"/>
      <protection locked="0"/>
    </xf>
    <xf numFmtId="38" fontId="41" fillId="8" borderId="94" xfId="2566" applyFont="1" applyFill="1" applyBorder="1" applyAlignment="1">
      <alignment horizontal="right" vertical="center" shrinkToFit="1"/>
    </xf>
    <xf numFmtId="38" fontId="41" fillId="8" borderId="86" xfId="2566" applyFont="1" applyFill="1" applyBorder="1" applyAlignment="1" applyProtection="1">
      <alignment horizontal="right" vertical="center" shrinkToFit="1"/>
      <protection locked="0"/>
    </xf>
    <xf numFmtId="38" fontId="41" fillId="8" borderId="2" xfId="2566" applyFont="1" applyFill="1" applyBorder="1" applyAlignment="1" applyProtection="1">
      <alignment horizontal="right" vertical="center" shrinkToFit="1"/>
      <protection locked="0"/>
    </xf>
    <xf numFmtId="38" fontId="41" fillId="0" borderId="77" xfId="2566" applyFont="1" applyFill="1" applyBorder="1" applyAlignment="1" applyProtection="1">
      <alignment horizontal="right" vertical="center" shrinkToFit="1"/>
      <protection locked="0"/>
    </xf>
    <xf numFmtId="38" fontId="41" fillId="8" borderId="0" xfId="2566" applyFont="1" applyFill="1" applyBorder="1" applyAlignment="1">
      <alignment horizontal="right" vertical="center"/>
    </xf>
    <xf numFmtId="38" fontId="41" fillId="7" borderId="0" xfId="2566" applyFont="1" applyFill="1" applyAlignment="1">
      <alignment horizontal="right" vertical="center"/>
    </xf>
    <xf numFmtId="38" fontId="41" fillId="8" borderId="130" xfId="2566" applyFont="1" applyFill="1" applyBorder="1" applyAlignment="1" applyProtection="1">
      <alignment horizontal="left" vertical="center" shrinkToFit="1"/>
      <protection locked="0"/>
    </xf>
    <xf numFmtId="38" fontId="41" fillId="8" borderId="130" xfId="2566" applyFont="1" applyFill="1" applyBorder="1" applyAlignment="1">
      <alignment horizontal="left" vertical="center" shrinkToFit="1"/>
    </xf>
    <xf numFmtId="38" fontId="41" fillId="8" borderId="121" xfId="2566" applyFont="1" applyFill="1" applyBorder="1" applyAlignment="1">
      <alignment horizontal="left" vertical="center" shrinkToFit="1"/>
    </xf>
    <xf numFmtId="38" fontId="41" fillId="8" borderId="131" xfId="2566" applyFont="1" applyFill="1" applyBorder="1" applyAlignment="1">
      <alignment horizontal="left" vertical="center" shrinkToFit="1"/>
    </xf>
    <xf numFmtId="38" fontId="41" fillId="8" borderId="97" xfId="2566" applyFont="1" applyFill="1" applyBorder="1" applyAlignment="1">
      <alignment horizontal="left" vertical="center" shrinkToFit="1"/>
    </xf>
    <xf numFmtId="38" fontId="40" fillId="8" borderId="134" xfId="2566" applyFont="1" applyFill="1" applyBorder="1" applyAlignment="1">
      <alignment vertical="center" shrinkToFit="1"/>
    </xf>
    <xf numFmtId="38" fontId="41" fillId="5" borderId="131" xfId="2566" applyFont="1" applyFill="1" applyBorder="1" applyAlignment="1">
      <alignment horizontal="left" vertical="center" shrinkToFit="1"/>
    </xf>
    <xf numFmtId="38" fontId="40" fillId="5" borderId="7" xfId="2566" applyFont="1" applyFill="1" applyBorder="1" applyAlignment="1" applyProtection="1">
      <alignment horizontal="left" vertical="center" shrinkToFit="1"/>
      <protection locked="0"/>
    </xf>
    <xf numFmtId="38" fontId="41" fillId="8" borderId="8" xfId="2566" applyFont="1" applyFill="1" applyBorder="1" applyAlignment="1">
      <alignment horizontal="left" vertical="center" shrinkToFit="1"/>
    </xf>
    <xf numFmtId="38" fontId="41" fillId="8" borderId="89" xfId="2566" applyFont="1" applyFill="1" applyBorder="1" applyAlignment="1">
      <alignment vertical="center" shrinkToFit="1"/>
    </xf>
    <xf numFmtId="38" fontId="40" fillId="5" borderId="130" xfId="2566" applyFont="1" applyFill="1" applyBorder="1" applyAlignment="1" applyProtection="1">
      <alignment horizontal="left" vertical="center" shrinkToFit="1"/>
      <protection locked="0"/>
    </xf>
    <xf numFmtId="38" fontId="43" fillId="8" borderId="124" xfId="2566" applyFont="1" applyFill="1" applyBorder="1" applyAlignment="1">
      <alignment horizontal="left" vertical="center" shrinkToFit="1"/>
    </xf>
    <xf numFmtId="38" fontId="43" fillId="9" borderId="123" xfId="2566" applyFont="1" applyFill="1" applyBorder="1" applyAlignment="1">
      <alignment horizontal="left" vertical="center" shrinkToFit="1"/>
    </xf>
    <xf numFmtId="9" fontId="41" fillId="8" borderId="89" xfId="595" applyFont="1" applyFill="1" applyBorder="1" applyAlignment="1">
      <alignment horizontal="left" vertical="center" shrinkToFit="1"/>
    </xf>
    <xf numFmtId="38" fontId="40" fillId="8" borderId="126" xfId="2566" applyFont="1" applyFill="1" applyBorder="1" applyAlignment="1">
      <alignment vertical="center" shrinkToFit="1"/>
    </xf>
    <xf numFmtId="38" fontId="40" fillId="9" borderId="125" xfId="2566" applyFont="1" applyFill="1" applyBorder="1" applyAlignment="1">
      <alignment vertical="center" shrinkToFit="1"/>
    </xf>
    <xf numFmtId="38" fontId="41" fillId="5" borderId="79" xfId="2566" applyFont="1" applyFill="1" applyBorder="1" applyAlignment="1">
      <alignment vertical="center" shrinkToFit="1"/>
    </xf>
    <xf numFmtId="179" fontId="41" fillId="7" borderId="0" xfId="595" applyNumberFormat="1" applyFont="1" applyFill="1" applyBorder="1" applyAlignment="1">
      <alignment horizontal="left" vertical="center"/>
    </xf>
    <xf numFmtId="38" fontId="41" fillId="7" borderId="0" xfId="2566" applyFont="1" applyFill="1" applyBorder="1" applyAlignment="1">
      <alignment horizontal="left" vertical="center"/>
    </xf>
    <xf numFmtId="179" fontId="40" fillId="8" borderId="8" xfId="595" applyNumberFormat="1" applyFont="1" applyFill="1" applyBorder="1" applyAlignment="1">
      <alignment horizontal="left" vertical="center" shrinkToFit="1"/>
    </xf>
    <xf numFmtId="38" fontId="40" fillId="9" borderId="146" xfId="2566" applyFont="1" applyFill="1" applyBorder="1" applyAlignment="1">
      <alignment vertical="center" shrinkToFit="1"/>
    </xf>
    <xf numFmtId="38" fontId="41" fillId="8" borderId="83" xfId="2566" applyFont="1" applyFill="1" applyBorder="1" applyAlignment="1">
      <alignment horizontal="center" vertical="center" shrinkToFit="1"/>
    </xf>
    <xf numFmtId="38" fontId="41" fillId="8" borderId="88" xfId="2566" applyFont="1" applyFill="1" applyBorder="1" applyAlignment="1">
      <alignment horizontal="center" vertical="center" shrinkToFit="1"/>
    </xf>
    <xf numFmtId="38" fontId="41" fillId="8" borderId="126" xfId="2566" applyFont="1" applyFill="1" applyBorder="1" applyAlignment="1">
      <alignment horizontal="right" vertical="center" shrinkToFit="1"/>
    </xf>
    <xf numFmtId="38" fontId="41" fillId="9" borderId="125" xfId="2566" applyFont="1" applyFill="1" applyBorder="1" applyAlignment="1">
      <alignment horizontal="right" vertical="center" shrinkToFit="1"/>
    </xf>
    <xf numFmtId="38" fontId="41" fillId="8" borderId="129" xfId="2566" applyFont="1" applyFill="1" applyBorder="1" applyAlignment="1">
      <alignment vertical="center" shrinkToFit="1"/>
    </xf>
    <xf numFmtId="38" fontId="41" fillId="5" borderId="77" xfId="2566" applyFont="1" applyFill="1" applyBorder="1" applyAlignment="1" applyProtection="1">
      <alignment horizontal="right" vertical="center" shrinkToFit="1"/>
      <protection locked="0"/>
    </xf>
    <xf numFmtId="38" fontId="41" fillId="8" borderId="82" xfId="2566" applyFont="1" applyFill="1" applyBorder="1" applyAlignment="1">
      <alignment horizontal="right" vertical="center" shrinkToFit="1"/>
    </xf>
    <xf numFmtId="38" fontId="41" fillId="8" borderId="0" xfId="2566" applyFont="1" applyFill="1" applyBorder="1" applyAlignment="1">
      <alignment horizontal="right" vertical="center" shrinkToFit="1"/>
    </xf>
    <xf numFmtId="38" fontId="41" fillId="8" borderId="126" xfId="2566" applyFont="1" applyFill="1" applyBorder="1" applyAlignment="1">
      <alignment vertical="center" shrinkToFit="1"/>
    </xf>
    <xf numFmtId="38" fontId="41" fillId="9" borderId="125" xfId="2566" applyFont="1" applyFill="1" applyBorder="1" applyAlignment="1">
      <alignment vertical="center" shrinkToFit="1"/>
    </xf>
    <xf numFmtId="9" fontId="41" fillId="8" borderId="129" xfId="595" applyFont="1" applyFill="1" applyBorder="1" applyAlignment="1">
      <alignment horizontal="left" vertical="center" shrinkToFit="1"/>
    </xf>
    <xf numFmtId="38" fontId="40" fillId="8" borderId="7" xfId="2566" applyFont="1" applyFill="1" applyBorder="1" applyAlignment="1">
      <alignment horizontal="left" vertical="center" shrinkToFit="1"/>
    </xf>
    <xf numFmtId="38" fontId="41" fillId="8" borderId="0" xfId="2566" applyFont="1" applyFill="1" applyAlignment="1">
      <alignment horizontal="left" vertical="center"/>
    </xf>
    <xf numFmtId="38" fontId="41" fillId="8" borderId="136" xfId="2566" applyFont="1" applyFill="1" applyBorder="1" applyAlignment="1">
      <alignment vertical="center" shrinkToFit="1"/>
    </xf>
    <xf numFmtId="38" fontId="41" fillId="8" borderId="93" xfId="2566" applyFont="1" applyFill="1" applyBorder="1" applyAlignment="1">
      <alignment vertical="center" shrinkToFit="1"/>
    </xf>
    <xf numFmtId="38" fontId="41" fillId="5" borderId="79" xfId="2566" applyFont="1" applyFill="1" applyBorder="1" applyAlignment="1" applyProtection="1">
      <alignment horizontal="right" vertical="center" shrinkToFit="1"/>
      <protection locked="0"/>
    </xf>
    <xf numFmtId="38" fontId="43" fillId="8" borderId="126" xfId="2566" applyFont="1" applyFill="1" applyBorder="1" applyAlignment="1">
      <alignment horizontal="left" vertical="center" shrinkToFit="1"/>
    </xf>
    <xf numFmtId="38" fontId="43" fillId="9" borderId="125" xfId="2566" applyFont="1" applyFill="1" applyBorder="1" applyAlignment="1">
      <alignment horizontal="left" vertical="center" shrinkToFit="1"/>
    </xf>
    <xf numFmtId="38" fontId="40" fillId="8" borderId="130" xfId="2566" applyFont="1" applyFill="1" applyBorder="1" applyAlignment="1">
      <alignment horizontal="center" vertical="center" shrinkToFit="1"/>
    </xf>
    <xf numFmtId="38" fontId="41" fillId="7" borderId="90" xfId="2566" applyFont="1" applyFill="1" applyBorder="1" applyAlignment="1" applyProtection="1">
      <alignment horizontal="left" vertical="center" shrinkToFit="1"/>
      <protection locked="0"/>
    </xf>
    <xf numFmtId="38" fontId="41" fillId="7" borderId="79" xfId="2566" applyFont="1" applyFill="1" applyBorder="1" applyAlignment="1" applyProtection="1">
      <alignment horizontal="left" vertical="center" shrinkToFit="1"/>
      <protection locked="0"/>
    </xf>
    <xf numFmtId="38" fontId="40" fillId="7" borderId="7" xfId="2566" applyFont="1" applyFill="1" applyBorder="1" applyAlignment="1" applyProtection="1">
      <alignment horizontal="left" vertical="center" shrinkToFit="1"/>
      <protection locked="0"/>
    </xf>
    <xf numFmtId="38" fontId="41" fillId="8" borderId="121" xfId="2566" applyFont="1" applyFill="1" applyBorder="1" applyAlignment="1" applyProtection="1">
      <alignment horizontal="left" vertical="center" shrinkToFit="1"/>
      <protection locked="0"/>
    </xf>
    <xf numFmtId="38" fontId="41" fillId="8" borderId="132" xfId="2566" applyFont="1" applyFill="1" applyBorder="1" applyAlignment="1">
      <alignment horizontal="left" vertical="center" shrinkToFit="1"/>
    </xf>
    <xf numFmtId="38" fontId="41" fillId="0" borderId="2" xfId="2566" applyFont="1" applyFill="1" applyBorder="1" applyAlignment="1" applyProtection="1">
      <alignment horizontal="right" vertical="center" shrinkToFit="1"/>
      <protection locked="0"/>
    </xf>
    <xf numFmtId="38" fontId="41" fillId="0" borderId="2" xfId="2566" applyFont="1" applyFill="1" applyBorder="1" applyAlignment="1">
      <alignment horizontal="right" vertical="center" shrinkToFit="1"/>
    </xf>
    <xf numFmtId="38" fontId="41" fillId="5" borderId="97" xfId="2566" applyFont="1" applyFill="1" applyBorder="1" applyAlignment="1" applyProtection="1">
      <alignment horizontal="left" vertical="center" shrinkToFit="1"/>
      <protection locked="0"/>
    </xf>
    <xf numFmtId="38" fontId="41" fillId="8" borderId="8" xfId="2566" applyFont="1" applyFill="1" applyBorder="1" applyAlignment="1" applyProtection="1">
      <alignment vertical="center" shrinkToFit="1"/>
      <protection locked="0"/>
    </xf>
    <xf numFmtId="38" fontId="41" fillId="8" borderId="77" xfId="2566" applyFont="1" applyFill="1" applyBorder="1" applyAlignment="1" applyProtection="1">
      <alignment vertical="center" shrinkToFit="1"/>
      <protection locked="0"/>
    </xf>
    <xf numFmtId="38" fontId="41" fillId="8" borderId="79" xfId="2566" applyFont="1" applyFill="1" applyBorder="1" applyAlignment="1" applyProtection="1">
      <alignment vertical="center" shrinkToFit="1"/>
      <protection locked="0"/>
    </xf>
    <xf numFmtId="38" fontId="40" fillId="8" borderId="77" xfId="2566" applyFont="1" applyFill="1" applyBorder="1" applyAlignment="1">
      <alignment vertical="center" shrinkToFit="1"/>
    </xf>
    <xf numFmtId="38" fontId="41" fillId="8" borderId="133" xfId="2566" applyFont="1" applyFill="1" applyBorder="1" applyAlignment="1" applyProtection="1">
      <alignment vertical="center" shrinkToFit="1"/>
      <protection locked="0"/>
    </xf>
    <xf numFmtId="179" fontId="41" fillId="8" borderId="128" xfId="595" applyNumberFormat="1" applyFont="1" applyFill="1" applyBorder="1" applyAlignment="1">
      <alignment horizontal="left" vertical="center" shrinkToFit="1"/>
    </xf>
    <xf numFmtId="179" fontId="41" fillId="8" borderId="126" xfId="595" applyNumberFormat="1" applyFont="1" applyFill="1" applyBorder="1" applyAlignment="1">
      <alignment horizontal="left" vertical="center" shrinkToFit="1"/>
    </xf>
    <xf numFmtId="179" fontId="41" fillId="9" borderId="125" xfId="595" applyNumberFormat="1" applyFont="1" applyFill="1" applyBorder="1" applyAlignment="1">
      <alignment horizontal="left" vertical="center" shrinkToFit="1"/>
    </xf>
    <xf numFmtId="179" fontId="41" fillId="8" borderId="129" xfId="595" applyNumberFormat="1" applyFont="1" applyFill="1" applyBorder="1" applyAlignment="1">
      <alignment horizontal="left" vertical="center" shrinkToFit="1"/>
    </xf>
    <xf numFmtId="179" fontId="41" fillId="8" borderId="130" xfId="595" applyNumberFormat="1" applyFont="1" applyFill="1" applyBorder="1" applyAlignment="1">
      <alignment horizontal="left" vertical="center" shrinkToFit="1"/>
    </xf>
    <xf numFmtId="179" fontId="41" fillId="8" borderId="121" xfId="595" applyNumberFormat="1" applyFont="1" applyFill="1" applyBorder="1" applyAlignment="1">
      <alignment horizontal="left" vertical="center" shrinkToFit="1"/>
    </xf>
    <xf numFmtId="179" fontId="41" fillId="8" borderId="133" xfId="595" applyNumberFormat="1" applyFont="1" applyFill="1" applyBorder="1" applyAlignment="1">
      <alignment horizontal="left" vertical="center" shrinkToFit="1"/>
    </xf>
    <xf numFmtId="9" fontId="41" fillId="8" borderId="8" xfId="595" applyFont="1" applyFill="1" applyBorder="1" applyAlignment="1">
      <alignment horizontal="left" vertical="center" shrinkToFit="1"/>
    </xf>
    <xf numFmtId="179" fontId="41" fillId="8" borderId="82" xfId="595" applyNumberFormat="1" applyFont="1" applyFill="1" applyBorder="1" applyAlignment="1">
      <alignment horizontal="left" vertical="center" shrinkToFit="1"/>
    </xf>
    <xf numFmtId="179" fontId="41" fillId="8" borderId="0" xfId="595" applyNumberFormat="1" applyFont="1" applyFill="1" applyBorder="1" applyAlignment="1">
      <alignment horizontal="left" vertical="center" shrinkToFit="1"/>
    </xf>
    <xf numFmtId="179" fontId="41" fillId="8" borderId="0" xfId="595" applyNumberFormat="1" applyFont="1" applyFill="1" applyBorder="1" applyAlignment="1">
      <alignment horizontal="left" vertical="center"/>
    </xf>
    <xf numFmtId="38" fontId="41" fillId="8" borderId="77" xfId="2566" applyFont="1" applyFill="1" applyBorder="1" applyAlignment="1">
      <alignment vertical="center" shrinkToFit="1"/>
    </xf>
    <xf numFmtId="179" fontId="40" fillId="8" borderId="128" xfId="595" applyNumberFormat="1" applyFont="1" applyFill="1" applyBorder="1" applyAlignment="1">
      <alignment horizontal="left" vertical="center" shrinkToFit="1"/>
    </xf>
    <xf numFmtId="179" fontId="40" fillId="8" borderId="126" xfId="595" applyNumberFormat="1" applyFont="1" applyFill="1" applyBorder="1" applyAlignment="1">
      <alignment horizontal="left" vertical="center" shrinkToFit="1"/>
    </xf>
    <xf numFmtId="179" fontId="40" fillId="9" borderId="125" xfId="595" applyNumberFormat="1" applyFont="1" applyFill="1" applyBorder="1" applyAlignment="1">
      <alignment horizontal="left" vertical="center" shrinkToFit="1"/>
    </xf>
    <xf numFmtId="179" fontId="40" fillId="8" borderId="128" xfId="595" applyNumberFormat="1" applyFont="1" applyFill="1" applyBorder="1" applyAlignment="1" applyProtection="1">
      <alignment horizontal="left" vertical="center" shrinkToFit="1"/>
      <protection locked="0"/>
    </xf>
    <xf numFmtId="179" fontId="40" fillId="8" borderId="130" xfId="595" applyNumberFormat="1" applyFont="1" applyFill="1" applyBorder="1" applyAlignment="1">
      <alignment horizontal="left" vertical="center" shrinkToFit="1"/>
    </xf>
    <xf numFmtId="179" fontId="40" fillId="8" borderId="121" xfId="595" applyNumberFormat="1" applyFont="1" applyFill="1" applyBorder="1" applyAlignment="1">
      <alignment horizontal="left" vertical="center" shrinkToFit="1"/>
    </xf>
    <xf numFmtId="179" fontId="40" fillId="8" borderId="133" xfId="595" applyNumberFormat="1" applyFont="1" applyFill="1" applyBorder="1" applyAlignment="1" applyProtection="1">
      <alignment horizontal="left" vertical="center" shrinkToFit="1"/>
      <protection locked="0"/>
    </xf>
    <xf numFmtId="179" fontId="40" fillId="8" borderId="130" xfId="595" applyNumberFormat="1" applyFont="1" applyFill="1" applyBorder="1" applyAlignment="1" applyProtection="1">
      <alignment horizontal="left" vertical="center" shrinkToFit="1"/>
      <protection locked="0"/>
    </xf>
    <xf numFmtId="179" fontId="40" fillId="8" borderId="79" xfId="595" applyNumberFormat="1" applyFont="1" applyFill="1" applyBorder="1" applyAlignment="1" applyProtection="1">
      <alignment horizontal="left" vertical="center" shrinkToFit="1"/>
      <protection locked="0"/>
    </xf>
    <xf numFmtId="38" fontId="40" fillId="8" borderId="82" xfId="2566" applyFont="1" applyFill="1" applyBorder="1" applyAlignment="1">
      <alignment horizontal="left" vertical="center"/>
    </xf>
    <xf numFmtId="38" fontId="40" fillId="8" borderId="0" xfId="2566" applyFont="1" applyFill="1" applyBorder="1" applyAlignment="1">
      <alignment horizontal="left" vertical="center"/>
    </xf>
    <xf numFmtId="38" fontId="40" fillId="8" borderId="0" xfId="2566" applyFont="1" applyFill="1" applyAlignment="1">
      <alignment horizontal="left" vertical="center"/>
    </xf>
    <xf numFmtId="38" fontId="40" fillId="5" borderId="77" xfId="2566" applyFont="1" applyFill="1" applyBorder="1" applyAlignment="1" applyProtection="1">
      <alignment horizontal="right" vertical="center" shrinkToFit="1"/>
      <protection locked="0"/>
    </xf>
    <xf numFmtId="179" fontId="41" fillId="8" borderId="124" xfId="595" applyNumberFormat="1" applyFont="1" applyFill="1" applyBorder="1" applyAlignment="1">
      <alignment horizontal="left" vertical="center" shrinkToFit="1"/>
    </xf>
    <xf numFmtId="179" fontId="41" fillId="9" borderId="123" xfId="595" applyNumberFormat="1" applyFont="1" applyFill="1" applyBorder="1" applyAlignment="1">
      <alignment horizontal="left" vertical="center" shrinkToFit="1"/>
    </xf>
    <xf numFmtId="179" fontId="41" fillId="8" borderId="79" xfId="595" applyNumberFormat="1" applyFont="1" applyFill="1" applyBorder="1" applyAlignment="1">
      <alignment horizontal="left" vertical="center" shrinkToFit="1"/>
    </xf>
    <xf numFmtId="179" fontId="41" fillId="8" borderId="90" xfId="595" applyNumberFormat="1" applyFont="1" applyFill="1" applyBorder="1" applyAlignment="1">
      <alignment horizontal="left" vertical="center" shrinkToFit="1"/>
    </xf>
    <xf numFmtId="179" fontId="41" fillId="8" borderId="7" xfId="595" applyNumberFormat="1" applyFont="1" applyFill="1" applyBorder="1" applyAlignment="1">
      <alignment horizontal="left" vertical="center" shrinkToFit="1"/>
    </xf>
    <xf numFmtId="179" fontId="41" fillId="8" borderId="8" xfId="595" applyNumberFormat="1" applyFont="1" applyFill="1" applyBorder="1" applyAlignment="1">
      <alignment horizontal="left" vertical="center" shrinkToFit="1"/>
    </xf>
    <xf numFmtId="9" fontId="41" fillId="8" borderId="121" xfId="595" applyNumberFormat="1" applyFont="1" applyFill="1" applyBorder="1" applyAlignment="1">
      <alignment horizontal="left" vertical="center" shrinkToFit="1"/>
    </xf>
    <xf numFmtId="9" fontId="41" fillId="8" borderId="129" xfId="595" applyNumberFormat="1" applyFont="1" applyFill="1" applyBorder="1" applyAlignment="1">
      <alignment horizontal="left" vertical="center" shrinkToFit="1"/>
    </xf>
    <xf numFmtId="179" fontId="61" fillId="8" borderId="126" xfId="595" applyNumberFormat="1" applyFont="1" applyFill="1" applyBorder="1" applyAlignment="1">
      <alignment horizontal="left" vertical="center" shrinkToFit="1"/>
    </xf>
    <xf numFmtId="179" fontId="61" fillId="9" borderId="125" xfId="595" applyNumberFormat="1" applyFont="1" applyFill="1" applyBorder="1" applyAlignment="1">
      <alignment horizontal="left" vertical="center" shrinkToFit="1"/>
    </xf>
    <xf numFmtId="179" fontId="40" fillId="0" borderId="130" xfId="595" applyNumberFormat="1" applyFont="1" applyFill="1" applyBorder="1" applyAlignment="1">
      <alignment horizontal="left" vertical="center" shrinkToFit="1"/>
    </xf>
    <xf numFmtId="179" fontId="40" fillId="8" borderId="90" xfId="595" applyNumberFormat="1" applyFont="1" applyFill="1" applyBorder="1" applyAlignment="1">
      <alignment horizontal="left" vertical="center" shrinkToFit="1"/>
    </xf>
    <xf numFmtId="38" fontId="40" fillId="7" borderId="0" xfId="2566" applyFont="1" applyFill="1" applyAlignment="1">
      <alignment horizontal="left" vertical="center"/>
    </xf>
    <xf numFmtId="9" fontId="41" fillId="8" borderId="130" xfId="595" applyFont="1" applyFill="1" applyBorder="1" applyAlignment="1">
      <alignment horizontal="left" vertical="center" shrinkToFit="1"/>
    </xf>
    <xf numFmtId="9" fontId="41" fillId="8" borderId="0" xfId="595" applyFont="1" applyFill="1" applyBorder="1" applyAlignment="1">
      <alignment horizontal="left" vertical="center" shrinkToFit="1"/>
    </xf>
    <xf numFmtId="9" fontId="41" fillId="8" borderId="121" xfId="595" applyFont="1" applyFill="1" applyBorder="1" applyAlignment="1">
      <alignment horizontal="left" vertical="center" shrinkToFit="1"/>
    </xf>
    <xf numFmtId="9" fontId="41" fillId="8" borderId="7" xfId="595" applyFont="1" applyFill="1" applyBorder="1" applyAlignment="1">
      <alignment horizontal="left" vertical="center" shrinkToFit="1"/>
    </xf>
    <xf numFmtId="179" fontId="41" fillId="8" borderId="128" xfId="2566" applyNumberFormat="1" applyFont="1" applyFill="1" applyBorder="1" applyAlignment="1">
      <alignment horizontal="left" vertical="center" shrinkToFit="1"/>
    </xf>
    <xf numFmtId="179" fontId="41" fillId="8" borderId="126" xfId="2566" applyNumberFormat="1" applyFont="1" applyFill="1" applyBorder="1" applyAlignment="1">
      <alignment horizontal="left" vertical="center" shrinkToFit="1"/>
    </xf>
    <xf numFmtId="179" fontId="41" fillId="9" borderId="125" xfId="2566" applyNumberFormat="1" applyFont="1" applyFill="1" applyBorder="1" applyAlignment="1">
      <alignment horizontal="left" vertical="center" shrinkToFit="1"/>
    </xf>
    <xf numFmtId="179" fontId="43" fillId="8" borderId="82" xfId="595" applyNumberFormat="1" applyFont="1" applyFill="1" applyBorder="1" applyAlignment="1">
      <alignment horizontal="left" vertical="center" shrinkToFit="1"/>
    </xf>
    <xf numFmtId="179" fontId="43" fillId="8" borderId="124" xfId="595" applyNumberFormat="1" applyFont="1" applyFill="1" applyBorder="1" applyAlignment="1">
      <alignment horizontal="left" vertical="center" shrinkToFit="1"/>
    </xf>
    <xf numFmtId="179" fontId="43" fillId="9" borderId="123" xfId="595" applyNumberFormat="1" applyFont="1" applyFill="1" applyBorder="1" applyAlignment="1">
      <alignment horizontal="left" vertical="center" shrinkToFit="1"/>
    </xf>
    <xf numFmtId="179" fontId="40" fillId="8" borderId="133" xfId="595" applyNumberFormat="1" applyFont="1" applyFill="1" applyBorder="1" applyAlignment="1">
      <alignment horizontal="left" vertical="center" shrinkToFit="1"/>
    </xf>
    <xf numFmtId="38" fontId="40" fillId="8" borderId="0" xfId="2566" applyFont="1" applyFill="1" applyAlignment="1">
      <alignment vertical="center"/>
    </xf>
    <xf numFmtId="38" fontId="43" fillId="8" borderId="83" xfId="2566" applyFont="1" applyFill="1" applyBorder="1" applyAlignment="1">
      <alignment vertical="center" shrinkToFit="1"/>
    </xf>
    <xf numFmtId="179" fontId="41" fillId="8" borderId="82" xfId="595" applyNumberFormat="1" applyFont="1" applyFill="1" applyBorder="1" applyAlignment="1" applyProtection="1">
      <alignment horizontal="left" vertical="center" shrinkToFit="1"/>
      <protection locked="0"/>
    </xf>
    <xf numFmtId="179" fontId="41" fillId="8" borderId="0" xfId="595" applyNumberFormat="1" applyFont="1" applyFill="1" applyBorder="1" applyAlignment="1" applyProtection="1">
      <alignment horizontal="left" vertical="center" shrinkToFit="1"/>
      <protection locked="0"/>
    </xf>
    <xf numFmtId="179" fontId="41" fillId="8" borderId="90" xfId="595" applyNumberFormat="1" applyFont="1" applyFill="1" applyBorder="1" applyAlignment="1" applyProtection="1">
      <alignment horizontal="left" vertical="center" shrinkToFit="1"/>
      <protection locked="0"/>
    </xf>
    <xf numFmtId="179" fontId="41" fillId="8" borderId="7" xfId="595" applyNumberFormat="1" applyFont="1" applyFill="1" applyBorder="1" applyAlignment="1" applyProtection="1">
      <alignment horizontal="left" vertical="center" shrinkToFit="1"/>
      <protection locked="0"/>
    </xf>
    <xf numFmtId="38" fontId="40" fillId="8" borderId="89" xfId="2566" applyFont="1" applyFill="1" applyBorder="1" applyAlignment="1">
      <alignment vertical="center" shrinkToFit="1"/>
    </xf>
    <xf numFmtId="38" fontId="40" fillId="0" borderId="2" xfId="2566" applyFont="1" applyFill="1" applyBorder="1" applyAlignment="1">
      <alignment vertical="center" shrinkToFit="1"/>
    </xf>
    <xf numFmtId="38" fontId="40" fillId="0" borderId="87" xfId="2566" applyFont="1" applyFill="1" applyBorder="1" applyAlignment="1">
      <alignment vertical="center" shrinkToFit="1"/>
    </xf>
    <xf numFmtId="179" fontId="40" fillId="8" borderId="126" xfId="615" applyNumberFormat="1" applyFont="1" applyFill="1" applyBorder="1" applyAlignment="1">
      <alignment horizontal="left" vertical="center" shrinkToFit="1"/>
    </xf>
    <xf numFmtId="179" fontId="40" fillId="9" borderId="125" xfId="615" applyNumberFormat="1" applyFont="1" applyFill="1" applyBorder="1" applyAlignment="1">
      <alignment horizontal="left" vertical="center" shrinkToFit="1"/>
    </xf>
    <xf numFmtId="179" fontId="40" fillId="8" borderId="82" xfId="595" applyNumberFormat="1" applyFont="1" applyFill="1" applyBorder="1" applyAlignment="1">
      <alignment horizontal="left" vertical="center" shrinkToFit="1"/>
    </xf>
    <xf numFmtId="179" fontId="40" fillId="8" borderId="124" xfId="595" applyNumberFormat="1" applyFont="1" applyFill="1" applyBorder="1" applyAlignment="1">
      <alignment horizontal="left" vertical="center" shrinkToFit="1"/>
    </xf>
    <xf numFmtId="179" fontId="40" fillId="9" borderId="123" xfId="595" applyNumberFormat="1" applyFont="1" applyFill="1" applyBorder="1" applyAlignment="1">
      <alignment horizontal="left" vertical="center" shrinkToFit="1"/>
    </xf>
    <xf numFmtId="38" fontId="40" fillId="8" borderId="0" xfId="2566" applyFont="1" applyFill="1" applyBorder="1" applyAlignment="1">
      <alignment vertical="center" shrinkToFit="1"/>
    </xf>
    <xf numFmtId="38" fontId="40" fillId="5" borderId="0" xfId="2566" applyFont="1" applyFill="1" applyBorder="1" applyAlignment="1">
      <alignment vertical="center" shrinkToFit="1"/>
    </xf>
    <xf numFmtId="38" fontId="41" fillId="5" borderId="91" xfId="2566" applyFont="1" applyFill="1" applyBorder="1" applyAlignment="1">
      <alignment horizontal="center" vertical="center" shrinkToFit="1"/>
    </xf>
    <xf numFmtId="9" fontId="41" fillId="7" borderId="121" xfId="595" applyNumberFormat="1" applyFont="1" applyFill="1" applyBorder="1" applyAlignment="1">
      <alignment horizontal="left" vertical="center" shrinkToFit="1"/>
    </xf>
    <xf numFmtId="179" fontId="41" fillId="8" borderId="89" xfId="595" applyNumberFormat="1" applyFont="1" applyFill="1" applyBorder="1" applyAlignment="1">
      <alignment horizontal="left" vertical="center" shrinkToFit="1"/>
    </xf>
    <xf numFmtId="179" fontId="41" fillId="5" borderId="130" xfId="595" applyNumberFormat="1" applyFont="1" applyFill="1" applyBorder="1" applyAlignment="1" applyProtection="1">
      <alignment horizontal="left" vertical="center" shrinkToFit="1"/>
      <protection locked="0"/>
    </xf>
    <xf numFmtId="179" fontId="41" fillId="8" borderId="148" xfId="595" applyNumberFormat="1" applyFont="1" applyFill="1" applyBorder="1" applyAlignment="1">
      <alignment horizontal="left" vertical="center" shrinkToFit="1"/>
    </xf>
    <xf numFmtId="179" fontId="41" fillId="8" borderId="133" xfId="595" applyNumberFormat="1" applyFont="1" applyFill="1" applyBorder="1" applyAlignment="1" applyProtection="1">
      <alignment horizontal="left" vertical="center" shrinkToFit="1"/>
      <protection locked="0"/>
    </xf>
    <xf numFmtId="179" fontId="41" fillId="8" borderId="82" xfId="595" applyNumberFormat="1" applyFont="1" applyFill="1" applyBorder="1" applyAlignment="1">
      <alignment horizontal="left" vertical="center"/>
    </xf>
    <xf numFmtId="38" fontId="41" fillId="8" borderId="149" xfId="2566" applyFont="1" applyFill="1" applyBorder="1" applyAlignment="1">
      <alignment vertical="center" shrinkToFit="1"/>
    </xf>
    <xf numFmtId="179" fontId="41" fillId="8" borderId="79" xfId="595" applyNumberFormat="1" applyFont="1" applyFill="1" applyBorder="1" applyAlignment="1" applyProtection="1">
      <alignment horizontal="left" vertical="center" shrinkToFit="1"/>
      <protection locked="0"/>
    </xf>
    <xf numFmtId="179" fontId="41" fillId="5" borderId="7" xfId="595" applyNumberFormat="1" applyFont="1" applyFill="1" applyBorder="1" applyAlignment="1" applyProtection="1">
      <alignment horizontal="left" vertical="center" shrinkToFit="1"/>
      <protection locked="0"/>
    </xf>
    <xf numFmtId="179" fontId="41" fillId="8" borderId="8" xfId="595" applyNumberFormat="1" applyFont="1" applyFill="1" applyBorder="1" applyAlignment="1" applyProtection="1">
      <alignment horizontal="left" vertical="center" shrinkToFit="1"/>
      <protection locked="0"/>
    </xf>
    <xf numFmtId="38" fontId="41" fillId="8" borderId="77" xfId="2566" applyFont="1" applyFill="1" applyBorder="1" applyAlignment="1" applyProtection="1">
      <alignment horizontal="right" vertical="center" shrinkToFit="1"/>
      <protection locked="0"/>
    </xf>
    <xf numFmtId="38" fontId="41" fillId="8" borderId="84" xfId="2566" applyFont="1" applyFill="1" applyBorder="1" applyAlignment="1" applyProtection="1">
      <alignment horizontal="right" vertical="center" shrinkToFit="1"/>
      <protection locked="0"/>
    </xf>
    <xf numFmtId="38" fontId="41" fillId="8" borderId="0" xfId="2566" applyFont="1" applyFill="1" applyBorder="1" applyAlignment="1" applyProtection="1">
      <alignment horizontal="right" vertical="center" shrinkToFit="1"/>
      <protection locked="0"/>
    </xf>
    <xf numFmtId="38" fontId="41" fillId="5" borderId="0" xfId="2568" applyFont="1" applyFill="1" applyAlignment="1" applyProtection="1">
      <alignment vertical="center"/>
    </xf>
    <xf numFmtId="38" fontId="39" fillId="5" borderId="0" xfId="2568" applyFont="1" applyFill="1" applyAlignment="1" applyProtection="1">
      <alignment vertical="center"/>
    </xf>
    <xf numFmtId="38" fontId="40" fillId="5" borderId="147" xfId="2568" applyFont="1" applyFill="1" applyBorder="1" applyAlignment="1" applyProtection="1">
      <alignment horizontal="center" vertical="center"/>
    </xf>
    <xf numFmtId="38" fontId="40" fillId="5" borderId="129" xfId="2568" applyFont="1" applyFill="1" applyBorder="1" applyAlignment="1" applyProtection="1">
      <alignment horizontal="center" vertical="center"/>
    </xf>
    <xf numFmtId="38" fontId="41" fillId="5" borderId="84" xfId="2568" applyFont="1" applyFill="1" applyBorder="1" applyAlignment="1" applyProtection="1">
      <alignment horizontal="center" vertical="center"/>
    </xf>
    <xf numFmtId="38" fontId="41" fillId="5" borderId="88" xfId="2568" applyFont="1" applyFill="1" applyBorder="1" applyAlignment="1" applyProtection="1">
      <alignment horizontal="center" vertical="center"/>
    </xf>
    <xf numFmtId="38" fontId="41" fillId="5" borderId="130" xfId="2568" applyFont="1" applyFill="1" applyBorder="1" applyAlignment="1" applyProtection="1">
      <alignment horizontal="center" vertical="center"/>
    </xf>
    <xf numFmtId="38" fontId="41" fillId="5" borderId="129" xfId="2568" applyFont="1" applyFill="1" applyBorder="1" applyAlignment="1" applyProtection="1">
      <alignment horizontal="center" vertical="center"/>
    </xf>
    <xf numFmtId="38" fontId="41" fillId="8" borderId="7" xfId="2568" applyFont="1" applyFill="1" applyBorder="1" applyAlignment="1" applyProtection="1">
      <alignment vertical="center"/>
    </xf>
    <xf numFmtId="38" fontId="41" fillId="5" borderId="7" xfId="2568" applyFont="1" applyFill="1" applyBorder="1" applyAlignment="1" applyProtection="1">
      <alignment horizontal="center" vertical="center"/>
    </xf>
    <xf numFmtId="38" fontId="41" fillId="5" borderId="96" xfId="2568" applyFont="1" applyFill="1" applyBorder="1" applyAlignment="1" applyProtection="1">
      <alignment horizontal="left" vertical="center"/>
    </xf>
    <xf numFmtId="38" fontId="41" fillId="5" borderId="94" xfId="2568" applyFont="1" applyFill="1" applyBorder="1" applyAlignment="1" applyProtection="1">
      <alignment horizontal="left" vertical="center"/>
    </xf>
    <xf numFmtId="38" fontId="41" fillId="5" borderId="84" xfId="2568" applyFont="1" applyFill="1" applyBorder="1" applyAlignment="1" applyProtection="1">
      <alignment horizontal="left" vertical="center"/>
    </xf>
    <xf numFmtId="38" fontId="41" fillId="5" borderId="88" xfId="2568" applyFont="1" applyFill="1" applyBorder="1" applyAlignment="1" applyProtection="1">
      <alignment horizontal="left" vertical="center"/>
    </xf>
    <xf numFmtId="38" fontId="41" fillId="8" borderId="94" xfId="2568" applyFont="1" applyFill="1" applyBorder="1" applyAlignment="1" applyProtection="1">
      <alignment horizontal="center" vertical="center"/>
    </xf>
    <xf numFmtId="38" fontId="40" fillId="5" borderId="8" xfId="2568" applyFont="1" applyFill="1" applyBorder="1" applyAlignment="1" applyProtection="1">
      <alignment horizontal="center" vertical="center"/>
    </xf>
    <xf numFmtId="38" fontId="40" fillId="5" borderId="89" xfId="2568" applyFont="1" applyFill="1" applyBorder="1" applyAlignment="1" applyProtection="1">
      <alignment horizontal="center" vertical="center"/>
    </xf>
    <xf numFmtId="38" fontId="40" fillId="5" borderId="17" xfId="2568" applyFont="1" applyFill="1" applyBorder="1" applyAlignment="1" applyProtection="1">
      <alignment vertical="center"/>
    </xf>
    <xf numFmtId="38" fontId="40" fillId="5" borderId="84" xfId="2568" applyFont="1" applyFill="1" applyBorder="1" applyAlignment="1" applyProtection="1">
      <alignment vertical="center"/>
    </xf>
    <xf numFmtId="38" fontId="40" fillId="5" borderId="88" xfId="2568" applyFont="1" applyFill="1" applyBorder="1" applyAlignment="1" applyProtection="1">
      <alignment vertical="center"/>
    </xf>
    <xf numFmtId="38" fontId="40" fillId="5" borderId="8" xfId="2568" applyFont="1" applyFill="1" applyBorder="1" applyAlignment="1" applyProtection="1">
      <alignment vertical="center"/>
    </xf>
    <xf numFmtId="38" fontId="40" fillId="5" borderId="0" xfId="2568" applyFont="1" applyFill="1" applyBorder="1" applyAlignment="1" applyProtection="1">
      <alignment vertical="center"/>
    </xf>
    <xf numFmtId="38" fontId="40" fillId="8" borderId="96" xfId="2568" applyFont="1" applyFill="1" applyBorder="1" applyAlignment="1" applyProtection="1">
      <alignment vertical="center"/>
    </xf>
    <xf numFmtId="38" fontId="40" fillId="8" borderId="88" xfId="2568" applyFont="1" applyFill="1" applyBorder="1" applyAlignment="1" applyProtection="1">
      <alignment vertical="center"/>
    </xf>
    <xf numFmtId="38" fontId="40" fillId="8" borderId="94" xfId="2568" applyFont="1" applyFill="1" applyBorder="1" applyAlignment="1" applyProtection="1">
      <alignment vertical="center"/>
    </xf>
    <xf numFmtId="38" fontId="40" fillId="5" borderId="89" xfId="2568" applyFont="1" applyFill="1" applyBorder="1" applyAlignment="1" applyProtection="1">
      <alignment vertical="center"/>
    </xf>
    <xf numFmtId="38" fontId="40" fillId="5" borderId="79" xfId="2568" applyFont="1" applyFill="1" applyBorder="1" applyAlignment="1" applyProtection="1">
      <alignment vertical="center"/>
    </xf>
    <xf numFmtId="38" fontId="41" fillId="5" borderId="17" xfId="2568" applyFont="1" applyFill="1" applyBorder="1" applyAlignment="1" applyProtection="1">
      <alignment vertical="center"/>
    </xf>
    <xf numFmtId="38" fontId="41" fillId="5" borderId="88" xfId="2568" applyFont="1" applyFill="1" applyBorder="1" applyAlignment="1" applyProtection="1">
      <alignment vertical="center"/>
    </xf>
    <xf numFmtId="38" fontId="40" fillId="8" borderId="84" xfId="2568" applyFont="1" applyFill="1" applyBorder="1" applyAlignment="1" applyProtection="1">
      <alignment vertical="center"/>
    </xf>
    <xf numFmtId="38" fontId="41" fillId="8" borderId="8" xfId="2568" applyFont="1" applyFill="1" applyBorder="1" applyAlignment="1" applyProtection="1">
      <alignment vertical="center"/>
    </xf>
    <xf numFmtId="38" fontId="41" fillId="5" borderId="0" xfId="2568" applyFont="1" applyFill="1" applyBorder="1" applyAlignment="1" applyProtection="1">
      <alignment vertical="center"/>
    </xf>
    <xf numFmtId="38" fontId="41" fillId="8" borderId="96" xfId="2568" applyFont="1" applyFill="1" applyBorder="1" applyAlignment="1" applyProtection="1">
      <alignment vertical="center"/>
    </xf>
    <xf numFmtId="38" fontId="41" fillId="8" borderId="88" xfId="2568" applyFont="1" applyFill="1" applyBorder="1" applyAlignment="1" applyProtection="1">
      <alignment vertical="center"/>
    </xf>
    <xf numFmtId="38" fontId="41" fillId="8" borderId="94" xfId="2568" applyFont="1" applyFill="1" applyBorder="1" applyAlignment="1" applyProtection="1">
      <alignment vertical="center"/>
    </xf>
    <xf numFmtId="38" fontId="41" fillId="5" borderId="89" xfId="2568" applyFont="1" applyFill="1" applyBorder="1" applyAlignment="1" applyProtection="1">
      <alignment vertical="center"/>
    </xf>
    <xf numFmtId="38" fontId="41" fillId="5" borderId="8" xfId="2568" applyFont="1" applyFill="1" applyBorder="1" applyAlignment="1" applyProtection="1">
      <alignment horizontal="center" vertical="center"/>
    </xf>
    <xf numFmtId="38" fontId="41" fillId="5" borderId="96" xfId="2568" applyFont="1" applyFill="1" applyBorder="1" applyAlignment="1" applyProtection="1">
      <alignment vertical="center"/>
    </xf>
    <xf numFmtId="38" fontId="41" fillId="8" borderId="7" xfId="2568" applyFont="1" applyFill="1" applyBorder="1" applyAlignment="1" applyProtection="1">
      <alignment horizontal="left" vertical="center"/>
    </xf>
    <xf numFmtId="38" fontId="41" fillId="8" borderId="129" xfId="2568" applyFont="1" applyFill="1" applyBorder="1" applyAlignment="1" applyProtection="1">
      <alignment horizontal="left" vertical="center"/>
    </xf>
    <xf numFmtId="38" fontId="41" fillId="5" borderId="94" xfId="2568" applyFont="1" applyFill="1" applyBorder="1" applyAlignment="1" applyProtection="1">
      <alignment vertical="center"/>
    </xf>
    <xf numFmtId="38" fontId="41" fillId="8" borderId="88" xfId="2568" applyFont="1" applyFill="1" applyBorder="1" applyAlignment="1" applyProtection="1">
      <alignment horizontal="left" vertical="center"/>
    </xf>
    <xf numFmtId="38" fontId="41" fillId="5" borderId="0" xfId="2568" applyFont="1" applyFill="1" applyBorder="1" applyAlignment="1" applyProtection="1">
      <alignment horizontal="center" vertical="center"/>
    </xf>
    <xf numFmtId="38" fontId="41" fillId="5" borderId="147" xfId="2568" applyFont="1" applyFill="1" applyBorder="1" applyAlignment="1" applyProtection="1">
      <alignment horizontal="center" vertical="center"/>
    </xf>
    <xf numFmtId="38" fontId="41" fillId="5" borderId="89" xfId="2568" applyFont="1" applyFill="1" applyBorder="1" applyAlignment="1" applyProtection="1">
      <alignment horizontal="center" vertical="center"/>
    </xf>
    <xf numFmtId="38" fontId="41" fillId="5" borderId="8" xfId="2568" applyFont="1" applyFill="1" applyBorder="1" applyAlignment="1" applyProtection="1">
      <alignment vertical="center"/>
    </xf>
    <xf numFmtId="38" fontId="41" fillId="5" borderId="91" xfId="2568" applyFont="1" applyFill="1" applyBorder="1" applyAlignment="1" applyProtection="1">
      <alignment vertical="center"/>
    </xf>
    <xf numFmtId="38" fontId="41" fillId="5" borderId="129" xfId="2568" applyFont="1" applyFill="1" applyBorder="1" applyAlignment="1" applyProtection="1">
      <alignment vertical="center"/>
    </xf>
    <xf numFmtId="38" fontId="41" fillId="5" borderId="79" xfId="2568" applyFont="1" applyFill="1" applyBorder="1" applyAlignment="1" applyProtection="1">
      <alignment vertical="center"/>
    </xf>
    <xf numFmtId="9" fontId="62" fillId="12" borderId="0" xfId="588" applyFont="1" applyFill="1" applyAlignment="1" applyProtection="1">
      <alignment vertical="center"/>
    </xf>
    <xf numFmtId="38" fontId="41" fillId="12" borderId="0" xfId="2568" applyFont="1" applyFill="1" applyAlignment="1" applyProtection="1">
      <alignment vertical="center"/>
    </xf>
    <xf numFmtId="38" fontId="41" fillId="13" borderId="0" xfId="2568" applyFont="1" applyFill="1" applyAlignment="1" applyProtection="1">
      <alignment vertical="center"/>
    </xf>
    <xf numFmtId="38" fontId="41" fillId="5" borderId="129" xfId="2568" applyFont="1" applyFill="1" applyBorder="1" applyAlignment="1" applyProtection="1">
      <alignment horizontal="left" vertical="center"/>
    </xf>
    <xf numFmtId="38" fontId="41" fillId="8" borderId="89" xfId="2568" applyFont="1" applyFill="1" applyBorder="1" applyAlignment="1" applyProtection="1">
      <alignment horizontal="left" vertical="center"/>
    </xf>
    <xf numFmtId="38" fontId="41" fillId="5" borderId="8" xfId="2568" applyFont="1" applyFill="1" applyBorder="1" applyAlignment="1" applyProtection="1">
      <alignment horizontal="left" vertical="center"/>
    </xf>
    <xf numFmtId="38" fontId="41" fillId="5" borderId="0" xfId="2568" applyFont="1" applyFill="1" applyBorder="1" applyAlignment="1" applyProtection="1">
      <alignment horizontal="left" vertical="center"/>
    </xf>
    <xf numFmtId="38" fontId="41" fillId="8" borderId="0" xfId="2568" applyFont="1" applyFill="1" applyBorder="1" applyAlignment="1" applyProtection="1">
      <alignment horizontal="left" vertical="center"/>
    </xf>
    <xf numFmtId="38" fontId="40" fillId="8" borderId="17" xfId="2568" applyFont="1" applyFill="1" applyBorder="1" applyAlignment="1" applyProtection="1">
      <alignment vertical="center"/>
    </xf>
    <xf numFmtId="38" fontId="40" fillId="8" borderId="8" xfId="2568" applyFont="1" applyFill="1" applyBorder="1" applyAlignment="1" applyProtection="1">
      <alignment vertical="center"/>
    </xf>
    <xf numFmtId="38" fontId="40" fillId="8" borderId="0" xfId="2568" applyFont="1" applyFill="1" applyBorder="1" applyAlignment="1" applyProtection="1">
      <alignment vertical="center"/>
    </xf>
    <xf numFmtId="38" fontId="41" fillId="8" borderId="8" xfId="2568" applyFont="1" applyFill="1" applyBorder="1" applyAlignment="1" applyProtection="1">
      <alignment horizontal="left" vertical="center"/>
    </xf>
    <xf numFmtId="38" fontId="41" fillId="8" borderId="79" xfId="2568" applyFont="1" applyFill="1" applyBorder="1" applyAlignment="1" applyProtection="1">
      <alignment horizontal="left" vertical="center"/>
    </xf>
    <xf numFmtId="38" fontId="41" fillId="10" borderId="121" xfId="2568" applyFont="1" applyFill="1" applyBorder="1" applyAlignment="1" applyProtection="1">
      <alignment horizontal="left" vertical="center"/>
    </xf>
    <xf numFmtId="38" fontId="41" fillId="10" borderId="129" xfId="2568" applyFont="1" applyFill="1" applyBorder="1" applyAlignment="1" applyProtection="1">
      <alignment horizontal="left" vertical="center"/>
    </xf>
    <xf numFmtId="38" fontId="41" fillId="10" borderId="8" xfId="2568" applyFont="1" applyFill="1" applyBorder="1" applyAlignment="1" applyProtection="1">
      <alignment horizontal="left" vertical="center"/>
    </xf>
    <xf numFmtId="38" fontId="41" fillId="10" borderId="89" xfId="2568" applyFont="1" applyFill="1" applyBorder="1" applyAlignment="1" applyProtection="1">
      <alignment horizontal="left" vertical="center"/>
    </xf>
    <xf numFmtId="38" fontId="41" fillId="8" borderId="79" xfId="2568" applyFont="1" applyFill="1" applyBorder="1" applyAlignment="1" applyProtection="1">
      <alignment vertical="center"/>
    </xf>
    <xf numFmtId="38" fontId="41" fillId="5" borderId="8" xfId="2568" applyFont="1" applyFill="1" applyBorder="1" applyAlignment="1" applyProtection="1">
      <alignment horizontal="right" vertical="center"/>
    </xf>
    <xf numFmtId="38" fontId="41" fillId="5" borderId="79" xfId="2568" applyFont="1" applyFill="1" applyBorder="1" applyAlignment="1" applyProtection="1">
      <alignment horizontal="right" vertical="center"/>
    </xf>
    <xf numFmtId="38" fontId="40" fillId="5" borderId="121" xfId="2568" applyFont="1" applyFill="1" applyBorder="1" applyAlignment="1" applyProtection="1">
      <alignment vertical="center"/>
    </xf>
    <xf numFmtId="38" fontId="40" fillId="5" borderId="132" xfId="2568" applyFont="1" applyFill="1" applyBorder="1" applyAlignment="1" applyProtection="1">
      <alignment vertical="center"/>
    </xf>
    <xf numFmtId="38" fontId="41" fillId="8" borderId="121" xfId="2568" applyFont="1" applyFill="1" applyBorder="1" applyAlignment="1" applyProtection="1">
      <alignment vertical="center"/>
    </xf>
    <xf numFmtId="38" fontId="41" fillId="8" borderId="129" xfId="2568" applyFont="1" applyFill="1" applyBorder="1" applyAlignment="1" applyProtection="1">
      <alignment vertical="center"/>
    </xf>
    <xf numFmtId="38" fontId="41" fillId="8" borderId="17" xfId="2568" applyFont="1" applyFill="1" applyBorder="1" applyAlignment="1" applyProtection="1">
      <alignment vertical="center"/>
    </xf>
    <xf numFmtId="38" fontId="41" fillId="8" borderId="89" xfId="2568" applyFont="1" applyFill="1" applyBorder="1" applyAlignment="1" applyProtection="1">
      <alignment vertical="center"/>
    </xf>
    <xf numFmtId="38" fontId="41" fillId="5" borderId="147" xfId="2568" applyFont="1" applyFill="1" applyBorder="1" applyAlignment="1" applyProtection="1">
      <alignment horizontal="left" vertical="center"/>
    </xf>
    <xf numFmtId="38" fontId="41" fillId="5" borderId="121" xfId="2568" applyFont="1" applyFill="1" applyBorder="1" applyAlignment="1" applyProtection="1">
      <alignment vertical="center"/>
    </xf>
    <xf numFmtId="38" fontId="41" fillId="5" borderId="84" xfId="2568" applyFont="1" applyFill="1" applyBorder="1" applyAlignment="1" applyProtection="1">
      <alignment vertical="center"/>
    </xf>
    <xf numFmtId="38" fontId="41" fillId="5" borderId="89" xfId="2568" applyFont="1" applyFill="1" applyBorder="1" applyAlignment="1" applyProtection="1">
      <alignment horizontal="left" vertical="center"/>
    </xf>
    <xf numFmtId="38" fontId="41" fillId="5" borderId="130" xfId="2568" applyFont="1" applyFill="1" applyBorder="1" applyAlignment="1" applyProtection="1">
      <alignment horizontal="right" vertical="center"/>
    </xf>
    <xf numFmtId="38" fontId="41" fillId="8" borderId="17" xfId="2568" applyFont="1" applyFill="1" applyBorder="1" applyAlignment="1" applyProtection="1">
      <alignment horizontal="left" vertical="center"/>
    </xf>
    <xf numFmtId="38" fontId="41" fillId="8" borderId="94" xfId="2568" applyFont="1" applyFill="1" applyBorder="1" applyAlignment="1" applyProtection="1">
      <alignment horizontal="left" vertical="center"/>
    </xf>
    <xf numFmtId="38" fontId="41" fillId="8" borderId="88" xfId="2568" applyFont="1" applyFill="1" applyBorder="1" applyAlignment="1" applyProtection="1">
      <alignment horizontal="center" vertical="center"/>
    </xf>
    <xf numFmtId="38" fontId="41" fillId="8" borderId="0" xfId="2568" applyFont="1" applyFill="1" applyBorder="1" applyAlignment="1" applyProtection="1">
      <alignment vertical="center"/>
    </xf>
    <xf numFmtId="38" fontId="62" fillId="12" borderId="0" xfId="2568" applyFont="1" applyFill="1" applyAlignment="1" applyProtection="1">
      <alignment vertical="center"/>
    </xf>
    <xf numFmtId="179" fontId="41" fillId="8" borderId="130" xfId="595" applyNumberFormat="1" applyFont="1" applyFill="1" applyBorder="1" applyAlignment="1" applyProtection="1">
      <alignment horizontal="left" vertical="center"/>
    </xf>
    <xf numFmtId="179" fontId="41" fillId="8" borderId="129" xfId="595" applyNumberFormat="1" applyFont="1" applyFill="1" applyBorder="1" applyAlignment="1" applyProtection="1">
      <alignment horizontal="left" vertical="center"/>
    </xf>
    <xf numFmtId="179" fontId="41" fillId="8" borderId="7" xfId="595" applyNumberFormat="1" applyFont="1" applyFill="1" applyBorder="1" applyAlignment="1" applyProtection="1">
      <alignment horizontal="left" vertical="center"/>
    </xf>
    <xf numFmtId="179" fontId="41" fillId="8" borderId="130" xfId="595" applyNumberFormat="1" applyFont="1" applyFill="1" applyBorder="1" applyAlignment="1" applyProtection="1">
      <alignment vertical="center"/>
    </xf>
    <xf numFmtId="179" fontId="41" fillId="8" borderId="147" xfId="595" applyNumberFormat="1" applyFont="1" applyFill="1" applyBorder="1" applyAlignment="1" applyProtection="1">
      <alignment vertical="center"/>
    </xf>
    <xf numFmtId="38" fontId="41" fillId="8" borderId="84" xfId="2568" applyFont="1" applyFill="1" applyBorder="1" applyAlignment="1" applyProtection="1">
      <alignment vertical="center"/>
    </xf>
    <xf numFmtId="179" fontId="41" fillId="8" borderId="7" xfId="595" applyNumberFormat="1" applyFont="1" applyFill="1" applyBorder="1" applyAlignment="1" applyProtection="1">
      <alignment vertical="center"/>
    </xf>
    <xf numFmtId="38" fontId="40" fillId="8" borderId="8" xfId="2568" applyFont="1" applyFill="1" applyBorder="1" applyAlignment="1" applyProtection="1">
      <alignment horizontal="left" vertical="center"/>
    </xf>
    <xf numFmtId="38" fontId="40" fillId="8" borderId="0" xfId="2568" applyFont="1" applyFill="1" applyBorder="1" applyAlignment="1" applyProtection="1">
      <alignment horizontal="left" vertical="center"/>
    </xf>
    <xf numFmtId="38" fontId="40" fillId="8" borderId="89" xfId="2568" applyFont="1" applyFill="1" applyBorder="1" applyAlignment="1" applyProtection="1">
      <alignment horizontal="left" vertical="center"/>
    </xf>
    <xf numFmtId="179" fontId="41" fillId="8" borderId="121" xfId="595" applyNumberFormat="1" applyFont="1" applyFill="1" applyBorder="1" applyAlignment="1" applyProtection="1">
      <alignment horizontal="left" vertical="center"/>
    </xf>
    <xf numFmtId="179" fontId="41" fillId="8" borderId="8" xfId="595" applyNumberFormat="1" applyFont="1" applyFill="1" applyBorder="1" applyAlignment="1" applyProtection="1">
      <alignment horizontal="left" vertical="center"/>
    </xf>
    <xf numFmtId="179" fontId="41" fillId="8" borderId="131" xfId="595" applyNumberFormat="1" applyFont="1" applyFill="1" applyBorder="1" applyAlignment="1" applyProtection="1">
      <alignment horizontal="left" vertical="center"/>
    </xf>
    <xf numFmtId="38" fontId="41" fillId="8" borderId="87" xfId="2568" applyFont="1" applyFill="1" applyBorder="1" applyAlignment="1" applyProtection="1">
      <alignment vertical="center"/>
    </xf>
    <xf numFmtId="179" fontId="41" fillId="8" borderId="97" xfId="595" applyNumberFormat="1" applyFont="1" applyFill="1" applyBorder="1" applyAlignment="1" applyProtection="1">
      <alignment horizontal="left" vertical="center"/>
    </xf>
    <xf numFmtId="179" fontId="41" fillId="8" borderId="89" xfId="595" applyNumberFormat="1" applyFont="1" applyFill="1" applyBorder="1" applyAlignment="1" applyProtection="1">
      <alignment horizontal="left" vertical="center"/>
    </xf>
    <xf numFmtId="38" fontId="40" fillId="5" borderId="129" xfId="2568" applyFont="1" applyFill="1" applyBorder="1" applyAlignment="1" applyProtection="1">
      <alignment vertical="center"/>
    </xf>
    <xf numFmtId="0" fontId="63" fillId="8" borderId="7" xfId="0" applyFont="1" applyFill="1" applyBorder="1">
      <alignment vertical="center"/>
    </xf>
    <xf numFmtId="0" fontId="63" fillId="8" borderId="19" xfId="0" applyFont="1" applyFill="1" applyBorder="1">
      <alignment vertical="center"/>
    </xf>
    <xf numFmtId="0" fontId="63" fillId="8" borderId="13" xfId="0" applyFont="1" applyFill="1" applyBorder="1">
      <alignment vertical="center"/>
    </xf>
    <xf numFmtId="178" fontId="63" fillId="8" borderId="7" xfId="0" applyNumberFormat="1" applyFont="1" applyFill="1" applyBorder="1">
      <alignment vertical="center"/>
    </xf>
    <xf numFmtId="38" fontId="41" fillId="8" borderId="133" xfId="2566" applyFont="1" applyFill="1" applyBorder="1" applyAlignment="1">
      <alignment horizontal="left" vertical="center" shrinkToFit="1"/>
    </xf>
    <xf numFmtId="38" fontId="40" fillId="8" borderId="121" xfId="2566" applyFont="1" applyFill="1" applyBorder="1" applyAlignment="1">
      <alignment horizontal="left" vertical="center" shrinkToFit="1"/>
    </xf>
    <xf numFmtId="38" fontId="40" fillId="14" borderId="17" xfId="2566" applyFont="1" applyFill="1" applyBorder="1" applyAlignment="1">
      <alignment vertical="center" shrinkToFit="1"/>
    </xf>
    <xf numFmtId="38" fontId="41" fillId="14" borderId="17" xfId="2566" applyFont="1" applyFill="1" applyBorder="1" applyAlignment="1">
      <alignment vertical="center" shrinkToFit="1"/>
    </xf>
    <xf numFmtId="38" fontId="41" fillId="14" borderId="85" xfId="2566" applyFont="1" applyFill="1" applyBorder="1" applyAlignment="1">
      <alignment vertical="center" shrinkToFit="1"/>
    </xf>
    <xf numFmtId="38" fontId="40" fillId="14" borderId="2" xfId="2566" applyFont="1" applyFill="1" applyBorder="1" applyAlignment="1">
      <alignment vertical="center" shrinkToFit="1"/>
    </xf>
    <xf numFmtId="0" fontId="57" fillId="8" borderId="130" xfId="0" applyFont="1" applyFill="1" applyBorder="1" applyAlignment="1">
      <alignment horizontal="center" vertical="center"/>
    </xf>
    <xf numFmtId="9" fontId="57" fillId="8" borderId="84" xfId="588" applyFont="1" applyFill="1" applyBorder="1" applyAlignment="1">
      <alignment horizontal="center" vertical="center"/>
    </xf>
    <xf numFmtId="179" fontId="57" fillId="8" borderId="133" xfId="588" applyNumberFormat="1" applyFont="1" applyFill="1" applyBorder="1" applyAlignment="1">
      <alignment horizontal="center" vertical="center"/>
    </xf>
    <xf numFmtId="179" fontId="57" fillId="8" borderId="132" xfId="588" applyNumberFormat="1" applyFont="1" applyFill="1" applyBorder="1" applyAlignment="1">
      <alignment horizontal="center" vertical="center"/>
    </xf>
    <xf numFmtId="0" fontId="57" fillId="8" borderId="129" xfId="0" applyFont="1" applyFill="1" applyBorder="1" applyAlignment="1">
      <alignment horizontal="center" vertical="center"/>
    </xf>
    <xf numFmtId="0" fontId="46" fillId="9" borderId="6" xfId="0" applyFont="1" applyFill="1" applyBorder="1" applyAlignment="1">
      <alignment horizontal="center" vertical="center"/>
    </xf>
    <xf numFmtId="178" fontId="46" fillId="9" borderId="60" xfId="0" applyNumberFormat="1" applyFont="1" applyFill="1" applyBorder="1">
      <alignment vertical="center"/>
    </xf>
    <xf numFmtId="179" fontId="46" fillId="9" borderId="2" xfId="588" applyNumberFormat="1" applyFont="1" applyFill="1" applyBorder="1">
      <alignment vertical="center"/>
    </xf>
    <xf numFmtId="178" fontId="46" fillId="9" borderId="25" xfId="0" applyNumberFormat="1" applyFont="1" applyFill="1" applyBorder="1" applyAlignment="1">
      <alignment horizontal="center" vertical="center"/>
    </xf>
    <xf numFmtId="178" fontId="46" fillId="9" borderId="61" xfId="0" applyNumberFormat="1" applyFont="1" applyFill="1" applyBorder="1">
      <alignment vertical="center"/>
    </xf>
    <xf numFmtId="179" fontId="46" fillId="9" borderId="3" xfId="588" applyNumberFormat="1" applyFont="1" applyFill="1" applyBorder="1">
      <alignment vertical="center"/>
    </xf>
    <xf numFmtId="178" fontId="46" fillId="9" borderId="26" xfId="0" applyNumberFormat="1" applyFont="1" applyFill="1" applyBorder="1" applyAlignment="1">
      <alignment horizontal="center" vertical="center"/>
    </xf>
    <xf numFmtId="178" fontId="46" fillId="9" borderId="62" xfId="0" applyNumberFormat="1" applyFont="1" applyFill="1" applyBorder="1">
      <alignment vertical="center"/>
    </xf>
    <xf numFmtId="179" fontId="46" fillId="9" borderId="4" xfId="588" applyNumberFormat="1" applyFont="1" applyFill="1" applyBorder="1">
      <alignment vertical="center"/>
    </xf>
    <xf numFmtId="178" fontId="46" fillId="9" borderId="27" xfId="0" applyNumberFormat="1" applyFont="1" applyFill="1" applyBorder="1" applyAlignment="1">
      <alignment horizontal="center" vertical="center"/>
    </xf>
    <xf numFmtId="178" fontId="46" fillId="9" borderId="63" xfId="0" applyNumberFormat="1" applyFont="1" applyFill="1" applyBorder="1">
      <alignment vertical="center"/>
    </xf>
    <xf numFmtId="178" fontId="46" fillId="9" borderId="64" xfId="0" applyNumberFormat="1" applyFont="1" applyFill="1" applyBorder="1">
      <alignment vertical="center"/>
    </xf>
    <xf numFmtId="179" fontId="46" fillId="9" borderId="22" xfId="588" applyNumberFormat="1" applyFont="1" applyFill="1" applyBorder="1">
      <alignment vertical="center"/>
    </xf>
    <xf numFmtId="178" fontId="46" fillId="9" borderId="29" xfId="0" applyNumberFormat="1" applyFont="1" applyFill="1" applyBorder="1" applyAlignment="1">
      <alignment horizontal="center" vertical="center"/>
    </xf>
    <xf numFmtId="178" fontId="46" fillId="9" borderId="65" xfId="0" applyNumberFormat="1" applyFont="1" applyFill="1" applyBorder="1">
      <alignment vertical="center"/>
    </xf>
    <xf numFmtId="179" fontId="46" fillId="9" borderId="7" xfId="588" applyNumberFormat="1" applyFont="1" applyFill="1" applyBorder="1">
      <alignment vertical="center"/>
    </xf>
    <xf numFmtId="178" fontId="46" fillId="9" borderId="28" xfId="0" applyNumberFormat="1" applyFont="1" applyFill="1" applyBorder="1" applyAlignment="1">
      <alignment horizontal="center" vertical="center"/>
    </xf>
    <xf numFmtId="178" fontId="46" fillId="9" borderId="66" xfId="0" applyNumberFormat="1" applyFont="1" applyFill="1" applyBorder="1">
      <alignment vertical="center"/>
    </xf>
    <xf numFmtId="179" fontId="46" fillId="9" borderId="50" xfId="588" applyNumberFormat="1" applyFont="1" applyFill="1" applyBorder="1">
      <alignment vertical="center"/>
    </xf>
    <xf numFmtId="178" fontId="46" fillId="9" borderId="51" xfId="0" applyNumberFormat="1" applyFont="1" applyFill="1" applyBorder="1" applyAlignment="1">
      <alignment horizontal="center" vertical="center"/>
    </xf>
    <xf numFmtId="178" fontId="46" fillId="9" borderId="67" xfId="0" applyNumberFormat="1" applyFont="1" applyFill="1" applyBorder="1">
      <alignment vertical="center"/>
    </xf>
    <xf numFmtId="178" fontId="46" fillId="9" borderId="68" xfId="0" applyNumberFormat="1" applyFont="1" applyFill="1" applyBorder="1">
      <alignment vertical="center"/>
    </xf>
    <xf numFmtId="179" fontId="46" fillId="9" borderId="5" xfId="588" applyNumberFormat="1" applyFont="1" applyFill="1" applyBorder="1">
      <alignment vertical="center"/>
    </xf>
    <xf numFmtId="178" fontId="46" fillId="9" borderId="30" xfId="0" applyNumberFormat="1" applyFont="1" applyFill="1" applyBorder="1" applyAlignment="1">
      <alignment horizontal="center" vertical="center"/>
    </xf>
    <xf numFmtId="179" fontId="46" fillId="9" borderId="60" xfId="588" applyNumberFormat="1" applyFont="1" applyFill="1" applyBorder="1">
      <alignment vertical="center"/>
    </xf>
    <xf numFmtId="179" fontId="46" fillId="9" borderId="69" xfId="588" applyNumberFormat="1" applyFont="1" applyFill="1" applyBorder="1">
      <alignment vertical="center"/>
    </xf>
    <xf numFmtId="179" fontId="46" fillId="9" borderId="64" xfId="588" applyNumberFormat="1" applyFont="1" applyFill="1" applyBorder="1">
      <alignment vertical="center"/>
    </xf>
    <xf numFmtId="179" fontId="46" fillId="9" borderId="70" xfId="588" applyNumberFormat="1" applyFont="1" applyFill="1" applyBorder="1">
      <alignment vertical="center"/>
    </xf>
    <xf numFmtId="179" fontId="46" fillId="9" borderId="41" xfId="588" applyNumberFormat="1" applyFont="1" applyFill="1" applyBorder="1">
      <alignment vertical="center"/>
    </xf>
    <xf numFmtId="178" fontId="46" fillId="9" borderId="42" xfId="0" applyNumberFormat="1" applyFont="1" applyFill="1" applyBorder="1" applyAlignment="1">
      <alignment horizontal="center" vertical="center"/>
    </xf>
    <xf numFmtId="178" fontId="46" fillId="9" borderId="71" xfId="0" applyNumberFormat="1" applyFont="1" applyFill="1" applyBorder="1">
      <alignment vertical="center"/>
    </xf>
    <xf numFmtId="178" fontId="46" fillId="9" borderId="72" xfId="0" applyNumberFormat="1" applyFont="1" applyFill="1" applyBorder="1">
      <alignment vertical="center"/>
    </xf>
    <xf numFmtId="179" fontId="46" fillId="9" borderId="55" xfId="588" applyNumberFormat="1" applyFont="1" applyFill="1" applyBorder="1">
      <alignment vertical="center"/>
    </xf>
    <xf numFmtId="178" fontId="46" fillId="9" borderId="56" xfId="0" applyNumberFormat="1" applyFont="1" applyFill="1" applyBorder="1" applyAlignment="1">
      <alignment horizontal="center" vertical="center"/>
    </xf>
    <xf numFmtId="178" fontId="46" fillId="9" borderId="73" xfId="0" applyNumberFormat="1" applyFont="1" applyFill="1" applyBorder="1">
      <alignment vertical="center"/>
    </xf>
    <xf numFmtId="179" fontId="46" fillId="9" borderId="45" xfId="588" applyNumberFormat="1" applyFont="1" applyFill="1" applyBorder="1">
      <alignment vertical="center"/>
    </xf>
    <xf numFmtId="178" fontId="46" fillId="9" borderId="46" xfId="0" applyNumberFormat="1" applyFont="1" applyFill="1" applyBorder="1" applyAlignment="1">
      <alignment horizontal="center" vertical="center"/>
    </xf>
    <xf numFmtId="0" fontId="57" fillId="9" borderId="0" xfId="0" applyFont="1" applyFill="1" applyBorder="1" applyAlignment="1">
      <alignment horizontal="center" vertical="center"/>
    </xf>
    <xf numFmtId="179" fontId="57" fillId="9" borderId="0" xfId="588" applyNumberFormat="1" applyFont="1" applyFill="1" applyBorder="1" applyAlignment="1">
      <alignment horizontal="center" vertical="center"/>
    </xf>
    <xf numFmtId="0" fontId="57" fillId="8" borderId="79" xfId="0" applyFont="1" applyFill="1" applyBorder="1" applyAlignment="1">
      <alignment horizontal="left" vertical="top" wrapText="1"/>
    </xf>
    <xf numFmtId="179" fontId="57" fillId="8" borderId="79" xfId="588" applyNumberFormat="1" applyFont="1" applyFill="1" applyBorder="1" applyAlignment="1">
      <alignment horizontal="center" vertical="center"/>
    </xf>
    <xf numFmtId="9" fontId="57" fillId="8" borderId="79" xfId="588" applyFont="1" applyFill="1" applyBorder="1" applyAlignment="1">
      <alignment horizontal="center" vertical="center"/>
    </xf>
    <xf numFmtId="179" fontId="57" fillId="8" borderId="0" xfId="588" applyNumberFormat="1" applyFont="1" applyFill="1" applyBorder="1" applyAlignment="1">
      <alignment horizontal="center" vertical="center"/>
    </xf>
    <xf numFmtId="9" fontId="57" fillId="8" borderId="130" xfId="588" applyFont="1" applyFill="1" applyBorder="1" applyAlignment="1">
      <alignment horizontal="center" vertical="center"/>
    </xf>
    <xf numFmtId="9" fontId="57" fillId="8" borderId="129" xfId="588" applyFont="1" applyFill="1" applyBorder="1" applyAlignment="1">
      <alignment horizontal="center" vertical="center"/>
    </xf>
    <xf numFmtId="0" fontId="57" fillId="9" borderId="7" xfId="0" applyFont="1" applyFill="1" applyBorder="1" applyAlignment="1">
      <alignment horizontal="left" vertical="top" wrapText="1"/>
    </xf>
    <xf numFmtId="0" fontId="57" fillId="9" borderId="7" xfId="0" applyFont="1" applyFill="1" applyBorder="1" applyAlignment="1">
      <alignment horizontal="center" vertical="center"/>
    </xf>
    <xf numFmtId="0" fontId="57" fillId="9" borderId="13" xfId="0" applyFont="1" applyFill="1" applyBorder="1" applyAlignment="1">
      <alignment horizontal="left" vertical="top" wrapText="1"/>
    </xf>
    <xf numFmtId="0" fontId="46" fillId="4" borderId="31" xfId="0" applyFont="1" applyFill="1" applyBorder="1" applyAlignment="1">
      <alignment horizontal="center" vertical="center"/>
    </xf>
    <xf numFmtId="0" fontId="46" fillId="8" borderId="0" xfId="0" applyFont="1" applyFill="1">
      <alignment vertical="center"/>
    </xf>
    <xf numFmtId="0" fontId="46" fillId="8" borderId="0" xfId="0" applyFont="1" applyFill="1" applyAlignment="1">
      <alignment horizontal="center" vertical="center"/>
    </xf>
    <xf numFmtId="178" fontId="46" fillId="8" borderId="0" xfId="0" applyNumberFormat="1" applyFont="1" applyFill="1">
      <alignment vertical="center"/>
    </xf>
    <xf numFmtId="0" fontId="46" fillId="8" borderId="6" xfId="0" applyFont="1" applyFill="1" applyBorder="1" applyAlignment="1">
      <alignment horizontal="center" vertical="center"/>
    </xf>
    <xf numFmtId="0" fontId="46" fillId="8" borderId="31" xfId="0" applyFont="1" applyFill="1" applyBorder="1" applyAlignment="1">
      <alignment horizontal="center" vertical="center"/>
    </xf>
    <xf numFmtId="0" fontId="46" fillId="8" borderId="24" xfId="0" applyFont="1" applyFill="1" applyBorder="1" applyAlignment="1">
      <alignment horizontal="center" vertical="center"/>
    </xf>
    <xf numFmtId="178" fontId="46" fillId="8" borderId="2" xfId="0" applyNumberFormat="1" applyFont="1" applyFill="1" applyBorder="1">
      <alignment vertical="center"/>
    </xf>
    <xf numFmtId="179" fontId="46" fillId="8" borderId="2" xfId="588" applyNumberFormat="1" applyFont="1" applyFill="1" applyBorder="1">
      <alignment vertical="center"/>
    </xf>
    <xf numFmtId="179" fontId="46" fillId="8" borderId="17" xfId="588" applyNumberFormat="1" applyFont="1" applyFill="1" applyBorder="1">
      <alignment vertical="center"/>
    </xf>
    <xf numFmtId="178" fontId="46" fillId="8" borderId="25" xfId="0" applyNumberFormat="1" applyFont="1" applyFill="1" applyBorder="1" applyAlignment="1">
      <alignment horizontal="center" vertical="center"/>
    </xf>
    <xf numFmtId="178" fontId="46" fillId="8" borderId="3" xfId="0" applyNumberFormat="1" applyFont="1" applyFill="1" applyBorder="1">
      <alignment vertical="center"/>
    </xf>
    <xf numFmtId="179" fontId="46" fillId="8" borderId="3" xfId="588" applyNumberFormat="1" applyFont="1" applyFill="1" applyBorder="1">
      <alignment vertical="center"/>
    </xf>
    <xf numFmtId="179" fontId="46" fillId="8" borderId="9" xfId="588" applyNumberFormat="1" applyFont="1" applyFill="1" applyBorder="1">
      <alignment vertical="center"/>
    </xf>
    <xf numFmtId="178" fontId="46" fillId="8" borderId="26" xfId="0" applyNumberFormat="1" applyFont="1" applyFill="1" applyBorder="1" applyAlignment="1">
      <alignment horizontal="center" vertical="center"/>
    </xf>
    <xf numFmtId="178" fontId="46" fillId="8" borderId="4" xfId="0" applyNumberFormat="1" applyFont="1" applyFill="1" applyBorder="1">
      <alignment vertical="center"/>
    </xf>
    <xf numFmtId="179" fontId="46" fillId="8" borderId="4" xfId="588" applyNumberFormat="1" applyFont="1" applyFill="1" applyBorder="1">
      <alignment vertical="center"/>
    </xf>
    <xf numFmtId="179" fontId="46" fillId="8" borderId="11" xfId="588" applyNumberFormat="1" applyFont="1" applyFill="1" applyBorder="1">
      <alignment vertical="center"/>
    </xf>
    <xf numFmtId="178" fontId="46" fillId="8" borderId="27" xfId="0" applyNumberFormat="1" applyFont="1" applyFill="1" applyBorder="1" applyAlignment="1">
      <alignment horizontal="center" vertical="center"/>
    </xf>
    <xf numFmtId="178" fontId="46" fillId="8" borderId="22" xfId="0" applyNumberFormat="1" applyFont="1" applyFill="1" applyBorder="1">
      <alignment vertical="center"/>
    </xf>
    <xf numFmtId="179" fontId="46" fillId="8" borderId="22" xfId="588" applyNumberFormat="1" applyFont="1" applyFill="1" applyBorder="1">
      <alignment vertical="center"/>
    </xf>
    <xf numFmtId="179" fontId="46" fillId="8" borderId="23" xfId="588" applyNumberFormat="1" applyFont="1" applyFill="1" applyBorder="1">
      <alignment vertical="center"/>
    </xf>
    <xf numFmtId="178" fontId="46" fillId="8" borderId="29" xfId="0" applyNumberFormat="1" applyFont="1" applyFill="1" applyBorder="1" applyAlignment="1">
      <alignment horizontal="center" vertical="center"/>
    </xf>
    <xf numFmtId="178" fontId="46" fillId="8" borderId="7" xfId="0" applyNumberFormat="1" applyFont="1" applyFill="1" applyBorder="1">
      <alignment vertical="center"/>
    </xf>
    <xf numFmtId="179" fontId="46" fillId="8" borderId="7" xfId="588" applyNumberFormat="1" applyFont="1" applyFill="1" applyBorder="1">
      <alignment vertical="center"/>
    </xf>
    <xf numFmtId="179" fontId="46" fillId="8" borderId="8" xfId="588" applyNumberFormat="1" applyFont="1" applyFill="1" applyBorder="1">
      <alignment vertical="center"/>
    </xf>
    <xf numFmtId="178" fontId="46" fillId="8" borderId="28" xfId="0" applyNumberFormat="1" applyFont="1" applyFill="1" applyBorder="1" applyAlignment="1">
      <alignment horizontal="center" vertical="center"/>
    </xf>
    <xf numFmtId="178" fontId="46" fillId="8" borderId="5" xfId="0" applyNumberFormat="1" applyFont="1" applyFill="1" applyBorder="1">
      <alignment vertical="center"/>
    </xf>
    <xf numFmtId="179" fontId="46" fillId="8" borderId="5" xfId="588" applyNumberFormat="1" applyFont="1" applyFill="1" applyBorder="1">
      <alignment vertical="center"/>
    </xf>
    <xf numFmtId="179" fontId="46" fillId="8" borderId="15" xfId="588" applyNumberFormat="1" applyFont="1" applyFill="1" applyBorder="1">
      <alignment vertical="center"/>
    </xf>
    <xf numFmtId="178" fontId="46" fillId="8" borderId="30" xfId="0" applyNumberFormat="1" applyFont="1" applyFill="1" applyBorder="1" applyAlignment="1">
      <alignment horizontal="center" vertical="center"/>
    </xf>
    <xf numFmtId="179" fontId="46" fillId="8" borderId="41" xfId="588" applyNumberFormat="1" applyFont="1" applyFill="1" applyBorder="1">
      <alignment vertical="center"/>
    </xf>
    <xf numFmtId="179" fontId="46" fillId="8" borderId="43" xfId="588" applyNumberFormat="1" applyFont="1" applyFill="1" applyBorder="1">
      <alignment vertical="center"/>
    </xf>
    <xf numFmtId="178" fontId="46" fillId="8" borderId="10" xfId="0" applyNumberFormat="1" applyFont="1" applyFill="1" applyBorder="1">
      <alignment vertical="center"/>
    </xf>
    <xf numFmtId="178" fontId="46" fillId="8" borderId="12" xfId="0" applyNumberFormat="1" applyFont="1" applyFill="1" applyBorder="1">
      <alignment vertical="center"/>
    </xf>
    <xf numFmtId="178" fontId="46" fillId="8" borderId="44" xfId="0" applyNumberFormat="1" applyFont="1" applyFill="1" applyBorder="1">
      <alignment vertical="center"/>
    </xf>
    <xf numFmtId="178" fontId="46" fillId="8" borderId="16" xfId="0" applyNumberFormat="1" applyFont="1" applyFill="1" applyBorder="1">
      <alignment vertical="center"/>
    </xf>
    <xf numFmtId="178" fontId="46" fillId="8" borderId="41" xfId="0" applyNumberFormat="1" applyFont="1" applyFill="1" applyBorder="1">
      <alignment vertical="center"/>
    </xf>
    <xf numFmtId="178" fontId="46" fillId="8" borderId="42" xfId="0" applyNumberFormat="1" applyFont="1" applyFill="1" applyBorder="1" applyAlignment="1">
      <alignment horizontal="center" vertical="center"/>
    </xf>
    <xf numFmtId="178" fontId="46" fillId="8" borderId="58" xfId="0" applyNumberFormat="1" applyFont="1" applyFill="1" applyBorder="1">
      <alignment vertical="center"/>
    </xf>
    <xf numFmtId="179" fontId="46" fillId="8" borderId="55" xfId="588" applyNumberFormat="1" applyFont="1" applyFill="1" applyBorder="1">
      <alignment vertical="center"/>
    </xf>
    <xf numFmtId="179" fontId="46" fillId="8" borderId="57" xfId="588" applyNumberFormat="1" applyFont="1" applyFill="1" applyBorder="1">
      <alignment vertical="center"/>
    </xf>
    <xf numFmtId="178" fontId="46" fillId="8" borderId="56" xfId="0" applyNumberFormat="1" applyFont="1" applyFill="1" applyBorder="1" applyAlignment="1">
      <alignment horizontal="center" vertical="center"/>
    </xf>
    <xf numFmtId="178" fontId="46" fillId="8" borderId="0" xfId="0" applyNumberFormat="1" applyFont="1" applyFill="1" applyBorder="1">
      <alignment vertical="center"/>
    </xf>
    <xf numFmtId="179" fontId="46" fillId="8" borderId="0" xfId="588" applyNumberFormat="1" applyFont="1" applyFill="1" applyBorder="1">
      <alignment vertical="center"/>
    </xf>
    <xf numFmtId="178" fontId="46" fillId="8" borderId="0" xfId="0" applyNumberFormat="1" applyFont="1" applyFill="1" applyBorder="1" applyAlignment="1">
      <alignment horizontal="center" vertical="center"/>
    </xf>
    <xf numFmtId="0" fontId="46" fillId="8" borderId="0" xfId="0" applyFont="1" applyFill="1" applyBorder="1">
      <alignment vertical="center"/>
    </xf>
    <xf numFmtId="0" fontId="46" fillId="8" borderId="0" xfId="0" applyFont="1" applyFill="1" applyBorder="1" applyAlignment="1">
      <alignment horizontal="center" vertical="center"/>
    </xf>
    <xf numFmtId="178" fontId="46" fillId="8" borderId="161" xfId="0" applyNumberFormat="1" applyFont="1" applyFill="1" applyBorder="1">
      <alignment vertical="center"/>
    </xf>
    <xf numFmtId="179" fontId="46" fillId="8" borderId="161" xfId="588" applyNumberFormat="1" applyFont="1" applyFill="1" applyBorder="1">
      <alignment vertical="center"/>
    </xf>
    <xf numFmtId="178" fontId="46" fillId="8" borderId="167" xfId="0" applyNumberFormat="1" applyFont="1" applyFill="1" applyBorder="1" applyAlignment="1">
      <alignment horizontal="center" vertical="center"/>
    </xf>
    <xf numFmtId="178" fontId="46" fillId="8" borderId="168" xfId="0" applyNumberFormat="1" applyFont="1" applyFill="1" applyBorder="1">
      <alignment vertical="center"/>
    </xf>
    <xf numFmtId="178" fontId="46" fillId="8" borderId="169" xfId="0" applyNumberFormat="1" applyFont="1" applyFill="1" applyBorder="1">
      <alignment vertical="center"/>
    </xf>
    <xf numFmtId="178" fontId="64" fillId="15" borderId="2" xfId="0" applyNumberFormat="1" applyFont="1" applyFill="1" applyBorder="1">
      <alignment vertical="center"/>
    </xf>
    <xf numFmtId="178" fontId="64" fillId="15" borderId="3" xfId="0" applyNumberFormat="1" applyFont="1" applyFill="1" applyBorder="1">
      <alignment vertical="center"/>
    </xf>
    <xf numFmtId="178" fontId="64" fillId="15" borderId="4" xfId="0" applyNumberFormat="1" applyFont="1" applyFill="1" applyBorder="1">
      <alignment vertical="center"/>
    </xf>
    <xf numFmtId="178" fontId="64" fillId="15" borderId="7" xfId="0" applyNumberFormat="1" applyFont="1" applyFill="1" applyBorder="1">
      <alignment vertical="center"/>
    </xf>
    <xf numFmtId="178" fontId="64" fillId="15" borderId="5" xfId="0" applyNumberFormat="1" applyFont="1" applyFill="1" applyBorder="1">
      <alignment vertical="center"/>
    </xf>
    <xf numFmtId="0" fontId="57" fillId="8" borderId="121" xfId="0" applyFont="1" applyFill="1" applyBorder="1" applyAlignment="1">
      <alignment horizontal="center" vertical="center"/>
    </xf>
    <xf numFmtId="179" fontId="46" fillId="4" borderId="178" xfId="588" applyNumberFormat="1" applyFont="1" applyFill="1" applyBorder="1">
      <alignment vertical="center"/>
    </xf>
    <xf numFmtId="179" fontId="46" fillId="4" borderId="179" xfId="588" applyNumberFormat="1" applyFont="1" applyFill="1" applyBorder="1">
      <alignment vertical="center"/>
    </xf>
    <xf numFmtId="179" fontId="46" fillId="4" borderId="180" xfId="588" applyNumberFormat="1" applyFont="1" applyFill="1" applyBorder="1">
      <alignment vertical="center"/>
    </xf>
    <xf numFmtId="179" fontId="46" fillId="4" borderId="181" xfId="588" applyNumberFormat="1" applyFont="1" applyFill="1" applyBorder="1">
      <alignment vertical="center"/>
    </xf>
    <xf numFmtId="38" fontId="40" fillId="8" borderId="182" xfId="2566" applyFont="1" applyFill="1" applyBorder="1" applyAlignment="1">
      <alignment vertical="center" shrinkToFit="1"/>
    </xf>
    <xf numFmtId="38" fontId="40" fillId="5" borderId="177" xfId="2566" applyFont="1" applyFill="1" applyBorder="1" applyAlignment="1">
      <alignment vertical="center" shrinkToFit="1"/>
    </xf>
    <xf numFmtId="38" fontId="40" fillId="8" borderId="174" xfId="2566" applyFont="1" applyFill="1" applyBorder="1" applyAlignment="1">
      <alignment vertical="center" shrinkToFit="1"/>
    </xf>
    <xf numFmtId="38" fontId="40" fillId="8" borderId="172" xfId="2566" applyFont="1" applyFill="1" applyBorder="1" applyAlignment="1">
      <alignment vertical="center" shrinkToFit="1"/>
    </xf>
    <xf numFmtId="38" fontId="40" fillId="8" borderId="183" xfId="2566" applyFont="1" applyFill="1" applyBorder="1" applyAlignment="1">
      <alignment vertical="center" shrinkToFit="1"/>
    </xf>
    <xf numFmtId="38" fontId="40" fillId="8" borderId="162" xfId="2566" applyFont="1" applyFill="1" applyBorder="1" applyAlignment="1">
      <alignment vertical="center" shrinkToFit="1"/>
    </xf>
    <xf numFmtId="38" fontId="41" fillId="8" borderId="182" xfId="2566" applyFont="1" applyFill="1" applyBorder="1" applyAlignment="1">
      <alignment vertical="center" shrinkToFit="1"/>
    </xf>
    <xf numFmtId="38" fontId="40" fillId="8" borderId="177" xfId="2566" applyFont="1" applyFill="1" applyBorder="1" applyAlignment="1">
      <alignment vertical="center" shrinkToFit="1"/>
    </xf>
    <xf numFmtId="179" fontId="40" fillId="5" borderId="184" xfId="595" applyNumberFormat="1" applyFont="1" applyFill="1" applyBorder="1" applyAlignment="1">
      <alignment horizontal="left" vertical="center" shrinkToFit="1"/>
    </xf>
    <xf numFmtId="38" fontId="40" fillId="8" borderId="184" xfId="2566" applyFont="1" applyFill="1" applyBorder="1" applyAlignment="1" applyProtection="1">
      <alignment vertical="center" shrinkToFit="1"/>
      <protection locked="0"/>
    </xf>
    <xf numFmtId="38" fontId="41" fillId="8" borderId="184" xfId="2566" applyFont="1" applyFill="1" applyBorder="1" applyAlignment="1" applyProtection="1">
      <alignment vertical="center" shrinkToFit="1"/>
      <protection locked="0"/>
    </xf>
    <xf numFmtId="38" fontId="40" fillId="5" borderId="182" xfId="2566" applyFont="1" applyFill="1" applyBorder="1" applyAlignment="1">
      <alignment vertical="center" shrinkToFit="1"/>
    </xf>
    <xf numFmtId="38" fontId="41" fillId="5" borderId="184" xfId="2566" applyFont="1" applyFill="1" applyBorder="1" applyAlignment="1" applyProtection="1">
      <alignment vertical="center" shrinkToFit="1"/>
      <protection locked="0"/>
    </xf>
    <xf numFmtId="38" fontId="41" fillId="8" borderId="184" xfId="2566" applyFont="1" applyFill="1" applyBorder="1" applyAlignment="1" applyProtection="1">
      <alignment horizontal="left" vertical="center" shrinkToFit="1"/>
      <protection locked="0"/>
    </xf>
    <xf numFmtId="38" fontId="41" fillId="8" borderId="184" xfId="2566" applyFont="1" applyFill="1" applyBorder="1" applyAlignment="1">
      <alignment horizontal="left" vertical="center" shrinkToFit="1"/>
    </xf>
    <xf numFmtId="38" fontId="41" fillId="8" borderId="184" xfId="2566" applyFont="1" applyFill="1" applyBorder="1" applyAlignment="1">
      <alignment vertical="center" shrinkToFit="1"/>
    </xf>
    <xf numFmtId="38" fontId="41" fillId="8" borderId="177" xfId="2566" applyFont="1" applyFill="1" applyBorder="1" applyAlignment="1">
      <alignment vertical="center" shrinkToFit="1"/>
    </xf>
    <xf numFmtId="38" fontId="41" fillId="5" borderId="182" xfId="2566" applyFont="1" applyFill="1" applyBorder="1" applyAlignment="1">
      <alignment vertical="center" shrinkToFit="1"/>
    </xf>
    <xf numFmtId="179" fontId="41" fillId="8" borderId="184" xfId="595" applyNumberFormat="1" applyFont="1" applyFill="1" applyBorder="1" applyAlignment="1">
      <alignment horizontal="left" vertical="center" shrinkToFit="1"/>
    </xf>
    <xf numFmtId="179" fontId="40" fillId="8" borderId="184" xfId="595" applyNumberFormat="1" applyFont="1" applyFill="1" applyBorder="1" applyAlignment="1" applyProtection="1">
      <alignment horizontal="left" vertical="center" shrinkToFit="1"/>
      <protection locked="0"/>
    </xf>
    <xf numFmtId="179" fontId="40" fillId="8" borderId="184" xfId="595" applyNumberFormat="1" applyFont="1" applyFill="1" applyBorder="1" applyAlignment="1">
      <alignment horizontal="left" vertical="center" shrinkToFit="1"/>
    </xf>
    <xf numFmtId="9" fontId="41" fillId="8" borderId="184" xfId="595" applyFont="1" applyFill="1" applyBorder="1" applyAlignment="1">
      <alignment horizontal="left" vertical="center" shrinkToFit="1"/>
    </xf>
    <xf numFmtId="179" fontId="41" fillId="8" borderId="184" xfId="595" applyNumberFormat="1" applyFont="1" applyFill="1" applyBorder="1" applyAlignment="1" applyProtection="1">
      <alignment horizontal="left" vertical="center" shrinkToFit="1"/>
      <protection locked="0"/>
    </xf>
    <xf numFmtId="38" fontId="41" fillId="5" borderId="84" xfId="2566" applyFont="1" applyFill="1" applyBorder="1" applyAlignment="1">
      <alignment vertical="center"/>
    </xf>
    <xf numFmtId="38" fontId="40" fillId="8" borderId="130" xfId="2566" applyFont="1" applyFill="1" applyBorder="1" applyAlignment="1">
      <alignment horizontal="left" vertical="center" shrinkToFit="1"/>
    </xf>
    <xf numFmtId="9" fontId="41" fillId="8" borderId="131" xfId="595" applyNumberFormat="1" applyFont="1" applyFill="1" applyBorder="1" applyAlignment="1">
      <alignment horizontal="left" vertical="center" shrinkToFit="1"/>
    </xf>
    <xf numFmtId="38" fontId="41" fillId="8" borderId="132" xfId="2566" applyFont="1" applyFill="1" applyBorder="1" applyAlignment="1" applyProtection="1">
      <alignment vertical="center" shrinkToFit="1"/>
      <protection locked="0"/>
    </xf>
    <xf numFmtId="38" fontId="41" fillId="8" borderId="132" xfId="2566" applyFont="1" applyFill="1" applyBorder="1" applyAlignment="1">
      <alignment vertical="center" shrinkToFit="1"/>
    </xf>
    <xf numFmtId="38" fontId="41" fillId="8" borderId="79" xfId="2566" applyFont="1" applyFill="1" applyBorder="1" applyAlignment="1">
      <alignment vertical="center" shrinkToFit="1"/>
    </xf>
    <xf numFmtId="38" fontId="41" fillId="8" borderId="102" xfId="2566" applyFont="1" applyFill="1" applyBorder="1" applyAlignment="1">
      <alignment vertical="center" shrinkToFit="1"/>
    </xf>
    <xf numFmtId="38" fontId="41" fillId="8" borderId="160" xfId="2566" applyFont="1" applyFill="1" applyBorder="1" applyAlignment="1">
      <alignment vertical="center" shrinkToFit="1"/>
    </xf>
    <xf numFmtId="38" fontId="41" fillId="16" borderId="0" xfId="2566" applyFont="1" applyFill="1" applyBorder="1" applyAlignment="1">
      <alignment vertical="center" shrinkToFit="1"/>
    </xf>
    <xf numFmtId="38" fontId="40" fillId="16" borderId="0" xfId="2566" applyFont="1" applyFill="1" applyBorder="1" applyAlignment="1">
      <alignment vertical="center" shrinkToFit="1"/>
    </xf>
    <xf numFmtId="38" fontId="41" fillId="16" borderId="0" xfId="2566" applyFont="1" applyFill="1" applyBorder="1" applyAlignment="1">
      <alignment vertical="center"/>
    </xf>
    <xf numFmtId="38" fontId="41" fillId="16" borderId="0" xfId="2566" applyFont="1" applyFill="1" applyAlignment="1">
      <alignment vertical="center"/>
    </xf>
    <xf numFmtId="38" fontId="41" fillId="7" borderId="0" xfId="2566" applyFont="1" applyFill="1" applyAlignment="1" applyProtection="1">
      <alignment vertical="center"/>
    </xf>
    <xf numFmtId="9" fontId="66" fillId="8" borderId="77" xfId="588" applyFont="1" applyFill="1" applyBorder="1" applyAlignment="1">
      <alignment horizontal="center" vertical="center"/>
    </xf>
    <xf numFmtId="0" fontId="66" fillId="8" borderId="84" xfId="0" applyFont="1" applyFill="1" applyBorder="1" applyAlignment="1">
      <alignment horizontal="center" vertical="center"/>
    </xf>
    <xf numFmtId="179" fontId="66" fillId="8" borderId="84" xfId="588" applyNumberFormat="1" applyFont="1" applyFill="1" applyBorder="1" applyAlignment="1">
      <alignment horizontal="center" vertical="center"/>
    </xf>
    <xf numFmtId="9" fontId="67" fillId="8" borderId="2" xfId="588" applyFont="1" applyFill="1" applyBorder="1" applyAlignment="1">
      <alignment horizontal="center" vertical="center"/>
    </xf>
    <xf numFmtId="9" fontId="67" fillId="8" borderId="84" xfId="588" applyFont="1" applyFill="1" applyBorder="1" applyAlignment="1">
      <alignment horizontal="center" vertical="center"/>
    </xf>
    <xf numFmtId="0" fontId="66" fillId="8" borderId="77" xfId="0" applyFont="1" applyFill="1" applyBorder="1" applyAlignment="1">
      <alignment horizontal="center" vertical="center"/>
    </xf>
    <xf numFmtId="0" fontId="67" fillId="8" borderId="2" xfId="0" applyFont="1" applyFill="1" applyBorder="1" applyAlignment="1">
      <alignment horizontal="center" vertical="center"/>
    </xf>
    <xf numFmtId="0" fontId="66" fillId="9" borderId="160" xfId="0" applyFont="1" applyFill="1" applyBorder="1" applyAlignment="1">
      <alignment horizontal="center" vertical="center"/>
    </xf>
    <xf numFmtId="179" fontId="66" fillId="9" borderId="160" xfId="588" applyNumberFormat="1" applyFont="1" applyFill="1" applyBorder="1" applyAlignment="1">
      <alignment horizontal="center" vertical="center"/>
    </xf>
    <xf numFmtId="0" fontId="67" fillId="9" borderId="161" xfId="0" applyFont="1" applyFill="1" applyBorder="1" applyAlignment="1">
      <alignment horizontal="center" vertical="center"/>
    </xf>
    <xf numFmtId="0" fontId="67" fillId="9" borderId="162" xfId="0" applyFont="1" applyFill="1" applyBorder="1" applyAlignment="1">
      <alignment horizontal="center" vertical="center"/>
    </xf>
    <xf numFmtId="38" fontId="40" fillId="8" borderId="166" xfId="2566" applyFont="1" applyFill="1" applyBorder="1" applyAlignment="1">
      <alignment vertical="center" shrinkToFit="1"/>
    </xf>
    <xf numFmtId="181" fontId="46" fillId="8" borderId="0" xfId="3337" applyNumberFormat="1" applyFont="1" applyFill="1">
      <alignment vertical="center"/>
    </xf>
    <xf numFmtId="181" fontId="46" fillId="8" borderId="0" xfId="3337" applyNumberFormat="1" applyFont="1" applyFill="1" applyBorder="1">
      <alignment vertical="center"/>
    </xf>
    <xf numFmtId="0" fontId="69" fillId="8" borderId="130" xfId="0" applyFont="1" applyFill="1" applyBorder="1" applyAlignment="1">
      <alignment horizontal="center" vertical="center"/>
    </xf>
    <xf numFmtId="0" fontId="69" fillId="9" borderId="7" xfId="0" applyFont="1" applyFill="1" applyBorder="1" applyAlignment="1">
      <alignment horizontal="center" vertical="center"/>
    </xf>
    <xf numFmtId="0" fontId="69" fillId="9" borderId="89" xfId="0" applyFont="1" applyFill="1" applyBorder="1" applyAlignment="1">
      <alignment horizontal="center" vertical="center"/>
    </xf>
    <xf numFmtId="0" fontId="69" fillId="8" borderId="170" xfId="0" applyFont="1" applyFill="1" applyBorder="1" applyAlignment="1">
      <alignment horizontal="center" vertical="center"/>
    </xf>
    <xf numFmtId="0" fontId="57" fillId="8" borderId="170" xfId="0" applyFont="1" applyFill="1" applyBorder="1" applyAlignment="1">
      <alignment horizontal="center" vertical="center"/>
    </xf>
    <xf numFmtId="0" fontId="57" fillId="8" borderId="170" xfId="0" applyFont="1" applyFill="1" applyBorder="1" applyAlignment="1">
      <alignment horizontal="center" vertical="top"/>
    </xf>
    <xf numFmtId="0" fontId="0" fillId="0" borderId="0" xfId="0">
      <alignment vertical="center"/>
    </xf>
    <xf numFmtId="38" fontId="40" fillId="8" borderId="89" xfId="2568" applyFont="1" applyFill="1" applyBorder="1" applyAlignment="1" applyProtection="1">
      <alignment vertical="center"/>
    </xf>
    <xf numFmtId="38" fontId="40" fillId="7" borderId="79" xfId="2566" applyFont="1" applyFill="1" applyBorder="1" applyAlignment="1">
      <alignment horizontal="center" vertical="center"/>
    </xf>
    <xf numFmtId="38" fontId="41" fillId="7" borderId="79" xfId="2566" applyFont="1" applyFill="1" applyBorder="1" applyAlignment="1">
      <alignment vertical="center"/>
    </xf>
    <xf numFmtId="38" fontId="41" fillId="5" borderId="77" xfId="2566" applyFont="1" applyFill="1" applyBorder="1" applyAlignment="1">
      <alignment horizontal="right" vertical="center" shrinkToFit="1"/>
    </xf>
    <xf numFmtId="38" fontId="41" fillId="5" borderId="8" xfId="2566" applyFont="1" applyFill="1" applyBorder="1" applyAlignment="1">
      <alignment vertical="center" shrinkToFit="1"/>
    </xf>
    <xf numFmtId="38" fontId="41" fillId="7" borderId="79" xfId="2566" applyFont="1" applyFill="1" applyBorder="1" applyAlignment="1">
      <alignment horizontal="center" vertical="center"/>
    </xf>
    <xf numFmtId="38" fontId="40" fillId="5" borderId="184" xfId="2566" applyFont="1" applyFill="1" applyBorder="1" applyAlignment="1">
      <alignment horizontal="center" vertical="center" shrinkToFit="1"/>
    </xf>
    <xf numFmtId="38" fontId="40" fillId="5" borderId="79" xfId="2566" applyFont="1" applyFill="1" applyBorder="1" applyAlignment="1">
      <alignment horizontal="center" vertical="center" shrinkToFit="1"/>
    </xf>
    <xf numFmtId="38" fontId="40" fillId="7" borderId="79" xfId="2566" applyFont="1" applyFill="1" applyBorder="1" applyAlignment="1">
      <alignment vertical="center"/>
    </xf>
    <xf numFmtId="38" fontId="40" fillId="5" borderId="77" xfId="2566" applyFont="1" applyFill="1" applyBorder="1" applyAlignment="1" applyProtection="1">
      <alignment vertical="center" shrinkToFit="1"/>
      <protection locked="0"/>
    </xf>
    <xf numFmtId="38" fontId="41" fillId="8" borderId="93" xfId="2566" applyFont="1" applyFill="1" applyBorder="1" applyAlignment="1" applyProtection="1">
      <alignment vertical="center" shrinkToFit="1"/>
      <protection locked="0"/>
    </xf>
    <xf numFmtId="38" fontId="40" fillId="5" borderId="0" xfId="2566" applyFont="1" applyFill="1" applyBorder="1" applyAlignment="1" applyProtection="1">
      <alignment vertical="center" shrinkToFit="1"/>
      <protection locked="0"/>
    </xf>
    <xf numFmtId="38" fontId="40" fillId="5" borderId="79" xfId="2566" applyFont="1" applyFill="1" applyBorder="1" applyAlignment="1" applyProtection="1">
      <alignment vertical="center" shrinkToFit="1"/>
      <protection locked="0"/>
    </xf>
    <xf numFmtId="38" fontId="40" fillId="5" borderId="184" xfId="2566" applyFont="1" applyFill="1" applyBorder="1" applyAlignment="1" applyProtection="1">
      <alignment vertical="center" shrinkToFit="1"/>
      <protection locked="0"/>
    </xf>
    <xf numFmtId="38" fontId="40" fillId="8" borderId="79" xfId="2566" applyFont="1" applyFill="1" applyBorder="1" applyAlignment="1" applyProtection="1">
      <alignment vertical="center" shrinkToFit="1"/>
      <protection locked="0"/>
    </xf>
    <xf numFmtId="38" fontId="40" fillId="8" borderId="77" xfId="2566" applyFont="1" applyFill="1" applyBorder="1" applyAlignment="1" applyProtection="1">
      <alignment vertical="center" shrinkToFit="1"/>
      <protection locked="0"/>
    </xf>
    <xf numFmtId="38" fontId="41" fillId="5" borderId="77" xfId="2566" applyFont="1" applyFill="1" applyBorder="1" applyAlignment="1">
      <alignment vertical="center" shrinkToFit="1"/>
    </xf>
    <xf numFmtId="38" fontId="41" fillId="5" borderId="93" xfId="2566" applyFont="1" applyFill="1" applyBorder="1" applyAlignment="1">
      <alignment vertical="center" shrinkToFit="1"/>
    </xf>
    <xf numFmtId="179" fontId="41" fillId="5" borderId="97" xfId="595" applyNumberFormat="1" applyFont="1" applyFill="1" applyBorder="1" applyAlignment="1">
      <alignment horizontal="left" vertical="center" shrinkToFit="1"/>
    </xf>
    <xf numFmtId="38" fontId="41" fillId="5" borderId="79" xfId="2566" applyFont="1" applyFill="1" applyBorder="1" applyAlignment="1">
      <alignment horizontal="center" vertical="center" shrinkToFit="1"/>
    </xf>
    <xf numFmtId="38" fontId="41" fillId="5" borderId="0" xfId="2566" applyFont="1" applyFill="1" applyBorder="1" applyAlignment="1" applyProtection="1">
      <alignment vertical="center" shrinkToFit="1"/>
      <protection locked="0"/>
    </xf>
    <xf numFmtId="38" fontId="41" fillId="5" borderId="184" xfId="2566" applyFont="1" applyFill="1" applyBorder="1" applyAlignment="1">
      <alignment vertical="center" shrinkToFit="1"/>
    </xf>
    <xf numFmtId="38" fontId="41" fillId="0" borderId="77" xfId="2566" applyFont="1" applyFill="1" applyBorder="1" applyAlignment="1" applyProtection="1">
      <alignment vertical="center" shrinkToFit="1"/>
      <protection locked="0"/>
    </xf>
    <xf numFmtId="38" fontId="40" fillId="14" borderId="174" xfId="2566" applyFont="1" applyFill="1" applyBorder="1" applyAlignment="1">
      <alignment vertical="center" shrinkToFit="1"/>
    </xf>
    <xf numFmtId="38" fontId="40" fillId="7" borderId="186" xfId="2566" applyFont="1" applyFill="1" applyBorder="1" applyAlignment="1">
      <alignment horizontal="center" vertical="center"/>
    </xf>
    <xf numFmtId="38" fontId="41" fillId="5" borderId="94" xfId="2566" applyFont="1" applyFill="1" applyBorder="1" applyAlignment="1">
      <alignment horizontal="center" vertical="center" shrinkToFit="1"/>
    </xf>
    <xf numFmtId="38" fontId="40" fillId="17" borderId="144" xfId="2566" applyFont="1" applyFill="1" applyBorder="1" applyAlignment="1">
      <alignment horizontal="center" vertical="center" shrinkToFit="1"/>
    </xf>
    <xf numFmtId="38" fontId="41" fillId="17" borderId="135" xfId="2566" applyFont="1" applyFill="1" applyBorder="1" applyAlignment="1">
      <alignment horizontal="right" vertical="center" shrinkToFit="1"/>
    </xf>
    <xf numFmtId="38" fontId="41" fillId="5" borderId="17" xfId="2566" applyFont="1" applyFill="1" applyBorder="1" applyAlignment="1">
      <alignment horizontal="right" vertical="center" shrinkToFit="1"/>
    </xf>
    <xf numFmtId="38" fontId="41" fillId="8" borderId="83" xfId="2566" applyFont="1" applyFill="1" applyBorder="1" applyAlignment="1">
      <alignment horizontal="right" vertical="center" shrinkToFit="1"/>
    </xf>
    <xf numFmtId="38" fontId="41" fillId="8" borderId="134" xfId="2566" applyFont="1" applyFill="1" applyBorder="1" applyAlignment="1">
      <alignment horizontal="right" vertical="center" shrinkToFit="1"/>
    </xf>
    <xf numFmtId="38" fontId="41" fillId="17" borderId="123" xfId="2566" applyFont="1" applyFill="1" applyBorder="1" applyAlignment="1">
      <alignment horizontal="right" vertical="center" shrinkToFit="1"/>
    </xf>
    <xf numFmtId="38" fontId="41" fillId="8" borderId="97" xfId="2566" applyFont="1" applyFill="1" applyBorder="1" applyAlignment="1">
      <alignment horizontal="right" vertical="center" shrinkToFit="1"/>
    </xf>
    <xf numFmtId="38" fontId="41" fillId="17" borderId="125" xfId="2566" applyFont="1" applyFill="1" applyBorder="1" applyAlignment="1">
      <alignment vertical="center" shrinkToFit="1"/>
    </xf>
    <xf numFmtId="38" fontId="40" fillId="17" borderId="125" xfId="2566" applyFont="1" applyFill="1" applyBorder="1" applyAlignment="1">
      <alignment horizontal="left" vertical="center" shrinkToFit="1"/>
    </xf>
    <xf numFmtId="38" fontId="41" fillId="5" borderId="79" xfId="2566" applyFont="1" applyFill="1" applyBorder="1" applyAlignment="1">
      <alignment horizontal="left" vertical="center" shrinkToFit="1"/>
    </xf>
    <xf numFmtId="38" fontId="40" fillId="17" borderId="122" xfId="2566" applyFont="1" applyFill="1" applyBorder="1" applyAlignment="1">
      <alignment vertical="center" shrinkToFit="1"/>
    </xf>
    <xf numFmtId="38" fontId="41" fillId="17" borderId="135" xfId="2566" applyFont="1" applyFill="1" applyBorder="1" applyAlignment="1">
      <alignment vertical="center" shrinkToFit="1"/>
    </xf>
    <xf numFmtId="38" fontId="40" fillId="17" borderId="123" xfId="2566" applyFont="1" applyFill="1" applyBorder="1" applyAlignment="1">
      <alignment vertical="center" shrinkToFit="1"/>
    </xf>
    <xf numFmtId="38" fontId="43" fillId="17" borderId="122" xfId="2566" applyFont="1" applyFill="1" applyBorder="1" applyAlignment="1">
      <alignment vertical="center" shrinkToFit="1"/>
    </xf>
    <xf numFmtId="38" fontId="41" fillId="17" borderId="125" xfId="2566" applyFont="1" applyFill="1" applyBorder="1" applyAlignment="1">
      <alignment horizontal="left" vertical="center" shrinkToFit="1"/>
    </xf>
    <xf numFmtId="38" fontId="41" fillId="5" borderId="8" xfId="2566" applyFont="1" applyFill="1" applyBorder="1" applyAlignment="1" applyProtection="1">
      <alignment horizontal="left" vertical="center" shrinkToFit="1"/>
      <protection locked="0"/>
    </xf>
    <xf numFmtId="38" fontId="41" fillId="17" borderId="123" xfId="2566" applyFont="1" applyFill="1" applyBorder="1" applyAlignment="1">
      <alignment horizontal="left" vertical="center" shrinkToFit="1"/>
    </xf>
    <xf numFmtId="38" fontId="41" fillId="17" borderId="122" xfId="2566" applyFont="1" applyFill="1" applyBorder="1" applyAlignment="1">
      <alignment vertical="center" shrinkToFit="1"/>
    </xf>
    <xf numFmtId="38" fontId="41" fillId="5" borderId="89" xfId="2566" applyFont="1" applyFill="1" applyBorder="1" applyAlignment="1">
      <alignment horizontal="left" vertical="center" shrinkToFit="1"/>
    </xf>
    <xf numFmtId="38" fontId="41" fillId="9" borderId="122" xfId="2566" applyFont="1" applyFill="1" applyBorder="1" applyAlignment="1">
      <alignment horizontal="right" vertical="center" shrinkToFit="1"/>
    </xf>
    <xf numFmtId="38" fontId="41" fillId="8" borderId="88" xfId="2566" applyFont="1" applyFill="1" applyBorder="1" applyAlignment="1">
      <alignment horizontal="right" vertical="center" shrinkToFit="1"/>
    </xf>
    <xf numFmtId="38" fontId="41" fillId="17" borderId="122" xfId="2566" applyFont="1" applyFill="1" applyBorder="1" applyAlignment="1">
      <alignment horizontal="right" vertical="center" shrinkToFit="1"/>
    </xf>
    <xf numFmtId="38" fontId="41" fillId="8" borderId="187" xfId="2566" applyFont="1" applyFill="1" applyBorder="1" applyAlignment="1">
      <alignment horizontal="left" vertical="center" shrinkToFit="1"/>
    </xf>
    <xf numFmtId="38" fontId="41" fillId="17" borderId="123" xfId="2566" applyFont="1" applyFill="1" applyBorder="1" applyAlignment="1">
      <alignment vertical="center" shrinkToFit="1"/>
    </xf>
    <xf numFmtId="38" fontId="41" fillId="8" borderId="145" xfId="2566" applyFont="1" applyFill="1" applyBorder="1" applyAlignment="1">
      <alignment horizontal="left" vertical="center" shrinkToFit="1"/>
    </xf>
    <xf numFmtId="38" fontId="43" fillId="17" borderId="123" xfId="2566" applyFont="1" applyFill="1" applyBorder="1" applyAlignment="1">
      <alignment horizontal="left" vertical="center" shrinkToFit="1"/>
    </xf>
    <xf numFmtId="38" fontId="40" fillId="17" borderId="125" xfId="2566" applyFont="1" applyFill="1" applyBorder="1" applyAlignment="1">
      <alignment vertical="center" shrinkToFit="1"/>
    </xf>
    <xf numFmtId="38" fontId="40" fillId="17" borderId="146" xfId="2566" applyFont="1" applyFill="1" applyBorder="1" applyAlignment="1">
      <alignment vertical="center" shrinkToFit="1"/>
    </xf>
    <xf numFmtId="38" fontId="41" fillId="5" borderId="88" xfId="2566" applyFont="1" applyFill="1" applyBorder="1" applyAlignment="1">
      <alignment horizontal="center" vertical="center" shrinkToFit="1"/>
    </xf>
    <xf numFmtId="38" fontId="41" fillId="17" borderId="125" xfId="2566" applyFont="1" applyFill="1" applyBorder="1" applyAlignment="1">
      <alignment horizontal="right" vertical="center" shrinkToFit="1"/>
    </xf>
    <xf numFmtId="38" fontId="43" fillId="17" borderId="125" xfId="2566" applyFont="1" applyFill="1" applyBorder="1" applyAlignment="1">
      <alignment horizontal="left" vertical="center" shrinkToFit="1"/>
    </xf>
    <xf numFmtId="38" fontId="41" fillId="0" borderId="17" xfId="2566" applyFont="1" applyFill="1" applyBorder="1" applyAlignment="1">
      <alignment horizontal="right" vertical="center" shrinkToFit="1"/>
    </xf>
    <xf numFmtId="38" fontId="41" fillId="0" borderId="87" xfId="2566" applyFont="1" applyFill="1" applyBorder="1" applyAlignment="1">
      <alignment horizontal="right" vertical="center" shrinkToFit="1"/>
    </xf>
    <xf numFmtId="179" fontId="41" fillId="17" borderId="125" xfId="595" applyNumberFormat="1" applyFont="1" applyFill="1" applyBorder="1" applyAlignment="1">
      <alignment horizontal="left" vertical="center" shrinkToFit="1"/>
    </xf>
    <xf numFmtId="179" fontId="40" fillId="17" borderId="125" xfId="595" applyNumberFormat="1" applyFont="1" applyFill="1" applyBorder="1" applyAlignment="1">
      <alignment horizontal="left" vertical="center" shrinkToFit="1"/>
    </xf>
    <xf numFmtId="179" fontId="41" fillId="17" borderId="123" xfId="595" applyNumberFormat="1" applyFont="1" applyFill="1" applyBorder="1" applyAlignment="1">
      <alignment horizontal="left" vertical="center" shrinkToFit="1"/>
    </xf>
    <xf numFmtId="179" fontId="61" fillId="17" borderId="125" xfId="595" applyNumberFormat="1" applyFont="1" applyFill="1" applyBorder="1" applyAlignment="1">
      <alignment horizontal="left" vertical="center" shrinkToFit="1"/>
    </xf>
    <xf numFmtId="179" fontId="40" fillId="8" borderId="79" xfId="595" applyNumberFormat="1" applyFont="1" applyFill="1" applyBorder="1" applyAlignment="1">
      <alignment horizontal="left" vertical="center" shrinkToFit="1"/>
    </xf>
    <xf numFmtId="179" fontId="41" fillId="17" borderId="125" xfId="2566" applyNumberFormat="1" applyFont="1" applyFill="1" applyBorder="1" applyAlignment="1">
      <alignment horizontal="left" vertical="center" shrinkToFit="1"/>
    </xf>
    <xf numFmtId="179" fontId="43" fillId="17" borderId="123" xfId="595" applyNumberFormat="1" applyFont="1" applyFill="1" applyBorder="1" applyAlignment="1">
      <alignment horizontal="left" vertical="center" shrinkToFit="1"/>
    </xf>
    <xf numFmtId="38" fontId="40" fillId="0" borderId="88" xfId="2566" applyFont="1" applyFill="1" applyBorder="1" applyAlignment="1">
      <alignment vertical="center" shrinkToFit="1"/>
    </xf>
    <xf numFmtId="9" fontId="41" fillId="0" borderId="89" xfId="595" applyFont="1" applyFill="1" applyBorder="1" applyAlignment="1">
      <alignment horizontal="left" vertical="center" shrinkToFit="1"/>
    </xf>
    <xf numFmtId="9" fontId="40" fillId="0" borderId="89" xfId="595" applyFont="1" applyFill="1" applyBorder="1" applyAlignment="1">
      <alignment horizontal="left" vertical="center" shrinkToFit="1"/>
    </xf>
    <xf numFmtId="179" fontId="40" fillId="17" borderId="125" xfId="615" applyNumberFormat="1" applyFont="1" applyFill="1" applyBorder="1" applyAlignment="1">
      <alignment horizontal="left" vertical="center" shrinkToFit="1"/>
    </xf>
    <xf numFmtId="179" fontId="40" fillId="17" borderId="123" xfId="595" applyNumberFormat="1" applyFont="1" applyFill="1" applyBorder="1" applyAlignment="1">
      <alignment horizontal="left" vertical="center" shrinkToFit="1"/>
    </xf>
    <xf numFmtId="9" fontId="41" fillId="8" borderId="184" xfId="595" applyNumberFormat="1" applyFont="1" applyFill="1" applyBorder="1" applyAlignment="1">
      <alignment horizontal="left" vertical="center" shrinkToFit="1"/>
    </xf>
    <xf numFmtId="9" fontId="41" fillId="8" borderId="0" xfId="595" applyNumberFormat="1" applyFont="1" applyFill="1" applyBorder="1" applyAlignment="1">
      <alignment horizontal="left" vertical="center" shrinkToFit="1"/>
    </xf>
    <xf numFmtId="38" fontId="41" fillId="8" borderId="174" xfId="2566" applyFont="1" applyFill="1" applyBorder="1" applyAlignment="1">
      <alignment vertical="center" shrinkToFit="1"/>
    </xf>
    <xf numFmtId="178" fontId="46" fillId="4" borderId="188" xfId="0" applyNumberFormat="1" applyFont="1" applyFill="1" applyBorder="1">
      <alignment vertical="center"/>
    </xf>
    <xf numFmtId="38" fontId="40" fillId="8" borderId="82" xfId="2566" applyFont="1" applyFill="1" applyBorder="1" applyAlignment="1">
      <alignment horizontal="left" vertical="center" shrinkToFit="1"/>
    </xf>
    <xf numFmtId="38" fontId="40" fillId="8" borderId="124" xfId="2566" applyFont="1" applyFill="1" applyBorder="1" applyAlignment="1">
      <alignment horizontal="left" vertical="center" shrinkToFit="1"/>
    </xf>
    <xf numFmtId="38" fontId="40" fillId="9" borderId="123" xfId="2566" applyFont="1" applyFill="1" applyBorder="1" applyAlignment="1">
      <alignment horizontal="left" vertical="center" shrinkToFit="1"/>
    </xf>
    <xf numFmtId="38" fontId="40" fillId="8" borderId="89" xfId="2566" applyFont="1" applyFill="1" applyBorder="1" applyAlignment="1">
      <alignment horizontal="left" vertical="center" shrinkToFit="1"/>
    </xf>
    <xf numFmtId="38" fontId="40" fillId="17" borderId="123" xfId="2566" applyFont="1" applyFill="1" applyBorder="1" applyAlignment="1">
      <alignment horizontal="left" vertical="center" shrinkToFit="1"/>
    </xf>
    <xf numFmtId="38" fontId="40" fillId="8" borderId="90" xfId="2566" applyFont="1" applyFill="1" applyBorder="1" applyAlignment="1" applyProtection="1">
      <alignment horizontal="left" vertical="center" shrinkToFit="1"/>
      <protection locked="0"/>
    </xf>
    <xf numFmtId="38" fontId="40" fillId="8" borderId="0" xfId="2566" applyFont="1" applyFill="1" applyBorder="1" applyAlignment="1" applyProtection="1">
      <alignment horizontal="left" vertical="center" shrinkToFit="1"/>
      <protection locked="0"/>
    </xf>
    <xf numFmtId="38" fontId="40" fillId="8" borderId="8" xfId="2566" applyFont="1" applyFill="1" applyBorder="1" applyAlignment="1">
      <alignment horizontal="left" vertical="center" shrinkToFit="1"/>
    </xf>
    <xf numFmtId="38" fontId="40" fillId="8" borderId="97" xfId="2566" applyFont="1" applyFill="1" applyBorder="1" applyAlignment="1">
      <alignment horizontal="left" vertical="center" shrinkToFit="1"/>
    </xf>
    <xf numFmtId="38" fontId="40" fillId="8" borderId="0" xfId="2566" applyFont="1" applyFill="1" applyBorder="1" applyAlignment="1">
      <alignment horizontal="left" vertical="center" shrinkToFit="1"/>
    </xf>
    <xf numFmtId="178" fontId="46" fillId="4" borderId="17" xfId="0" applyNumberFormat="1" applyFont="1" applyFill="1" applyBorder="1" applyAlignment="1">
      <alignment horizontal="center" vertical="center"/>
    </xf>
    <xf numFmtId="178" fontId="46" fillId="4" borderId="9" xfId="0" applyNumberFormat="1" applyFont="1" applyFill="1" applyBorder="1" applyAlignment="1">
      <alignment horizontal="center" vertical="center"/>
    </xf>
    <xf numFmtId="178" fontId="46" fillId="4" borderId="11" xfId="0" applyNumberFormat="1" applyFont="1" applyFill="1" applyBorder="1" applyAlignment="1">
      <alignment horizontal="center" vertical="center"/>
    </xf>
    <xf numFmtId="178" fontId="46" fillId="4" borderId="23" xfId="0" applyNumberFormat="1" applyFont="1" applyFill="1" applyBorder="1" applyAlignment="1">
      <alignment horizontal="center" vertical="center"/>
    </xf>
    <xf numFmtId="178" fontId="46" fillId="4" borderId="8" xfId="0" applyNumberFormat="1" applyFont="1" applyFill="1" applyBorder="1" applyAlignment="1">
      <alignment horizontal="center" vertical="center"/>
    </xf>
    <xf numFmtId="178" fontId="46" fillId="4" borderId="189" xfId="0" applyNumberFormat="1" applyFont="1" applyFill="1" applyBorder="1" applyAlignment="1">
      <alignment horizontal="center" vertical="center"/>
    </xf>
    <xf numFmtId="178" fontId="46" fillId="4" borderId="15" xfId="0" applyNumberFormat="1" applyFont="1" applyFill="1" applyBorder="1" applyAlignment="1">
      <alignment horizontal="center" vertical="center"/>
    </xf>
    <xf numFmtId="178" fontId="46" fillId="4" borderId="43" xfId="0" applyNumberFormat="1" applyFont="1" applyFill="1" applyBorder="1" applyAlignment="1">
      <alignment horizontal="center" vertical="center"/>
    </xf>
    <xf numFmtId="178" fontId="46" fillId="4" borderId="57" xfId="0" applyNumberFormat="1" applyFont="1" applyFill="1" applyBorder="1" applyAlignment="1">
      <alignment horizontal="center" vertical="center"/>
    </xf>
    <xf numFmtId="178" fontId="46" fillId="4" borderId="164" xfId="0" applyNumberFormat="1" applyFont="1" applyFill="1" applyBorder="1" applyAlignment="1">
      <alignment horizontal="center" vertical="center"/>
    </xf>
    <xf numFmtId="178" fontId="46" fillId="8" borderId="17" xfId="0" applyNumberFormat="1" applyFont="1" applyFill="1" applyBorder="1" applyAlignment="1">
      <alignment horizontal="center" vertical="center"/>
    </xf>
    <xf numFmtId="178" fontId="46" fillId="8" borderId="9" xfId="0" applyNumberFormat="1" applyFont="1" applyFill="1" applyBorder="1" applyAlignment="1">
      <alignment horizontal="center" vertical="center"/>
    </xf>
    <xf numFmtId="178" fontId="46" fillId="8" borderId="11" xfId="0" applyNumberFormat="1" applyFont="1" applyFill="1" applyBorder="1" applyAlignment="1">
      <alignment horizontal="center" vertical="center"/>
    </xf>
    <xf numFmtId="178" fontId="46" fillId="8" borderId="23" xfId="0" applyNumberFormat="1" applyFont="1" applyFill="1" applyBorder="1" applyAlignment="1">
      <alignment horizontal="center" vertical="center"/>
    </xf>
    <xf numFmtId="178" fontId="46" fillId="8" borderId="8" xfId="0" applyNumberFormat="1" applyFont="1" applyFill="1" applyBorder="1" applyAlignment="1">
      <alignment horizontal="center" vertical="center"/>
    </xf>
    <xf numFmtId="178" fontId="46" fillId="8" borderId="15" xfId="0" applyNumberFormat="1" applyFont="1" applyFill="1" applyBorder="1" applyAlignment="1">
      <alignment horizontal="center" vertical="center"/>
    </xf>
    <xf numFmtId="178" fontId="46" fillId="8" borderId="43" xfId="0" applyNumberFormat="1" applyFont="1" applyFill="1" applyBorder="1" applyAlignment="1">
      <alignment horizontal="center" vertical="center"/>
    </xf>
    <xf numFmtId="178" fontId="46" fillId="8" borderId="57" xfId="0" applyNumberFormat="1" applyFont="1" applyFill="1" applyBorder="1" applyAlignment="1">
      <alignment horizontal="center" vertical="center"/>
    </xf>
    <xf numFmtId="181" fontId="46" fillId="8" borderId="6" xfId="3337" applyNumberFormat="1" applyFont="1" applyFill="1" applyBorder="1" applyAlignment="1">
      <alignment horizontal="center" vertical="center"/>
    </xf>
    <xf numFmtId="181" fontId="46" fillId="8" borderId="2" xfId="3337" applyNumberFormat="1" applyFont="1" applyFill="1" applyBorder="1">
      <alignment vertical="center"/>
    </xf>
    <xf numFmtId="178" fontId="46" fillId="8" borderId="2" xfId="0" applyNumberFormat="1" applyFont="1" applyFill="1" applyBorder="1" applyAlignment="1">
      <alignment horizontal="center" vertical="center"/>
    </xf>
    <xf numFmtId="181" fontId="46" fillId="8" borderId="3" xfId="3337" applyNumberFormat="1" applyFont="1" applyFill="1" applyBorder="1">
      <alignment vertical="center"/>
    </xf>
    <xf numFmtId="178" fontId="46" fillId="8" borderId="3" xfId="0" applyNumberFormat="1" applyFont="1" applyFill="1" applyBorder="1" applyAlignment="1">
      <alignment horizontal="center" vertical="center"/>
    </xf>
    <xf numFmtId="181" fontId="46" fillId="8" borderId="4" xfId="3337" applyNumberFormat="1" applyFont="1" applyFill="1" applyBorder="1">
      <alignment vertical="center"/>
    </xf>
    <xf numFmtId="178" fontId="46" fillId="8" borderId="4" xfId="0" applyNumberFormat="1" applyFont="1" applyFill="1" applyBorder="1" applyAlignment="1">
      <alignment horizontal="center" vertical="center"/>
    </xf>
    <xf numFmtId="181" fontId="46" fillId="8" borderId="22" xfId="3337" applyNumberFormat="1" applyFont="1" applyFill="1" applyBorder="1">
      <alignment vertical="center"/>
    </xf>
    <xf numFmtId="178" fontId="46" fillId="8" borderId="22" xfId="0" applyNumberFormat="1" applyFont="1" applyFill="1" applyBorder="1" applyAlignment="1">
      <alignment horizontal="center" vertical="center"/>
    </xf>
    <xf numFmtId="181" fontId="46" fillId="8" borderId="7" xfId="3337" applyNumberFormat="1" applyFont="1" applyFill="1" applyBorder="1">
      <alignment vertical="center"/>
    </xf>
    <xf numFmtId="178" fontId="46" fillId="8" borderId="7" xfId="0" applyNumberFormat="1" applyFont="1" applyFill="1" applyBorder="1" applyAlignment="1">
      <alignment horizontal="center" vertical="center"/>
    </xf>
    <xf numFmtId="181" fontId="46" fillId="8" borderId="5" xfId="3337" applyNumberFormat="1" applyFont="1" applyFill="1" applyBorder="1">
      <alignment vertical="center"/>
    </xf>
    <xf numFmtId="178" fontId="46" fillId="8" borderId="5" xfId="0" applyNumberFormat="1" applyFont="1" applyFill="1" applyBorder="1" applyAlignment="1">
      <alignment horizontal="center" vertical="center"/>
    </xf>
    <xf numFmtId="181" fontId="46" fillId="8" borderId="41" xfId="3337" applyNumberFormat="1" applyFont="1" applyFill="1" applyBorder="1">
      <alignment vertical="center"/>
    </xf>
    <xf numFmtId="178" fontId="46" fillId="8" borderId="41" xfId="0" applyNumberFormat="1" applyFont="1" applyFill="1" applyBorder="1" applyAlignment="1">
      <alignment horizontal="center" vertical="center"/>
    </xf>
    <xf numFmtId="181" fontId="46" fillId="8" borderId="55" xfId="3337" applyNumberFormat="1" applyFont="1" applyFill="1" applyBorder="1">
      <alignment vertical="center"/>
    </xf>
    <xf numFmtId="178" fontId="46" fillId="8" borderId="55" xfId="0" applyNumberFormat="1" applyFont="1" applyFill="1" applyBorder="1" applyAlignment="1">
      <alignment horizontal="center" vertical="center"/>
    </xf>
    <xf numFmtId="181" fontId="46" fillId="8" borderId="161" xfId="3337" applyNumberFormat="1" applyFont="1" applyFill="1" applyBorder="1">
      <alignment vertical="center"/>
    </xf>
    <xf numFmtId="178" fontId="46" fillId="8" borderId="161" xfId="0" applyNumberFormat="1" applyFont="1" applyFill="1" applyBorder="1" applyAlignment="1">
      <alignment horizontal="center" vertical="center"/>
    </xf>
    <xf numFmtId="0" fontId="57" fillId="8" borderId="130" xfId="0" applyFont="1" applyFill="1" applyBorder="1" applyAlignment="1">
      <alignment horizontal="center" vertical="center"/>
    </xf>
    <xf numFmtId="0" fontId="57" fillId="8" borderId="2" xfId="0" applyFont="1" applyFill="1" applyBorder="1" applyAlignment="1">
      <alignment horizontal="center" vertical="center"/>
    </xf>
    <xf numFmtId="0" fontId="57" fillId="7" borderId="85" xfId="0" applyFont="1" applyFill="1" applyBorder="1" applyAlignment="1">
      <alignment horizontal="left" vertical="center" wrapText="1"/>
    </xf>
    <xf numFmtId="179" fontId="57" fillId="8" borderId="130" xfId="588" applyNumberFormat="1" applyFont="1" applyFill="1" applyBorder="1" applyAlignment="1">
      <alignment horizontal="left" vertical="center"/>
    </xf>
    <xf numFmtId="179" fontId="57" fillId="9" borderId="7" xfId="588" applyNumberFormat="1" applyFont="1" applyFill="1" applyBorder="1" applyAlignment="1">
      <alignment horizontal="left" vertical="center"/>
    </xf>
    <xf numFmtId="179" fontId="70" fillId="8" borderId="77" xfId="588" applyNumberFormat="1" applyFont="1" applyFill="1" applyBorder="1" applyAlignment="1">
      <alignment horizontal="right" vertical="center"/>
    </xf>
    <xf numFmtId="179" fontId="70" fillId="8" borderId="2" xfId="588" applyNumberFormat="1" applyFont="1" applyFill="1" applyBorder="1" applyAlignment="1">
      <alignment horizontal="right" vertical="center"/>
    </xf>
    <xf numFmtId="0" fontId="46" fillId="9" borderId="31" xfId="0" applyFont="1" applyFill="1" applyBorder="1" applyAlignment="1">
      <alignment horizontal="center" vertical="center"/>
    </xf>
    <xf numFmtId="178" fontId="46" fillId="9" borderId="2" xfId="0" applyNumberFormat="1" applyFont="1" applyFill="1" applyBorder="1">
      <alignment vertical="center"/>
    </xf>
    <xf numFmtId="179" fontId="46" fillId="9" borderId="17" xfId="588" applyNumberFormat="1" applyFont="1" applyFill="1" applyBorder="1">
      <alignment vertical="center"/>
    </xf>
    <xf numFmtId="178" fontId="46" fillId="9" borderId="3" xfId="0" applyNumberFormat="1" applyFont="1" applyFill="1" applyBorder="1">
      <alignment vertical="center"/>
    </xf>
    <xf numFmtId="179" fontId="46" fillId="9" borderId="9" xfId="588" applyNumberFormat="1" applyFont="1" applyFill="1" applyBorder="1">
      <alignment vertical="center"/>
    </xf>
    <xf numFmtId="178" fontId="46" fillId="9" borderId="4" xfId="0" applyNumberFormat="1" applyFont="1" applyFill="1" applyBorder="1">
      <alignment vertical="center"/>
    </xf>
    <xf numFmtId="179" fontId="46" fillId="9" borderId="11" xfId="588" applyNumberFormat="1" applyFont="1" applyFill="1" applyBorder="1">
      <alignment vertical="center"/>
    </xf>
    <xf numFmtId="179" fontId="46" fillId="9" borderId="23" xfId="588" applyNumberFormat="1" applyFont="1" applyFill="1" applyBorder="1">
      <alignment vertical="center"/>
    </xf>
    <xf numFmtId="178" fontId="46" fillId="9" borderId="7" xfId="0" applyNumberFormat="1" applyFont="1" applyFill="1" applyBorder="1">
      <alignment vertical="center"/>
    </xf>
    <xf numFmtId="179" fontId="46" fillId="9" borderId="8" xfId="588" applyNumberFormat="1" applyFont="1" applyFill="1" applyBorder="1">
      <alignment vertical="center"/>
    </xf>
    <xf numFmtId="178" fontId="46" fillId="9" borderId="5" xfId="0" applyNumberFormat="1" applyFont="1" applyFill="1" applyBorder="1">
      <alignment vertical="center"/>
    </xf>
    <xf numFmtId="179" fontId="46" fillId="9" borderId="15" xfId="588" applyNumberFormat="1" applyFont="1" applyFill="1" applyBorder="1">
      <alignment vertical="center"/>
    </xf>
    <xf numFmtId="179" fontId="46" fillId="9" borderId="43" xfId="588" applyNumberFormat="1" applyFont="1" applyFill="1" applyBorder="1">
      <alignment vertical="center"/>
    </xf>
    <xf numFmtId="0" fontId="46" fillId="9" borderId="190" xfId="0" applyFont="1" applyFill="1" applyBorder="1" applyAlignment="1">
      <alignment horizontal="center" vertical="center"/>
    </xf>
    <xf numFmtId="0" fontId="46" fillId="9" borderId="191" xfId="0" applyFont="1" applyFill="1" applyBorder="1" applyAlignment="1">
      <alignment horizontal="center" vertical="center"/>
    </xf>
    <xf numFmtId="178" fontId="46" fillId="9" borderId="192" xfId="0" applyNumberFormat="1" applyFont="1" applyFill="1" applyBorder="1">
      <alignment vertical="center"/>
    </xf>
    <xf numFmtId="178" fontId="46" fillId="9" borderId="193" xfId="0" applyNumberFormat="1" applyFont="1" applyFill="1" applyBorder="1" applyAlignment="1">
      <alignment horizontal="center" vertical="center"/>
    </xf>
    <xf numFmtId="178" fontId="46" fillId="9" borderId="194" xfId="0" applyNumberFormat="1" applyFont="1" applyFill="1" applyBorder="1">
      <alignment vertical="center"/>
    </xf>
    <xf numFmtId="178" fontId="46" fillId="9" borderId="195" xfId="0" applyNumberFormat="1" applyFont="1" applyFill="1" applyBorder="1" applyAlignment="1">
      <alignment horizontal="center" vertical="center"/>
    </xf>
    <xf numFmtId="178" fontId="46" fillId="9" borderId="196" xfId="0" applyNumberFormat="1" applyFont="1" applyFill="1" applyBorder="1">
      <alignment vertical="center"/>
    </xf>
    <xf numFmtId="178" fontId="46" fillId="9" borderId="197" xfId="0" applyNumberFormat="1" applyFont="1" applyFill="1" applyBorder="1" applyAlignment="1">
      <alignment horizontal="center" vertical="center"/>
    </xf>
    <xf numFmtId="178" fontId="46" fillId="9" borderId="165" xfId="0" applyNumberFormat="1" applyFont="1" applyFill="1" applyBorder="1" applyAlignment="1">
      <alignment horizontal="center" vertical="center"/>
    </xf>
    <xf numFmtId="178" fontId="46" fillId="9" borderId="198" xfId="0" applyNumberFormat="1" applyFont="1" applyFill="1" applyBorder="1">
      <alignment vertical="center"/>
    </xf>
    <xf numFmtId="178" fontId="46" fillId="9" borderId="199" xfId="0" applyNumberFormat="1" applyFont="1" applyFill="1" applyBorder="1">
      <alignment vertical="center"/>
    </xf>
    <xf numFmtId="178" fontId="46" fillId="9" borderId="200" xfId="0" applyNumberFormat="1" applyFont="1" applyFill="1" applyBorder="1" applyAlignment="1">
      <alignment horizontal="center" vertical="center"/>
    </xf>
    <xf numFmtId="178" fontId="46" fillId="9" borderId="201" xfId="0" applyNumberFormat="1" applyFont="1" applyFill="1" applyBorder="1" applyAlignment="1">
      <alignment horizontal="center" vertical="center"/>
    </xf>
    <xf numFmtId="178" fontId="46" fillId="9" borderId="202" xfId="0" applyNumberFormat="1" applyFont="1" applyFill="1" applyBorder="1" applyAlignment="1">
      <alignment horizontal="center" vertical="center"/>
    </xf>
    <xf numFmtId="178" fontId="46" fillId="9" borderId="203" xfId="0" applyNumberFormat="1" applyFont="1" applyFill="1" applyBorder="1" applyAlignment="1">
      <alignment horizontal="center" vertical="center"/>
    </xf>
    <xf numFmtId="179" fontId="57" fillId="8" borderId="119" xfId="588" applyNumberFormat="1" applyFont="1" applyFill="1" applyBorder="1" applyAlignment="1">
      <alignment horizontal="left" vertical="center"/>
    </xf>
    <xf numFmtId="0" fontId="71" fillId="8" borderId="131" xfId="0" applyFont="1" applyFill="1" applyBorder="1" applyAlignment="1">
      <alignment horizontal="center" vertical="center"/>
    </xf>
    <xf numFmtId="179" fontId="65" fillId="8" borderId="2" xfId="588" applyNumberFormat="1" applyFont="1" applyFill="1" applyBorder="1" applyAlignment="1">
      <alignment horizontal="right" vertical="center"/>
    </xf>
    <xf numFmtId="0" fontId="65" fillId="8" borderId="17" xfId="0" applyFont="1" applyFill="1" applyBorder="1" applyAlignment="1">
      <alignment horizontal="center" vertical="center"/>
    </xf>
    <xf numFmtId="179" fontId="65" fillId="8" borderId="106" xfId="588" applyNumberFormat="1" applyFont="1" applyFill="1" applyBorder="1" applyAlignment="1">
      <alignment horizontal="right" vertical="center"/>
    </xf>
    <xf numFmtId="0" fontId="65" fillId="8" borderId="107" xfId="0" applyFont="1" applyFill="1" applyBorder="1" applyAlignment="1">
      <alignment horizontal="center" vertical="center"/>
    </xf>
    <xf numFmtId="0" fontId="65" fillId="8" borderId="87" xfId="0" applyFont="1" applyFill="1" applyBorder="1" applyAlignment="1">
      <alignment horizontal="center" vertical="center"/>
    </xf>
    <xf numFmtId="179" fontId="71" fillId="7" borderId="93" xfId="588" applyNumberFormat="1" applyFont="1" applyFill="1" applyBorder="1" applyAlignment="1">
      <alignment horizontal="center" vertical="center"/>
    </xf>
    <xf numFmtId="0" fontId="71" fillId="8" borderId="17" xfId="0" applyFont="1" applyFill="1" applyBorder="1" applyAlignment="1">
      <alignment horizontal="center" vertical="center"/>
    </xf>
    <xf numFmtId="179" fontId="71" fillId="7" borderId="108" xfId="588" applyNumberFormat="1" applyFont="1" applyFill="1" applyBorder="1" applyAlignment="1">
      <alignment horizontal="center" vertical="center"/>
    </xf>
    <xf numFmtId="0" fontId="71" fillId="8" borderId="107" xfId="0" applyFont="1" applyFill="1" applyBorder="1" applyAlignment="1">
      <alignment horizontal="center" vertical="center"/>
    </xf>
    <xf numFmtId="0" fontId="71" fillId="8" borderId="87" xfId="0" applyFont="1" applyFill="1" applyBorder="1" applyAlignment="1">
      <alignment horizontal="center" vertical="center"/>
    </xf>
    <xf numFmtId="0" fontId="71" fillId="8" borderId="170" xfId="0" applyFont="1" applyFill="1" applyBorder="1" applyAlignment="1">
      <alignment horizontal="center" vertical="center"/>
    </xf>
    <xf numFmtId="0" fontId="72" fillId="8" borderId="131" xfId="0" applyFont="1" applyFill="1" applyBorder="1" applyAlignment="1">
      <alignment horizontal="center" vertical="center"/>
    </xf>
    <xf numFmtId="179" fontId="71" fillId="10" borderId="108" xfId="588" applyNumberFormat="1" applyFont="1" applyFill="1" applyBorder="1" applyAlignment="1">
      <alignment horizontal="center" vertical="center"/>
    </xf>
    <xf numFmtId="0" fontId="71" fillId="10" borderId="107" xfId="0" applyFont="1" applyFill="1" applyBorder="1" applyAlignment="1">
      <alignment horizontal="center" vertical="center"/>
    </xf>
    <xf numFmtId="0" fontId="71" fillId="10" borderId="17" xfId="0" applyFont="1" applyFill="1" applyBorder="1" applyAlignment="1">
      <alignment horizontal="center" vertical="center"/>
    </xf>
    <xf numFmtId="0" fontId="71" fillId="10" borderId="87" xfId="0" applyFont="1" applyFill="1" applyBorder="1" applyAlignment="1">
      <alignment horizontal="center" vertical="center"/>
    </xf>
    <xf numFmtId="179" fontId="71" fillId="8" borderId="77" xfId="588" applyNumberFormat="1" applyFont="1" applyFill="1" applyBorder="1" applyAlignment="1">
      <alignment horizontal="center" vertical="center"/>
    </xf>
    <xf numFmtId="179" fontId="71" fillId="8" borderId="106" xfId="588" applyNumberFormat="1" applyFont="1" applyFill="1" applyBorder="1" applyAlignment="1">
      <alignment horizontal="center" vertical="center"/>
    </xf>
    <xf numFmtId="0" fontId="72" fillId="8" borderId="121" xfId="0" applyFont="1" applyFill="1" applyBorder="1" applyAlignment="1">
      <alignment horizontal="center" vertical="center"/>
    </xf>
    <xf numFmtId="0" fontId="72" fillId="8" borderId="170" xfId="0" applyFont="1" applyFill="1" applyBorder="1" applyAlignment="1">
      <alignment horizontal="center" vertical="center"/>
    </xf>
    <xf numFmtId="179" fontId="71" fillId="9" borderId="130" xfId="588" applyNumberFormat="1" applyFont="1" applyFill="1" applyBorder="1" applyAlignment="1">
      <alignment horizontal="left" vertical="center"/>
    </xf>
    <xf numFmtId="0" fontId="71" fillId="9" borderId="121" xfId="0" applyFont="1" applyFill="1" applyBorder="1" applyAlignment="1">
      <alignment horizontal="center" vertical="center"/>
    </xf>
    <xf numFmtId="179" fontId="71" fillId="9" borderId="119" xfId="588" applyNumberFormat="1" applyFont="1" applyFill="1" applyBorder="1" applyAlignment="1">
      <alignment horizontal="left" vertical="center"/>
    </xf>
    <xf numFmtId="0" fontId="71" fillId="9" borderId="170" xfId="0" applyFont="1" applyFill="1" applyBorder="1" applyAlignment="1">
      <alignment horizontal="center" vertical="center"/>
    </xf>
    <xf numFmtId="0" fontId="71" fillId="9" borderId="131" xfId="0" applyFont="1" applyFill="1" applyBorder="1" applyAlignment="1">
      <alignment horizontal="center" vertical="center"/>
    </xf>
    <xf numFmtId="179" fontId="65" fillId="9" borderId="174" xfId="588" applyNumberFormat="1" applyFont="1" applyFill="1" applyBorder="1" applyAlignment="1">
      <alignment horizontal="right" vertical="center"/>
    </xf>
    <xf numFmtId="0" fontId="65" fillId="9" borderId="175" xfId="0" applyFont="1" applyFill="1" applyBorder="1" applyAlignment="1">
      <alignment horizontal="center" vertical="center"/>
    </xf>
    <xf numFmtId="179" fontId="65" fillId="9" borderId="103" xfId="588" applyNumberFormat="1" applyFont="1" applyFill="1" applyBorder="1" applyAlignment="1">
      <alignment horizontal="right" vertical="center"/>
    </xf>
    <xf numFmtId="0" fontId="65" fillId="9" borderId="176" xfId="0" applyFont="1" applyFill="1" applyBorder="1" applyAlignment="1">
      <alignment horizontal="center" vertical="center"/>
    </xf>
    <xf numFmtId="0" fontId="65" fillId="9" borderId="177" xfId="0" applyFont="1" applyFill="1" applyBorder="1" applyAlignment="1">
      <alignment horizontal="center" vertical="center"/>
    </xf>
    <xf numFmtId="179" fontId="71" fillId="16" borderId="93" xfId="588" applyNumberFormat="1" applyFont="1" applyFill="1" applyBorder="1" applyAlignment="1">
      <alignment horizontal="center" vertical="center"/>
    </xf>
    <xf numFmtId="179" fontId="71" fillId="16" borderId="77" xfId="588" quotePrefix="1" applyNumberFormat="1" applyFont="1" applyFill="1" applyBorder="1" applyAlignment="1">
      <alignment horizontal="center" vertical="center"/>
    </xf>
    <xf numFmtId="0" fontId="57" fillId="7" borderId="6" xfId="0" applyFont="1" applyFill="1" applyBorder="1" applyAlignment="1">
      <alignment horizontal="left" vertical="center" wrapText="1"/>
    </xf>
    <xf numFmtId="0" fontId="57" fillId="7" borderId="109" xfId="0" applyFont="1" applyFill="1" applyBorder="1" applyAlignment="1">
      <alignment horizontal="left" vertical="center" wrapText="1"/>
    </xf>
    <xf numFmtId="179" fontId="57" fillId="8" borderId="127" xfId="588" applyNumberFormat="1" applyFont="1" applyFill="1" applyBorder="1" applyAlignment="1">
      <alignment horizontal="center" vertical="center"/>
    </xf>
    <xf numFmtId="0" fontId="57" fillId="8" borderId="113" xfId="0" applyFont="1" applyFill="1" applyBorder="1" applyAlignment="1">
      <alignment horizontal="center" vertical="center"/>
    </xf>
    <xf numFmtId="0" fontId="57" fillId="8" borderId="205" xfId="0" applyFont="1" applyFill="1" applyBorder="1" applyAlignment="1">
      <alignment horizontal="center" vertical="center"/>
    </xf>
    <xf numFmtId="0" fontId="66" fillId="8" borderId="113" xfId="0" applyFont="1" applyFill="1" applyBorder="1" applyAlignment="1">
      <alignment horizontal="center" vertical="center"/>
    </xf>
    <xf numFmtId="0" fontId="57" fillId="8" borderId="116" xfId="0" applyFont="1" applyFill="1" applyBorder="1" applyAlignment="1">
      <alignment horizontal="center" vertical="center"/>
    </xf>
    <xf numFmtId="0" fontId="57" fillId="0" borderId="113" xfId="0" applyFont="1" applyFill="1" applyBorder="1" applyAlignment="1">
      <alignment horizontal="center" vertical="center"/>
    </xf>
    <xf numFmtId="0" fontId="57" fillId="8" borderId="117" xfId="0" applyFont="1" applyFill="1" applyBorder="1" applyAlignment="1">
      <alignment horizontal="center" vertical="center"/>
    </xf>
    <xf numFmtId="0" fontId="57" fillId="9" borderId="117" xfId="0" applyFont="1" applyFill="1" applyBorder="1" applyAlignment="1">
      <alignment horizontal="center" vertical="center"/>
    </xf>
    <xf numFmtId="179" fontId="70" fillId="9" borderId="161" xfId="588" applyNumberFormat="1" applyFont="1" applyFill="1" applyBorder="1" applyAlignment="1">
      <alignment horizontal="right" vertical="center"/>
    </xf>
    <xf numFmtId="0" fontId="66" fillId="9" borderId="161" xfId="0" applyFont="1" applyFill="1" applyBorder="1" applyAlignment="1">
      <alignment horizontal="center" vertical="center"/>
    </xf>
    <xf numFmtId="0" fontId="66" fillId="9" borderId="206" xfId="0" applyFont="1" applyFill="1" applyBorder="1" applyAlignment="1">
      <alignment horizontal="center" vertical="center"/>
    </xf>
    <xf numFmtId="9" fontId="57" fillId="8" borderId="113" xfId="588" applyFont="1" applyFill="1" applyBorder="1" applyAlignment="1">
      <alignment horizontal="center" vertical="center"/>
    </xf>
    <xf numFmtId="9" fontId="66" fillId="8" borderId="113" xfId="588" applyFont="1" applyFill="1" applyBorder="1" applyAlignment="1">
      <alignment horizontal="center" vertical="center"/>
    </xf>
    <xf numFmtId="0" fontId="57" fillId="0" borderId="107" xfId="0" applyFont="1" applyFill="1" applyBorder="1" applyAlignment="1">
      <alignment horizontal="center" vertical="center"/>
    </xf>
    <xf numFmtId="9" fontId="57" fillId="8" borderId="117" xfId="588" applyFont="1" applyFill="1" applyBorder="1" applyAlignment="1">
      <alignment horizontal="center" vertical="center"/>
    </xf>
    <xf numFmtId="0" fontId="69" fillId="9" borderId="207" xfId="0" applyFont="1" applyFill="1" applyBorder="1" applyAlignment="1">
      <alignment horizontal="center" vertical="center"/>
    </xf>
    <xf numFmtId="0" fontId="66" fillId="9" borderId="104" xfId="0" applyFont="1" applyFill="1" applyBorder="1" applyAlignment="1">
      <alignment horizontal="center" vertical="center"/>
    </xf>
    <xf numFmtId="0" fontId="59" fillId="8" borderId="205" xfId="0" applyFont="1" applyFill="1" applyBorder="1" applyAlignment="1">
      <alignment horizontal="center" vertical="center"/>
    </xf>
    <xf numFmtId="0" fontId="68" fillId="8" borderId="113" xfId="0" applyFont="1" applyFill="1" applyBorder="1" applyAlignment="1">
      <alignment horizontal="center" vertical="center"/>
    </xf>
    <xf numFmtId="0" fontId="57" fillId="8" borderId="127" xfId="0" applyFont="1" applyFill="1" applyBorder="1" applyAlignment="1">
      <alignment horizontal="center" vertical="center"/>
    </xf>
    <xf numFmtId="0" fontId="57" fillId="7" borderId="108" xfId="0" applyFont="1" applyFill="1" applyBorder="1" applyAlignment="1">
      <alignment horizontal="left" vertical="center" wrapText="1"/>
    </xf>
    <xf numFmtId="179" fontId="70" fillId="8" borderId="106" xfId="588" applyNumberFormat="1" applyFont="1" applyFill="1" applyBorder="1" applyAlignment="1">
      <alignment horizontal="right" vertical="center"/>
    </xf>
    <xf numFmtId="179" fontId="57" fillId="0" borderId="106" xfId="588" applyNumberFormat="1" applyFont="1" applyFill="1" applyBorder="1" applyAlignment="1">
      <alignment horizontal="center" vertical="center"/>
    </xf>
    <xf numFmtId="179" fontId="57" fillId="8" borderId="208" xfId="588" applyNumberFormat="1" applyFont="1" applyFill="1" applyBorder="1" applyAlignment="1">
      <alignment horizontal="center" vertical="center"/>
    </xf>
    <xf numFmtId="179" fontId="57" fillId="9" borderId="208" xfId="588" applyNumberFormat="1" applyFont="1" applyFill="1" applyBorder="1" applyAlignment="1">
      <alignment horizontal="left" vertical="center"/>
    </xf>
    <xf numFmtId="179" fontId="57" fillId="8" borderId="108" xfId="588" applyNumberFormat="1" applyFont="1" applyFill="1" applyBorder="1" applyAlignment="1">
      <alignment horizontal="center" vertical="center"/>
    </xf>
    <xf numFmtId="179" fontId="57" fillId="0" borderId="108" xfId="588" applyNumberFormat="1" applyFont="1" applyFill="1" applyBorder="1" applyAlignment="1">
      <alignment horizontal="center" vertical="center"/>
    </xf>
    <xf numFmtId="0" fontId="46" fillId="9" borderId="210" xfId="0" applyFont="1" applyFill="1" applyBorder="1" applyAlignment="1">
      <alignment horizontal="center" vertical="center"/>
    </xf>
    <xf numFmtId="0" fontId="46" fillId="8" borderId="59" xfId="0" applyFont="1" applyFill="1" applyBorder="1" applyAlignment="1">
      <alignment horizontal="center" vertical="center"/>
    </xf>
    <xf numFmtId="178" fontId="46" fillId="8" borderId="67" xfId="0" applyNumberFormat="1" applyFont="1" applyFill="1" applyBorder="1">
      <alignment vertical="center"/>
    </xf>
    <xf numFmtId="0" fontId="46" fillId="8" borderId="17" xfId="0" applyNumberFormat="1" applyFont="1" applyFill="1" applyBorder="1" applyAlignment="1">
      <alignment horizontal="center" vertical="center"/>
    </xf>
    <xf numFmtId="178" fontId="46" fillId="8" borderId="69" xfId="0" applyNumberFormat="1" applyFont="1" applyFill="1" applyBorder="1">
      <alignment vertical="center"/>
    </xf>
    <xf numFmtId="178" fontId="64" fillId="11" borderId="3" xfId="0" applyNumberFormat="1" applyFont="1" applyFill="1" applyBorder="1">
      <alignment vertical="center"/>
    </xf>
    <xf numFmtId="178" fontId="46" fillId="8" borderId="64" xfId="0" applyNumberFormat="1" applyFont="1" applyFill="1" applyBorder="1">
      <alignment vertical="center"/>
    </xf>
    <xf numFmtId="178" fontId="64" fillId="11" borderId="4" xfId="0" applyNumberFormat="1" applyFont="1" applyFill="1" applyBorder="1">
      <alignment vertical="center"/>
    </xf>
    <xf numFmtId="178" fontId="46" fillId="8" borderId="204" xfId="0" applyNumberFormat="1" applyFont="1" applyFill="1" applyBorder="1">
      <alignment vertical="center"/>
    </xf>
    <xf numFmtId="178" fontId="64" fillId="11" borderId="5" xfId="0" applyNumberFormat="1" applyFont="1" applyFill="1" applyBorder="1">
      <alignment vertical="center"/>
    </xf>
    <xf numFmtId="178" fontId="46" fillId="8" borderId="188" xfId="0" applyNumberFormat="1" applyFont="1" applyFill="1" applyBorder="1">
      <alignment vertical="center"/>
    </xf>
    <xf numFmtId="178" fontId="46" fillId="8" borderId="74" xfId="0" applyNumberFormat="1" applyFont="1" applyFill="1" applyBorder="1">
      <alignment vertical="center"/>
    </xf>
    <xf numFmtId="178" fontId="64" fillId="11" borderId="7" xfId="0" applyNumberFormat="1" applyFont="1" applyFill="1" applyBorder="1">
      <alignment vertical="center"/>
    </xf>
    <xf numFmtId="178" fontId="64" fillId="11" borderId="2" xfId="0" applyNumberFormat="1" applyFont="1" applyFill="1" applyBorder="1">
      <alignment vertical="center"/>
    </xf>
    <xf numFmtId="178" fontId="46" fillId="8" borderId="65" xfId="0" applyNumberFormat="1" applyFont="1" applyFill="1" applyBorder="1">
      <alignment vertical="center"/>
    </xf>
    <xf numFmtId="178" fontId="46" fillId="8" borderId="68" xfId="0" applyNumberFormat="1" applyFont="1" applyFill="1" applyBorder="1">
      <alignment vertical="center"/>
    </xf>
    <xf numFmtId="179" fontId="46" fillId="8" borderId="178" xfId="588" applyNumberFormat="1" applyFont="1" applyFill="1" applyBorder="1">
      <alignment vertical="center"/>
    </xf>
    <xf numFmtId="179" fontId="64" fillId="11" borderId="22" xfId="588" applyNumberFormat="1" applyFont="1" applyFill="1" applyBorder="1">
      <alignment vertical="center"/>
    </xf>
    <xf numFmtId="179" fontId="46" fillId="8" borderId="179" xfId="588" applyNumberFormat="1" applyFont="1" applyFill="1" applyBorder="1">
      <alignment vertical="center"/>
    </xf>
    <xf numFmtId="179" fontId="64" fillId="11" borderId="3" xfId="588" applyNumberFormat="1" applyFont="1" applyFill="1" applyBorder="1">
      <alignment vertical="center"/>
    </xf>
    <xf numFmtId="179" fontId="46" fillId="8" borderId="180" xfId="588" applyNumberFormat="1" applyFont="1" applyFill="1" applyBorder="1">
      <alignment vertical="center"/>
    </xf>
    <xf numFmtId="179" fontId="64" fillId="11" borderId="4" xfId="588" applyNumberFormat="1" applyFont="1" applyFill="1" applyBorder="1">
      <alignment vertical="center"/>
    </xf>
    <xf numFmtId="179" fontId="46" fillId="8" borderId="181" xfId="588" applyNumberFormat="1" applyFont="1" applyFill="1" applyBorder="1">
      <alignment vertical="center"/>
    </xf>
    <xf numFmtId="179" fontId="64" fillId="11" borderId="41" xfId="588" applyNumberFormat="1" applyFont="1" applyFill="1" applyBorder="1">
      <alignment vertical="center"/>
    </xf>
    <xf numFmtId="178" fontId="64" fillId="11" borderId="41" xfId="0" applyNumberFormat="1" applyFont="1" applyFill="1" applyBorder="1">
      <alignment vertical="center"/>
    </xf>
    <xf numFmtId="178" fontId="46" fillId="8" borderId="70" xfId="0" applyNumberFormat="1" applyFont="1" applyFill="1" applyBorder="1">
      <alignment vertical="center"/>
    </xf>
    <xf numFmtId="178" fontId="46" fillId="8" borderId="61" xfId="0" applyNumberFormat="1" applyFont="1" applyFill="1" applyBorder="1">
      <alignment vertical="center"/>
    </xf>
    <xf numFmtId="178" fontId="46" fillId="8" borderId="212" xfId="0" applyNumberFormat="1" applyFont="1" applyFill="1" applyBorder="1">
      <alignment vertical="center"/>
    </xf>
    <xf numFmtId="178" fontId="46" fillId="8" borderId="213" xfId="0" applyNumberFormat="1" applyFont="1" applyFill="1" applyBorder="1">
      <alignment vertical="center"/>
    </xf>
    <xf numFmtId="178" fontId="46" fillId="8" borderId="214" xfId="0" applyNumberFormat="1" applyFont="1" applyFill="1" applyBorder="1">
      <alignment vertical="center"/>
    </xf>
    <xf numFmtId="179" fontId="46" fillId="8" borderId="214" xfId="588" applyNumberFormat="1" applyFont="1" applyFill="1" applyBorder="1">
      <alignment vertical="center"/>
    </xf>
    <xf numFmtId="178" fontId="64" fillId="11" borderId="214" xfId="0" applyNumberFormat="1" applyFont="1" applyFill="1" applyBorder="1">
      <alignment vertical="center"/>
    </xf>
    <xf numFmtId="179" fontId="46" fillId="8" borderId="215" xfId="588" applyNumberFormat="1" applyFont="1" applyFill="1" applyBorder="1">
      <alignment vertical="center"/>
    </xf>
    <xf numFmtId="178" fontId="46" fillId="8" borderId="215" xfId="0" applyNumberFormat="1" applyFont="1" applyFill="1" applyBorder="1" applyAlignment="1">
      <alignment horizontal="center" vertical="center"/>
    </xf>
    <xf numFmtId="179" fontId="46" fillId="4" borderId="216" xfId="588" applyNumberFormat="1" applyFont="1" applyFill="1" applyBorder="1">
      <alignment vertical="center"/>
    </xf>
    <xf numFmtId="179" fontId="46" fillId="4" borderId="217" xfId="588" applyNumberFormat="1" applyFont="1" applyFill="1" applyBorder="1">
      <alignment vertical="center"/>
    </xf>
    <xf numFmtId="179" fontId="46" fillId="9" borderId="217" xfId="588" applyNumberFormat="1" applyFont="1" applyFill="1" applyBorder="1">
      <alignment vertical="center"/>
    </xf>
    <xf numFmtId="179" fontId="46" fillId="4" borderId="220" xfId="588" applyNumberFormat="1" applyFont="1" applyFill="1" applyBorder="1">
      <alignment vertical="center"/>
    </xf>
    <xf numFmtId="178" fontId="46" fillId="4" borderId="218" xfId="0" applyNumberFormat="1" applyFont="1" applyFill="1" applyBorder="1" applyAlignment="1">
      <alignment horizontal="center" vertical="center"/>
    </xf>
    <xf numFmtId="178" fontId="46" fillId="4" borderId="219" xfId="0" applyNumberFormat="1" applyFont="1" applyFill="1" applyBorder="1" applyAlignment="1">
      <alignment horizontal="center" vertical="center"/>
    </xf>
    <xf numFmtId="179" fontId="46" fillId="9" borderId="220" xfId="588" applyNumberFormat="1" applyFont="1" applyFill="1" applyBorder="1">
      <alignment vertical="center"/>
    </xf>
    <xf numFmtId="178" fontId="46" fillId="9" borderId="219" xfId="0" applyNumberFormat="1" applyFont="1" applyFill="1" applyBorder="1" applyAlignment="1">
      <alignment horizontal="center" vertical="center"/>
    </xf>
    <xf numFmtId="179" fontId="46" fillId="8" borderId="221" xfId="588" applyNumberFormat="1" applyFont="1" applyFill="1" applyBorder="1">
      <alignment vertical="center"/>
    </xf>
    <xf numFmtId="179" fontId="46" fillId="8" borderId="222" xfId="588" applyNumberFormat="1" applyFont="1" applyFill="1" applyBorder="1">
      <alignment vertical="center"/>
    </xf>
    <xf numFmtId="179" fontId="64" fillId="11" borderId="222" xfId="588" applyNumberFormat="1" applyFont="1" applyFill="1" applyBorder="1">
      <alignment vertical="center"/>
    </xf>
    <xf numFmtId="179" fontId="46" fillId="8" borderId="223" xfId="588" applyNumberFormat="1" applyFont="1" applyFill="1" applyBorder="1">
      <alignment vertical="center"/>
    </xf>
    <xf numFmtId="178" fontId="46" fillId="8" borderId="224" xfId="0" applyNumberFormat="1" applyFont="1" applyFill="1" applyBorder="1" applyAlignment="1">
      <alignment horizontal="center" vertical="center"/>
    </xf>
    <xf numFmtId="181" fontId="46" fillId="8" borderId="222" xfId="3337" applyNumberFormat="1" applyFont="1" applyFill="1" applyBorder="1">
      <alignment vertical="center"/>
    </xf>
    <xf numFmtId="178" fontId="46" fillId="8" borderId="222" xfId="0" applyNumberFormat="1" applyFont="1" applyFill="1" applyBorder="1" applyAlignment="1">
      <alignment horizontal="center" vertical="center"/>
    </xf>
    <xf numFmtId="179" fontId="46" fillId="8" borderId="138" xfId="588" applyNumberFormat="1" applyFont="1" applyFill="1" applyBorder="1">
      <alignment vertical="center"/>
    </xf>
    <xf numFmtId="179" fontId="46" fillId="8" borderId="225" xfId="588" applyNumberFormat="1" applyFont="1" applyFill="1" applyBorder="1">
      <alignment vertical="center"/>
    </xf>
    <xf numFmtId="179" fontId="46" fillId="8" borderId="226" xfId="588" applyNumberFormat="1" applyFont="1" applyFill="1" applyBorder="1">
      <alignment vertical="center"/>
    </xf>
    <xf numFmtId="179" fontId="46" fillId="8" borderId="227" xfId="588" applyNumberFormat="1" applyFont="1" applyFill="1" applyBorder="1">
      <alignment vertical="center"/>
    </xf>
    <xf numFmtId="179" fontId="46" fillId="8" borderId="228" xfId="588" applyNumberFormat="1" applyFont="1" applyFill="1" applyBorder="1">
      <alignment vertical="center"/>
    </xf>
    <xf numFmtId="178" fontId="46" fillId="8" borderId="229" xfId="0" applyNumberFormat="1" applyFont="1" applyFill="1" applyBorder="1">
      <alignment vertical="center"/>
    </xf>
    <xf numFmtId="38" fontId="40" fillId="8" borderId="175" xfId="2566" applyFont="1" applyFill="1" applyBorder="1" applyAlignment="1">
      <alignment vertical="center" shrinkToFit="1"/>
    </xf>
    <xf numFmtId="38" fontId="40" fillId="5" borderId="230" xfId="2566" applyFont="1" applyFill="1" applyBorder="1" applyAlignment="1">
      <alignment vertical="center" shrinkToFit="1"/>
    </xf>
    <xf numFmtId="38" fontId="40" fillId="8" borderId="230" xfId="2566" applyFont="1" applyFill="1" applyBorder="1" applyAlignment="1">
      <alignment vertical="center" shrinkToFit="1"/>
    </xf>
    <xf numFmtId="38" fontId="41" fillId="8" borderId="231" xfId="2566" applyFont="1" applyFill="1" applyBorder="1" applyAlignment="1">
      <alignment horizontal="right" vertical="center" shrinkToFit="1"/>
    </xf>
    <xf numFmtId="38" fontId="41" fillId="5" borderId="231" xfId="2566" applyFont="1" applyFill="1" applyBorder="1" applyAlignment="1">
      <alignment horizontal="right" vertical="center" shrinkToFit="1"/>
    </xf>
    <xf numFmtId="179" fontId="40" fillId="8" borderId="231" xfId="595" applyNumberFormat="1" applyFont="1" applyFill="1" applyBorder="1" applyAlignment="1">
      <alignment horizontal="left" vertical="center" shrinkToFit="1"/>
    </xf>
    <xf numFmtId="9" fontId="40" fillId="8" borderId="231" xfId="595" applyFont="1" applyFill="1" applyBorder="1" applyAlignment="1">
      <alignment horizontal="left" vertical="center" shrinkToFit="1"/>
    </xf>
    <xf numFmtId="38" fontId="41" fillId="8" borderId="231" xfId="2566" applyFont="1" applyFill="1" applyBorder="1" applyAlignment="1">
      <alignment horizontal="left" vertical="center" shrinkToFit="1"/>
    </xf>
    <xf numFmtId="38" fontId="41" fillId="8" borderId="232" xfId="2566" applyFont="1" applyFill="1" applyBorder="1" applyAlignment="1" applyProtection="1">
      <alignment horizontal="left" vertical="center" shrinkToFit="1"/>
      <protection locked="0"/>
    </xf>
    <xf numFmtId="38" fontId="41" fillId="8" borderId="231" xfId="2566" applyFont="1" applyFill="1" applyBorder="1" applyAlignment="1">
      <alignment vertical="center" shrinkToFit="1"/>
    </xf>
    <xf numFmtId="9" fontId="41" fillId="8" borderId="231" xfId="595" applyFont="1" applyFill="1" applyBorder="1" applyAlignment="1">
      <alignment horizontal="left" vertical="center" shrinkToFit="1"/>
    </xf>
    <xf numFmtId="182" fontId="41" fillId="9" borderId="135" xfId="595" applyNumberFormat="1" applyFont="1" applyFill="1" applyBorder="1" applyAlignment="1">
      <alignment horizontal="right" vertical="center" shrinkToFit="1"/>
    </xf>
    <xf numFmtId="38" fontId="41" fillId="8" borderId="232" xfId="2566" applyFont="1" applyFill="1" applyBorder="1" applyAlignment="1">
      <alignment horizontal="left" vertical="center" shrinkToFit="1"/>
    </xf>
    <xf numFmtId="38" fontId="41" fillId="5" borderId="232" xfId="2566" applyFont="1" applyFill="1" applyBorder="1" applyAlignment="1" applyProtection="1">
      <alignment horizontal="left" vertical="center" shrinkToFit="1"/>
      <protection locked="0"/>
    </xf>
    <xf numFmtId="179" fontId="73" fillId="9" borderId="125" xfId="595" applyNumberFormat="1" applyFont="1" applyFill="1" applyBorder="1" applyAlignment="1">
      <alignment horizontal="left" vertical="center" shrinkToFit="1"/>
    </xf>
    <xf numFmtId="179" fontId="41" fillId="8" borderId="231" xfId="595" applyNumberFormat="1" applyFont="1" applyFill="1" applyBorder="1" applyAlignment="1">
      <alignment horizontal="left" vertical="center" shrinkToFit="1"/>
    </xf>
    <xf numFmtId="38" fontId="73" fillId="9" borderId="123" xfId="2566" applyFont="1" applyFill="1" applyBorder="1" applyAlignment="1">
      <alignment vertical="center" shrinkToFit="1"/>
    </xf>
    <xf numFmtId="179" fontId="41" fillId="8" borderId="232" xfId="595" applyNumberFormat="1" applyFont="1" applyFill="1" applyBorder="1" applyAlignment="1">
      <alignment horizontal="left" vertical="center" shrinkToFit="1"/>
    </xf>
    <xf numFmtId="38" fontId="61" fillId="9" borderId="122" xfId="2566" applyFont="1" applyFill="1" applyBorder="1" applyAlignment="1">
      <alignment vertical="center" shrinkToFit="1"/>
    </xf>
    <xf numFmtId="9" fontId="41" fillId="8" borderId="231" xfId="595" applyNumberFormat="1" applyFont="1" applyFill="1" applyBorder="1" applyAlignment="1">
      <alignment horizontal="left" vertical="center" shrinkToFit="1"/>
    </xf>
    <xf numFmtId="9" fontId="40" fillId="8" borderId="231" xfId="595" applyNumberFormat="1" applyFont="1" applyFill="1" applyBorder="1" applyAlignment="1">
      <alignment horizontal="left" vertical="center" shrinkToFit="1"/>
    </xf>
    <xf numFmtId="179" fontId="40" fillId="8" borderId="232" xfId="595" applyNumberFormat="1" applyFont="1" applyFill="1" applyBorder="1" applyAlignment="1">
      <alignment horizontal="left" vertical="center" shrinkToFit="1"/>
    </xf>
    <xf numFmtId="9" fontId="40" fillId="0" borderId="231" xfId="595" applyFont="1" applyFill="1" applyBorder="1" applyAlignment="1">
      <alignment horizontal="left" vertical="center" shrinkToFit="1"/>
    </xf>
    <xf numFmtId="179" fontId="40" fillId="8" borderId="232" xfId="595" applyNumberFormat="1" applyFont="1" applyFill="1" applyBorder="1" applyAlignment="1" applyProtection="1">
      <alignment horizontal="left" vertical="center" shrinkToFit="1"/>
      <protection locked="0"/>
    </xf>
    <xf numFmtId="38" fontId="73" fillId="9" borderId="122" xfId="2566" applyFont="1" applyFill="1" applyBorder="1" applyAlignment="1">
      <alignment vertical="center" shrinkToFit="1"/>
    </xf>
    <xf numFmtId="179" fontId="73" fillId="9" borderId="123" xfId="595" applyNumberFormat="1" applyFont="1" applyFill="1" applyBorder="1" applyAlignment="1">
      <alignment horizontal="left" vertical="center" shrinkToFit="1"/>
    </xf>
    <xf numFmtId="179" fontId="65" fillId="8" borderId="106" xfId="588" applyNumberFormat="1" applyFont="1" applyFill="1" applyBorder="1" applyAlignment="1">
      <alignment horizontal="center" vertical="center"/>
    </xf>
    <xf numFmtId="179" fontId="65" fillId="8" borderId="2" xfId="588" applyNumberFormat="1" applyFont="1" applyFill="1" applyBorder="1" applyAlignment="1">
      <alignment horizontal="center" vertical="center"/>
    </xf>
    <xf numFmtId="179" fontId="70" fillId="8" borderId="2" xfId="588" applyNumberFormat="1" applyFont="1" applyFill="1" applyBorder="1" applyAlignment="1">
      <alignment horizontal="center" vertical="center"/>
    </xf>
    <xf numFmtId="179" fontId="70" fillId="8" borderId="106" xfId="588" applyNumberFormat="1" applyFont="1" applyFill="1" applyBorder="1" applyAlignment="1">
      <alignment horizontal="center" vertical="center"/>
    </xf>
    <xf numFmtId="38" fontId="40" fillId="8" borderId="233" xfId="2566" applyFont="1" applyFill="1" applyBorder="1" applyAlignment="1">
      <alignment vertical="center" shrinkToFit="1"/>
    </xf>
    <xf numFmtId="38" fontId="41" fillId="5" borderId="233" xfId="2566" applyFont="1" applyFill="1" applyBorder="1" applyAlignment="1">
      <alignment vertical="center" shrinkToFit="1"/>
    </xf>
    <xf numFmtId="38" fontId="40" fillId="5" borderId="233" xfId="2566" applyFont="1" applyFill="1" applyBorder="1" applyAlignment="1">
      <alignment vertical="center" shrinkToFit="1"/>
    </xf>
    <xf numFmtId="9" fontId="49" fillId="5" borderId="21" xfId="588" applyFont="1" applyFill="1" applyBorder="1" applyAlignment="1">
      <alignment horizontal="center" vertical="center"/>
    </xf>
    <xf numFmtId="0" fontId="46" fillId="8" borderId="191" xfId="0" applyFont="1" applyFill="1" applyBorder="1" applyAlignment="1">
      <alignment horizontal="center" vertical="center"/>
    </xf>
    <xf numFmtId="178" fontId="46" fillId="8" borderId="193" xfId="0" applyNumberFormat="1" applyFont="1" applyFill="1" applyBorder="1" applyAlignment="1">
      <alignment horizontal="center" vertical="center"/>
    </xf>
    <xf numFmtId="178" fontId="46" fillId="8" borderId="195" xfId="0" applyNumberFormat="1" applyFont="1" applyFill="1" applyBorder="1" applyAlignment="1">
      <alignment horizontal="center" vertical="center"/>
    </xf>
    <xf numFmtId="178" fontId="46" fillId="8" borderId="197" xfId="0" applyNumberFormat="1" applyFont="1" applyFill="1" applyBorder="1" applyAlignment="1">
      <alignment horizontal="center" vertical="center"/>
    </xf>
    <xf numFmtId="178" fontId="46" fillId="8" borderId="165" xfId="0" applyNumberFormat="1" applyFont="1" applyFill="1" applyBorder="1" applyAlignment="1">
      <alignment horizontal="center" vertical="center"/>
    </xf>
    <xf numFmtId="178" fontId="46" fillId="8" borderId="200" xfId="0" applyNumberFormat="1" applyFont="1" applyFill="1" applyBorder="1" applyAlignment="1">
      <alignment horizontal="center" vertical="center"/>
    </xf>
    <xf numFmtId="178" fontId="46" fillId="8" borderId="201" xfId="0" applyNumberFormat="1" applyFont="1" applyFill="1" applyBorder="1" applyAlignment="1">
      <alignment horizontal="center" vertical="center"/>
    </xf>
    <xf numFmtId="178" fontId="46" fillId="8" borderId="202" xfId="0" applyNumberFormat="1" applyFont="1" applyFill="1" applyBorder="1" applyAlignment="1">
      <alignment horizontal="center" vertical="center"/>
    </xf>
    <xf numFmtId="178" fontId="46" fillId="8" borderId="203" xfId="0" applyNumberFormat="1" applyFont="1" applyFill="1" applyBorder="1" applyAlignment="1">
      <alignment horizontal="center" vertical="center"/>
    </xf>
    <xf numFmtId="178" fontId="46" fillId="8" borderId="223" xfId="0" applyNumberFormat="1" applyFont="1" applyFill="1" applyBorder="1" applyAlignment="1">
      <alignment horizontal="center" vertical="center"/>
    </xf>
    <xf numFmtId="0" fontId="46" fillId="8" borderId="236" xfId="0" applyFont="1" applyFill="1" applyBorder="1" applyAlignment="1">
      <alignment horizontal="center" vertical="center"/>
    </xf>
    <xf numFmtId="178" fontId="46" fillId="8" borderId="237" xfId="0" applyNumberFormat="1" applyFont="1" applyFill="1" applyBorder="1">
      <alignment vertical="center"/>
    </xf>
    <xf numFmtId="178" fontId="46" fillId="8" borderId="238" xfId="0" applyNumberFormat="1" applyFont="1" applyFill="1" applyBorder="1">
      <alignment vertical="center"/>
    </xf>
    <xf numFmtId="178" fontId="46" fillId="8" borderId="239" xfId="0" applyNumberFormat="1" applyFont="1" applyFill="1" applyBorder="1">
      <alignment vertical="center"/>
    </xf>
    <xf numFmtId="178" fontId="46" fillId="8" borderId="240" xfId="0" applyNumberFormat="1" applyFont="1" applyFill="1" applyBorder="1">
      <alignment vertical="center"/>
    </xf>
    <xf numFmtId="178" fontId="46" fillId="8" borderId="241" xfId="0" applyNumberFormat="1" applyFont="1" applyFill="1" applyBorder="1">
      <alignment vertical="center"/>
    </xf>
    <xf numFmtId="178" fontId="46" fillId="8" borderId="242" xfId="0" applyNumberFormat="1" applyFont="1" applyFill="1" applyBorder="1">
      <alignment vertical="center"/>
    </xf>
    <xf numFmtId="178" fontId="46" fillId="8" borderId="243" xfId="0" applyNumberFormat="1" applyFont="1" applyFill="1" applyBorder="1">
      <alignment vertical="center"/>
    </xf>
    <xf numFmtId="178" fontId="46" fillId="8" borderId="244" xfId="0" applyNumberFormat="1" applyFont="1" applyFill="1" applyBorder="1">
      <alignment vertical="center"/>
    </xf>
    <xf numFmtId="178" fontId="46" fillId="8" borderId="245" xfId="0" applyNumberFormat="1" applyFont="1" applyFill="1" applyBorder="1">
      <alignment vertical="center"/>
    </xf>
    <xf numFmtId="179" fontId="46" fillId="8" borderId="246" xfId="588" applyNumberFormat="1" applyFont="1" applyFill="1" applyBorder="1">
      <alignment vertical="center"/>
    </xf>
    <xf numFmtId="179" fontId="46" fillId="8" borderId="247" xfId="588" applyNumberFormat="1" applyFont="1" applyFill="1" applyBorder="1">
      <alignment vertical="center"/>
    </xf>
    <xf numFmtId="179" fontId="46" fillId="8" borderId="248" xfId="588" applyNumberFormat="1" applyFont="1" applyFill="1" applyBorder="1">
      <alignment vertical="center"/>
    </xf>
    <xf numFmtId="179" fontId="46" fillId="8" borderId="249" xfId="588" applyNumberFormat="1" applyFont="1" applyFill="1" applyBorder="1">
      <alignment vertical="center"/>
    </xf>
    <xf numFmtId="179" fontId="46" fillId="8" borderId="250" xfId="588" applyNumberFormat="1" applyFont="1" applyFill="1" applyBorder="1">
      <alignment vertical="center"/>
    </xf>
    <xf numFmtId="179" fontId="46" fillId="0" borderId="2" xfId="588" applyNumberFormat="1" applyFont="1" applyFill="1" applyBorder="1">
      <alignment vertical="center"/>
    </xf>
    <xf numFmtId="179" fontId="46" fillId="0" borderId="17" xfId="588" applyNumberFormat="1" applyFont="1" applyFill="1" applyBorder="1">
      <alignment vertical="center"/>
    </xf>
    <xf numFmtId="178" fontId="46" fillId="0" borderId="10" xfId="0" applyNumberFormat="1" applyFont="1" applyFill="1" applyBorder="1">
      <alignment vertical="center"/>
    </xf>
    <xf numFmtId="179" fontId="46" fillId="0" borderId="3" xfId="588" applyNumberFormat="1" applyFont="1" applyFill="1" applyBorder="1">
      <alignment vertical="center"/>
    </xf>
    <xf numFmtId="178" fontId="64" fillId="0" borderId="3" xfId="0" applyNumberFormat="1" applyFont="1" applyFill="1" applyBorder="1">
      <alignment vertical="center"/>
    </xf>
    <xf numFmtId="179" fontId="46" fillId="0" borderId="9" xfId="588" applyNumberFormat="1" applyFont="1" applyFill="1" applyBorder="1">
      <alignment vertical="center"/>
    </xf>
    <xf numFmtId="178" fontId="46" fillId="0" borderId="12" xfId="0" applyNumberFormat="1" applyFont="1" applyFill="1" applyBorder="1">
      <alignment vertical="center"/>
    </xf>
    <xf numFmtId="179" fontId="46" fillId="0" borderId="4" xfId="588" applyNumberFormat="1" applyFont="1" applyFill="1" applyBorder="1">
      <alignment vertical="center"/>
    </xf>
    <xf numFmtId="178" fontId="64" fillId="0" borderId="4" xfId="0" applyNumberFormat="1" applyFont="1" applyFill="1" applyBorder="1">
      <alignment vertical="center"/>
    </xf>
    <xf numFmtId="179" fontId="46" fillId="0" borderId="11" xfId="588" applyNumberFormat="1" applyFont="1" applyFill="1" applyBorder="1">
      <alignment vertical="center"/>
    </xf>
    <xf numFmtId="178" fontId="46" fillId="0" borderId="44" xfId="0" applyNumberFormat="1" applyFont="1" applyFill="1" applyBorder="1">
      <alignment vertical="center"/>
    </xf>
    <xf numFmtId="178" fontId="64" fillId="0" borderId="41" xfId="0" applyNumberFormat="1" applyFont="1" applyFill="1" applyBorder="1">
      <alignment vertical="center"/>
    </xf>
    <xf numFmtId="178" fontId="46" fillId="0" borderId="16" xfId="0" applyNumberFormat="1" applyFont="1" applyFill="1" applyBorder="1">
      <alignment vertical="center"/>
    </xf>
    <xf numFmtId="179" fontId="46" fillId="0" borderId="5" xfId="588" applyNumberFormat="1" applyFont="1" applyFill="1" applyBorder="1">
      <alignment vertical="center"/>
    </xf>
    <xf numFmtId="178" fontId="64" fillId="0" borderId="5" xfId="0" applyNumberFormat="1" applyFont="1" applyFill="1" applyBorder="1">
      <alignment vertical="center"/>
    </xf>
    <xf numFmtId="179" fontId="46" fillId="0" borderId="15" xfId="588" applyNumberFormat="1" applyFont="1" applyFill="1" applyBorder="1">
      <alignment vertical="center"/>
    </xf>
    <xf numFmtId="178" fontId="64" fillId="0" borderId="7" xfId="0" applyNumberFormat="1" applyFont="1" applyFill="1" applyBorder="1">
      <alignment vertical="center"/>
    </xf>
    <xf numFmtId="178" fontId="46" fillId="0" borderId="4" xfId="0" applyNumberFormat="1" applyFont="1" applyFill="1" applyBorder="1">
      <alignment vertical="center"/>
    </xf>
    <xf numFmtId="178" fontId="46" fillId="0" borderId="41" xfId="0" applyNumberFormat="1" applyFont="1" applyFill="1" applyBorder="1">
      <alignment vertical="center"/>
    </xf>
    <xf numFmtId="179" fontId="46" fillId="0" borderId="41" xfId="588" applyNumberFormat="1" applyFont="1" applyFill="1" applyBorder="1">
      <alignment vertical="center"/>
    </xf>
    <xf numFmtId="179" fontId="46" fillId="0" borderId="43" xfId="588" applyNumberFormat="1" applyFont="1" applyFill="1" applyBorder="1">
      <alignment vertical="center"/>
    </xf>
    <xf numFmtId="178" fontId="46" fillId="0" borderId="55" xfId="0" applyNumberFormat="1" applyFont="1" applyFill="1" applyBorder="1">
      <alignment vertical="center"/>
    </xf>
    <xf numFmtId="179" fontId="46" fillId="0" borderId="55" xfId="588" applyNumberFormat="1" applyFont="1" applyFill="1" applyBorder="1">
      <alignment vertical="center"/>
    </xf>
    <xf numFmtId="179" fontId="46" fillId="0" borderId="57" xfId="588" applyNumberFormat="1" applyFont="1" applyFill="1" applyBorder="1">
      <alignment vertical="center"/>
    </xf>
    <xf numFmtId="178" fontId="46" fillId="0" borderId="235" xfId="0" applyNumberFormat="1" applyFont="1" applyFill="1" applyBorder="1">
      <alignment vertical="center"/>
    </xf>
    <xf numFmtId="178" fontId="46" fillId="0" borderId="153" xfId="0" applyNumberFormat="1" applyFont="1" applyFill="1" applyBorder="1">
      <alignment vertical="center"/>
    </xf>
    <xf numFmtId="179" fontId="46" fillId="0" borderId="153" xfId="588" applyNumberFormat="1" applyFont="1" applyFill="1" applyBorder="1">
      <alignment vertical="center"/>
    </xf>
    <xf numFmtId="178" fontId="64" fillId="0" borderId="153" xfId="0" applyNumberFormat="1" applyFont="1" applyFill="1" applyBorder="1">
      <alignment vertical="center"/>
    </xf>
    <xf numFmtId="179" fontId="46" fillId="0" borderId="154" xfId="588" applyNumberFormat="1" applyFont="1" applyFill="1" applyBorder="1">
      <alignment vertical="center"/>
    </xf>
    <xf numFmtId="178" fontId="46" fillId="0" borderId="238" xfId="0" applyNumberFormat="1" applyFont="1" applyFill="1" applyBorder="1">
      <alignment vertical="center"/>
    </xf>
    <xf numFmtId="178" fontId="46" fillId="0" borderId="239" xfId="0" applyNumberFormat="1" applyFont="1" applyFill="1" applyBorder="1">
      <alignment vertical="center"/>
    </xf>
    <xf numFmtId="178" fontId="46" fillId="0" borderId="251" xfId="0" applyNumberFormat="1" applyFont="1" applyFill="1" applyBorder="1">
      <alignment vertical="center"/>
    </xf>
    <xf numFmtId="178" fontId="46" fillId="0" borderId="240" xfId="0" applyNumberFormat="1" applyFont="1" applyFill="1" applyBorder="1">
      <alignment vertical="center"/>
    </xf>
    <xf numFmtId="178" fontId="46" fillId="0" borderId="252" xfId="0" applyNumberFormat="1" applyFont="1" applyFill="1" applyBorder="1">
      <alignment vertical="center"/>
    </xf>
    <xf numFmtId="178" fontId="46" fillId="0" borderId="253" xfId="0" applyNumberFormat="1" applyFont="1" applyFill="1" applyBorder="1">
      <alignment vertical="center"/>
    </xf>
    <xf numFmtId="178" fontId="46" fillId="0" borderId="214" xfId="0" applyNumberFormat="1" applyFont="1" applyFill="1" applyBorder="1">
      <alignment vertical="center"/>
    </xf>
    <xf numFmtId="179" fontId="46" fillId="0" borderId="214" xfId="588" applyNumberFormat="1" applyFont="1" applyFill="1" applyBorder="1">
      <alignment vertical="center"/>
    </xf>
    <xf numFmtId="178" fontId="64" fillId="0" borderId="222" xfId="0" applyNumberFormat="1" applyFont="1" applyFill="1" applyBorder="1">
      <alignment vertical="center"/>
    </xf>
    <xf numFmtId="179" fontId="46" fillId="0" borderId="222" xfId="588" applyNumberFormat="1" applyFont="1" applyFill="1" applyBorder="1">
      <alignment vertical="center"/>
    </xf>
    <xf numFmtId="178" fontId="46" fillId="4" borderId="254" xfId="0" applyNumberFormat="1" applyFont="1" applyFill="1" applyBorder="1">
      <alignment vertical="center"/>
    </xf>
    <xf numFmtId="178" fontId="46" fillId="9" borderId="254" xfId="0" applyNumberFormat="1" applyFont="1" applyFill="1" applyBorder="1">
      <alignment vertical="center"/>
    </xf>
    <xf numFmtId="178" fontId="46" fillId="0" borderId="17" xfId="0" applyNumberFormat="1" applyFont="1" applyFill="1" applyBorder="1" applyAlignment="1">
      <alignment horizontal="center" vertical="center"/>
    </xf>
    <xf numFmtId="38" fontId="40" fillId="8" borderId="255" xfId="2566" applyFont="1" applyFill="1" applyBorder="1" applyAlignment="1">
      <alignment vertical="center" shrinkToFit="1"/>
    </xf>
    <xf numFmtId="38" fontId="40" fillId="14" borderId="256" xfId="2566" applyFont="1" applyFill="1" applyBorder="1" applyAlignment="1">
      <alignment vertical="center" shrinkToFit="1"/>
    </xf>
    <xf numFmtId="38" fontId="40" fillId="5" borderId="257" xfId="2566" applyFont="1" applyFill="1" applyBorder="1" applyAlignment="1">
      <alignment vertical="center" shrinkToFit="1"/>
    </xf>
    <xf numFmtId="38" fontId="40" fillId="8" borderId="256" xfId="2566" applyFont="1" applyFill="1" applyBorder="1" applyAlignment="1">
      <alignment vertical="center" shrinkToFit="1"/>
    </xf>
    <xf numFmtId="38" fontId="40" fillId="8" borderId="257" xfId="2566" applyFont="1" applyFill="1" applyBorder="1" applyAlignment="1">
      <alignment vertical="center" shrinkToFit="1"/>
    </xf>
    <xf numFmtId="38" fontId="40" fillId="5" borderId="256" xfId="2566" applyFont="1" applyFill="1" applyBorder="1" applyAlignment="1">
      <alignment vertical="center" shrinkToFit="1"/>
    </xf>
    <xf numFmtId="38" fontId="40" fillId="14" borderId="255" xfId="2566" applyFont="1" applyFill="1" applyBorder="1" applyAlignment="1">
      <alignment vertical="center" shrinkToFit="1"/>
    </xf>
    <xf numFmtId="38" fontId="40" fillId="5" borderId="255" xfId="2566" applyFont="1" applyFill="1" applyBorder="1" applyAlignment="1">
      <alignment vertical="center" shrinkToFit="1"/>
    </xf>
    <xf numFmtId="38" fontId="74" fillId="9" borderId="135" xfId="2566" applyFont="1" applyFill="1" applyBorder="1" applyAlignment="1">
      <alignment horizontal="right" vertical="center" shrinkToFit="1"/>
    </xf>
    <xf numFmtId="38" fontId="40" fillId="8" borderId="258" xfId="2566" applyFont="1" applyFill="1" applyBorder="1" applyAlignment="1">
      <alignment vertical="center" shrinkToFit="1"/>
    </xf>
    <xf numFmtId="38" fontId="40" fillId="8" borderId="259" xfId="2566" applyFont="1" applyFill="1" applyBorder="1" applyAlignment="1">
      <alignment vertical="center" shrinkToFit="1"/>
    </xf>
    <xf numFmtId="38" fontId="41" fillId="8" borderId="257" xfId="2566" applyFont="1" applyFill="1" applyBorder="1" applyAlignment="1">
      <alignment vertical="center" shrinkToFit="1"/>
    </xf>
    <xf numFmtId="182" fontId="41" fillId="9" borderId="135" xfId="595" applyNumberFormat="1" applyFont="1" applyFill="1" applyBorder="1" applyAlignment="1">
      <alignment vertical="center" shrinkToFit="1"/>
    </xf>
    <xf numFmtId="38" fontId="40" fillId="8" borderId="256" xfId="2566" applyFont="1" applyFill="1" applyBorder="1" applyAlignment="1" applyProtection="1">
      <alignment vertical="center" shrinkToFit="1"/>
      <protection locked="0"/>
    </xf>
    <xf numFmtId="38" fontId="41" fillId="9" borderId="123" xfId="2566" applyNumberFormat="1" applyFont="1" applyFill="1" applyBorder="1" applyAlignment="1">
      <alignment vertical="center" shrinkToFit="1"/>
    </xf>
    <xf numFmtId="179" fontId="75" fillId="9" borderId="22" xfId="588" applyNumberFormat="1" applyFont="1" applyFill="1" applyBorder="1">
      <alignment vertical="center"/>
    </xf>
    <xf numFmtId="179" fontId="75" fillId="9" borderId="3" xfId="588" applyNumberFormat="1" applyFont="1" applyFill="1" applyBorder="1">
      <alignment vertical="center"/>
    </xf>
    <xf numFmtId="179" fontId="75" fillId="9" borderId="4" xfId="588" applyNumberFormat="1" applyFont="1" applyFill="1" applyBorder="1">
      <alignment vertical="center"/>
    </xf>
    <xf numFmtId="179" fontId="75" fillId="9" borderId="41" xfId="588" applyNumberFormat="1" applyFont="1" applyFill="1" applyBorder="1">
      <alignment vertical="center"/>
    </xf>
    <xf numFmtId="0" fontId="63" fillId="8" borderId="0" xfId="0" applyFont="1" applyFill="1" applyBorder="1" applyAlignment="1">
      <alignment horizontal="left" vertical="top"/>
    </xf>
    <xf numFmtId="178" fontId="64" fillId="11" borderId="0" xfId="0" applyNumberFormat="1" applyFont="1" applyFill="1" applyBorder="1">
      <alignment vertical="center"/>
    </xf>
    <xf numFmtId="9" fontId="46" fillId="8" borderId="0" xfId="588" applyFont="1" applyFill="1">
      <alignment vertical="center"/>
    </xf>
    <xf numFmtId="178" fontId="64" fillId="8" borderId="0" xfId="0" applyNumberFormat="1" applyFont="1" applyFill="1" applyBorder="1">
      <alignment vertical="center"/>
    </xf>
    <xf numFmtId="179" fontId="48" fillId="8" borderId="0" xfId="588" applyNumberFormat="1" applyFont="1" applyFill="1" applyBorder="1">
      <alignment vertical="center"/>
    </xf>
    <xf numFmtId="179" fontId="71" fillId="9" borderId="132" xfId="588" quotePrefix="1" applyNumberFormat="1" applyFont="1" applyFill="1" applyBorder="1" applyAlignment="1">
      <alignment horizontal="left" vertical="center"/>
    </xf>
    <xf numFmtId="179" fontId="65" fillId="9" borderId="173" xfId="588" quotePrefix="1" applyNumberFormat="1" applyFont="1" applyFill="1" applyBorder="1" applyAlignment="1">
      <alignment horizontal="right" vertical="center"/>
    </xf>
    <xf numFmtId="179" fontId="57" fillId="9" borderId="7" xfId="588" quotePrefix="1" applyNumberFormat="1" applyFont="1" applyFill="1" applyBorder="1" applyAlignment="1">
      <alignment horizontal="left" vertical="center"/>
    </xf>
    <xf numFmtId="179" fontId="65" fillId="9" borderId="161" xfId="588" quotePrefix="1" applyNumberFormat="1" applyFont="1" applyFill="1" applyBorder="1" applyAlignment="1">
      <alignment horizontal="right" vertical="center"/>
    </xf>
    <xf numFmtId="38" fontId="41" fillId="9" borderId="0" xfId="2566" applyFont="1" applyFill="1" applyAlignment="1">
      <alignment vertical="center"/>
    </xf>
    <xf numFmtId="38" fontId="40" fillId="9" borderId="0" xfId="2566" applyFont="1" applyFill="1" applyAlignment="1">
      <alignment horizontal="center" vertical="center"/>
    </xf>
    <xf numFmtId="38" fontId="41" fillId="9" borderId="96" xfId="2566" applyFont="1" applyFill="1" applyBorder="1" applyAlignment="1">
      <alignment horizontal="center" vertical="center" shrinkToFit="1"/>
    </xf>
    <xf numFmtId="38" fontId="41" fillId="9" borderId="0" xfId="2566" applyFont="1" applyFill="1" applyBorder="1" applyAlignment="1">
      <alignment horizontal="center" vertical="center" shrinkToFit="1"/>
    </xf>
    <xf numFmtId="38" fontId="41" fillId="9" borderId="0" xfId="2566" applyFont="1" applyFill="1" applyBorder="1" applyAlignment="1">
      <alignment vertical="center" shrinkToFit="1"/>
    </xf>
    <xf numFmtId="38" fontId="40" fillId="9" borderId="0" xfId="2566" applyFont="1" applyFill="1" applyBorder="1" applyAlignment="1">
      <alignment vertical="center"/>
    </xf>
    <xf numFmtId="38" fontId="41" fillId="9" borderId="0" xfId="2566" applyFont="1" applyFill="1" applyBorder="1" applyAlignment="1">
      <alignment vertical="center"/>
    </xf>
    <xf numFmtId="38" fontId="41" fillId="9" borderId="95" xfId="2566" applyFont="1" applyFill="1" applyBorder="1" applyAlignment="1">
      <alignment horizontal="center" vertical="center" shrinkToFit="1"/>
    </xf>
    <xf numFmtId="38" fontId="41" fillId="9" borderId="0" xfId="2566" applyFont="1" applyFill="1" applyBorder="1" applyAlignment="1">
      <alignment horizontal="left" vertical="center"/>
    </xf>
    <xf numFmtId="38" fontId="41" fillId="9" borderId="0" xfId="2566" applyFont="1" applyFill="1" applyBorder="1" applyAlignment="1">
      <alignment horizontal="right" vertical="center"/>
    </xf>
    <xf numFmtId="38" fontId="41" fillId="9" borderId="0" xfId="2566" applyFont="1" applyFill="1" applyBorder="1" applyAlignment="1">
      <alignment horizontal="right" vertical="center" shrinkToFit="1"/>
    </xf>
    <xf numFmtId="179" fontId="41" fillId="9" borderId="0" xfId="595" applyNumberFormat="1" applyFont="1" applyFill="1" applyBorder="1" applyAlignment="1">
      <alignment horizontal="left" vertical="center" shrinkToFit="1"/>
    </xf>
    <xf numFmtId="38" fontId="40" fillId="9" borderId="0" xfId="2566" applyFont="1" applyFill="1" applyBorder="1" applyAlignment="1">
      <alignment horizontal="left" vertical="center"/>
    </xf>
    <xf numFmtId="38" fontId="40" fillId="9" borderId="0" xfId="2566" applyFont="1" applyFill="1" applyAlignment="1">
      <alignment vertical="center"/>
    </xf>
    <xf numFmtId="179" fontId="41" fillId="9" borderId="0" xfId="595" applyNumberFormat="1" applyFont="1" applyFill="1" applyBorder="1" applyAlignment="1">
      <alignment horizontal="left" vertical="center"/>
    </xf>
    <xf numFmtId="179" fontId="57" fillId="18" borderId="85" xfId="588" applyNumberFormat="1" applyFont="1" applyFill="1" applyBorder="1" applyAlignment="1">
      <alignment horizontal="center" vertical="center"/>
    </xf>
    <xf numFmtId="179" fontId="57" fillId="18" borderId="7" xfId="588" applyNumberFormat="1" applyFont="1" applyFill="1" applyBorder="1" applyAlignment="1">
      <alignment horizontal="center" vertical="center"/>
    </xf>
    <xf numFmtId="0" fontId="57" fillId="8" borderId="85" xfId="0" applyFont="1" applyFill="1" applyBorder="1" applyAlignment="1">
      <alignment horizontal="left" vertical="center" wrapText="1"/>
    </xf>
    <xf numFmtId="178" fontId="46" fillId="9" borderId="10" xfId="0" applyNumberFormat="1" applyFont="1" applyFill="1" applyBorder="1">
      <alignment vertical="center"/>
    </xf>
    <xf numFmtId="178" fontId="46" fillId="9" borderId="12" xfId="0" applyNumberFormat="1" applyFont="1" applyFill="1" applyBorder="1">
      <alignment vertical="center"/>
    </xf>
    <xf numFmtId="178" fontId="46" fillId="9" borderId="44" xfId="0" applyNumberFormat="1" applyFont="1" applyFill="1" applyBorder="1">
      <alignment vertical="center"/>
    </xf>
    <xf numFmtId="178" fontId="46" fillId="9" borderId="16" xfId="0" applyNumberFormat="1" applyFont="1" applyFill="1" applyBorder="1">
      <alignment vertical="center"/>
    </xf>
    <xf numFmtId="178" fontId="46" fillId="9" borderId="41" xfId="0" applyNumberFormat="1" applyFont="1" applyFill="1" applyBorder="1">
      <alignment vertical="center"/>
    </xf>
    <xf numFmtId="178" fontId="46" fillId="9" borderId="58" xfId="0" applyNumberFormat="1" applyFont="1" applyFill="1" applyBorder="1">
      <alignment vertical="center"/>
    </xf>
    <xf numFmtId="179" fontId="46" fillId="9" borderId="57" xfId="588" applyNumberFormat="1" applyFont="1" applyFill="1" applyBorder="1">
      <alignment vertical="center"/>
    </xf>
    <xf numFmtId="178" fontId="46" fillId="0" borderId="154" xfId="0" applyNumberFormat="1" applyFont="1" applyFill="1" applyBorder="1" applyAlignment="1">
      <alignment horizontal="center" vertical="center"/>
    </xf>
    <xf numFmtId="178" fontId="46" fillId="0" borderId="9" xfId="0" applyNumberFormat="1" applyFont="1" applyFill="1" applyBorder="1" applyAlignment="1">
      <alignment horizontal="center" vertical="center"/>
    </xf>
    <xf numFmtId="178" fontId="46" fillId="0" borderId="11" xfId="0" applyNumberFormat="1" applyFont="1" applyFill="1" applyBorder="1" applyAlignment="1">
      <alignment horizontal="center" vertical="center"/>
    </xf>
    <xf numFmtId="178" fontId="46" fillId="0" borderId="15" xfId="0" applyNumberFormat="1" applyFont="1" applyFill="1" applyBorder="1" applyAlignment="1">
      <alignment horizontal="center" vertical="center"/>
    </xf>
    <xf numFmtId="178" fontId="46" fillId="0" borderId="43" xfId="0" applyNumberFormat="1" applyFont="1" applyFill="1" applyBorder="1" applyAlignment="1">
      <alignment horizontal="center" vertical="center"/>
    </xf>
    <xf numFmtId="178" fontId="46" fillId="0" borderId="57" xfId="0" applyNumberFormat="1" applyFont="1" applyFill="1" applyBorder="1" applyAlignment="1">
      <alignment horizontal="center" vertical="center"/>
    </xf>
    <xf numFmtId="178" fontId="46" fillId="0" borderId="215" xfId="0" applyNumberFormat="1" applyFont="1" applyFill="1" applyBorder="1" applyAlignment="1">
      <alignment horizontal="center" vertical="center"/>
    </xf>
    <xf numFmtId="178" fontId="46" fillId="9" borderId="150" xfId="0" applyNumberFormat="1" applyFont="1" applyFill="1" applyBorder="1">
      <alignment vertical="center"/>
    </xf>
    <xf numFmtId="178" fontId="46" fillId="9" borderId="151" xfId="0" applyNumberFormat="1" applyFont="1" applyFill="1" applyBorder="1">
      <alignment vertical="center"/>
    </xf>
    <xf numFmtId="179" fontId="46" fillId="9" borderId="151" xfId="588" applyNumberFormat="1" applyFont="1" applyFill="1" applyBorder="1">
      <alignment vertical="center"/>
    </xf>
    <xf numFmtId="179" fontId="46" fillId="9" borderId="163" xfId="588" applyNumberFormat="1" applyFont="1" applyFill="1" applyBorder="1">
      <alignment vertical="center"/>
    </xf>
    <xf numFmtId="178" fontId="46" fillId="9" borderId="152" xfId="0" applyNumberFormat="1" applyFont="1" applyFill="1" applyBorder="1" applyAlignment="1">
      <alignment horizontal="center" vertical="center"/>
    </xf>
    <xf numFmtId="178" fontId="46" fillId="9" borderId="260" xfId="0" applyNumberFormat="1" applyFont="1" applyFill="1" applyBorder="1">
      <alignment vertical="center"/>
    </xf>
    <xf numFmtId="178" fontId="46" fillId="9" borderId="261" xfId="0" applyNumberFormat="1" applyFont="1" applyFill="1" applyBorder="1">
      <alignment vertical="center"/>
    </xf>
    <xf numFmtId="178" fontId="46" fillId="9" borderId="262" xfId="0" applyNumberFormat="1" applyFont="1" applyFill="1" applyBorder="1">
      <alignment vertical="center"/>
    </xf>
    <xf numFmtId="178" fontId="46" fillId="9" borderId="263" xfId="0" applyNumberFormat="1" applyFont="1" applyFill="1" applyBorder="1">
      <alignment vertical="center"/>
    </xf>
    <xf numFmtId="178" fontId="46" fillId="9" borderId="264" xfId="0" applyNumberFormat="1" applyFont="1" applyFill="1" applyBorder="1" applyAlignment="1">
      <alignment horizontal="center" vertical="center"/>
    </xf>
    <xf numFmtId="178" fontId="46" fillId="9" borderId="265" xfId="0" applyNumberFormat="1" applyFont="1" applyFill="1" applyBorder="1">
      <alignment vertical="center"/>
    </xf>
    <xf numFmtId="178" fontId="46" fillId="9" borderId="266" xfId="0" applyNumberFormat="1" applyFont="1" applyFill="1" applyBorder="1">
      <alignment vertical="center"/>
    </xf>
    <xf numFmtId="179" fontId="46" fillId="9" borderId="266" xfId="588" applyNumberFormat="1" applyFont="1" applyFill="1" applyBorder="1">
      <alignment vertical="center"/>
    </xf>
    <xf numFmtId="179" fontId="46" fillId="9" borderId="267" xfId="588" applyNumberFormat="1" applyFont="1" applyFill="1" applyBorder="1">
      <alignment vertical="center"/>
    </xf>
    <xf numFmtId="178" fontId="46" fillId="9" borderId="268" xfId="0" applyNumberFormat="1" applyFont="1" applyFill="1" applyBorder="1" applyAlignment="1">
      <alignment horizontal="center" vertical="center"/>
    </xf>
    <xf numFmtId="179" fontId="75" fillId="8" borderId="22" xfId="588" applyNumberFormat="1" applyFont="1" applyFill="1" applyBorder="1">
      <alignment vertical="center"/>
    </xf>
    <xf numFmtId="179" fontId="75" fillId="8" borderId="3" xfId="588" applyNumberFormat="1" applyFont="1" applyFill="1" applyBorder="1">
      <alignment vertical="center"/>
    </xf>
    <xf numFmtId="179" fontId="75" fillId="8" borderId="4" xfId="588" applyNumberFormat="1" applyFont="1" applyFill="1" applyBorder="1">
      <alignment vertical="center"/>
    </xf>
    <xf numFmtId="179" fontId="75" fillId="8" borderId="41" xfId="588" applyNumberFormat="1" applyFont="1" applyFill="1" applyBorder="1">
      <alignment vertical="center"/>
    </xf>
    <xf numFmtId="178" fontId="46" fillId="8" borderId="264" xfId="0" applyNumberFormat="1" applyFont="1" applyFill="1" applyBorder="1" applyAlignment="1">
      <alignment horizontal="center" vertical="center"/>
    </xf>
    <xf numFmtId="178" fontId="46" fillId="8" borderId="256" xfId="0" applyNumberFormat="1" applyFont="1" applyFill="1" applyBorder="1" applyAlignment="1">
      <alignment horizontal="center" vertical="center"/>
    </xf>
    <xf numFmtId="178" fontId="46" fillId="8" borderId="251" xfId="0" applyNumberFormat="1" applyFont="1" applyFill="1" applyBorder="1">
      <alignment vertical="center"/>
    </xf>
    <xf numFmtId="178" fontId="46" fillId="8" borderId="269" xfId="0" applyNumberFormat="1" applyFont="1" applyFill="1" applyBorder="1">
      <alignment vertical="center"/>
    </xf>
    <xf numFmtId="178" fontId="46" fillId="8" borderId="270" xfId="0" applyNumberFormat="1" applyFont="1" applyFill="1" applyBorder="1">
      <alignment vertical="center"/>
    </xf>
    <xf numFmtId="178" fontId="46" fillId="8" borderId="253" xfId="0" applyNumberFormat="1" applyFont="1" applyFill="1" applyBorder="1">
      <alignment vertical="center"/>
    </xf>
    <xf numFmtId="178" fontId="46" fillId="8" borderId="271" xfId="0" applyNumberFormat="1" applyFont="1" applyFill="1" applyBorder="1" applyAlignment="1">
      <alignment horizontal="center" vertical="center"/>
    </xf>
    <xf numFmtId="179" fontId="75" fillId="8" borderId="222" xfId="588" applyNumberFormat="1" applyFont="1" applyFill="1" applyBorder="1">
      <alignment vertical="center"/>
    </xf>
    <xf numFmtId="179" fontId="57" fillId="16" borderId="85" xfId="588" applyNumberFormat="1" applyFont="1" applyFill="1" applyBorder="1" applyAlignment="1">
      <alignment horizontal="center" vertical="center"/>
    </xf>
    <xf numFmtId="179" fontId="57" fillId="16" borderId="2" xfId="588" applyNumberFormat="1" applyFont="1" applyFill="1" applyBorder="1" applyAlignment="1">
      <alignment horizontal="center" vertical="center"/>
    </xf>
    <xf numFmtId="179" fontId="57" fillId="8" borderId="171" xfId="588" quotePrefix="1" applyNumberFormat="1" applyFont="1" applyFill="1" applyBorder="1" applyAlignment="1">
      <alignment horizontal="left" vertical="center"/>
    </xf>
    <xf numFmtId="0" fontId="71" fillId="8" borderId="132" xfId="588" quotePrefix="1" applyNumberFormat="1" applyFont="1" applyFill="1" applyBorder="1" applyAlignment="1">
      <alignment horizontal="left" vertical="center"/>
    </xf>
    <xf numFmtId="179" fontId="71" fillId="8" borderId="132" xfId="588" quotePrefix="1" applyNumberFormat="1" applyFont="1" applyFill="1" applyBorder="1" applyAlignment="1">
      <alignment horizontal="left" vertical="center"/>
    </xf>
    <xf numFmtId="179" fontId="65" fillId="8" borderId="84" xfId="588" quotePrefix="1" applyNumberFormat="1" applyFont="1" applyFill="1" applyBorder="1" applyAlignment="1">
      <alignment horizontal="right" vertical="center"/>
    </xf>
    <xf numFmtId="179" fontId="65" fillId="8" borderId="84" xfId="588" quotePrefix="1" applyNumberFormat="1" applyFont="1" applyFill="1" applyBorder="1" applyAlignment="1">
      <alignment horizontal="center" vertical="center"/>
    </xf>
    <xf numFmtId="179" fontId="57" fillId="8" borderId="132" xfId="588" quotePrefix="1" applyNumberFormat="1" applyFont="1" applyFill="1" applyBorder="1" applyAlignment="1">
      <alignment horizontal="left" vertical="center"/>
    </xf>
    <xf numFmtId="179" fontId="57" fillId="8" borderId="130" xfId="588" quotePrefix="1" applyNumberFormat="1" applyFont="1" applyFill="1" applyBorder="1" applyAlignment="1">
      <alignment horizontal="left" vertical="center"/>
    </xf>
    <xf numFmtId="179" fontId="65" fillId="8" borderId="2" xfId="588" quotePrefix="1" applyNumberFormat="1" applyFont="1" applyFill="1" applyBorder="1" applyAlignment="1">
      <alignment horizontal="right" vertical="center"/>
    </xf>
    <xf numFmtId="179" fontId="70" fillId="8" borderId="77" xfId="588" quotePrefix="1" applyNumberFormat="1" applyFont="1" applyFill="1" applyBorder="1" applyAlignment="1">
      <alignment horizontal="right" vertical="center"/>
    </xf>
    <xf numFmtId="0" fontId="0" fillId="0" borderId="0" xfId="0">
      <alignment vertical="center"/>
    </xf>
    <xf numFmtId="38" fontId="41" fillId="8" borderId="84" xfId="2568" applyFont="1" applyFill="1" applyBorder="1" applyAlignment="1" applyProtection="1">
      <alignment horizontal="left" vertical="center"/>
    </xf>
    <xf numFmtId="38" fontId="41" fillId="5" borderId="91" xfId="2568" applyFont="1" applyFill="1" applyBorder="1" applyAlignment="1" applyProtection="1">
      <alignment horizontal="left" vertical="center"/>
    </xf>
    <xf numFmtId="38" fontId="41" fillId="8" borderId="0" xfId="2568" applyFont="1" applyFill="1" applyBorder="1" applyAlignment="1" applyProtection="1">
      <alignment horizontal="left" vertical="center"/>
    </xf>
    <xf numFmtId="179" fontId="41" fillId="8" borderId="184" xfId="595" applyNumberFormat="1" applyFont="1" applyFill="1" applyBorder="1" applyAlignment="1" applyProtection="1">
      <alignment horizontal="left" vertical="center"/>
    </xf>
    <xf numFmtId="38" fontId="40" fillId="5" borderId="0" xfId="2568" applyFont="1" applyFill="1" applyBorder="1" applyAlignment="1" applyProtection="1">
      <alignment horizontal="center" vertical="center"/>
    </xf>
    <xf numFmtId="38" fontId="41" fillId="5" borderId="184" xfId="2568" applyFont="1" applyFill="1" applyBorder="1" applyAlignment="1" applyProtection="1">
      <alignment horizontal="center" vertical="center"/>
    </xf>
    <xf numFmtId="38" fontId="41" fillId="8" borderId="91" xfId="2568" applyFont="1" applyFill="1" applyBorder="1" applyAlignment="1" applyProtection="1">
      <alignment horizontal="center" vertical="center"/>
    </xf>
    <xf numFmtId="38" fontId="40" fillId="8" borderId="91" xfId="2568" applyFont="1" applyFill="1" applyBorder="1" applyAlignment="1" applyProtection="1">
      <alignment vertical="center"/>
    </xf>
    <xf numFmtId="38" fontId="41" fillId="8" borderId="91" xfId="2568" applyFont="1" applyFill="1" applyBorder="1" applyAlignment="1" applyProtection="1">
      <alignment vertical="center"/>
    </xf>
    <xf numFmtId="38" fontId="41" fillId="8" borderId="184" xfId="2568" applyFont="1" applyFill="1" applyBorder="1" applyAlignment="1" applyProtection="1">
      <alignment horizontal="left" vertical="center"/>
    </xf>
    <xf numFmtId="38" fontId="41" fillId="5" borderId="184" xfId="2568" applyFont="1" applyFill="1" applyBorder="1" applyAlignment="1" applyProtection="1">
      <alignment vertical="center"/>
    </xf>
    <xf numFmtId="38" fontId="41" fillId="5" borderId="184" xfId="2568" applyFont="1" applyFill="1" applyBorder="1" applyAlignment="1" applyProtection="1">
      <alignment horizontal="left" vertical="center"/>
    </xf>
    <xf numFmtId="38" fontId="41" fillId="10" borderId="184" xfId="2568" applyFont="1" applyFill="1" applyBorder="1" applyAlignment="1" applyProtection="1">
      <alignment horizontal="left" vertical="center"/>
    </xf>
    <xf numFmtId="38" fontId="41" fillId="10" borderId="0" xfId="2568" applyFont="1" applyFill="1" applyBorder="1" applyAlignment="1" applyProtection="1">
      <alignment horizontal="left" vertical="center"/>
    </xf>
    <xf numFmtId="38" fontId="41" fillId="8" borderId="184" xfId="2568" applyFont="1" applyFill="1" applyBorder="1" applyAlignment="1" applyProtection="1">
      <alignment vertical="center"/>
    </xf>
    <xf numFmtId="38" fontId="41" fillId="8" borderId="0" xfId="2568" applyFont="1" applyFill="1" applyBorder="1" applyAlignment="1" applyProtection="1">
      <alignment horizontal="center" vertical="center"/>
    </xf>
    <xf numFmtId="179" fontId="41" fillId="8" borderId="0" xfId="595" applyNumberFormat="1" applyFont="1" applyFill="1" applyBorder="1" applyAlignment="1" applyProtection="1">
      <alignment horizontal="left" vertical="center"/>
    </xf>
    <xf numFmtId="38" fontId="40" fillId="5" borderId="184" xfId="2568" applyFont="1" applyFill="1" applyBorder="1" applyAlignment="1" applyProtection="1">
      <alignment vertical="center"/>
    </xf>
    <xf numFmtId="0" fontId="63" fillId="8" borderId="7" xfId="0" applyFont="1" applyFill="1" applyBorder="1" applyAlignment="1">
      <alignment horizontal="left" vertical="top"/>
    </xf>
    <xf numFmtId="0" fontId="63" fillId="8" borderId="13" xfId="0" applyFont="1" applyFill="1" applyBorder="1" applyAlignment="1">
      <alignment horizontal="left" vertical="top"/>
    </xf>
    <xf numFmtId="0" fontId="63" fillId="8" borderId="22" xfId="0" applyFon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65" xfId="0" applyFill="1" applyBorder="1" applyAlignment="1">
      <alignment horizontal="center" vertical="center"/>
    </xf>
    <xf numFmtId="0" fontId="0" fillId="9" borderId="209" xfId="0" applyFill="1" applyBorder="1" applyAlignment="1">
      <alignment horizontal="center" vertical="center"/>
    </xf>
    <xf numFmtId="0" fontId="0" fillId="9" borderId="138" xfId="0" applyFill="1" applyBorder="1" applyAlignment="1">
      <alignment horizontal="center" vertical="center"/>
    </xf>
    <xf numFmtId="0" fontId="63" fillId="8" borderId="19" xfId="0" applyFont="1" applyFill="1" applyBorder="1" applyAlignment="1">
      <alignment horizontal="center" vertical="center"/>
    </xf>
    <xf numFmtId="0" fontId="63" fillId="8" borderId="13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58" xfId="0" applyBorder="1">
      <alignment vertical="center"/>
    </xf>
    <xf numFmtId="0" fontId="0" fillId="0" borderId="8" xfId="0" applyBorder="1">
      <alignment vertical="center"/>
    </xf>
    <xf numFmtId="0" fontId="0" fillId="0" borderId="159" xfId="0" applyBorder="1">
      <alignment vertical="center"/>
    </xf>
    <xf numFmtId="0" fontId="63" fillId="8" borderId="211" xfId="0" applyFont="1" applyFill="1" applyBorder="1" applyAlignment="1">
      <alignment horizontal="center" vertical="center"/>
    </xf>
    <xf numFmtId="0" fontId="0" fillId="8" borderId="153" xfId="0" applyFill="1" applyBorder="1" applyAlignment="1">
      <alignment horizontal="center" vertical="center"/>
    </xf>
    <xf numFmtId="0" fontId="0" fillId="8" borderId="154" xfId="0" applyFill="1" applyBorder="1" applyAlignment="1">
      <alignment horizontal="center" vertical="center"/>
    </xf>
    <xf numFmtId="0" fontId="63" fillId="8" borderId="235" xfId="0" applyFont="1" applyFill="1" applyBorder="1" applyAlignment="1">
      <alignment horizontal="center" vertical="center"/>
    </xf>
    <xf numFmtId="0" fontId="0" fillId="8" borderId="234" xfId="0" applyFill="1" applyBorder="1" applyAlignment="1">
      <alignment horizontal="center" vertical="center"/>
    </xf>
    <xf numFmtId="0" fontId="63" fillId="9" borderId="150" xfId="0" applyFont="1" applyFill="1" applyBorder="1" applyAlignment="1">
      <alignment horizontal="center" vertical="center"/>
    </xf>
    <xf numFmtId="0" fontId="0" fillId="9" borderId="151" xfId="0" applyFill="1" applyBorder="1" applyAlignment="1">
      <alignment horizontal="center" vertical="center"/>
    </xf>
    <xf numFmtId="0" fontId="0" fillId="9" borderId="163" xfId="0" applyFill="1" applyBorder="1" applyAlignment="1">
      <alignment horizontal="center" vertical="center"/>
    </xf>
    <xf numFmtId="0" fontId="0" fillId="9" borderId="152" xfId="0" applyFill="1" applyBorder="1" applyAlignment="1">
      <alignment horizontal="center" vertical="center"/>
    </xf>
    <xf numFmtId="0" fontId="63" fillId="9" borderId="155" xfId="0" applyFont="1" applyFill="1" applyBorder="1" applyAlignment="1">
      <alignment horizontal="center" vertical="center"/>
    </xf>
    <xf numFmtId="0" fontId="63" fillId="9" borderId="156" xfId="0" applyFont="1" applyFill="1" applyBorder="1" applyAlignment="1">
      <alignment horizontal="center" vertical="center"/>
    </xf>
    <xf numFmtId="0" fontId="63" fillId="9" borderId="157" xfId="0" applyFont="1" applyFill="1" applyBorder="1" applyAlignment="1">
      <alignment horizontal="center" vertical="center"/>
    </xf>
    <xf numFmtId="0" fontId="57" fillId="8" borderId="130" xfId="0" applyFont="1" applyFill="1" applyBorder="1" applyAlignment="1">
      <alignment horizontal="center" vertical="center"/>
    </xf>
    <xf numFmtId="0" fontId="57" fillId="8" borderId="7" xfId="0" applyFont="1" applyFill="1" applyBorder="1" applyAlignment="1">
      <alignment horizontal="center" vertical="center"/>
    </xf>
    <xf numFmtId="0" fontId="57" fillId="8" borderId="2" xfId="0" applyFont="1" applyFill="1" applyBorder="1" applyAlignment="1">
      <alignment horizontal="center" vertical="center"/>
    </xf>
    <xf numFmtId="0" fontId="57" fillId="9" borderId="82" xfId="0" applyFont="1" applyFill="1" applyBorder="1" applyAlignment="1">
      <alignment horizontal="center" vertical="center"/>
    </xf>
    <xf numFmtId="0" fontId="57" fillId="9" borderId="79" xfId="0" applyFont="1" applyFill="1" applyBorder="1" applyAlignment="1">
      <alignment horizontal="center" vertical="center"/>
    </xf>
    <xf numFmtId="0" fontId="57" fillId="9" borderId="141" xfId="0" applyFont="1" applyFill="1" applyBorder="1" applyAlignment="1">
      <alignment horizontal="center" vertical="center"/>
    </xf>
    <xf numFmtId="0" fontId="57" fillId="9" borderId="102" xfId="0" applyFont="1" applyFill="1" applyBorder="1" applyAlignment="1">
      <alignment horizontal="center" vertical="center"/>
    </xf>
    <xf numFmtId="0" fontId="58" fillId="8" borderId="140" xfId="0" applyFont="1" applyFill="1" applyBorder="1" applyAlignment="1">
      <alignment horizontal="center" vertical="center"/>
    </xf>
    <xf numFmtId="0" fontId="58" fillId="8" borderId="138" xfId="0" applyFont="1" applyFill="1" applyBorder="1" applyAlignment="1">
      <alignment horizontal="center" vertical="center"/>
    </xf>
    <xf numFmtId="0" fontId="58" fillId="8" borderId="139" xfId="0" applyFont="1" applyFill="1" applyBorder="1" applyAlignment="1">
      <alignment horizontal="center" vertical="center"/>
    </xf>
    <xf numFmtId="0" fontId="58" fillId="7" borderId="23" xfId="0" applyFont="1" applyFill="1" applyBorder="1" applyAlignment="1">
      <alignment horizontal="center" vertical="center"/>
    </xf>
    <xf numFmtId="0" fontId="58" fillId="7" borderId="138" xfId="0" applyFont="1" applyFill="1" applyBorder="1" applyAlignment="1">
      <alignment horizontal="center" vertical="center"/>
    </xf>
    <xf numFmtId="0" fontId="58" fillId="8" borderId="142" xfId="0" applyFont="1" applyFill="1" applyBorder="1" applyAlignment="1">
      <alignment horizontal="center" vertical="center"/>
    </xf>
    <xf numFmtId="0" fontId="58" fillId="8" borderId="143" xfId="0" applyFont="1" applyFill="1" applyBorder="1" applyAlignment="1">
      <alignment horizontal="center" vertical="center"/>
    </xf>
    <xf numFmtId="0" fontId="57" fillId="8" borderId="130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57" fillId="8" borderId="80" xfId="0" applyFont="1" applyFill="1" applyBorder="1" applyAlignment="1">
      <alignment horizontal="center" vertical="center"/>
    </xf>
    <xf numFmtId="0" fontId="57" fillId="8" borderId="21" xfId="0" applyFont="1" applyFill="1" applyBorder="1" applyAlignment="1">
      <alignment horizontal="center" vertical="center"/>
    </xf>
    <xf numFmtId="0" fontId="57" fillId="8" borderId="141" xfId="0" applyFont="1" applyFill="1" applyBorder="1" applyAlignment="1">
      <alignment horizontal="center" vertical="center"/>
    </xf>
    <xf numFmtId="0" fontId="57" fillId="8" borderId="18" xfId="0" applyFont="1" applyFill="1" applyBorder="1" applyAlignment="1">
      <alignment horizontal="center" vertical="center"/>
    </xf>
    <xf numFmtId="0" fontId="57" fillId="8" borderId="19" xfId="0" applyFont="1" applyFill="1" applyBorder="1" applyAlignment="1">
      <alignment horizontal="center" vertical="center"/>
    </xf>
    <xf numFmtId="0" fontId="57" fillId="9" borderId="172" xfId="0" applyFont="1" applyFill="1" applyBorder="1" applyAlignment="1">
      <alignment horizontal="center" vertical="center"/>
    </xf>
    <xf numFmtId="0" fontId="57" fillId="9" borderId="173" xfId="0" applyFont="1" applyFill="1" applyBorder="1" applyAlignment="1">
      <alignment horizontal="center" vertical="center"/>
    </xf>
    <xf numFmtId="0" fontId="57" fillId="8" borderId="2" xfId="0" applyFont="1" applyFill="1" applyBorder="1" applyAlignment="1">
      <alignment horizontal="center" vertical="center" wrapText="1"/>
    </xf>
    <xf numFmtId="180" fontId="60" fillId="8" borderId="0" xfId="2566" applyNumberFormat="1" applyFont="1" applyFill="1" applyAlignment="1">
      <alignment horizontal="center" vertical="center"/>
    </xf>
    <xf numFmtId="38" fontId="40" fillId="8" borderId="140" xfId="2566" quotePrefix="1" applyFont="1" applyFill="1" applyBorder="1" applyAlignment="1" applyProtection="1">
      <alignment horizontal="center" vertical="center" shrinkToFit="1"/>
    </xf>
    <xf numFmtId="38" fontId="40" fillId="8" borderId="138" xfId="2566" quotePrefix="1" applyFont="1" applyFill="1" applyBorder="1" applyAlignment="1" applyProtection="1">
      <alignment horizontal="center" vertical="center" shrinkToFit="1"/>
    </xf>
    <xf numFmtId="38" fontId="40" fillId="8" borderId="21" xfId="2566" quotePrefix="1" applyFont="1" applyFill="1" applyBorder="1" applyAlignment="1" applyProtection="1">
      <alignment horizontal="center" vertical="center" shrinkToFit="1"/>
    </xf>
    <xf numFmtId="38" fontId="40" fillId="8" borderId="139" xfId="2566" quotePrefix="1" applyFont="1" applyFill="1" applyBorder="1" applyAlignment="1" applyProtection="1">
      <alignment horizontal="center" vertical="center" shrinkToFit="1"/>
    </xf>
    <xf numFmtId="38" fontId="40" fillId="5" borderId="140" xfId="2566" applyFont="1" applyFill="1" applyBorder="1" applyAlignment="1" applyProtection="1">
      <alignment horizontal="center" vertical="center" shrinkToFit="1"/>
    </xf>
    <xf numFmtId="38" fontId="40" fillId="5" borderId="138" xfId="2566" applyFont="1" applyFill="1" applyBorder="1" applyAlignment="1" applyProtection="1">
      <alignment horizontal="center" vertical="center" shrinkToFit="1"/>
    </xf>
    <xf numFmtId="38" fontId="40" fillId="5" borderId="139" xfId="2566" applyFont="1" applyFill="1" applyBorder="1" applyAlignment="1" applyProtection="1">
      <alignment horizontal="center" vertical="center" shrinkToFit="1"/>
    </xf>
    <xf numFmtId="179" fontId="41" fillId="8" borderId="121" xfId="595" applyNumberFormat="1" applyFont="1" applyFill="1" applyBorder="1" applyAlignment="1" applyProtection="1">
      <alignment horizontal="left" vertical="center"/>
    </xf>
    <xf numFmtId="179" fontId="41" fillId="8" borderId="147" xfId="595" applyNumberFormat="1" applyFont="1" applyFill="1" applyBorder="1" applyAlignment="1" applyProtection="1">
      <alignment horizontal="left" vertical="center"/>
    </xf>
    <xf numFmtId="38" fontId="41" fillId="8" borderId="17" xfId="2568" applyFont="1" applyFill="1" applyBorder="1" applyAlignment="1" applyProtection="1">
      <alignment horizontal="left" vertical="center"/>
    </xf>
    <xf numFmtId="38" fontId="41" fillId="8" borderId="84" xfId="2568" applyFont="1" applyFill="1" applyBorder="1" applyAlignment="1" applyProtection="1">
      <alignment horizontal="left" vertical="center"/>
    </xf>
    <xf numFmtId="179" fontId="41" fillId="8" borderId="8" xfId="595" applyNumberFormat="1" applyFont="1" applyFill="1" applyBorder="1" applyAlignment="1" applyProtection="1">
      <alignment horizontal="left" vertical="center"/>
    </xf>
    <xf numFmtId="38" fontId="41" fillId="5" borderId="96" xfId="2568" applyFont="1" applyFill="1" applyBorder="1" applyAlignment="1" applyProtection="1">
      <alignment horizontal="left" vertical="center"/>
    </xf>
    <xf numFmtId="38" fontId="41" fillId="5" borderId="91" xfId="2568" applyFont="1" applyFill="1" applyBorder="1" applyAlignment="1" applyProtection="1">
      <alignment horizontal="left" vertical="center"/>
    </xf>
    <xf numFmtId="38" fontId="41" fillId="8" borderId="8" xfId="2568" applyFont="1" applyFill="1" applyBorder="1" applyAlignment="1" applyProtection="1">
      <alignment horizontal="left" vertical="center"/>
    </xf>
    <xf numFmtId="38" fontId="41" fillId="8" borderId="0" xfId="2568" applyFont="1" applyFill="1" applyBorder="1" applyAlignment="1" applyProtection="1">
      <alignment horizontal="left" vertical="center"/>
    </xf>
    <xf numFmtId="38" fontId="41" fillId="5" borderId="96" xfId="2568" applyFont="1" applyFill="1" applyBorder="1" applyAlignment="1" applyProtection="1">
      <alignment horizontal="center" vertical="center"/>
    </xf>
    <xf numFmtId="38" fontId="41" fillId="5" borderId="91" xfId="2568" applyFont="1" applyFill="1" applyBorder="1" applyAlignment="1" applyProtection="1">
      <alignment horizontal="center" vertical="center"/>
    </xf>
    <xf numFmtId="38" fontId="41" fillId="8" borderId="17" xfId="2568" applyFont="1" applyFill="1" applyBorder="1" applyAlignment="1" applyProtection="1">
      <alignment horizontal="center" vertical="center"/>
    </xf>
    <xf numFmtId="38" fontId="41" fillId="8" borderId="84" xfId="2568" applyFont="1" applyFill="1" applyBorder="1" applyAlignment="1" applyProtection="1">
      <alignment horizontal="center" vertical="center"/>
    </xf>
    <xf numFmtId="38" fontId="40" fillId="8" borderId="80" xfId="2566" quotePrefix="1" applyFont="1" applyFill="1" applyBorder="1" applyAlignment="1" applyProtection="1">
      <alignment horizontal="center" vertical="center" shrinkToFit="1"/>
    </xf>
    <xf numFmtId="38" fontId="40" fillId="8" borderId="185" xfId="2566" quotePrefix="1" applyFont="1" applyFill="1" applyBorder="1" applyAlignment="1" applyProtection="1">
      <alignment horizontal="center" vertical="center" shrinkToFit="1"/>
    </xf>
    <xf numFmtId="38" fontId="41" fillId="5" borderId="147" xfId="2568" applyFont="1" applyFill="1" applyBorder="1" applyAlignment="1" applyProtection="1">
      <alignment horizontal="center" vertical="center"/>
    </xf>
  </cellXfs>
  <cellStyles count="3339">
    <cellStyle name="?" xfId="1"/>
    <cellStyle name="Orange" xfId="2"/>
    <cellStyle name="Orange 2" xfId="3"/>
    <cellStyle name="Orange 2 2" xfId="4"/>
    <cellStyle name="Orange 2 2 2" xfId="5"/>
    <cellStyle name="Orange 2 2 2 2" xfId="6"/>
    <cellStyle name="Orange 2 2 2 2 2" xfId="7"/>
    <cellStyle name="Orange 2 2 2 2 2 2" xfId="8"/>
    <cellStyle name="Orange 2 2 2 2 2 2 2" xfId="9"/>
    <cellStyle name="Orange 2 2 2 2 2 2 2 2" xfId="10"/>
    <cellStyle name="Orange 2 2 2 2 2 3" xfId="11"/>
    <cellStyle name="Orange 2 2 2 2 2 3 2" xfId="12"/>
    <cellStyle name="Orange 2 2 2 2 3" xfId="13"/>
    <cellStyle name="Orange 2 2 2 2 3 2" xfId="14"/>
    <cellStyle name="Orange 2 2 2 2 3 2 2" xfId="15"/>
    <cellStyle name="Orange 2 2 2 2 3 2 2 2" xfId="16"/>
    <cellStyle name="Orange 2 2 2 2 3 3" xfId="17"/>
    <cellStyle name="Orange 2 2 2 2 3 3 2" xfId="18"/>
    <cellStyle name="Orange 2 2 2 2 4" xfId="19"/>
    <cellStyle name="Orange 2 2 2 2 4 2" xfId="20"/>
    <cellStyle name="Orange 2 2 2 2 4 2 2" xfId="21"/>
    <cellStyle name="Orange 2 2 2 2 5" xfId="22"/>
    <cellStyle name="Orange 2 2 2 2 5 2" xfId="23"/>
    <cellStyle name="Orange 2 2 2 3" xfId="24"/>
    <cellStyle name="Orange 2 2 2 3 2" xfId="25"/>
    <cellStyle name="Orange 2 2 2 3 2 2" xfId="26"/>
    <cellStyle name="Orange 2 2 2 3 2 2 2" xfId="27"/>
    <cellStyle name="Orange 2 2 2 3 2 2 2 2" xfId="28"/>
    <cellStyle name="Orange 2 2 2 3 2 3" xfId="29"/>
    <cellStyle name="Orange 2 2 2 3 2 3 2" xfId="30"/>
    <cellStyle name="Orange 2 2 2 3 3" xfId="31"/>
    <cellStyle name="Orange 2 2 2 3 3 2" xfId="32"/>
    <cellStyle name="Orange 2 2 2 3 3 2 2" xfId="33"/>
    <cellStyle name="Orange 2 2 2 3 3 2 2 2" xfId="34"/>
    <cellStyle name="Orange 2 2 2 3 3 3" xfId="35"/>
    <cellStyle name="Orange 2 2 2 3 3 3 2" xfId="36"/>
    <cellStyle name="Orange 2 2 2 3 4" xfId="37"/>
    <cellStyle name="Orange 2 2 2 3 4 2" xfId="38"/>
    <cellStyle name="Orange 2 2 2 3 4 2 2" xfId="39"/>
    <cellStyle name="Orange 2 2 2 3 5" xfId="40"/>
    <cellStyle name="Orange 2 2 2 3 5 2" xfId="41"/>
    <cellStyle name="Orange 2 2 2 4" xfId="42"/>
    <cellStyle name="Orange 2 2 2 4 2" xfId="43"/>
    <cellStyle name="Orange 2 2 2 4 2 2" xfId="44"/>
    <cellStyle name="Orange 2 2 2 4 2 2 2" xfId="45"/>
    <cellStyle name="Orange 2 2 2 4 3" xfId="46"/>
    <cellStyle name="Orange 2 2 2 4 3 2" xfId="47"/>
    <cellStyle name="Orange 2 2 2 5" xfId="48"/>
    <cellStyle name="Orange 2 2 2 5 2" xfId="49"/>
    <cellStyle name="Orange 2 2 2 5 2 2" xfId="50"/>
    <cellStyle name="Orange 2 2 2 5 2 2 2" xfId="51"/>
    <cellStyle name="Orange 2 2 2 5 3" xfId="52"/>
    <cellStyle name="Orange 2 2 2 5 3 2" xfId="53"/>
    <cellStyle name="Orange 2 2 2 6" xfId="54"/>
    <cellStyle name="Orange 2 2 2 6 2" xfId="55"/>
    <cellStyle name="Orange 2 2 2 6 3" xfId="56"/>
    <cellStyle name="Orange 2 2 3" xfId="57"/>
    <cellStyle name="Orange 2 2 3 2" xfId="58"/>
    <cellStyle name="Orange 2 2 3 2 2" xfId="59"/>
    <cellStyle name="Orange 2 2 3 2 2 2" xfId="60"/>
    <cellStyle name="Orange 2 2 3 2 2 2 2" xfId="61"/>
    <cellStyle name="Orange 2 2 3 2 3" xfId="62"/>
    <cellStyle name="Orange 2 2 3 2 3 2" xfId="63"/>
    <cellStyle name="Orange 2 2 3 3" xfId="64"/>
    <cellStyle name="Orange 2 2 3 3 2" xfId="65"/>
    <cellStyle name="Orange 2 2 3 3 2 2" xfId="66"/>
    <cellStyle name="Orange 2 2 3 3 2 2 2" xfId="67"/>
    <cellStyle name="Orange 2 2 3 3 3" xfId="68"/>
    <cellStyle name="Orange 2 2 3 3 3 2" xfId="69"/>
    <cellStyle name="Orange 2 2 3 4" xfId="70"/>
    <cellStyle name="Orange 2 2 3 4 2" xfId="71"/>
    <cellStyle name="Orange 2 2 3 4 2 2" xfId="72"/>
    <cellStyle name="Orange 2 2 3 5" xfId="73"/>
    <cellStyle name="Orange 2 2 3 5 2" xfId="74"/>
    <cellStyle name="Orange 2 2 4" xfId="75"/>
    <cellStyle name="Orange 2 2 4 2" xfId="76"/>
    <cellStyle name="Orange 2 2 4 2 2" xfId="77"/>
    <cellStyle name="Orange 2 2 4 2 2 2" xfId="78"/>
    <cellStyle name="Orange 2 2 4 2 2 2 2" xfId="79"/>
    <cellStyle name="Orange 2 2 4 2 3" xfId="80"/>
    <cellStyle name="Orange 2 2 4 2 3 2" xfId="81"/>
    <cellStyle name="Orange 2 2 4 3" xfId="82"/>
    <cellStyle name="Orange 2 2 4 3 2" xfId="83"/>
    <cellStyle name="Orange 2 2 4 3 2 2" xfId="84"/>
    <cellStyle name="Orange 2 2 4 3 2 2 2" xfId="85"/>
    <cellStyle name="Orange 2 2 4 3 3" xfId="86"/>
    <cellStyle name="Orange 2 2 4 3 3 2" xfId="87"/>
    <cellStyle name="Orange 2 2 4 4" xfId="88"/>
    <cellStyle name="Orange 2 2 4 4 2" xfId="89"/>
    <cellStyle name="Orange 2 2 4 4 2 2" xfId="90"/>
    <cellStyle name="Orange 2 2 4 5" xfId="91"/>
    <cellStyle name="Orange 2 2 4 5 2" xfId="92"/>
    <cellStyle name="Orange 2 2 5" xfId="93"/>
    <cellStyle name="Orange 2 2 5 2" xfId="94"/>
    <cellStyle name="Orange 2 2 5 2 2" xfId="95"/>
    <cellStyle name="Orange 2 2 5 2 2 2" xfId="96"/>
    <cellStyle name="Orange 2 2 5 3" xfId="97"/>
    <cellStyle name="Orange 2 2 5 3 2" xfId="98"/>
    <cellStyle name="Orange 2 2 6" xfId="99"/>
    <cellStyle name="Orange 2 2 6 2" xfId="100"/>
    <cellStyle name="Orange 2 2 6 2 2" xfId="101"/>
    <cellStyle name="Orange 2 2 6 2 2 2" xfId="102"/>
    <cellStyle name="Orange 2 2 6 3" xfId="103"/>
    <cellStyle name="Orange 2 2 6 3 2" xfId="104"/>
    <cellStyle name="Orange 2 2 7" xfId="105"/>
    <cellStyle name="Orange 2 2 7 2" xfId="106"/>
    <cellStyle name="Orange 2 2 7 3" xfId="107"/>
    <cellStyle name="Orange 2 3" xfId="108"/>
    <cellStyle name="Orange 2 3 2" xfId="109"/>
    <cellStyle name="Orange 2 3 2 2" xfId="110"/>
    <cellStyle name="Orange 2 3 2 2 2" xfId="111"/>
    <cellStyle name="Orange 2 3 2 2 2 2" xfId="112"/>
    <cellStyle name="Orange 2 3 2 2 2 2 2" xfId="113"/>
    <cellStyle name="Orange 2 3 2 2 2 2 2 2" xfId="114"/>
    <cellStyle name="Orange 2 3 2 2 2 3" xfId="115"/>
    <cellStyle name="Orange 2 3 2 2 2 3 2" xfId="116"/>
    <cellStyle name="Orange 2 3 2 2 3" xfId="117"/>
    <cellStyle name="Orange 2 3 2 2 3 2" xfId="118"/>
    <cellStyle name="Orange 2 3 2 2 3 2 2" xfId="119"/>
    <cellStyle name="Orange 2 3 2 2 3 2 2 2" xfId="120"/>
    <cellStyle name="Orange 2 3 2 2 3 3" xfId="121"/>
    <cellStyle name="Orange 2 3 2 2 3 3 2" xfId="122"/>
    <cellStyle name="Orange 2 3 2 2 4" xfId="123"/>
    <cellStyle name="Orange 2 3 2 2 4 2" xfId="124"/>
    <cellStyle name="Orange 2 3 2 2 4 2 2" xfId="125"/>
    <cellStyle name="Orange 2 3 2 2 5" xfId="126"/>
    <cellStyle name="Orange 2 3 2 2 5 2" xfId="127"/>
    <cellStyle name="Orange 2 3 2 3" xfId="128"/>
    <cellStyle name="Orange 2 3 2 3 2" xfId="129"/>
    <cellStyle name="Orange 2 3 2 3 2 2" xfId="130"/>
    <cellStyle name="Orange 2 3 2 3 2 2 2" xfId="131"/>
    <cellStyle name="Orange 2 3 2 3 2 2 2 2" xfId="132"/>
    <cellStyle name="Orange 2 3 2 3 2 3" xfId="133"/>
    <cellStyle name="Orange 2 3 2 3 2 3 2" xfId="134"/>
    <cellStyle name="Orange 2 3 2 3 3" xfId="135"/>
    <cellStyle name="Orange 2 3 2 3 3 2" xfId="136"/>
    <cellStyle name="Orange 2 3 2 3 3 2 2" xfId="137"/>
    <cellStyle name="Orange 2 3 2 3 3 2 2 2" xfId="138"/>
    <cellStyle name="Orange 2 3 2 3 3 3" xfId="139"/>
    <cellStyle name="Orange 2 3 2 3 3 3 2" xfId="140"/>
    <cellStyle name="Orange 2 3 2 3 4" xfId="141"/>
    <cellStyle name="Orange 2 3 2 3 4 2" xfId="142"/>
    <cellStyle name="Orange 2 3 2 3 4 2 2" xfId="143"/>
    <cellStyle name="Orange 2 3 2 3 5" xfId="144"/>
    <cellStyle name="Orange 2 3 2 3 5 2" xfId="145"/>
    <cellStyle name="Orange 2 3 2 4" xfId="146"/>
    <cellStyle name="Orange 2 3 2 4 2" xfId="147"/>
    <cellStyle name="Orange 2 3 2 4 2 2" xfId="148"/>
    <cellStyle name="Orange 2 3 2 4 2 2 2" xfId="149"/>
    <cellStyle name="Orange 2 3 2 4 3" xfId="150"/>
    <cellStyle name="Orange 2 3 2 4 3 2" xfId="151"/>
    <cellStyle name="Orange 2 3 2 5" xfId="152"/>
    <cellStyle name="Orange 2 3 2 5 2" xfId="153"/>
    <cellStyle name="Orange 2 3 2 5 2 2" xfId="154"/>
    <cellStyle name="Orange 2 3 2 5 2 2 2" xfId="155"/>
    <cellStyle name="Orange 2 3 2 5 3" xfId="156"/>
    <cellStyle name="Orange 2 3 2 5 3 2" xfId="157"/>
    <cellStyle name="Orange 2 3 2 6" xfId="158"/>
    <cellStyle name="Orange 2 3 2 6 2" xfId="159"/>
    <cellStyle name="Orange 2 3 2 6 3" xfId="160"/>
    <cellStyle name="Orange 2 3 3" xfId="161"/>
    <cellStyle name="Orange 2 3 3 2" xfId="162"/>
    <cellStyle name="Orange 2 3 3 2 2" xfId="163"/>
    <cellStyle name="Orange 2 3 3 2 2 2" xfId="164"/>
    <cellStyle name="Orange 2 3 3 2 2 2 2" xfId="165"/>
    <cellStyle name="Orange 2 3 3 2 3" xfId="166"/>
    <cellStyle name="Orange 2 3 3 2 3 2" xfId="167"/>
    <cellStyle name="Orange 2 3 3 3" xfId="168"/>
    <cellStyle name="Orange 2 3 3 3 2" xfId="169"/>
    <cellStyle name="Orange 2 3 3 3 2 2" xfId="170"/>
    <cellStyle name="Orange 2 3 3 3 2 2 2" xfId="171"/>
    <cellStyle name="Orange 2 3 3 3 3" xfId="172"/>
    <cellStyle name="Orange 2 3 3 3 3 2" xfId="173"/>
    <cellStyle name="Orange 2 3 3 4" xfId="174"/>
    <cellStyle name="Orange 2 3 3 4 2" xfId="175"/>
    <cellStyle name="Orange 2 3 3 4 2 2" xfId="176"/>
    <cellStyle name="Orange 2 3 3 5" xfId="177"/>
    <cellStyle name="Orange 2 3 3 5 2" xfId="178"/>
    <cellStyle name="Orange 2 3 4" xfId="179"/>
    <cellStyle name="Orange 2 3 4 2" xfId="180"/>
    <cellStyle name="Orange 2 3 4 2 2" xfId="181"/>
    <cellStyle name="Orange 2 3 4 2 2 2" xfId="182"/>
    <cellStyle name="Orange 2 3 4 2 2 2 2" xfId="183"/>
    <cellStyle name="Orange 2 3 4 2 3" xfId="184"/>
    <cellStyle name="Orange 2 3 4 2 3 2" xfId="185"/>
    <cellStyle name="Orange 2 3 4 3" xfId="186"/>
    <cellStyle name="Orange 2 3 4 3 2" xfId="187"/>
    <cellStyle name="Orange 2 3 4 3 2 2" xfId="188"/>
    <cellStyle name="Orange 2 3 4 3 2 2 2" xfId="189"/>
    <cellStyle name="Orange 2 3 4 3 3" xfId="190"/>
    <cellStyle name="Orange 2 3 4 3 3 2" xfId="191"/>
    <cellStyle name="Orange 2 3 4 4" xfId="192"/>
    <cellStyle name="Orange 2 3 4 4 2" xfId="193"/>
    <cellStyle name="Orange 2 3 4 4 2 2" xfId="194"/>
    <cellStyle name="Orange 2 3 4 5" xfId="195"/>
    <cellStyle name="Orange 2 3 4 5 2" xfId="196"/>
    <cellStyle name="Orange 2 3 5" xfId="197"/>
    <cellStyle name="Orange 2 3 5 2" xfId="198"/>
    <cellStyle name="Orange 2 3 5 2 2" xfId="199"/>
    <cellStyle name="Orange 2 3 5 2 2 2" xfId="200"/>
    <cellStyle name="Orange 2 3 5 3" xfId="201"/>
    <cellStyle name="Orange 2 3 5 3 2" xfId="202"/>
    <cellStyle name="Orange 2 3 6" xfId="203"/>
    <cellStyle name="Orange 2 3 6 2" xfId="204"/>
    <cellStyle name="Orange 2 3 6 2 2" xfId="205"/>
    <cellStyle name="Orange 2 3 6 2 2 2" xfId="206"/>
    <cellStyle name="Orange 2 3 6 3" xfId="207"/>
    <cellStyle name="Orange 2 3 6 3 2" xfId="208"/>
    <cellStyle name="Orange 2 3 7" xfId="209"/>
    <cellStyle name="Orange 2 3 7 2" xfId="210"/>
    <cellStyle name="Orange 2 3 7 3" xfId="211"/>
    <cellStyle name="Orange 2 4" xfId="212"/>
    <cellStyle name="Orange 2 4 2" xfId="213"/>
    <cellStyle name="Orange 2 4 2 2" xfId="214"/>
    <cellStyle name="Orange 2 4 2 2 2" xfId="215"/>
    <cellStyle name="Orange 2 4 2 2 2 2" xfId="216"/>
    <cellStyle name="Orange 2 4 2 2 2 2 2" xfId="217"/>
    <cellStyle name="Orange 2 4 2 2 3" xfId="218"/>
    <cellStyle name="Orange 2 4 2 2 3 2" xfId="219"/>
    <cellStyle name="Orange 2 4 2 3" xfId="220"/>
    <cellStyle name="Orange 2 4 2 3 2" xfId="221"/>
    <cellStyle name="Orange 2 4 2 3 2 2" xfId="222"/>
    <cellStyle name="Orange 2 4 2 3 2 2 2" xfId="223"/>
    <cellStyle name="Orange 2 4 2 3 3" xfId="224"/>
    <cellStyle name="Orange 2 4 2 3 3 2" xfId="225"/>
    <cellStyle name="Orange 2 4 2 4" xfId="226"/>
    <cellStyle name="Orange 2 4 2 4 2" xfId="227"/>
    <cellStyle name="Orange 2 4 2 4 2 2" xfId="228"/>
    <cellStyle name="Orange 2 4 2 5" xfId="229"/>
    <cellStyle name="Orange 2 4 2 5 2" xfId="230"/>
    <cellStyle name="Orange 2 4 3" xfId="231"/>
    <cellStyle name="Orange 2 4 3 2" xfId="232"/>
    <cellStyle name="Orange 2 4 3 2 2" xfId="233"/>
    <cellStyle name="Orange 2 4 3 2 2 2" xfId="234"/>
    <cellStyle name="Orange 2 4 3 2 2 2 2" xfId="235"/>
    <cellStyle name="Orange 2 4 3 2 3" xfId="236"/>
    <cellStyle name="Orange 2 4 3 2 3 2" xfId="237"/>
    <cellStyle name="Orange 2 4 3 3" xfId="238"/>
    <cellStyle name="Orange 2 4 3 3 2" xfId="239"/>
    <cellStyle name="Orange 2 4 3 3 2 2" xfId="240"/>
    <cellStyle name="Orange 2 4 3 3 2 2 2" xfId="241"/>
    <cellStyle name="Orange 2 4 3 3 3" xfId="242"/>
    <cellStyle name="Orange 2 4 3 3 3 2" xfId="243"/>
    <cellStyle name="Orange 2 4 3 4" xfId="244"/>
    <cellStyle name="Orange 2 4 3 4 2" xfId="245"/>
    <cellStyle name="Orange 2 4 3 4 2 2" xfId="246"/>
    <cellStyle name="Orange 2 4 3 5" xfId="247"/>
    <cellStyle name="Orange 2 4 3 5 2" xfId="248"/>
    <cellStyle name="Orange 2 4 4" xfId="249"/>
    <cellStyle name="Orange 2 4 4 2" xfId="250"/>
    <cellStyle name="Orange 2 4 4 2 2" xfId="251"/>
    <cellStyle name="Orange 2 4 4 2 2 2" xfId="252"/>
    <cellStyle name="Orange 2 4 4 3" xfId="253"/>
    <cellStyle name="Orange 2 4 4 3 2" xfId="254"/>
    <cellStyle name="Orange 2 4 5" xfId="255"/>
    <cellStyle name="Orange 2 4 5 2" xfId="256"/>
    <cellStyle name="Orange 2 4 5 2 2" xfId="257"/>
    <cellStyle name="Orange 2 4 5 2 2 2" xfId="258"/>
    <cellStyle name="Orange 2 4 5 3" xfId="259"/>
    <cellStyle name="Orange 2 4 5 3 2" xfId="260"/>
    <cellStyle name="Orange 2 4 6" xfId="261"/>
    <cellStyle name="Orange 2 4 6 2" xfId="262"/>
    <cellStyle name="Orange 2 4 6 3" xfId="263"/>
    <cellStyle name="Orange 2 5" xfId="264"/>
    <cellStyle name="Orange 2 5 2" xfId="265"/>
    <cellStyle name="Orange 2 5 2 2" xfId="266"/>
    <cellStyle name="Orange 2 5 2 2 2" xfId="267"/>
    <cellStyle name="Orange 2 5 2 2 2 2" xfId="268"/>
    <cellStyle name="Orange 2 5 2 3" xfId="269"/>
    <cellStyle name="Orange 2 5 2 3 2" xfId="270"/>
    <cellStyle name="Orange 2 5 3" xfId="271"/>
    <cellStyle name="Orange 2 5 3 2" xfId="272"/>
    <cellStyle name="Orange 2 5 3 2 2" xfId="273"/>
    <cellStyle name="Orange 2 5 3 2 2 2" xfId="274"/>
    <cellStyle name="Orange 2 5 3 3" xfId="275"/>
    <cellStyle name="Orange 2 5 3 3 2" xfId="276"/>
    <cellStyle name="Orange 2 5 4" xfId="277"/>
    <cellStyle name="Orange 2 5 4 2" xfId="278"/>
    <cellStyle name="Orange 2 5 4 2 2" xfId="279"/>
    <cellStyle name="Orange 2 5 5" xfId="280"/>
    <cellStyle name="Orange 2 5 5 2" xfId="281"/>
    <cellStyle name="Orange 2 6" xfId="282"/>
    <cellStyle name="Orange 2 6 2" xfId="283"/>
    <cellStyle name="Orange 2 6 2 2" xfId="284"/>
    <cellStyle name="Orange 2 6 2 2 2" xfId="285"/>
    <cellStyle name="Orange 2 6 2 2 2 2" xfId="286"/>
    <cellStyle name="Orange 2 6 2 3" xfId="287"/>
    <cellStyle name="Orange 2 6 2 3 2" xfId="288"/>
    <cellStyle name="Orange 2 6 3" xfId="289"/>
    <cellStyle name="Orange 2 6 3 2" xfId="290"/>
    <cellStyle name="Orange 2 6 3 2 2" xfId="291"/>
    <cellStyle name="Orange 2 6 3 2 2 2" xfId="292"/>
    <cellStyle name="Orange 2 6 3 3" xfId="293"/>
    <cellStyle name="Orange 2 6 3 3 2" xfId="294"/>
    <cellStyle name="Orange 2 6 4" xfId="295"/>
    <cellStyle name="Orange 2 6 4 2" xfId="296"/>
    <cellStyle name="Orange 2 6 4 2 2" xfId="297"/>
    <cellStyle name="Orange 2 6 5" xfId="298"/>
    <cellStyle name="Orange 2 6 5 2" xfId="299"/>
    <cellStyle name="Orange 2 7" xfId="300"/>
    <cellStyle name="Orange 2 7 2" xfId="301"/>
    <cellStyle name="Orange 2 7 2 2" xfId="302"/>
    <cellStyle name="Orange 2 7 2 2 2" xfId="303"/>
    <cellStyle name="Orange 2 7 3" xfId="304"/>
    <cellStyle name="Orange 2 7 3 2" xfId="305"/>
    <cellStyle name="Orange 2 8" xfId="306"/>
    <cellStyle name="Orange 2 8 2" xfId="307"/>
    <cellStyle name="Orange 2 8 2 2" xfId="308"/>
    <cellStyle name="Orange 2 8 2 2 2" xfId="309"/>
    <cellStyle name="Orange 2 8 3" xfId="310"/>
    <cellStyle name="Orange 2 8 3 2" xfId="311"/>
    <cellStyle name="Orange 2 9" xfId="312"/>
    <cellStyle name="Orange 2 9 2" xfId="313"/>
    <cellStyle name="Orange 3" xfId="314"/>
    <cellStyle name="Orange 3 2" xfId="315"/>
    <cellStyle name="Orange 3 2 2" xfId="316"/>
    <cellStyle name="Orange 3 2 2 2" xfId="317"/>
    <cellStyle name="Orange 3 2 2 2 2" xfId="318"/>
    <cellStyle name="Orange 3 2 2 2 2 2" xfId="319"/>
    <cellStyle name="Orange 3 2 2 2 2 2 2" xfId="320"/>
    <cellStyle name="Orange 3 2 2 2 3" xfId="321"/>
    <cellStyle name="Orange 3 2 2 2 3 2" xfId="322"/>
    <cellStyle name="Orange 3 2 2 3" xfId="323"/>
    <cellStyle name="Orange 3 2 2 3 2" xfId="324"/>
    <cellStyle name="Orange 3 2 2 3 2 2" xfId="325"/>
    <cellStyle name="Orange 3 2 2 3 2 2 2" xfId="326"/>
    <cellStyle name="Orange 3 2 2 3 3" xfId="327"/>
    <cellStyle name="Orange 3 2 2 3 3 2" xfId="328"/>
    <cellStyle name="Orange 3 2 2 4" xfId="329"/>
    <cellStyle name="Orange 3 2 2 4 2" xfId="330"/>
    <cellStyle name="Orange 3 2 2 4 2 2" xfId="331"/>
    <cellStyle name="Orange 3 2 2 5" xfId="332"/>
    <cellStyle name="Orange 3 2 2 5 2" xfId="333"/>
    <cellStyle name="Orange 3 2 3" xfId="334"/>
    <cellStyle name="Orange 3 2 3 2" xfId="335"/>
    <cellStyle name="Orange 3 2 3 2 2" xfId="336"/>
    <cellStyle name="Orange 3 2 3 2 2 2" xfId="337"/>
    <cellStyle name="Orange 3 2 3 2 2 2 2" xfId="338"/>
    <cellStyle name="Orange 3 2 3 2 3" xfId="339"/>
    <cellStyle name="Orange 3 2 3 2 3 2" xfId="340"/>
    <cellStyle name="Orange 3 2 3 3" xfId="341"/>
    <cellStyle name="Orange 3 2 3 3 2" xfId="342"/>
    <cellStyle name="Orange 3 2 3 3 2 2" xfId="343"/>
    <cellStyle name="Orange 3 2 3 3 2 2 2" xfId="344"/>
    <cellStyle name="Orange 3 2 3 3 3" xfId="345"/>
    <cellStyle name="Orange 3 2 3 3 3 2" xfId="346"/>
    <cellStyle name="Orange 3 2 3 4" xfId="347"/>
    <cellStyle name="Orange 3 2 3 4 2" xfId="348"/>
    <cellStyle name="Orange 3 2 3 4 2 2" xfId="349"/>
    <cellStyle name="Orange 3 2 3 5" xfId="350"/>
    <cellStyle name="Orange 3 2 3 5 2" xfId="351"/>
    <cellStyle name="Orange 3 2 4" xfId="352"/>
    <cellStyle name="Orange 3 2 4 2" xfId="353"/>
    <cellStyle name="Orange 3 2 4 2 2" xfId="354"/>
    <cellStyle name="Orange 3 2 4 2 2 2" xfId="355"/>
    <cellStyle name="Orange 3 2 4 3" xfId="356"/>
    <cellStyle name="Orange 3 2 4 3 2" xfId="357"/>
    <cellStyle name="Orange 3 2 5" xfId="358"/>
    <cellStyle name="Orange 3 2 5 2" xfId="359"/>
    <cellStyle name="Orange 3 2 5 2 2" xfId="360"/>
    <cellStyle name="Orange 3 2 5 2 2 2" xfId="361"/>
    <cellStyle name="Orange 3 2 5 3" xfId="362"/>
    <cellStyle name="Orange 3 2 5 3 2" xfId="363"/>
    <cellStyle name="Orange 3 2 6" xfId="364"/>
    <cellStyle name="Orange 3 2 6 2" xfId="365"/>
    <cellStyle name="Orange 3 2 6 3" xfId="366"/>
    <cellStyle name="Orange 3 3" xfId="367"/>
    <cellStyle name="Orange 3 3 2" xfId="368"/>
    <cellStyle name="Orange 3 3 2 2" xfId="369"/>
    <cellStyle name="Orange 3 3 2 2 2" xfId="370"/>
    <cellStyle name="Orange 3 3 2 2 2 2" xfId="371"/>
    <cellStyle name="Orange 3 3 2 3" xfId="372"/>
    <cellStyle name="Orange 3 3 2 3 2" xfId="373"/>
    <cellStyle name="Orange 3 3 3" xfId="374"/>
    <cellStyle name="Orange 3 3 3 2" xfId="375"/>
    <cellStyle name="Orange 3 3 3 2 2" xfId="376"/>
    <cellStyle name="Orange 3 3 3 2 2 2" xfId="377"/>
    <cellStyle name="Orange 3 3 3 3" xfId="378"/>
    <cellStyle name="Orange 3 3 3 3 2" xfId="379"/>
    <cellStyle name="Orange 3 3 4" xfId="380"/>
    <cellStyle name="Orange 3 3 4 2" xfId="381"/>
    <cellStyle name="Orange 3 3 4 2 2" xfId="382"/>
    <cellStyle name="Orange 3 3 5" xfId="383"/>
    <cellStyle name="Orange 3 3 5 2" xfId="384"/>
    <cellStyle name="Orange 3 4" xfId="385"/>
    <cellStyle name="Orange 3 4 2" xfId="386"/>
    <cellStyle name="Orange 3 4 2 2" xfId="387"/>
    <cellStyle name="Orange 3 4 2 2 2" xfId="388"/>
    <cellStyle name="Orange 3 4 2 2 2 2" xfId="389"/>
    <cellStyle name="Orange 3 4 2 3" xfId="390"/>
    <cellStyle name="Orange 3 4 2 3 2" xfId="391"/>
    <cellStyle name="Orange 3 4 3" xfId="392"/>
    <cellStyle name="Orange 3 4 3 2" xfId="393"/>
    <cellStyle name="Orange 3 4 3 2 2" xfId="394"/>
    <cellStyle name="Orange 3 4 3 2 2 2" xfId="395"/>
    <cellStyle name="Orange 3 4 3 3" xfId="396"/>
    <cellStyle name="Orange 3 4 3 3 2" xfId="397"/>
    <cellStyle name="Orange 3 4 4" xfId="398"/>
    <cellStyle name="Orange 3 4 4 2" xfId="399"/>
    <cellStyle name="Orange 3 4 4 2 2" xfId="400"/>
    <cellStyle name="Orange 3 4 5" xfId="401"/>
    <cellStyle name="Orange 3 4 5 2" xfId="402"/>
    <cellStyle name="Orange 3 5" xfId="403"/>
    <cellStyle name="Orange 3 5 2" xfId="404"/>
    <cellStyle name="Orange 3 5 2 2" xfId="405"/>
    <cellStyle name="Orange 3 5 2 2 2" xfId="406"/>
    <cellStyle name="Orange 3 5 3" xfId="407"/>
    <cellStyle name="Orange 3 5 3 2" xfId="408"/>
    <cellStyle name="Orange 3 6" xfId="409"/>
    <cellStyle name="Orange 3 6 2" xfId="410"/>
    <cellStyle name="Orange 3 6 2 2" xfId="411"/>
    <cellStyle name="Orange 3 6 2 2 2" xfId="412"/>
    <cellStyle name="Orange 3 6 3" xfId="413"/>
    <cellStyle name="Orange 3 6 3 2" xfId="414"/>
    <cellStyle name="Orange 3 7" xfId="415"/>
    <cellStyle name="Orange 3 7 2" xfId="416"/>
    <cellStyle name="Orange 3 7 3" xfId="417"/>
    <cellStyle name="Orange 4" xfId="418"/>
    <cellStyle name="Orange 4 2" xfId="419"/>
    <cellStyle name="Orange 4 2 2" xfId="420"/>
    <cellStyle name="Orange 4 2 2 2" xfId="421"/>
    <cellStyle name="Orange 4 2 2 2 2" xfId="422"/>
    <cellStyle name="Orange 4 2 2 2 2 2" xfId="423"/>
    <cellStyle name="Orange 4 2 2 2 2 2 2" xfId="424"/>
    <cellStyle name="Orange 4 2 2 2 3" xfId="425"/>
    <cellStyle name="Orange 4 2 2 2 3 2" xfId="426"/>
    <cellStyle name="Orange 4 2 2 3" xfId="427"/>
    <cellStyle name="Orange 4 2 2 3 2" xfId="428"/>
    <cellStyle name="Orange 4 2 2 3 2 2" xfId="429"/>
    <cellStyle name="Orange 4 2 2 3 2 2 2" xfId="430"/>
    <cellStyle name="Orange 4 2 2 3 3" xfId="431"/>
    <cellStyle name="Orange 4 2 2 3 3 2" xfId="432"/>
    <cellStyle name="Orange 4 2 2 4" xfId="433"/>
    <cellStyle name="Orange 4 2 2 4 2" xfId="434"/>
    <cellStyle name="Orange 4 2 2 4 2 2" xfId="435"/>
    <cellStyle name="Orange 4 2 2 5" xfId="436"/>
    <cellStyle name="Orange 4 2 2 5 2" xfId="437"/>
    <cellStyle name="Orange 4 2 3" xfId="438"/>
    <cellStyle name="Orange 4 2 3 2" xfId="439"/>
    <cellStyle name="Orange 4 2 3 2 2" xfId="440"/>
    <cellStyle name="Orange 4 2 3 2 2 2" xfId="441"/>
    <cellStyle name="Orange 4 2 3 2 2 2 2" xfId="442"/>
    <cellStyle name="Orange 4 2 3 2 3" xfId="443"/>
    <cellStyle name="Orange 4 2 3 2 3 2" xfId="444"/>
    <cellStyle name="Orange 4 2 3 3" xfId="445"/>
    <cellStyle name="Orange 4 2 3 3 2" xfId="446"/>
    <cellStyle name="Orange 4 2 3 3 2 2" xfId="447"/>
    <cellStyle name="Orange 4 2 3 3 2 2 2" xfId="448"/>
    <cellStyle name="Orange 4 2 3 3 3" xfId="449"/>
    <cellStyle name="Orange 4 2 3 3 3 2" xfId="450"/>
    <cellStyle name="Orange 4 2 3 4" xfId="451"/>
    <cellStyle name="Orange 4 2 3 4 2" xfId="452"/>
    <cellStyle name="Orange 4 2 3 4 2 2" xfId="453"/>
    <cellStyle name="Orange 4 2 3 5" xfId="454"/>
    <cellStyle name="Orange 4 2 3 5 2" xfId="455"/>
    <cellStyle name="Orange 4 2 4" xfId="456"/>
    <cellStyle name="Orange 4 2 4 2" xfId="457"/>
    <cellStyle name="Orange 4 2 4 2 2" xfId="458"/>
    <cellStyle name="Orange 4 2 4 2 2 2" xfId="459"/>
    <cellStyle name="Orange 4 2 4 3" xfId="460"/>
    <cellStyle name="Orange 4 2 4 3 2" xfId="461"/>
    <cellStyle name="Orange 4 2 5" xfId="462"/>
    <cellStyle name="Orange 4 2 5 2" xfId="463"/>
    <cellStyle name="Orange 4 2 5 2 2" xfId="464"/>
    <cellStyle name="Orange 4 2 5 2 2 2" xfId="465"/>
    <cellStyle name="Orange 4 2 5 3" xfId="466"/>
    <cellStyle name="Orange 4 2 5 3 2" xfId="467"/>
    <cellStyle name="Orange 4 2 6" xfId="468"/>
    <cellStyle name="Orange 4 2 6 2" xfId="469"/>
    <cellStyle name="Orange 4 2 6 3" xfId="470"/>
    <cellStyle name="Orange 4 3" xfId="471"/>
    <cellStyle name="Orange 4 3 2" xfId="472"/>
    <cellStyle name="Orange 4 3 2 2" xfId="473"/>
    <cellStyle name="Orange 4 3 2 2 2" xfId="474"/>
    <cellStyle name="Orange 4 3 2 2 2 2" xfId="475"/>
    <cellStyle name="Orange 4 3 2 3" xfId="476"/>
    <cellStyle name="Orange 4 3 2 3 2" xfId="477"/>
    <cellStyle name="Orange 4 3 3" xfId="478"/>
    <cellStyle name="Orange 4 3 3 2" xfId="479"/>
    <cellStyle name="Orange 4 3 3 2 2" xfId="480"/>
    <cellStyle name="Orange 4 3 3 2 2 2" xfId="481"/>
    <cellStyle name="Orange 4 3 3 3" xfId="482"/>
    <cellStyle name="Orange 4 3 3 3 2" xfId="483"/>
    <cellStyle name="Orange 4 3 4" xfId="484"/>
    <cellStyle name="Orange 4 3 4 2" xfId="485"/>
    <cellStyle name="Orange 4 3 4 2 2" xfId="486"/>
    <cellStyle name="Orange 4 3 5" xfId="487"/>
    <cellStyle name="Orange 4 3 5 2" xfId="488"/>
    <cellStyle name="Orange 4 4" xfId="489"/>
    <cellStyle name="Orange 4 4 2" xfId="490"/>
    <cellStyle name="Orange 4 4 2 2" xfId="491"/>
    <cellStyle name="Orange 4 4 2 2 2" xfId="492"/>
    <cellStyle name="Orange 4 4 2 2 2 2" xfId="493"/>
    <cellStyle name="Orange 4 4 2 3" xfId="494"/>
    <cellStyle name="Orange 4 4 2 3 2" xfId="495"/>
    <cellStyle name="Orange 4 4 3" xfId="496"/>
    <cellStyle name="Orange 4 4 3 2" xfId="497"/>
    <cellStyle name="Orange 4 4 3 2 2" xfId="498"/>
    <cellStyle name="Orange 4 4 3 2 2 2" xfId="499"/>
    <cellStyle name="Orange 4 4 3 3" xfId="500"/>
    <cellStyle name="Orange 4 4 3 3 2" xfId="501"/>
    <cellStyle name="Orange 4 4 4" xfId="502"/>
    <cellStyle name="Orange 4 4 4 2" xfId="503"/>
    <cellStyle name="Orange 4 4 4 2 2" xfId="504"/>
    <cellStyle name="Orange 4 4 5" xfId="505"/>
    <cellStyle name="Orange 4 4 5 2" xfId="506"/>
    <cellStyle name="Orange 4 5" xfId="507"/>
    <cellStyle name="Orange 4 5 2" xfId="508"/>
    <cellStyle name="Orange 4 5 2 2" xfId="509"/>
    <cellStyle name="Orange 4 5 2 2 2" xfId="510"/>
    <cellStyle name="Orange 4 5 3" xfId="511"/>
    <cellStyle name="Orange 4 5 3 2" xfId="512"/>
    <cellStyle name="Orange 4 6" xfId="513"/>
    <cellStyle name="Orange 4 6 2" xfId="514"/>
    <cellStyle name="Orange 4 6 2 2" xfId="515"/>
    <cellStyle name="Orange 4 6 2 2 2" xfId="516"/>
    <cellStyle name="Orange 4 6 3" xfId="517"/>
    <cellStyle name="Orange 4 6 3 2" xfId="518"/>
    <cellStyle name="Orange 4 7" xfId="519"/>
    <cellStyle name="Orange 4 7 2" xfId="520"/>
    <cellStyle name="Orange 4 7 3" xfId="521"/>
    <cellStyle name="Orange 5" xfId="522"/>
    <cellStyle name="Orange 5 2" xfId="523"/>
    <cellStyle name="Orange 5 2 2" xfId="524"/>
    <cellStyle name="Orange 5 2 2 2" xfId="525"/>
    <cellStyle name="Orange 5 2 2 2 2" xfId="526"/>
    <cellStyle name="Orange 5 2 3" xfId="527"/>
    <cellStyle name="Orange 5 2 3 2" xfId="528"/>
    <cellStyle name="Orange 5 3" xfId="529"/>
    <cellStyle name="Orange 5 3 2" xfId="530"/>
    <cellStyle name="Orange 5 3 2 2" xfId="531"/>
    <cellStyle name="Orange 5 3 2 2 2" xfId="532"/>
    <cellStyle name="Orange 5 3 3" xfId="533"/>
    <cellStyle name="Orange 5 3 3 2" xfId="534"/>
    <cellStyle name="Orange 5 4" xfId="535"/>
    <cellStyle name="Orange 5 4 2" xfId="536"/>
    <cellStyle name="Orange 5 4 2 2" xfId="537"/>
    <cellStyle name="Orange 5 5" xfId="538"/>
    <cellStyle name="Orange 5 5 2" xfId="539"/>
    <cellStyle name="Orange 6" xfId="540"/>
    <cellStyle name="Orange 6 2" xfId="541"/>
    <cellStyle name="Orange 6 2 2" xfId="542"/>
    <cellStyle name="Orange 6 2 2 2" xfId="543"/>
    <cellStyle name="Orange 6 2 2 2 2" xfId="544"/>
    <cellStyle name="Orange 6 2 3" xfId="545"/>
    <cellStyle name="Orange 6 2 3 2" xfId="546"/>
    <cellStyle name="Orange 6 3" xfId="547"/>
    <cellStyle name="Orange 6 3 2" xfId="548"/>
    <cellStyle name="Orange 6 3 2 2" xfId="549"/>
    <cellStyle name="Orange 6 3 2 2 2" xfId="550"/>
    <cellStyle name="Orange 6 3 3" xfId="551"/>
    <cellStyle name="Orange 6 3 3 2" xfId="552"/>
    <cellStyle name="Orange 6 4" xfId="553"/>
    <cellStyle name="Orange 6 4 2" xfId="554"/>
    <cellStyle name="Orange 6 4 2 2" xfId="555"/>
    <cellStyle name="Orange 6 5" xfId="556"/>
    <cellStyle name="Orange 6 5 2" xfId="557"/>
    <cellStyle name="Orange 7" xfId="558"/>
    <cellStyle name="Orange 7 2" xfId="559"/>
    <cellStyle name="Orange 7 2 2" xfId="560"/>
    <cellStyle name="Orange 7 2 2 2" xfId="561"/>
    <cellStyle name="Orange 7 3" xfId="562"/>
    <cellStyle name="Orange 7 3 2" xfId="563"/>
    <cellStyle name="Orange 8" xfId="564"/>
    <cellStyle name="Orange 8 2" xfId="565"/>
    <cellStyle name="Orange 8 2 2" xfId="566"/>
    <cellStyle name="Orange 8 2 2 2" xfId="567"/>
    <cellStyle name="Orange 8 3" xfId="568"/>
    <cellStyle name="Orange 8 3 2" xfId="569"/>
    <cellStyle name="Orange 9" xfId="570"/>
    <cellStyle name="Orange 9 2" xfId="571"/>
    <cellStyle name="SAPBEXstdItem" xfId="572"/>
    <cellStyle name="パーセント 2" xfId="573"/>
    <cellStyle name="パーセント 2 2" xfId="574"/>
    <cellStyle name="パーセント 2 2 2" xfId="575"/>
    <cellStyle name="パーセント 2 2 3" xfId="576"/>
    <cellStyle name="パーセント 2 3" xfId="577"/>
    <cellStyle name="パーセント 2 4" xfId="578"/>
    <cellStyle name="パーセント 2 5" xfId="579"/>
    <cellStyle name="パーセント 3" xfId="580"/>
    <cellStyle name="パーセント 3 2" xfId="581"/>
    <cellStyle name="パーセント 3 2 2" xfId="582"/>
    <cellStyle name="パーセント 3 3" xfId="583"/>
    <cellStyle name="パーセント 3 4" xfId="584"/>
    <cellStyle name="パーセント 4" xfId="585"/>
    <cellStyle name="パーセント 4 2" xfId="586"/>
    <cellStyle name="パーセント 4 3" xfId="587"/>
    <cellStyle name="百分比" xfId="588" builtinId="5"/>
    <cellStyle name="百分比 10" xfId="589"/>
    <cellStyle name="百分比 2" xfId="590"/>
    <cellStyle name="百分比 2 10" xfId="591"/>
    <cellStyle name="百分比 2 2" xfId="592"/>
    <cellStyle name="百分比 2 2 2" xfId="593"/>
    <cellStyle name="百分比 2 2 2 2" xfId="594"/>
    <cellStyle name="百分比 2 2 2 2 2" xfId="595"/>
    <cellStyle name="百分比 2 2 2 2 2 2" xfId="596"/>
    <cellStyle name="百分比 2 2 2 2 2 2 2" xfId="597"/>
    <cellStyle name="百分比 2 2 2 2 2 2 2 2" xfId="598"/>
    <cellStyle name="百分比 2 2 2 2 2 2 2 2 2" xfId="599"/>
    <cellStyle name="百分比 2 2 2 2 2 2 3" xfId="600"/>
    <cellStyle name="百分比 2 2 2 2 2 2 3 2" xfId="601"/>
    <cellStyle name="百分比 2 2 2 2 2 3" xfId="602"/>
    <cellStyle name="百分比 2 2 2 2 2 3 2" xfId="603"/>
    <cellStyle name="百分比 2 2 2 2 2 3 2 2" xfId="604"/>
    <cellStyle name="百分比 2 2 2 2 2 3 2 2 2" xfId="605"/>
    <cellStyle name="百分比 2 2 2 2 2 3 3" xfId="606"/>
    <cellStyle name="百分比 2 2 2 2 2 3 3 2" xfId="607"/>
    <cellStyle name="百分比 2 2 2 2 2 4" xfId="608"/>
    <cellStyle name="百分比 2 2 2 2 2 4 2" xfId="609"/>
    <cellStyle name="百分比 2 2 2 2 2 4 2 2" xfId="610"/>
    <cellStyle name="百分比 2 2 2 2 2 5" xfId="611"/>
    <cellStyle name="百分比 2 2 2 2 2 5 2" xfId="612"/>
    <cellStyle name="百分比 2 2 2 2 3" xfId="613"/>
    <cellStyle name="百分比 2 2 2 2 3 2" xfId="614"/>
    <cellStyle name="百分比 2 2 2 2 3 2 2" xfId="615"/>
    <cellStyle name="百分比 2 2 2 2 3 2 2 2" xfId="616"/>
    <cellStyle name="百分比 2 2 2 2 3 2 2 2 2" xfId="617"/>
    <cellStyle name="百分比 2 2 2 2 3 2 3" xfId="618"/>
    <cellStyle name="百分比 2 2 2 2 3 2 3 2" xfId="619"/>
    <cellStyle name="百分比 2 2 2 2 3 3" xfId="620"/>
    <cellStyle name="百分比 2 2 2 2 3 3 2" xfId="621"/>
    <cellStyle name="百分比 2 2 2 2 3 3 2 2" xfId="622"/>
    <cellStyle name="百分比 2 2 2 2 3 3 2 2 2" xfId="623"/>
    <cellStyle name="百分比 2 2 2 2 3 3 3" xfId="624"/>
    <cellStyle name="百分比 2 2 2 2 3 3 3 2" xfId="625"/>
    <cellStyle name="百分比 2 2 2 2 3 4" xfId="626"/>
    <cellStyle name="百分比 2 2 2 2 3 4 2" xfId="627"/>
    <cellStyle name="百分比 2 2 2 2 3 4 2 2" xfId="628"/>
    <cellStyle name="百分比 2 2 2 2 3 5" xfId="629"/>
    <cellStyle name="百分比 2 2 2 2 3 5 2" xfId="630"/>
    <cellStyle name="百分比 2 2 2 2 4" xfId="631"/>
    <cellStyle name="百分比 2 2 2 2 4 2" xfId="632"/>
    <cellStyle name="百分比 2 2 2 2 4 2 2" xfId="633"/>
    <cellStyle name="百分比 2 2 2 2 4 2 2 2" xfId="634"/>
    <cellStyle name="百分比 2 2 2 2 4 3" xfId="635"/>
    <cellStyle name="百分比 2 2 2 2 4 3 2" xfId="636"/>
    <cellStyle name="百分比 2 2 2 2 5" xfId="637"/>
    <cellStyle name="百分比 2 2 2 2 5 2" xfId="638"/>
    <cellStyle name="百分比 2 2 2 2 5 2 2" xfId="639"/>
    <cellStyle name="百分比 2 2 2 2 5 2 2 2" xfId="640"/>
    <cellStyle name="百分比 2 2 2 2 5 3" xfId="641"/>
    <cellStyle name="百分比 2 2 2 2 5 3 2" xfId="642"/>
    <cellStyle name="百分比 2 2 2 2 6" xfId="643"/>
    <cellStyle name="百分比 2 2 2 2 6 2" xfId="644"/>
    <cellStyle name="百分比 2 2 2 3" xfId="645"/>
    <cellStyle name="百分比 2 2 2 3 2" xfId="646"/>
    <cellStyle name="百分比 2 2 2 3 2 2" xfId="647"/>
    <cellStyle name="百分比 2 2 2 3 2 2 2" xfId="648"/>
    <cellStyle name="百分比 2 2 2 3 2 2 2 2" xfId="649"/>
    <cellStyle name="百分比 2 2 2 3 2 3" xfId="650"/>
    <cellStyle name="百分比 2 2 2 3 2 3 2" xfId="651"/>
    <cellStyle name="百分比 2 2 2 3 3" xfId="652"/>
    <cellStyle name="百分比 2 2 2 3 3 2" xfId="653"/>
    <cellStyle name="百分比 2 2 2 3 3 2 2" xfId="654"/>
    <cellStyle name="百分比 2 2 2 3 3 2 2 2" xfId="655"/>
    <cellStyle name="百分比 2 2 2 3 3 3" xfId="656"/>
    <cellStyle name="百分比 2 2 2 3 3 3 2" xfId="657"/>
    <cellStyle name="百分比 2 2 2 3 4" xfId="658"/>
    <cellStyle name="百分比 2 2 2 3 4 2" xfId="659"/>
    <cellStyle name="百分比 2 2 2 3 4 2 2" xfId="660"/>
    <cellStyle name="百分比 2 2 2 3 5" xfId="661"/>
    <cellStyle name="百分比 2 2 2 3 5 2" xfId="662"/>
    <cellStyle name="百分比 2 2 2 4" xfId="663"/>
    <cellStyle name="百分比 2 2 2 4 2" xfId="664"/>
    <cellStyle name="百分比 2 2 2 4 2 2" xfId="665"/>
    <cellStyle name="百分比 2 2 2 4 2 2 2" xfId="666"/>
    <cellStyle name="百分比 2 2 2 4 2 2 2 2" xfId="667"/>
    <cellStyle name="百分比 2 2 2 4 2 3" xfId="668"/>
    <cellStyle name="百分比 2 2 2 4 2 3 2" xfId="669"/>
    <cellStyle name="百分比 2 2 2 4 3" xfId="670"/>
    <cellStyle name="百分比 2 2 2 4 3 2" xfId="671"/>
    <cellStyle name="百分比 2 2 2 4 3 2 2" xfId="672"/>
    <cellStyle name="百分比 2 2 2 4 3 2 2 2" xfId="673"/>
    <cellStyle name="百分比 2 2 2 4 3 3" xfId="674"/>
    <cellStyle name="百分比 2 2 2 4 3 3 2" xfId="675"/>
    <cellStyle name="百分比 2 2 2 4 4" xfId="676"/>
    <cellStyle name="百分比 2 2 2 4 4 2" xfId="677"/>
    <cellStyle name="百分比 2 2 2 4 4 2 2" xfId="678"/>
    <cellStyle name="百分比 2 2 2 4 5" xfId="679"/>
    <cellStyle name="百分比 2 2 2 4 5 2" xfId="680"/>
    <cellStyle name="百分比 2 2 2 5" xfId="681"/>
    <cellStyle name="百分比 2 2 2 5 2" xfId="682"/>
    <cellStyle name="百分比 2 2 2 5 2 2" xfId="683"/>
    <cellStyle name="百分比 2 2 2 5 2 2 2" xfId="684"/>
    <cellStyle name="百分比 2 2 2 5 3" xfId="685"/>
    <cellStyle name="百分比 2 2 2 5 3 2" xfId="686"/>
    <cellStyle name="百分比 2 2 2 6" xfId="687"/>
    <cellStyle name="百分比 2 2 2 6 2" xfId="688"/>
    <cellStyle name="百分比 2 2 2 6 2 2" xfId="689"/>
    <cellStyle name="百分比 2 2 2 6 2 2 2" xfId="690"/>
    <cellStyle name="百分比 2 2 2 6 3" xfId="691"/>
    <cellStyle name="百分比 2 2 2 6 3 2" xfId="692"/>
    <cellStyle name="百分比 2 2 2 7" xfId="693"/>
    <cellStyle name="百分比 2 2 2 7 2" xfId="694"/>
    <cellStyle name="百分比 2 2 3" xfId="695"/>
    <cellStyle name="百分比 2 2 3 2" xfId="696"/>
    <cellStyle name="百分比 2 2 3 2 2" xfId="697"/>
    <cellStyle name="百分比 2 2 3 2 2 2" xfId="698"/>
    <cellStyle name="百分比 2 2 3 2 2 2 2" xfId="699"/>
    <cellStyle name="百分比 2 2 3 2 2 2 2 2" xfId="700"/>
    <cellStyle name="百分比 2 2 3 2 2 2 2 2 2" xfId="701"/>
    <cellStyle name="百分比 2 2 3 2 2 2 3" xfId="702"/>
    <cellStyle name="百分比 2 2 3 2 2 2 3 2" xfId="703"/>
    <cellStyle name="百分比 2 2 3 2 2 3" xfId="704"/>
    <cellStyle name="百分比 2 2 3 2 2 3 2" xfId="705"/>
    <cellStyle name="百分比 2 2 3 2 2 3 2 2" xfId="706"/>
    <cellStyle name="百分比 2 2 3 2 2 3 2 2 2" xfId="707"/>
    <cellStyle name="百分比 2 2 3 2 2 3 3" xfId="708"/>
    <cellStyle name="百分比 2 2 3 2 2 3 3 2" xfId="709"/>
    <cellStyle name="百分比 2 2 3 2 2 4" xfId="710"/>
    <cellStyle name="百分比 2 2 3 2 2 4 2" xfId="711"/>
    <cellStyle name="百分比 2 2 3 2 2 4 2 2" xfId="712"/>
    <cellStyle name="百分比 2 2 3 2 2 5" xfId="713"/>
    <cellStyle name="百分比 2 2 3 2 2 5 2" xfId="714"/>
    <cellStyle name="百分比 2 2 3 2 3" xfId="715"/>
    <cellStyle name="百分比 2 2 3 2 3 2" xfId="716"/>
    <cellStyle name="百分比 2 2 3 2 3 2 2" xfId="717"/>
    <cellStyle name="百分比 2 2 3 2 3 2 2 2" xfId="718"/>
    <cellStyle name="百分比 2 2 3 2 3 2 2 2 2" xfId="719"/>
    <cellStyle name="百分比 2 2 3 2 3 2 3" xfId="720"/>
    <cellStyle name="百分比 2 2 3 2 3 2 3 2" xfId="721"/>
    <cellStyle name="百分比 2 2 3 2 3 3" xfId="722"/>
    <cellStyle name="百分比 2 2 3 2 3 3 2" xfId="723"/>
    <cellStyle name="百分比 2 2 3 2 3 3 2 2" xfId="724"/>
    <cellStyle name="百分比 2 2 3 2 3 3 2 2 2" xfId="725"/>
    <cellStyle name="百分比 2 2 3 2 3 3 3" xfId="726"/>
    <cellStyle name="百分比 2 2 3 2 3 3 3 2" xfId="727"/>
    <cellStyle name="百分比 2 2 3 2 3 4" xfId="728"/>
    <cellStyle name="百分比 2 2 3 2 3 4 2" xfId="729"/>
    <cellStyle name="百分比 2 2 3 2 3 4 2 2" xfId="730"/>
    <cellStyle name="百分比 2 2 3 2 3 5" xfId="731"/>
    <cellStyle name="百分比 2 2 3 2 3 5 2" xfId="732"/>
    <cellStyle name="百分比 2 2 3 2 4" xfId="733"/>
    <cellStyle name="百分比 2 2 3 2 4 2" xfId="734"/>
    <cellStyle name="百分比 2 2 3 2 4 2 2" xfId="735"/>
    <cellStyle name="百分比 2 2 3 2 4 2 2 2" xfId="736"/>
    <cellStyle name="百分比 2 2 3 2 4 3" xfId="737"/>
    <cellStyle name="百分比 2 2 3 2 4 3 2" xfId="738"/>
    <cellStyle name="百分比 2 2 3 2 5" xfId="739"/>
    <cellStyle name="百分比 2 2 3 2 5 2" xfId="740"/>
    <cellStyle name="百分比 2 2 3 2 5 2 2" xfId="741"/>
    <cellStyle name="百分比 2 2 3 2 5 2 2 2" xfId="742"/>
    <cellStyle name="百分比 2 2 3 2 5 3" xfId="743"/>
    <cellStyle name="百分比 2 2 3 2 5 3 2" xfId="744"/>
    <cellStyle name="百分比 2 2 3 2 6" xfId="745"/>
    <cellStyle name="百分比 2 2 3 2 6 2" xfId="746"/>
    <cellStyle name="百分比 2 2 3 3" xfId="747"/>
    <cellStyle name="百分比 2 2 3 3 2" xfId="748"/>
    <cellStyle name="百分比 2 2 3 3 2 2" xfId="749"/>
    <cellStyle name="百分比 2 2 3 3 2 2 2" xfId="750"/>
    <cellStyle name="百分比 2 2 3 3 2 2 2 2" xfId="751"/>
    <cellStyle name="百分比 2 2 3 3 2 3" xfId="752"/>
    <cellStyle name="百分比 2 2 3 3 2 3 2" xfId="753"/>
    <cellStyle name="百分比 2 2 3 3 3" xfId="754"/>
    <cellStyle name="百分比 2 2 3 3 3 2" xfId="755"/>
    <cellStyle name="百分比 2 2 3 3 3 2 2" xfId="756"/>
    <cellStyle name="百分比 2 2 3 3 3 2 2 2" xfId="757"/>
    <cellStyle name="百分比 2 2 3 3 3 3" xfId="758"/>
    <cellStyle name="百分比 2 2 3 3 3 3 2" xfId="759"/>
    <cellStyle name="百分比 2 2 3 3 4" xfId="760"/>
    <cellStyle name="百分比 2 2 3 3 4 2" xfId="761"/>
    <cellStyle name="百分比 2 2 3 3 4 2 2" xfId="762"/>
    <cellStyle name="百分比 2 2 3 3 5" xfId="763"/>
    <cellStyle name="百分比 2 2 3 3 5 2" xfId="764"/>
    <cellStyle name="百分比 2 2 3 4" xfId="765"/>
    <cellStyle name="百分比 2 2 3 4 2" xfId="766"/>
    <cellStyle name="百分比 2 2 3 4 2 2" xfId="767"/>
    <cellStyle name="百分比 2 2 3 4 2 2 2" xfId="768"/>
    <cellStyle name="百分比 2 2 3 4 2 2 2 2" xfId="769"/>
    <cellStyle name="百分比 2 2 3 4 2 3" xfId="770"/>
    <cellStyle name="百分比 2 2 3 4 2 3 2" xfId="771"/>
    <cellStyle name="百分比 2 2 3 4 3" xfId="772"/>
    <cellStyle name="百分比 2 2 3 4 3 2" xfId="773"/>
    <cellStyle name="百分比 2 2 3 4 3 2 2" xfId="774"/>
    <cellStyle name="百分比 2 2 3 4 3 2 2 2" xfId="775"/>
    <cellStyle name="百分比 2 2 3 4 3 3" xfId="776"/>
    <cellStyle name="百分比 2 2 3 4 3 3 2" xfId="777"/>
    <cellStyle name="百分比 2 2 3 4 4" xfId="778"/>
    <cellStyle name="百分比 2 2 3 4 4 2" xfId="779"/>
    <cellStyle name="百分比 2 2 3 4 4 2 2" xfId="780"/>
    <cellStyle name="百分比 2 2 3 4 5" xfId="781"/>
    <cellStyle name="百分比 2 2 3 4 5 2" xfId="782"/>
    <cellStyle name="百分比 2 2 3 5" xfId="783"/>
    <cellStyle name="百分比 2 2 3 5 2" xfId="784"/>
    <cellStyle name="百分比 2 2 3 5 2 2" xfId="785"/>
    <cellStyle name="百分比 2 2 3 5 2 2 2" xfId="786"/>
    <cellStyle name="百分比 2 2 3 5 3" xfId="787"/>
    <cellStyle name="百分比 2 2 3 5 3 2" xfId="788"/>
    <cellStyle name="百分比 2 2 3 6" xfId="789"/>
    <cellStyle name="百分比 2 2 3 6 2" xfId="790"/>
    <cellStyle name="百分比 2 2 3 6 2 2" xfId="791"/>
    <cellStyle name="百分比 2 2 3 6 2 2 2" xfId="792"/>
    <cellStyle name="百分比 2 2 3 6 3" xfId="793"/>
    <cellStyle name="百分比 2 2 3 6 3 2" xfId="794"/>
    <cellStyle name="百分比 2 2 3 7" xfId="795"/>
    <cellStyle name="百分比 2 2 3 7 2" xfId="796"/>
    <cellStyle name="百分比 2 2 4" xfId="797"/>
    <cellStyle name="百分比 2 2 4 2" xfId="798"/>
    <cellStyle name="百分比 2 2 4 2 2" xfId="799"/>
    <cellStyle name="百分比 2 2 4 2 2 2" xfId="800"/>
    <cellStyle name="百分比 2 2 4 2 2 2 2" xfId="801"/>
    <cellStyle name="百分比 2 2 4 2 3" xfId="802"/>
    <cellStyle name="百分比 2 2 4 2 3 2" xfId="803"/>
    <cellStyle name="百分比 2 2 4 3" xfId="804"/>
    <cellStyle name="百分比 2 2 4 3 2" xfId="805"/>
    <cellStyle name="百分比 2 2 4 3 2 2" xfId="806"/>
    <cellStyle name="百分比 2 2 4 3 2 2 2" xfId="807"/>
    <cellStyle name="百分比 2 2 4 3 3" xfId="808"/>
    <cellStyle name="百分比 2 2 4 3 3 2" xfId="809"/>
    <cellStyle name="百分比 2 2 4 4" xfId="810"/>
    <cellStyle name="百分比 2 2 4 4 2" xfId="811"/>
    <cellStyle name="百分比 2 2 4 4 2 2" xfId="812"/>
    <cellStyle name="百分比 2 2 4 5" xfId="813"/>
    <cellStyle name="百分比 2 2 4 5 2" xfId="814"/>
    <cellStyle name="百分比 2 2 5" xfId="815"/>
    <cellStyle name="百分比 2 2 5 2" xfId="816"/>
    <cellStyle name="百分比 2 2 5 2 2" xfId="817"/>
    <cellStyle name="百分比 2 2 5 2 2 2" xfId="818"/>
    <cellStyle name="百分比 2 2 5 2 2 2 2" xfId="819"/>
    <cellStyle name="百分比 2 2 5 2 3" xfId="820"/>
    <cellStyle name="百分比 2 2 5 2 3 2" xfId="821"/>
    <cellStyle name="百分比 2 2 5 3" xfId="822"/>
    <cellStyle name="百分比 2 2 5 3 2" xfId="823"/>
    <cellStyle name="百分比 2 2 5 3 2 2" xfId="824"/>
    <cellStyle name="百分比 2 2 5 3 2 2 2" xfId="825"/>
    <cellStyle name="百分比 2 2 5 3 3" xfId="826"/>
    <cellStyle name="百分比 2 2 5 3 3 2" xfId="827"/>
    <cellStyle name="百分比 2 2 5 4" xfId="828"/>
    <cellStyle name="百分比 2 2 5 4 2" xfId="829"/>
    <cellStyle name="百分比 2 2 5 4 2 2" xfId="830"/>
    <cellStyle name="百分比 2 2 5 5" xfId="831"/>
    <cellStyle name="百分比 2 2 5 5 2" xfId="832"/>
    <cellStyle name="百分比 2 2 6" xfId="833"/>
    <cellStyle name="百分比 2 2 6 2" xfId="834"/>
    <cellStyle name="百分比 2 2 6 2 2" xfId="835"/>
    <cellStyle name="百分比 2 2 6 2 2 2" xfId="836"/>
    <cellStyle name="百分比 2 2 6 3" xfId="837"/>
    <cellStyle name="百分比 2 2 6 3 2" xfId="838"/>
    <cellStyle name="百分比 2 2 7" xfId="839"/>
    <cellStyle name="百分比 2 2 7 2" xfId="840"/>
    <cellStyle name="百分比 2 2 7 2 2" xfId="841"/>
    <cellStyle name="百分比 2 2 7 2 2 2" xfId="842"/>
    <cellStyle name="百分比 2 2 7 3" xfId="843"/>
    <cellStyle name="百分比 2 2 7 3 2" xfId="844"/>
    <cellStyle name="百分比 2 2 8" xfId="845"/>
    <cellStyle name="百分比 2 2 8 2" xfId="846"/>
    <cellStyle name="百分比 2 2 8 3" xfId="847"/>
    <cellStyle name="百分比 2 2 9" xfId="848"/>
    <cellStyle name="百分比 2 3" xfId="849"/>
    <cellStyle name="百分比 2 3 2" xfId="850"/>
    <cellStyle name="百分比 2 3 2 2" xfId="851"/>
    <cellStyle name="百分比 2 3 2 2 2" xfId="852"/>
    <cellStyle name="百分比 2 3 2 2 2 2" xfId="853"/>
    <cellStyle name="百分比 2 3 2 2 2 2 2" xfId="854"/>
    <cellStyle name="百分比 2 3 2 2 2 2 2 2" xfId="855"/>
    <cellStyle name="百分比 2 3 2 2 2 3" xfId="856"/>
    <cellStyle name="百分比 2 3 2 2 2 3 2" xfId="857"/>
    <cellStyle name="百分比 2 3 2 2 3" xfId="858"/>
    <cellStyle name="百分比 2 3 2 2 3 2" xfId="859"/>
    <cellStyle name="百分比 2 3 2 2 3 2 2" xfId="860"/>
    <cellStyle name="百分比 2 3 2 2 3 2 2 2" xfId="861"/>
    <cellStyle name="百分比 2 3 2 2 3 3" xfId="862"/>
    <cellStyle name="百分比 2 3 2 2 3 3 2" xfId="863"/>
    <cellStyle name="百分比 2 3 2 2 4" xfId="864"/>
    <cellStyle name="百分比 2 3 2 2 4 2" xfId="865"/>
    <cellStyle name="百分比 2 3 2 2 4 2 2" xfId="866"/>
    <cellStyle name="百分比 2 3 2 2 5" xfId="867"/>
    <cellStyle name="百分比 2 3 2 2 5 2" xfId="868"/>
    <cellStyle name="百分比 2 3 2 3" xfId="869"/>
    <cellStyle name="百分比 2 3 2 3 2" xfId="870"/>
    <cellStyle name="百分比 2 3 2 3 2 2" xfId="871"/>
    <cellStyle name="百分比 2 3 2 3 2 2 2" xfId="872"/>
    <cellStyle name="百分比 2 3 2 3 2 2 2 2" xfId="873"/>
    <cellStyle name="百分比 2 3 2 3 2 3" xfId="874"/>
    <cellStyle name="百分比 2 3 2 3 2 3 2" xfId="875"/>
    <cellStyle name="百分比 2 3 2 3 3" xfId="876"/>
    <cellStyle name="百分比 2 3 2 3 3 2" xfId="877"/>
    <cellStyle name="百分比 2 3 2 3 3 2 2" xfId="878"/>
    <cellStyle name="百分比 2 3 2 3 3 2 2 2" xfId="879"/>
    <cellStyle name="百分比 2 3 2 3 3 3" xfId="880"/>
    <cellStyle name="百分比 2 3 2 3 3 3 2" xfId="881"/>
    <cellStyle name="百分比 2 3 2 3 4" xfId="882"/>
    <cellStyle name="百分比 2 3 2 3 4 2" xfId="883"/>
    <cellStyle name="百分比 2 3 2 3 4 2 2" xfId="884"/>
    <cellStyle name="百分比 2 3 2 3 5" xfId="885"/>
    <cellStyle name="百分比 2 3 2 3 5 2" xfId="886"/>
    <cellStyle name="百分比 2 3 2 4" xfId="887"/>
    <cellStyle name="百分比 2 3 2 4 2" xfId="888"/>
    <cellStyle name="百分比 2 3 2 4 2 2" xfId="889"/>
    <cellStyle name="百分比 2 3 2 4 2 2 2" xfId="890"/>
    <cellStyle name="百分比 2 3 2 4 3" xfId="891"/>
    <cellStyle name="百分比 2 3 2 4 3 2" xfId="892"/>
    <cellStyle name="百分比 2 3 2 5" xfId="893"/>
    <cellStyle name="百分比 2 3 2 5 2" xfId="894"/>
    <cellStyle name="百分比 2 3 2 5 2 2" xfId="895"/>
    <cellStyle name="百分比 2 3 2 5 2 2 2" xfId="896"/>
    <cellStyle name="百分比 2 3 2 5 3" xfId="897"/>
    <cellStyle name="百分比 2 3 2 5 3 2" xfId="898"/>
    <cellStyle name="百分比 2 3 2 6" xfId="899"/>
    <cellStyle name="百分比 2 3 2 6 2" xfId="900"/>
    <cellStyle name="百分比 2 3 3" xfId="901"/>
    <cellStyle name="百分比 2 3 3 2" xfId="902"/>
    <cellStyle name="百分比 2 3 3 2 2" xfId="903"/>
    <cellStyle name="百分比 2 3 3 2 2 2" xfId="904"/>
    <cellStyle name="百分比 2 3 3 2 2 2 2" xfId="905"/>
    <cellStyle name="百分比 2 3 3 2 3" xfId="906"/>
    <cellStyle name="百分比 2 3 3 2 3 2" xfId="907"/>
    <cellStyle name="百分比 2 3 3 3" xfId="908"/>
    <cellStyle name="百分比 2 3 3 3 2" xfId="909"/>
    <cellStyle name="百分比 2 3 3 3 2 2" xfId="910"/>
    <cellStyle name="百分比 2 3 3 3 2 2 2" xfId="911"/>
    <cellStyle name="百分比 2 3 3 3 3" xfId="912"/>
    <cellStyle name="百分比 2 3 3 3 3 2" xfId="913"/>
    <cellStyle name="百分比 2 3 3 4" xfId="914"/>
    <cellStyle name="百分比 2 3 3 4 2" xfId="915"/>
    <cellStyle name="百分比 2 3 3 4 2 2" xfId="916"/>
    <cellStyle name="百分比 2 3 3 5" xfId="917"/>
    <cellStyle name="百分比 2 3 3 5 2" xfId="918"/>
    <cellStyle name="百分比 2 3 4" xfId="919"/>
    <cellStyle name="百分比 2 3 4 2" xfId="920"/>
    <cellStyle name="百分比 2 3 4 2 2" xfId="921"/>
    <cellStyle name="百分比 2 3 4 2 2 2" xfId="922"/>
    <cellStyle name="百分比 2 3 4 2 2 2 2" xfId="923"/>
    <cellStyle name="百分比 2 3 4 2 3" xfId="924"/>
    <cellStyle name="百分比 2 3 4 2 3 2" xfId="925"/>
    <cellStyle name="百分比 2 3 4 3" xfId="926"/>
    <cellStyle name="百分比 2 3 4 3 2" xfId="927"/>
    <cellStyle name="百分比 2 3 4 3 2 2" xfId="928"/>
    <cellStyle name="百分比 2 3 4 3 2 2 2" xfId="929"/>
    <cellStyle name="百分比 2 3 4 3 3" xfId="930"/>
    <cellStyle name="百分比 2 3 4 3 3 2" xfId="931"/>
    <cellStyle name="百分比 2 3 4 4" xfId="932"/>
    <cellStyle name="百分比 2 3 4 4 2" xfId="933"/>
    <cellStyle name="百分比 2 3 4 4 2 2" xfId="934"/>
    <cellStyle name="百分比 2 3 4 5" xfId="935"/>
    <cellStyle name="百分比 2 3 4 5 2" xfId="936"/>
    <cellStyle name="百分比 2 3 5" xfId="937"/>
    <cellStyle name="百分比 2 3 5 2" xfId="938"/>
    <cellStyle name="百分比 2 3 5 2 2" xfId="939"/>
    <cellStyle name="百分比 2 3 5 2 2 2" xfId="940"/>
    <cellStyle name="百分比 2 3 5 3" xfId="941"/>
    <cellStyle name="百分比 2 3 5 3 2" xfId="942"/>
    <cellStyle name="百分比 2 3 6" xfId="943"/>
    <cellStyle name="百分比 2 3 6 2" xfId="944"/>
    <cellStyle name="百分比 2 3 6 2 2" xfId="945"/>
    <cellStyle name="百分比 2 3 6 2 2 2" xfId="946"/>
    <cellStyle name="百分比 2 3 6 3" xfId="947"/>
    <cellStyle name="百分比 2 3 6 3 2" xfId="948"/>
    <cellStyle name="百分比 2 3 7" xfId="949"/>
    <cellStyle name="百分比 2 3 7 2" xfId="950"/>
    <cellStyle name="百分比 2 4" xfId="951"/>
    <cellStyle name="百分比 2 4 2" xfId="952"/>
    <cellStyle name="百分比 2 4 2 2" xfId="953"/>
    <cellStyle name="百分比 2 4 2 2 2" xfId="954"/>
    <cellStyle name="百分比 2 4 2 2 2 2" xfId="955"/>
    <cellStyle name="百分比 2 4 2 2 2 2 2" xfId="956"/>
    <cellStyle name="百分比 2 4 2 2 2 2 2 2" xfId="957"/>
    <cellStyle name="百分比 2 4 2 2 2 3" xfId="958"/>
    <cellStyle name="百分比 2 4 2 2 2 3 2" xfId="959"/>
    <cellStyle name="百分比 2 4 2 2 3" xfId="960"/>
    <cellStyle name="百分比 2 4 2 2 3 2" xfId="961"/>
    <cellStyle name="百分比 2 4 2 2 3 2 2" xfId="962"/>
    <cellStyle name="百分比 2 4 2 2 3 2 2 2" xfId="963"/>
    <cellStyle name="百分比 2 4 2 2 3 3" xfId="964"/>
    <cellStyle name="百分比 2 4 2 2 3 3 2" xfId="965"/>
    <cellStyle name="百分比 2 4 2 2 4" xfId="966"/>
    <cellStyle name="百分比 2 4 2 2 4 2" xfId="967"/>
    <cellStyle name="百分比 2 4 2 2 4 2 2" xfId="968"/>
    <cellStyle name="百分比 2 4 2 2 5" xfId="969"/>
    <cellStyle name="百分比 2 4 2 2 5 2" xfId="970"/>
    <cellStyle name="百分比 2 4 2 3" xfId="971"/>
    <cellStyle name="百分比 2 4 2 3 2" xfId="972"/>
    <cellStyle name="百分比 2 4 2 3 2 2" xfId="973"/>
    <cellStyle name="百分比 2 4 2 3 2 2 2" xfId="974"/>
    <cellStyle name="百分比 2 4 2 3 2 2 2 2" xfId="975"/>
    <cellStyle name="百分比 2 4 2 3 2 3" xfId="976"/>
    <cellStyle name="百分比 2 4 2 3 2 3 2" xfId="977"/>
    <cellStyle name="百分比 2 4 2 3 3" xfId="978"/>
    <cellStyle name="百分比 2 4 2 3 3 2" xfId="979"/>
    <cellStyle name="百分比 2 4 2 3 3 2 2" xfId="980"/>
    <cellStyle name="百分比 2 4 2 3 3 2 2 2" xfId="981"/>
    <cellStyle name="百分比 2 4 2 3 3 3" xfId="982"/>
    <cellStyle name="百分比 2 4 2 3 3 3 2" xfId="983"/>
    <cellStyle name="百分比 2 4 2 3 4" xfId="984"/>
    <cellStyle name="百分比 2 4 2 3 4 2" xfId="985"/>
    <cellStyle name="百分比 2 4 2 3 4 2 2" xfId="986"/>
    <cellStyle name="百分比 2 4 2 3 5" xfId="987"/>
    <cellStyle name="百分比 2 4 2 3 5 2" xfId="988"/>
    <cellStyle name="百分比 2 4 2 4" xfId="989"/>
    <cellStyle name="百分比 2 4 2 4 2" xfId="990"/>
    <cellStyle name="百分比 2 4 2 4 2 2" xfId="991"/>
    <cellStyle name="百分比 2 4 2 4 2 2 2" xfId="992"/>
    <cellStyle name="百分比 2 4 2 4 3" xfId="993"/>
    <cellStyle name="百分比 2 4 2 4 3 2" xfId="994"/>
    <cellStyle name="百分比 2 4 2 5" xfId="995"/>
    <cellStyle name="百分比 2 4 2 5 2" xfId="996"/>
    <cellStyle name="百分比 2 4 2 5 2 2" xfId="997"/>
    <cellStyle name="百分比 2 4 2 5 2 2 2" xfId="998"/>
    <cellStyle name="百分比 2 4 2 5 3" xfId="999"/>
    <cellStyle name="百分比 2 4 2 5 3 2" xfId="1000"/>
    <cellStyle name="百分比 2 4 2 6" xfId="1001"/>
    <cellStyle name="百分比 2 4 2 6 2" xfId="1002"/>
    <cellStyle name="百分比 2 4 3" xfId="1003"/>
    <cellStyle name="百分比 2 4 3 2" xfId="1004"/>
    <cellStyle name="百分比 2 4 3 2 2" xfId="1005"/>
    <cellStyle name="百分比 2 4 3 2 2 2" xfId="1006"/>
    <cellStyle name="百分比 2 4 3 2 2 2 2" xfId="1007"/>
    <cellStyle name="百分比 2 4 3 2 3" xfId="1008"/>
    <cellStyle name="百分比 2 4 3 2 3 2" xfId="1009"/>
    <cellStyle name="百分比 2 4 3 3" xfId="1010"/>
    <cellStyle name="百分比 2 4 3 3 2" xfId="1011"/>
    <cellStyle name="百分比 2 4 3 3 2 2" xfId="1012"/>
    <cellStyle name="百分比 2 4 3 3 2 2 2" xfId="1013"/>
    <cellStyle name="百分比 2 4 3 3 3" xfId="1014"/>
    <cellStyle name="百分比 2 4 3 3 3 2" xfId="1015"/>
    <cellStyle name="百分比 2 4 3 4" xfId="1016"/>
    <cellStyle name="百分比 2 4 3 4 2" xfId="1017"/>
    <cellStyle name="百分比 2 4 3 4 2 2" xfId="1018"/>
    <cellStyle name="百分比 2 4 3 5" xfId="1019"/>
    <cellStyle name="百分比 2 4 3 5 2" xfId="1020"/>
    <cellStyle name="百分比 2 4 4" xfId="1021"/>
    <cellStyle name="百分比 2 4 4 2" xfId="1022"/>
    <cellStyle name="百分比 2 4 4 2 2" xfId="1023"/>
    <cellStyle name="百分比 2 4 4 2 2 2" xfId="1024"/>
    <cellStyle name="百分比 2 4 4 2 2 2 2" xfId="1025"/>
    <cellStyle name="百分比 2 4 4 2 3" xfId="1026"/>
    <cellStyle name="百分比 2 4 4 2 3 2" xfId="1027"/>
    <cellStyle name="百分比 2 4 4 3" xfId="1028"/>
    <cellStyle name="百分比 2 4 4 3 2" xfId="1029"/>
    <cellStyle name="百分比 2 4 4 3 2 2" xfId="1030"/>
    <cellStyle name="百分比 2 4 4 3 2 2 2" xfId="1031"/>
    <cellStyle name="百分比 2 4 4 3 3" xfId="1032"/>
    <cellStyle name="百分比 2 4 4 3 3 2" xfId="1033"/>
    <cellStyle name="百分比 2 4 4 4" xfId="1034"/>
    <cellStyle name="百分比 2 4 4 4 2" xfId="1035"/>
    <cellStyle name="百分比 2 4 4 4 2 2" xfId="1036"/>
    <cellStyle name="百分比 2 4 4 5" xfId="1037"/>
    <cellStyle name="百分比 2 4 4 5 2" xfId="1038"/>
    <cellStyle name="百分比 2 4 5" xfId="1039"/>
    <cellStyle name="百分比 2 4 5 2" xfId="1040"/>
    <cellStyle name="百分比 2 4 5 2 2" xfId="1041"/>
    <cellStyle name="百分比 2 4 5 2 2 2" xfId="1042"/>
    <cellStyle name="百分比 2 4 5 3" xfId="1043"/>
    <cellStyle name="百分比 2 4 5 3 2" xfId="1044"/>
    <cellStyle name="百分比 2 4 6" xfId="1045"/>
    <cellStyle name="百分比 2 4 6 2" xfId="1046"/>
    <cellStyle name="百分比 2 4 6 2 2" xfId="1047"/>
    <cellStyle name="百分比 2 4 6 2 2 2" xfId="1048"/>
    <cellStyle name="百分比 2 4 6 3" xfId="1049"/>
    <cellStyle name="百分比 2 4 6 3 2" xfId="1050"/>
    <cellStyle name="百分比 2 4 7" xfId="1051"/>
    <cellStyle name="百分比 2 4 7 2" xfId="1052"/>
    <cellStyle name="百分比 2 5" xfId="1053"/>
    <cellStyle name="百分比 2 5 2" xfId="1054"/>
    <cellStyle name="百分比 2 5 2 2" xfId="1055"/>
    <cellStyle name="百分比 2 5 2 2 2" xfId="1056"/>
    <cellStyle name="百分比 2 5 2 2 2 2" xfId="1057"/>
    <cellStyle name="百分比 2 5 2 3" xfId="1058"/>
    <cellStyle name="百分比 2 5 2 3 2" xfId="1059"/>
    <cellStyle name="百分比 2 5 3" xfId="1060"/>
    <cellStyle name="百分比 2 5 3 2" xfId="1061"/>
    <cellStyle name="百分比 2 5 3 2 2" xfId="1062"/>
    <cellStyle name="百分比 2 5 3 2 2 2" xfId="1063"/>
    <cellStyle name="百分比 2 5 3 3" xfId="1064"/>
    <cellStyle name="百分比 2 5 3 3 2" xfId="1065"/>
    <cellStyle name="百分比 2 5 4" xfId="1066"/>
    <cellStyle name="百分比 2 5 4 2" xfId="1067"/>
    <cellStyle name="百分比 2 5 4 2 2" xfId="1068"/>
    <cellStyle name="百分比 2 5 5" xfId="1069"/>
    <cellStyle name="百分比 2 5 5 2" xfId="1070"/>
    <cellStyle name="百分比 2 6" xfId="1071"/>
    <cellStyle name="百分比 2 6 2" xfId="1072"/>
    <cellStyle name="百分比 2 6 2 2" xfId="1073"/>
    <cellStyle name="百分比 2 6 2 2 2" xfId="1074"/>
    <cellStyle name="百分比 2 6 2 2 2 2" xfId="1075"/>
    <cellStyle name="百分比 2 6 2 3" xfId="1076"/>
    <cellStyle name="百分比 2 6 2 3 2" xfId="1077"/>
    <cellStyle name="百分比 2 6 3" xfId="1078"/>
    <cellStyle name="百分比 2 6 3 2" xfId="1079"/>
    <cellStyle name="百分比 2 6 3 2 2" xfId="1080"/>
    <cellStyle name="百分比 2 6 3 2 2 2" xfId="1081"/>
    <cellStyle name="百分比 2 6 3 3" xfId="1082"/>
    <cellStyle name="百分比 2 6 3 3 2" xfId="1083"/>
    <cellStyle name="百分比 2 6 4" xfId="1084"/>
    <cellStyle name="百分比 2 6 4 2" xfId="1085"/>
    <cellStyle name="百分比 2 6 4 2 2" xfId="1086"/>
    <cellStyle name="百分比 2 6 5" xfId="1087"/>
    <cellStyle name="百分比 2 6 5 2" xfId="1088"/>
    <cellStyle name="百分比 2 7" xfId="1089"/>
    <cellStyle name="百分比 2 7 2" xfId="1090"/>
    <cellStyle name="百分比 2 7 2 2" xfId="1091"/>
    <cellStyle name="百分比 2 7 2 2 2" xfId="1092"/>
    <cellStyle name="百分比 2 7 3" xfId="1093"/>
    <cellStyle name="百分比 2 7 3 2" xfId="1094"/>
    <cellStyle name="百分比 2 8" xfId="1095"/>
    <cellStyle name="百分比 2 8 2" xfId="1096"/>
    <cellStyle name="百分比 2 8 2 2" xfId="1097"/>
    <cellStyle name="百分比 2 8 2 2 2" xfId="1098"/>
    <cellStyle name="百分比 2 8 3" xfId="1099"/>
    <cellStyle name="百分比 2 8 3 2" xfId="1100"/>
    <cellStyle name="百分比 2 9" xfId="1101"/>
    <cellStyle name="百分比 2 9 2" xfId="1102"/>
    <cellStyle name="百分比 2 9 3" xfId="1103"/>
    <cellStyle name="百分比 3" xfId="1104"/>
    <cellStyle name="百分比 3 2" xfId="1105"/>
    <cellStyle name="百分比 3 2 2" xfId="1106"/>
    <cellStyle name="百分比 3 2 2 2" xfId="1107"/>
    <cellStyle name="百分比 3 2 2 2 2" xfId="1108"/>
    <cellStyle name="百分比 3 2 2 2 2 2" xfId="1109"/>
    <cellStyle name="百分比 3 2 2 2 2 2 2" xfId="1110"/>
    <cellStyle name="百分比 3 2 2 2 3" xfId="1111"/>
    <cellStyle name="百分比 3 2 2 2 3 2" xfId="1112"/>
    <cellStyle name="百分比 3 2 2 3" xfId="1113"/>
    <cellStyle name="百分比 3 2 2 3 2" xfId="1114"/>
    <cellStyle name="百分比 3 2 2 3 2 2" xfId="1115"/>
    <cellStyle name="百分比 3 2 2 3 2 2 2" xfId="1116"/>
    <cellStyle name="百分比 3 2 2 3 3" xfId="1117"/>
    <cellStyle name="百分比 3 2 2 3 3 2" xfId="1118"/>
    <cellStyle name="百分比 3 2 2 4" xfId="1119"/>
    <cellStyle name="百分比 3 2 2 4 2" xfId="1120"/>
    <cellStyle name="百分比 3 2 2 4 2 2" xfId="1121"/>
    <cellStyle name="百分比 3 2 2 5" xfId="1122"/>
    <cellStyle name="百分比 3 2 2 5 2" xfId="1123"/>
    <cellStyle name="百分比 3 2 3" xfId="1124"/>
    <cellStyle name="百分比 3 2 3 2" xfId="1125"/>
    <cellStyle name="百分比 3 2 3 2 2" xfId="1126"/>
    <cellStyle name="百分比 3 2 3 2 2 2" xfId="1127"/>
    <cellStyle name="百分比 3 2 3 2 2 2 2" xfId="1128"/>
    <cellStyle name="百分比 3 2 3 2 3" xfId="1129"/>
    <cellStyle name="百分比 3 2 3 2 3 2" xfId="1130"/>
    <cellStyle name="百分比 3 2 3 3" xfId="1131"/>
    <cellStyle name="百分比 3 2 3 3 2" xfId="1132"/>
    <cellStyle name="百分比 3 2 3 3 2 2" xfId="1133"/>
    <cellStyle name="百分比 3 2 3 3 2 2 2" xfId="1134"/>
    <cellStyle name="百分比 3 2 3 3 3" xfId="1135"/>
    <cellStyle name="百分比 3 2 3 3 3 2" xfId="1136"/>
    <cellStyle name="百分比 3 2 3 4" xfId="1137"/>
    <cellStyle name="百分比 3 2 3 4 2" xfId="1138"/>
    <cellStyle name="百分比 3 2 3 4 2 2" xfId="1139"/>
    <cellStyle name="百分比 3 2 3 5" xfId="1140"/>
    <cellStyle name="百分比 3 2 3 5 2" xfId="1141"/>
    <cellStyle name="百分比 3 2 4" xfId="1142"/>
    <cellStyle name="百分比 3 2 4 2" xfId="1143"/>
    <cellStyle name="百分比 3 2 4 2 2" xfId="1144"/>
    <cellStyle name="百分比 3 2 4 2 2 2" xfId="1145"/>
    <cellStyle name="百分比 3 2 4 3" xfId="1146"/>
    <cellStyle name="百分比 3 2 4 3 2" xfId="1147"/>
    <cellStyle name="百分比 3 2 5" xfId="1148"/>
    <cellStyle name="百分比 3 2 5 2" xfId="1149"/>
    <cellStyle name="百分比 3 2 5 2 2" xfId="1150"/>
    <cellStyle name="百分比 3 2 5 2 2 2" xfId="1151"/>
    <cellStyle name="百分比 3 2 5 3" xfId="1152"/>
    <cellStyle name="百分比 3 2 5 3 2" xfId="1153"/>
    <cellStyle name="百分比 3 2 6" xfId="1154"/>
    <cellStyle name="百分比 3 2 6 2" xfId="1155"/>
    <cellStyle name="百分比 3 3" xfId="1156"/>
    <cellStyle name="百分比 3 3 2" xfId="1157"/>
    <cellStyle name="百分比 3 3 2 2" xfId="1158"/>
    <cellStyle name="百分比 3 3 2 2 2" xfId="1159"/>
    <cellStyle name="百分比 3 3 2 2 2 2" xfId="1160"/>
    <cellStyle name="百分比 3 3 2 3" xfId="1161"/>
    <cellStyle name="百分比 3 3 2 3 2" xfId="1162"/>
    <cellStyle name="百分比 3 3 3" xfId="1163"/>
    <cellStyle name="百分比 3 3 3 2" xfId="1164"/>
    <cellStyle name="百分比 3 3 3 2 2" xfId="1165"/>
    <cellStyle name="百分比 3 3 3 2 2 2" xfId="1166"/>
    <cellStyle name="百分比 3 3 3 3" xfId="1167"/>
    <cellStyle name="百分比 3 3 3 3 2" xfId="1168"/>
    <cellStyle name="百分比 3 3 4" xfId="1169"/>
    <cellStyle name="百分比 3 3 4 2" xfId="1170"/>
    <cellStyle name="百分比 3 3 4 2 2" xfId="1171"/>
    <cellStyle name="百分比 3 3 5" xfId="1172"/>
    <cellStyle name="百分比 3 3 5 2" xfId="1173"/>
    <cellStyle name="百分比 3 4" xfId="1174"/>
    <cellStyle name="百分比 3 4 2" xfId="1175"/>
    <cellStyle name="百分比 3 4 2 2" xfId="1176"/>
    <cellStyle name="百分比 3 4 2 2 2" xfId="1177"/>
    <cellStyle name="百分比 3 4 2 2 2 2" xfId="1178"/>
    <cellStyle name="百分比 3 4 2 3" xfId="1179"/>
    <cellStyle name="百分比 3 4 2 3 2" xfId="1180"/>
    <cellStyle name="百分比 3 4 3" xfId="1181"/>
    <cellStyle name="百分比 3 4 3 2" xfId="1182"/>
    <cellStyle name="百分比 3 4 3 2 2" xfId="1183"/>
    <cellStyle name="百分比 3 4 3 2 2 2" xfId="1184"/>
    <cellStyle name="百分比 3 4 3 3" xfId="1185"/>
    <cellStyle name="百分比 3 4 3 3 2" xfId="1186"/>
    <cellStyle name="百分比 3 4 4" xfId="1187"/>
    <cellStyle name="百分比 3 4 4 2" xfId="1188"/>
    <cellStyle name="百分比 3 4 4 2 2" xfId="1189"/>
    <cellStyle name="百分比 3 4 5" xfId="1190"/>
    <cellStyle name="百分比 3 4 5 2" xfId="1191"/>
    <cellStyle name="百分比 3 5" xfId="1192"/>
    <cellStyle name="百分比 3 5 2" xfId="1193"/>
    <cellStyle name="百分比 3 5 2 2" xfId="1194"/>
    <cellStyle name="百分比 3 5 2 2 2" xfId="1195"/>
    <cellStyle name="百分比 3 5 3" xfId="1196"/>
    <cellStyle name="百分比 3 5 3 2" xfId="1197"/>
    <cellStyle name="百分比 3 6" xfId="1198"/>
    <cellStyle name="百分比 3 6 2" xfId="1199"/>
    <cellStyle name="百分比 3 6 2 2" xfId="1200"/>
    <cellStyle name="百分比 3 6 2 2 2" xfId="1201"/>
    <cellStyle name="百分比 3 6 3" xfId="1202"/>
    <cellStyle name="百分比 3 6 3 2" xfId="1203"/>
    <cellStyle name="百分比 3 7" xfId="1204"/>
    <cellStyle name="百分比 3 7 2" xfId="1205"/>
    <cellStyle name="百分比 4" xfId="1206"/>
    <cellStyle name="百分比 4 2" xfId="1207"/>
    <cellStyle name="百分比 4 2 2" xfId="1208"/>
    <cellStyle name="百分比 4 2 2 2" xfId="1209"/>
    <cellStyle name="百分比 4 2 2 2 2" xfId="1210"/>
    <cellStyle name="百分比 4 2 2 2 2 2" xfId="1211"/>
    <cellStyle name="百分比 4 2 2 2 2 2 2" xfId="1212"/>
    <cellStyle name="百分比 4 2 2 2 3" xfId="1213"/>
    <cellStyle name="百分比 4 2 2 2 3 2" xfId="1214"/>
    <cellStyle name="百分比 4 2 2 3" xfId="1215"/>
    <cellStyle name="百分比 4 2 2 3 2" xfId="1216"/>
    <cellStyle name="百分比 4 2 2 3 2 2" xfId="1217"/>
    <cellStyle name="百分比 4 2 2 3 2 2 2" xfId="1218"/>
    <cellStyle name="百分比 4 2 2 3 3" xfId="1219"/>
    <cellStyle name="百分比 4 2 2 3 3 2" xfId="1220"/>
    <cellStyle name="百分比 4 2 2 4" xfId="1221"/>
    <cellStyle name="百分比 4 2 2 4 2" xfId="1222"/>
    <cellStyle name="百分比 4 2 2 4 2 2" xfId="1223"/>
    <cellStyle name="百分比 4 2 2 5" xfId="1224"/>
    <cellStyle name="百分比 4 2 2 5 2" xfId="1225"/>
    <cellStyle name="百分比 4 2 3" xfId="1226"/>
    <cellStyle name="百分比 4 2 3 2" xfId="1227"/>
    <cellStyle name="百分比 4 2 3 2 2" xfId="1228"/>
    <cellStyle name="百分比 4 2 3 2 2 2" xfId="1229"/>
    <cellStyle name="百分比 4 2 3 2 2 2 2" xfId="1230"/>
    <cellStyle name="百分比 4 2 3 2 3" xfId="1231"/>
    <cellStyle name="百分比 4 2 3 2 3 2" xfId="1232"/>
    <cellStyle name="百分比 4 2 3 3" xfId="1233"/>
    <cellStyle name="百分比 4 2 3 3 2" xfId="1234"/>
    <cellStyle name="百分比 4 2 3 3 2 2" xfId="1235"/>
    <cellStyle name="百分比 4 2 3 3 2 2 2" xfId="1236"/>
    <cellStyle name="百分比 4 2 3 3 3" xfId="1237"/>
    <cellStyle name="百分比 4 2 3 3 3 2" xfId="1238"/>
    <cellStyle name="百分比 4 2 3 4" xfId="1239"/>
    <cellStyle name="百分比 4 2 3 4 2" xfId="1240"/>
    <cellStyle name="百分比 4 2 3 4 2 2" xfId="1241"/>
    <cellStyle name="百分比 4 2 3 5" xfId="1242"/>
    <cellStyle name="百分比 4 2 3 5 2" xfId="1243"/>
    <cellStyle name="百分比 4 2 4" xfId="1244"/>
    <cellStyle name="百分比 4 2 4 2" xfId="1245"/>
    <cellStyle name="百分比 4 2 4 2 2" xfId="1246"/>
    <cellStyle name="百分比 4 2 4 2 2 2" xfId="1247"/>
    <cellStyle name="百分比 4 2 4 3" xfId="1248"/>
    <cellStyle name="百分比 4 2 4 3 2" xfId="1249"/>
    <cellStyle name="百分比 4 2 5" xfId="1250"/>
    <cellStyle name="百分比 4 2 5 2" xfId="1251"/>
    <cellStyle name="百分比 4 2 5 2 2" xfId="1252"/>
    <cellStyle name="百分比 4 2 5 2 2 2" xfId="1253"/>
    <cellStyle name="百分比 4 2 5 3" xfId="1254"/>
    <cellStyle name="百分比 4 2 5 3 2" xfId="1255"/>
    <cellStyle name="百分比 4 2 6" xfId="1256"/>
    <cellStyle name="百分比 4 2 6 2" xfId="1257"/>
    <cellStyle name="百分比 4 3" xfId="1258"/>
    <cellStyle name="百分比 4 3 2" xfId="1259"/>
    <cellStyle name="百分比 4 3 2 2" xfId="1260"/>
    <cellStyle name="百分比 4 3 2 2 2" xfId="1261"/>
    <cellStyle name="百分比 4 3 2 2 2 2" xfId="1262"/>
    <cellStyle name="百分比 4 3 2 3" xfId="1263"/>
    <cellStyle name="百分比 4 3 2 3 2" xfId="1264"/>
    <cellStyle name="百分比 4 3 3" xfId="1265"/>
    <cellStyle name="百分比 4 3 3 2" xfId="1266"/>
    <cellStyle name="百分比 4 3 3 2 2" xfId="1267"/>
    <cellStyle name="百分比 4 3 3 2 2 2" xfId="1268"/>
    <cellStyle name="百分比 4 3 3 3" xfId="1269"/>
    <cellStyle name="百分比 4 3 3 3 2" xfId="1270"/>
    <cellStyle name="百分比 4 3 4" xfId="1271"/>
    <cellStyle name="百分比 4 3 4 2" xfId="1272"/>
    <cellStyle name="百分比 4 3 4 2 2" xfId="1273"/>
    <cellStyle name="百分比 4 3 5" xfId="1274"/>
    <cellStyle name="百分比 4 3 5 2" xfId="1275"/>
    <cellStyle name="百分比 4 4" xfId="1276"/>
    <cellStyle name="百分比 4 4 2" xfId="1277"/>
    <cellStyle name="百分比 4 4 2 2" xfId="1278"/>
    <cellStyle name="百分比 4 4 2 2 2" xfId="1279"/>
    <cellStyle name="百分比 4 4 2 2 2 2" xfId="1280"/>
    <cellStyle name="百分比 4 4 2 3" xfId="1281"/>
    <cellStyle name="百分比 4 4 2 3 2" xfId="1282"/>
    <cellStyle name="百分比 4 4 3" xfId="1283"/>
    <cellStyle name="百分比 4 4 3 2" xfId="1284"/>
    <cellStyle name="百分比 4 4 3 2 2" xfId="1285"/>
    <cellStyle name="百分比 4 4 3 2 2 2" xfId="1286"/>
    <cellStyle name="百分比 4 4 3 3" xfId="1287"/>
    <cellStyle name="百分比 4 4 3 3 2" xfId="1288"/>
    <cellStyle name="百分比 4 4 4" xfId="1289"/>
    <cellStyle name="百分比 4 4 4 2" xfId="1290"/>
    <cellStyle name="百分比 4 4 4 2 2" xfId="1291"/>
    <cellStyle name="百分比 4 4 5" xfId="1292"/>
    <cellStyle name="百分比 4 4 5 2" xfId="1293"/>
    <cellStyle name="百分比 4 5" xfId="1294"/>
    <cellStyle name="百分比 4 5 2" xfId="1295"/>
    <cellStyle name="百分比 4 5 2 2" xfId="1296"/>
    <cellStyle name="百分比 4 5 2 2 2" xfId="1297"/>
    <cellStyle name="百分比 4 5 3" xfId="1298"/>
    <cellStyle name="百分比 4 5 3 2" xfId="1299"/>
    <cellStyle name="百分比 4 6" xfId="1300"/>
    <cellStyle name="百分比 4 6 2" xfId="1301"/>
    <cellStyle name="百分比 4 6 2 2" xfId="1302"/>
    <cellStyle name="百分比 4 6 2 2 2" xfId="1303"/>
    <cellStyle name="百分比 4 6 3" xfId="1304"/>
    <cellStyle name="百分比 4 6 3 2" xfId="1305"/>
    <cellStyle name="百分比 4 7" xfId="1306"/>
    <cellStyle name="百分比 4 7 2" xfId="1307"/>
    <cellStyle name="百分比 5" xfId="1308"/>
    <cellStyle name="百分比 5 2" xfId="1309"/>
    <cellStyle name="百分比 5 2 2" xfId="1310"/>
    <cellStyle name="百分比 5 2 2 2" xfId="1311"/>
    <cellStyle name="百分比 5 2 2 2 2" xfId="1312"/>
    <cellStyle name="百分比 5 2 3" xfId="1313"/>
    <cellStyle name="百分比 5 2 3 2" xfId="1314"/>
    <cellStyle name="百分比 5 3" xfId="1315"/>
    <cellStyle name="百分比 5 3 2" xfId="1316"/>
    <cellStyle name="百分比 5 3 2 2" xfId="1317"/>
    <cellStyle name="百分比 5 3 2 2 2" xfId="1318"/>
    <cellStyle name="百分比 5 3 3" xfId="1319"/>
    <cellStyle name="百分比 5 3 3 2" xfId="1320"/>
    <cellStyle name="百分比 5 4" xfId="1321"/>
    <cellStyle name="百分比 5 4 2" xfId="1322"/>
    <cellStyle name="百分比 5 4 2 2" xfId="1323"/>
    <cellStyle name="百分比 5 5" xfId="1324"/>
    <cellStyle name="百分比 5 5 2" xfId="1325"/>
    <cellStyle name="百分比 6" xfId="1326"/>
    <cellStyle name="百分比 6 2" xfId="1327"/>
    <cellStyle name="百分比 6 2 2" xfId="1328"/>
    <cellStyle name="百分比 6 2 2 2" xfId="1329"/>
    <cellStyle name="百分比 6 2 2 2 2" xfId="1330"/>
    <cellStyle name="百分比 6 2 3" xfId="1331"/>
    <cellStyle name="百分比 6 2 3 2" xfId="1332"/>
    <cellStyle name="百分比 6 3" xfId="1333"/>
    <cellStyle name="百分比 6 3 2" xfId="1334"/>
    <cellStyle name="百分比 6 3 2 2" xfId="1335"/>
    <cellStyle name="百分比 6 3 2 2 2" xfId="1336"/>
    <cellStyle name="百分比 6 3 3" xfId="1337"/>
    <cellStyle name="百分比 6 3 3 2" xfId="1338"/>
    <cellStyle name="百分比 6 4" xfId="1339"/>
    <cellStyle name="百分比 6 4 2" xfId="1340"/>
    <cellStyle name="百分比 6 4 2 2" xfId="1341"/>
    <cellStyle name="百分比 6 5" xfId="1342"/>
    <cellStyle name="百分比 6 5 2" xfId="1343"/>
    <cellStyle name="百分比 7" xfId="1344"/>
    <cellStyle name="百分比 7 2" xfId="1345"/>
    <cellStyle name="百分比 7 2 2" xfId="1346"/>
    <cellStyle name="百分比 7 2 2 2" xfId="1347"/>
    <cellStyle name="百分比 7 3" xfId="1348"/>
    <cellStyle name="百分比 7 3 2" xfId="1349"/>
    <cellStyle name="百分比 7 4" xfId="1350"/>
    <cellStyle name="百分比 8" xfId="1351"/>
    <cellStyle name="百分比 8 2" xfId="1352"/>
    <cellStyle name="百分比 8 2 2" xfId="1353"/>
    <cellStyle name="百分比 8 2 2 2" xfId="1354"/>
    <cellStyle name="百分比 8 3" xfId="1355"/>
    <cellStyle name="百分比 8 3 2" xfId="1356"/>
    <cellStyle name="百分比 9" xfId="1357"/>
    <cellStyle name="百分比 9 2" xfId="1358"/>
    <cellStyle name="百分比 9 3" xfId="1359"/>
    <cellStyle name="標準 2" xfId="1360"/>
    <cellStyle name="標準 2 10" xfId="1361"/>
    <cellStyle name="標準 2 2" xfId="1362"/>
    <cellStyle name="標準 2 2 10" xfId="1363"/>
    <cellStyle name="標準 2 2 2" xfId="1364"/>
    <cellStyle name="標準 2 2 2 2" xfId="1365"/>
    <cellStyle name="標準 2 2 2 2 2" xfId="1366"/>
    <cellStyle name="標準 2 2 2 2 2 2" xfId="1367"/>
    <cellStyle name="標準 2 2 2 2 2 2 2" xfId="1368"/>
    <cellStyle name="標準 2 2 2 2 2 2 2 2" xfId="1369"/>
    <cellStyle name="標準 2 2 2 2 2 2 2 2 2" xfId="1370"/>
    <cellStyle name="標準 2 2 2 2 2 2 3" xfId="1371"/>
    <cellStyle name="標準 2 2 2 2 2 2 3 2" xfId="1372"/>
    <cellStyle name="標準 2 2 2 2 2 3" xfId="1373"/>
    <cellStyle name="標準 2 2 2 2 2 3 2" xfId="1374"/>
    <cellStyle name="標準 2 2 2 2 2 3 2 2" xfId="1375"/>
    <cellStyle name="標準 2 2 2 2 2 3 2 2 2" xfId="1376"/>
    <cellStyle name="標準 2 2 2 2 2 3 3" xfId="1377"/>
    <cellStyle name="標準 2 2 2 2 2 3 3 2" xfId="1378"/>
    <cellStyle name="標準 2 2 2 2 2 4" xfId="1379"/>
    <cellStyle name="標準 2 2 2 2 2 4 2" xfId="1380"/>
    <cellStyle name="標準 2 2 2 2 2 4 2 2" xfId="1381"/>
    <cellStyle name="標準 2 2 2 2 2 5" xfId="1382"/>
    <cellStyle name="標準 2 2 2 2 2 5 2" xfId="1383"/>
    <cellStyle name="標準 2 2 2 2 3" xfId="1384"/>
    <cellStyle name="標準 2 2 2 2 3 2" xfId="1385"/>
    <cellStyle name="標準 2 2 2 2 3 2 2" xfId="1386"/>
    <cellStyle name="標準 2 2 2 2 3 2 2 2" xfId="1387"/>
    <cellStyle name="標準 2 2 2 2 3 2 2 2 2" xfId="1388"/>
    <cellStyle name="標準 2 2 2 2 3 2 3" xfId="1389"/>
    <cellStyle name="標準 2 2 2 2 3 2 3 2" xfId="1390"/>
    <cellStyle name="標準 2 2 2 2 3 3" xfId="1391"/>
    <cellStyle name="標準 2 2 2 2 3 3 2" xfId="1392"/>
    <cellStyle name="標準 2 2 2 2 3 3 2 2" xfId="1393"/>
    <cellStyle name="標準 2 2 2 2 3 3 2 2 2" xfId="1394"/>
    <cellStyle name="標準 2 2 2 2 3 3 3" xfId="1395"/>
    <cellStyle name="標準 2 2 2 2 3 3 3 2" xfId="1396"/>
    <cellStyle name="標準 2 2 2 2 3 4" xfId="1397"/>
    <cellStyle name="標準 2 2 2 2 3 4 2" xfId="1398"/>
    <cellStyle name="標準 2 2 2 2 3 4 2 2" xfId="1399"/>
    <cellStyle name="標準 2 2 2 2 3 5" xfId="1400"/>
    <cellStyle name="標準 2 2 2 2 3 5 2" xfId="1401"/>
    <cellStyle name="標準 2 2 2 2 4" xfId="1402"/>
    <cellStyle name="標準 2 2 2 2 4 2" xfId="1403"/>
    <cellStyle name="標準 2 2 2 2 4 2 2" xfId="1404"/>
    <cellStyle name="標準 2 2 2 2 4 2 2 2" xfId="1405"/>
    <cellStyle name="標準 2 2 2 2 4 3" xfId="1406"/>
    <cellStyle name="標準 2 2 2 2 4 3 2" xfId="1407"/>
    <cellStyle name="標準 2 2 2 2 5" xfId="1408"/>
    <cellStyle name="標準 2 2 2 2 5 2" xfId="1409"/>
    <cellStyle name="標準 2 2 2 2 5 2 2" xfId="1410"/>
    <cellStyle name="標準 2 2 2 2 5 2 2 2" xfId="1411"/>
    <cellStyle name="標準 2 2 2 2 5 3" xfId="1412"/>
    <cellStyle name="標準 2 2 2 2 5 3 2" xfId="1413"/>
    <cellStyle name="標準 2 2 2 2 6" xfId="1414"/>
    <cellStyle name="標準 2 2 2 2 6 2" xfId="1415"/>
    <cellStyle name="標準 2 2 2 3" xfId="1416"/>
    <cellStyle name="標準 2 2 2 3 2" xfId="1417"/>
    <cellStyle name="標準 2 2 2 3 2 2" xfId="1418"/>
    <cellStyle name="標準 2 2 2 3 2 2 2" xfId="1419"/>
    <cellStyle name="標準 2 2 2 3 2 2 2 2" xfId="1420"/>
    <cellStyle name="標準 2 2 2 3 2 3" xfId="1421"/>
    <cellStyle name="標準 2 2 2 3 2 3 2" xfId="1422"/>
    <cellStyle name="標準 2 2 2 3 3" xfId="1423"/>
    <cellStyle name="標準 2 2 2 3 3 2" xfId="1424"/>
    <cellStyle name="標準 2 2 2 3 3 2 2" xfId="1425"/>
    <cellStyle name="標準 2 2 2 3 3 2 2 2" xfId="1426"/>
    <cellStyle name="標準 2 2 2 3 3 3" xfId="1427"/>
    <cellStyle name="標準 2 2 2 3 3 3 2" xfId="1428"/>
    <cellStyle name="標準 2 2 2 3 4" xfId="1429"/>
    <cellStyle name="標準 2 2 2 3 4 2" xfId="1430"/>
    <cellStyle name="標準 2 2 2 3 4 2 2" xfId="1431"/>
    <cellStyle name="標準 2 2 2 3 5" xfId="1432"/>
    <cellStyle name="標準 2 2 2 3 5 2" xfId="1433"/>
    <cellStyle name="標準 2 2 2 4" xfId="1434"/>
    <cellStyle name="標準 2 2 2 4 2" xfId="1435"/>
    <cellStyle name="標準 2 2 2 4 2 2" xfId="1436"/>
    <cellStyle name="標準 2 2 2 4 2 2 2" xfId="1437"/>
    <cellStyle name="標準 2 2 2 4 2 2 2 2" xfId="1438"/>
    <cellStyle name="標準 2 2 2 4 2 3" xfId="1439"/>
    <cellStyle name="標準 2 2 2 4 2 3 2" xfId="1440"/>
    <cellStyle name="標準 2 2 2 4 3" xfId="1441"/>
    <cellStyle name="標準 2 2 2 4 3 2" xfId="1442"/>
    <cellStyle name="標準 2 2 2 4 3 2 2" xfId="1443"/>
    <cellStyle name="標準 2 2 2 4 3 2 2 2" xfId="1444"/>
    <cellStyle name="標準 2 2 2 4 3 3" xfId="1445"/>
    <cellStyle name="標準 2 2 2 4 3 3 2" xfId="1446"/>
    <cellStyle name="標準 2 2 2 4 4" xfId="1447"/>
    <cellStyle name="標準 2 2 2 4 4 2" xfId="1448"/>
    <cellStyle name="標準 2 2 2 4 4 2 2" xfId="1449"/>
    <cellStyle name="標準 2 2 2 4 5" xfId="1450"/>
    <cellStyle name="標準 2 2 2 4 5 2" xfId="1451"/>
    <cellStyle name="標準 2 2 2 5" xfId="1452"/>
    <cellStyle name="標準 2 2 2 5 2" xfId="1453"/>
    <cellStyle name="標準 2 2 2 5 2 2" xfId="1454"/>
    <cellStyle name="標準 2 2 2 5 2 2 2" xfId="1455"/>
    <cellStyle name="標準 2 2 2 5 3" xfId="1456"/>
    <cellStyle name="標準 2 2 2 5 3 2" xfId="1457"/>
    <cellStyle name="標準 2 2 2 6" xfId="1458"/>
    <cellStyle name="標準 2 2 2 6 2" xfId="1459"/>
    <cellStyle name="標準 2 2 2 6 2 2" xfId="1460"/>
    <cellStyle name="標準 2 2 2 6 2 2 2" xfId="1461"/>
    <cellStyle name="標準 2 2 2 6 3" xfId="1462"/>
    <cellStyle name="標準 2 2 2 6 3 2" xfId="1463"/>
    <cellStyle name="標準 2 2 2 7" xfId="1464"/>
    <cellStyle name="標準 2 2 2 7 2" xfId="1465"/>
    <cellStyle name="標準 2 2 3" xfId="1466"/>
    <cellStyle name="標準 2 2 3 2" xfId="1467"/>
    <cellStyle name="標準 2 2 3 2 2" xfId="1468"/>
    <cellStyle name="標準 2 2 3 2 2 2" xfId="1469"/>
    <cellStyle name="標準 2 2 3 2 2 2 2" xfId="1470"/>
    <cellStyle name="標準 2 2 3 2 2 2 2 2" xfId="1471"/>
    <cellStyle name="標準 2 2 3 2 2 2 2 2 2" xfId="1472"/>
    <cellStyle name="標準 2 2 3 2 2 2 3" xfId="1473"/>
    <cellStyle name="標準 2 2 3 2 2 2 3 2" xfId="1474"/>
    <cellStyle name="標準 2 2 3 2 2 3" xfId="1475"/>
    <cellStyle name="標準 2 2 3 2 2 3 2" xfId="1476"/>
    <cellStyle name="標準 2 2 3 2 2 3 2 2" xfId="1477"/>
    <cellStyle name="標準 2 2 3 2 2 3 2 2 2" xfId="1478"/>
    <cellStyle name="標準 2 2 3 2 2 3 3" xfId="1479"/>
    <cellStyle name="標準 2 2 3 2 2 3 3 2" xfId="1480"/>
    <cellStyle name="標準 2 2 3 2 2 4" xfId="1481"/>
    <cellStyle name="標準 2 2 3 2 2 4 2" xfId="1482"/>
    <cellStyle name="標準 2 2 3 2 2 4 2 2" xfId="1483"/>
    <cellStyle name="標準 2 2 3 2 2 5" xfId="1484"/>
    <cellStyle name="標準 2 2 3 2 2 5 2" xfId="1485"/>
    <cellStyle name="標準 2 2 3 2 3" xfId="1486"/>
    <cellStyle name="標準 2 2 3 2 3 2" xfId="1487"/>
    <cellStyle name="標準 2 2 3 2 3 2 2" xfId="1488"/>
    <cellStyle name="標準 2 2 3 2 3 2 2 2" xfId="1489"/>
    <cellStyle name="標準 2 2 3 2 3 2 2 2 2" xfId="1490"/>
    <cellStyle name="標準 2 2 3 2 3 2 3" xfId="1491"/>
    <cellStyle name="標準 2 2 3 2 3 2 3 2" xfId="1492"/>
    <cellStyle name="標準 2 2 3 2 3 3" xfId="1493"/>
    <cellStyle name="標準 2 2 3 2 3 3 2" xfId="1494"/>
    <cellStyle name="標準 2 2 3 2 3 3 2 2" xfId="1495"/>
    <cellStyle name="標準 2 2 3 2 3 3 2 2 2" xfId="1496"/>
    <cellStyle name="標準 2 2 3 2 3 3 3" xfId="1497"/>
    <cellStyle name="標準 2 2 3 2 3 3 3 2" xfId="1498"/>
    <cellStyle name="標準 2 2 3 2 3 4" xfId="1499"/>
    <cellStyle name="標準 2 2 3 2 3 4 2" xfId="1500"/>
    <cellStyle name="標準 2 2 3 2 3 4 2 2" xfId="1501"/>
    <cellStyle name="標準 2 2 3 2 3 5" xfId="1502"/>
    <cellStyle name="標準 2 2 3 2 3 5 2" xfId="1503"/>
    <cellStyle name="標準 2 2 3 2 4" xfId="1504"/>
    <cellStyle name="標準 2 2 3 2 4 2" xfId="1505"/>
    <cellStyle name="標準 2 2 3 2 4 2 2" xfId="1506"/>
    <cellStyle name="標準 2 2 3 2 4 2 2 2" xfId="1507"/>
    <cellStyle name="標準 2 2 3 2 4 3" xfId="1508"/>
    <cellStyle name="標準 2 2 3 2 4 3 2" xfId="1509"/>
    <cellStyle name="標準 2 2 3 2 5" xfId="1510"/>
    <cellStyle name="標準 2 2 3 2 5 2" xfId="1511"/>
    <cellStyle name="標準 2 2 3 2 5 2 2" xfId="1512"/>
    <cellStyle name="標準 2 2 3 2 5 2 2 2" xfId="1513"/>
    <cellStyle name="標準 2 2 3 2 5 3" xfId="1514"/>
    <cellStyle name="標準 2 2 3 2 5 3 2" xfId="1515"/>
    <cellStyle name="標準 2 2 3 2 6" xfId="1516"/>
    <cellStyle name="標準 2 2 3 2 6 2" xfId="1517"/>
    <cellStyle name="標準 2 2 3 3" xfId="1518"/>
    <cellStyle name="標準 2 2 3 3 2" xfId="1519"/>
    <cellStyle name="標準 2 2 3 3 2 2" xfId="1520"/>
    <cellStyle name="標準 2 2 3 3 2 2 2" xfId="1521"/>
    <cellStyle name="標準 2 2 3 3 2 2 2 2" xfId="1522"/>
    <cellStyle name="標準 2 2 3 3 2 3" xfId="1523"/>
    <cellStyle name="標準 2 2 3 3 2 3 2" xfId="1524"/>
    <cellStyle name="標準 2 2 3 3 3" xfId="1525"/>
    <cellStyle name="標準 2 2 3 3 3 2" xfId="1526"/>
    <cellStyle name="標準 2 2 3 3 3 2 2" xfId="1527"/>
    <cellStyle name="標準 2 2 3 3 3 2 2 2" xfId="1528"/>
    <cellStyle name="標準 2 2 3 3 3 3" xfId="1529"/>
    <cellStyle name="標準 2 2 3 3 3 3 2" xfId="1530"/>
    <cellStyle name="標準 2 2 3 3 4" xfId="1531"/>
    <cellStyle name="標準 2 2 3 3 4 2" xfId="1532"/>
    <cellStyle name="標準 2 2 3 3 4 2 2" xfId="1533"/>
    <cellStyle name="標準 2 2 3 3 5" xfId="1534"/>
    <cellStyle name="標準 2 2 3 3 5 2" xfId="1535"/>
    <cellStyle name="標準 2 2 3 4" xfId="1536"/>
    <cellStyle name="標準 2 2 3 4 2" xfId="1537"/>
    <cellStyle name="標準 2 2 3 4 2 2" xfId="1538"/>
    <cellStyle name="標準 2 2 3 4 2 2 2" xfId="1539"/>
    <cellStyle name="標準 2 2 3 4 2 2 2 2" xfId="1540"/>
    <cellStyle name="標準 2 2 3 4 2 3" xfId="1541"/>
    <cellStyle name="標準 2 2 3 4 2 3 2" xfId="1542"/>
    <cellStyle name="標準 2 2 3 4 3" xfId="1543"/>
    <cellStyle name="標準 2 2 3 4 3 2" xfId="1544"/>
    <cellStyle name="標準 2 2 3 4 3 2 2" xfId="1545"/>
    <cellStyle name="標準 2 2 3 4 3 2 2 2" xfId="1546"/>
    <cellStyle name="標準 2 2 3 4 3 3" xfId="1547"/>
    <cellStyle name="標準 2 2 3 4 3 3 2" xfId="1548"/>
    <cellStyle name="標準 2 2 3 4 4" xfId="1549"/>
    <cellStyle name="標準 2 2 3 4 4 2" xfId="1550"/>
    <cellStyle name="標準 2 2 3 4 4 2 2" xfId="1551"/>
    <cellStyle name="標準 2 2 3 4 5" xfId="1552"/>
    <cellStyle name="標準 2 2 3 4 5 2" xfId="1553"/>
    <cellStyle name="標準 2 2 3 5" xfId="1554"/>
    <cellStyle name="標準 2 2 3 5 2" xfId="1555"/>
    <cellStyle name="標準 2 2 3 5 2 2" xfId="1556"/>
    <cellStyle name="標準 2 2 3 5 2 2 2" xfId="1557"/>
    <cellStyle name="標準 2 2 3 5 3" xfId="1558"/>
    <cellStyle name="標準 2 2 3 5 3 2" xfId="1559"/>
    <cellStyle name="標準 2 2 3 6" xfId="1560"/>
    <cellStyle name="標準 2 2 3 6 2" xfId="1561"/>
    <cellStyle name="標準 2 2 3 6 2 2" xfId="1562"/>
    <cellStyle name="標準 2 2 3 6 2 2 2" xfId="1563"/>
    <cellStyle name="標準 2 2 3 6 3" xfId="1564"/>
    <cellStyle name="標準 2 2 3 6 3 2" xfId="1565"/>
    <cellStyle name="標準 2 2 3 7" xfId="1566"/>
    <cellStyle name="標準 2 2 3 7 2" xfId="1567"/>
    <cellStyle name="標準 2 2 4" xfId="1568"/>
    <cellStyle name="標準 2 2 4 2" xfId="1569"/>
    <cellStyle name="標準 2 2 4 2 2" xfId="1570"/>
    <cellStyle name="標準 2 2 4 2 2 2" xfId="1571"/>
    <cellStyle name="標準 2 2 4 2 2 2 2" xfId="1572"/>
    <cellStyle name="標準 2 2 4 2 2 2 2 2" xfId="1573"/>
    <cellStyle name="標準 2 2 4 2 2 3" xfId="1574"/>
    <cellStyle name="標準 2 2 4 2 2 3 2" xfId="1575"/>
    <cellStyle name="標準 2 2 4 2 3" xfId="1576"/>
    <cellStyle name="標準 2 2 4 2 3 2" xfId="1577"/>
    <cellStyle name="標準 2 2 4 2 3 2 2" xfId="1578"/>
    <cellStyle name="標準 2 2 4 2 3 2 2 2" xfId="1579"/>
    <cellStyle name="標準 2 2 4 2 3 3" xfId="1580"/>
    <cellStyle name="標準 2 2 4 2 3 3 2" xfId="1581"/>
    <cellStyle name="標準 2 2 4 2 4" xfId="1582"/>
    <cellStyle name="標準 2 2 4 2 4 2" xfId="1583"/>
    <cellStyle name="標準 2 2 4 2 4 2 2" xfId="1584"/>
    <cellStyle name="標準 2 2 4 2 5" xfId="1585"/>
    <cellStyle name="標準 2 2 4 2 5 2" xfId="1586"/>
    <cellStyle name="標準 2 2 4 3" xfId="1587"/>
    <cellStyle name="標準 2 2 4 3 2" xfId="1588"/>
    <cellStyle name="標準 2 2 4 3 2 2" xfId="1589"/>
    <cellStyle name="標準 2 2 4 3 2 2 2" xfId="1590"/>
    <cellStyle name="標準 2 2 4 3 2 2 2 2" xfId="1591"/>
    <cellStyle name="標準 2 2 4 3 2 3" xfId="1592"/>
    <cellStyle name="標準 2 2 4 3 2 3 2" xfId="1593"/>
    <cellStyle name="標準 2 2 4 3 3" xfId="1594"/>
    <cellStyle name="標準 2 2 4 3 3 2" xfId="1595"/>
    <cellStyle name="標準 2 2 4 3 3 2 2" xfId="1596"/>
    <cellStyle name="標準 2 2 4 3 3 2 2 2" xfId="1597"/>
    <cellStyle name="標準 2 2 4 3 3 3" xfId="1598"/>
    <cellStyle name="標準 2 2 4 3 3 3 2" xfId="1599"/>
    <cellStyle name="標準 2 2 4 3 4" xfId="1600"/>
    <cellStyle name="標準 2 2 4 3 4 2" xfId="1601"/>
    <cellStyle name="標準 2 2 4 3 4 2 2" xfId="1602"/>
    <cellStyle name="標準 2 2 4 3 5" xfId="1603"/>
    <cellStyle name="標準 2 2 4 3 5 2" xfId="1604"/>
    <cellStyle name="標準 2 2 4 4" xfId="1605"/>
    <cellStyle name="標準 2 2 4 4 2" xfId="1606"/>
    <cellStyle name="標準 2 2 4 4 2 2" xfId="1607"/>
    <cellStyle name="標準 2 2 4 4 2 2 2" xfId="1608"/>
    <cellStyle name="標準 2 2 4 4 3" xfId="1609"/>
    <cellStyle name="標準 2 2 4 4 3 2" xfId="1610"/>
    <cellStyle name="標準 2 2 4 5" xfId="1611"/>
    <cellStyle name="標準 2 2 4 5 2" xfId="1612"/>
    <cellStyle name="標準 2 2 4 5 2 2" xfId="1613"/>
    <cellStyle name="標準 2 2 4 5 2 2 2" xfId="1614"/>
    <cellStyle name="標準 2 2 4 5 3" xfId="1615"/>
    <cellStyle name="標準 2 2 4 5 3 2" xfId="1616"/>
    <cellStyle name="標準 2 2 4 6" xfId="1617"/>
    <cellStyle name="標準 2 2 4 6 2" xfId="1618"/>
    <cellStyle name="標準 2 2 5" xfId="1619"/>
    <cellStyle name="標準 2 2 5 2" xfId="1620"/>
    <cellStyle name="標準 2 2 5 2 2" xfId="1621"/>
    <cellStyle name="標準 2 2 5 2 2 2" xfId="1622"/>
    <cellStyle name="標準 2 2 5 2 2 2 2" xfId="1623"/>
    <cellStyle name="標準 2 2 5 2 3" xfId="1624"/>
    <cellStyle name="標準 2 2 5 2 3 2" xfId="1625"/>
    <cellStyle name="標準 2 2 5 3" xfId="1626"/>
    <cellStyle name="標準 2 2 5 3 2" xfId="1627"/>
    <cellStyle name="標準 2 2 5 3 2 2" xfId="1628"/>
    <cellStyle name="標準 2 2 5 3 2 2 2" xfId="1629"/>
    <cellStyle name="標準 2 2 5 3 3" xfId="1630"/>
    <cellStyle name="標準 2 2 5 3 3 2" xfId="1631"/>
    <cellStyle name="標準 2 2 5 4" xfId="1632"/>
    <cellStyle name="標準 2 2 5 4 2" xfId="1633"/>
    <cellStyle name="標準 2 2 5 4 2 2" xfId="1634"/>
    <cellStyle name="標準 2 2 5 5" xfId="1635"/>
    <cellStyle name="標準 2 2 5 5 2" xfId="1636"/>
    <cellStyle name="標準 2 2 6" xfId="1637"/>
    <cellStyle name="標準 2 2 6 2" xfId="1638"/>
    <cellStyle name="標準 2 2 6 2 2" xfId="1639"/>
    <cellStyle name="標準 2 2 6 2 2 2" xfId="1640"/>
    <cellStyle name="標準 2 2 6 2 2 2 2" xfId="1641"/>
    <cellStyle name="標準 2 2 6 2 3" xfId="1642"/>
    <cellStyle name="標準 2 2 6 2 3 2" xfId="1643"/>
    <cellStyle name="標準 2 2 6 3" xfId="1644"/>
    <cellStyle name="標準 2 2 6 3 2" xfId="1645"/>
    <cellStyle name="標準 2 2 6 3 2 2" xfId="1646"/>
    <cellStyle name="標準 2 2 6 3 2 2 2" xfId="1647"/>
    <cellStyle name="標準 2 2 6 3 3" xfId="1648"/>
    <cellStyle name="標準 2 2 6 3 3 2" xfId="1649"/>
    <cellStyle name="標準 2 2 6 4" xfId="1650"/>
    <cellStyle name="標準 2 2 6 4 2" xfId="1651"/>
    <cellStyle name="標準 2 2 6 4 2 2" xfId="1652"/>
    <cellStyle name="標準 2 2 6 5" xfId="1653"/>
    <cellStyle name="標準 2 2 6 5 2" xfId="1654"/>
    <cellStyle name="標準 2 2 7" xfId="1655"/>
    <cellStyle name="標準 2 2 7 2" xfId="1656"/>
    <cellStyle name="標準 2 2 7 2 2" xfId="1657"/>
    <cellStyle name="標準 2 2 7 2 2 2" xfId="1658"/>
    <cellStyle name="標準 2 2 7 3" xfId="1659"/>
    <cellStyle name="標準 2 2 7 3 2" xfId="1660"/>
    <cellStyle name="標準 2 2 8" xfId="1661"/>
    <cellStyle name="標準 2 2 8 2" xfId="1662"/>
    <cellStyle name="標準 2 2 8 2 2" xfId="1663"/>
    <cellStyle name="標準 2 2 8 2 2 2" xfId="1664"/>
    <cellStyle name="標準 2 2 8 3" xfId="1665"/>
    <cellStyle name="標準 2 2 8 3 2" xfId="1666"/>
    <cellStyle name="標準 2 2 9" xfId="1667"/>
    <cellStyle name="標準 2 2 9 2" xfId="1668"/>
    <cellStyle name="標準 2 2 9 3" xfId="1669"/>
    <cellStyle name="標準 2 3" xfId="1670"/>
    <cellStyle name="標準 2 3 2" xfId="1671"/>
    <cellStyle name="標準 2 3 2 2" xfId="1672"/>
    <cellStyle name="標準 2 3 2 2 2" xfId="1673"/>
    <cellStyle name="標準 2 3 2 2 2 2" xfId="1674"/>
    <cellStyle name="標準 2 3 2 2 2 2 2" xfId="1675"/>
    <cellStyle name="標準 2 3 2 2 2 2 2 2" xfId="1676"/>
    <cellStyle name="標準 2 3 2 2 2 3" xfId="1677"/>
    <cellStyle name="標準 2 3 2 2 2 3 2" xfId="1678"/>
    <cellStyle name="標準 2 3 2 2 3" xfId="1679"/>
    <cellStyle name="標準 2 3 2 2 3 2" xfId="1680"/>
    <cellStyle name="標準 2 3 2 2 3 2 2" xfId="1681"/>
    <cellStyle name="標準 2 3 2 2 3 2 2 2" xfId="1682"/>
    <cellStyle name="標準 2 3 2 2 3 3" xfId="1683"/>
    <cellStyle name="標準 2 3 2 2 3 3 2" xfId="1684"/>
    <cellStyle name="標準 2 3 2 2 4" xfId="1685"/>
    <cellStyle name="標準 2 3 2 2 4 2" xfId="1686"/>
    <cellStyle name="標準 2 3 2 2 4 2 2" xfId="1687"/>
    <cellStyle name="標準 2 3 2 2 5" xfId="1688"/>
    <cellStyle name="標準 2 3 2 2 5 2" xfId="1689"/>
    <cellStyle name="標準 2 3 2 3" xfId="1690"/>
    <cellStyle name="標準 2 3 2 3 2" xfId="1691"/>
    <cellStyle name="標準 2 3 2 3 2 2" xfId="1692"/>
    <cellStyle name="標準 2 3 2 3 2 2 2" xfId="1693"/>
    <cellStyle name="標準 2 3 2 3 2 2 2 2" xfId="1694"/>
    <cellStyle name="標準 2 3 2 3 2 3" xfId="1695"/>
    <cellStyle name="標準 2 3 2 3 2 3 2" xfId="1696"/>
    <cellStyle name="標準 2 3 2 3 3" xfId="1697"/>
    <cellStyle name="標準 2 3 2 3 3 2" xfId="1698"/>
    <cellStyle name="標準 2 3 2 3 3 2 2" xfId="1699"/>
    <cellStyle name="標準 2 3 2 3 3 2 2 2" xfId="1700"/>
    <cellStyle name="標準 2 3 2 3 3 3" xfId="1701"/>
    <cellStyle name="標準 2 3 2 3 3 3 2" xfId="1702"/>
    <cellStyle name="標準 2 3 2 3 4" xfId="1703"/>
    <cellStyle name="標準 2 3 2 3 4 2" xfId="1704"/>
    <cellStyle name="標準 2 3 2 3 4 2 2" xfId="1705"/>
    <cellStyle name="標準 2 3 2 3 5" xfId="1706"/>
    <cellStyle name="標準 2 3 2 3 5 2" xfId="1707"/>
    <cellStyle name="標準 2 3 2 4" xfId="1708"/>
    <cellStyle name="標準 2 3 2 4 2" xfId="1709"/>
    <cellStyle name="標準 2 3 2 4 2 2" xfId="1710"/>
    <cellStyle name="標準 2 3 2 4 2 2 2" xfId="1711"/>
    <cellStyle name="標準 2 3 2 4 3" xfId="1712"/>
    <cellStyle name="標準 2 3 2 4 3 2" xfId="1713"/>
    <cellStyle name="標準 2 3 2 5" xfId="1714"/>
    <cellStyle name="標準 2 3 2 5 2" xfId="1715"/>
    <cellStyle name="標準 2 3 2 5 2 2" xfId="1716"/>
    <cellStyle name="標準 2 3 2 5 2 2 2" xfId="1717"/>
    <cellStyle name="標準 2 3 2 5 3" xfId="1718"/>
    <cellStyle name="標準 2 3 2 5 3 2" xfId="1719"/>
    <cellStyle name="標準 2 3 2 6" xfId="1720"/>
    <cellStyle name="標準 2 3 2 6 2" xfId="1721"/>
    <cellStyle name="標準 2 3 3" xfId="1722"/>
    <cellStyle name="標準 2 3 3 2" xfId="1723"/>
    <cellStyle name="標準 2 3 3 2 2" xfId="1724"/>
    <cellStyle name="標準 2 3 3 2 2 2" xfId="1725"/>
    <cellStyle name="標準 2 3 3 2 2 2 2" xfId="1726"/>
    <cellStyle name="標準 2 3 3 2 3" xfId="1727"/>
    <cellStyle name="標準 2 3 3 2 3 2" xfId="1728"/>
    <cellStyle name="標準 2 3 3 3" xfId="1729"/>
    <cellStyle name="標準 2 3 3 3 2" xfId="1730"/>
    <cellStyle name="標準 2 3 3 3 2 2" xfId="1731"/>
    <cellStyle name="標準 2 3 3 3 2 2 2" xfId="1732"/>
    <cellStyle name="標準 2 3 3 3 3" xfId="1733"/>
    <cellStyle name="標準 2 3 3 3 3 2" xfId="1734"/>
    <cellStyle name="標準 2 3 3 4" xfId="1735"/>
    <cellStyle name="標準 2 3 3 4 2" xfId="1736"/>
    <cellStyle name="標準 2 3 3 4 2 2" xfId="1737"/>
    <cellStyle name="標準 2 3 3 5" xfId="1738"/>
    <cellStyle name="標準 2 3 3 5 2" xfId="1739"/>
    <cellStyle name="標準 2 3 4" xfId="1740"/>
    <cellStyle name="標準 2 3 4 2" xfId="1741"/>
    <cellStyle name="標準 2 3 4 2 2" xfId="1742"/>
    <cellStyle name="標準 2 3 4 2 2 2" xfId="1743"/>
    <cellStyle name="標準 2 3 4 2 2 2 2" xfId="1744"/>
    <cellStyle name="標準 2 3 4 2 3" xfId="1745"/>
    <cellStyle name="標準 2 3 4 2 3 2" xfId="1746"/>
    <cellStyle name="標準 2 3 4 3" xfId="1747"/>
    <cellStyle name="標準 2 3 4 3 2" xfId="1748"/>
    <cellStyle name="標準 2 3 4 3 2 2" xfId="1749"/>
    <cellStyle name="標準 2 3 4 3 2 2 2" xfId="1750"/>
    <cellStyle name="標準 2 3 4 3 3" xfId="1751"/>
    <cellStyle name="標準 2 3 4 3 3 2" xfId="1752"/>
    <cellStyle name="標準 2 3 4 4" xfId="1753"/>
    <cellStyle name="標準 2 3 4 4 2" xfId="1754"/>
    <cellStyle name="標準 2 3 4 4 2 2" xfId="1755"/>
    <cellStyle name="標準 2 3 4 5" xfId="1756"/>
    <cellStyle name="標準 2 3 4 5 2" xfId="1757"/>
    <cellStyle name="標準 2 3 5" xfId="1758"/>
    <cellStyle name="標準 2 3 5 2" xfId="1759"/>
    <cellStyle name="標準 2 3 5 2 2" xfId="1760"/>
    <cellStyle name="標準 2 3 5 2 2 2" xfId="1761"/>
    <cellStyle name="標準 2 3 5 3" xfId="1762"/>
    <cellStyle name="標準 2 3 5 3 2" xfId="1763"/>
    <cellStyle name="標準 2 3 6" xfId="1764"/>
    <cellStyle name="標準 2 3 6 2" xfId="1765"/>
    <cellStyle name="標準 2 3 6 2 2" xfId="1766"/>
    <cellStyle name="標準 2 3 6 2 2 2" xfId="1767"/>
    <cellStyle name="標準 2 3 6 3" xfId="1768"/>
    <cellStyle name="標準 2 3 6 3 2" xfId="1769"/>
    <cellStyle name="標準 2 3 7" xfId="1770"/>
    <cellStyle name="標準 2 3 7 2" xfId="1771"/>
    <cellStyle name="標準 2 4" xfId="1772"/>
    <cellStyle name="標準 2 4 2" xfId="1773"/>
    <cellStyle name="標準 2 4 2 2" xfId="1774"/>
    <cellStyle name="標準 2 4 2 2 2" xfId="1775"/>
    <cellStyle name="標準 2 4 2 2 2 2" xfId="1776"/>
    <cellStyle name="標準 2 4 2 2 2 2 2" xfId="1777"/>
    <cellStyle name="標準 2 4 2 2 2 2 2 2" xfId="1778"/>
    <cellStyle name="標準 2 4 2 2 2 3" xfId="1779"/>
    <cellStyle name="標準 2 4 2 2 2 3 2" xfId="1780"/>
    <cellStyle name="標準 2 4 2 2 3" xfId="1781"/>
    <cellStyle name="標準 2 4 2 2 3 2" xfId="1782"/>
    <cellStyle name="標準 2 4 2 2 3 2 2" xfId="1783"/>
    <cellStyle name="標準 2 4 2 2 3 2 2 2" xfId="1784"/>
    <cellStyle name="標準 2 4 2 2 3 3" xfId="1785"/>
    <cellStyle name="標準 2 4 2 2 3 3 2" xfId="1786"/>
    <cellStyle name="標準 2 4 2 2 4" xfId="1787"/>
    <cellStyle name="標準 2 4 2 2 4 2" xfId="1788"/>
    <cellStyle name="標準 2 4 2 2 4 2 2" xfId="1789"/>
    <cellStyle name="標準 2 4 2 2 5" xfId="1790"/>
    <cellStyle name="標準 2 4 2 2 5 2" xfId="1791"/>
    <cellStyle name="標準 2 4 2 3" xfId="1792"/>
    <cellStyle name="標準 2 4 2 3 2" xfId="1793"/>
    <cellStyle name="標準 2 4 2 3 2 2" xfId="1794"/>
    <cellStyle name="標準 2 4 2 3 2 2 2" xfId="1795"/>
    <cellStyle name="標準 2 4 2 3 2 2 2 2" xfId="1796"/>
    <cellStyle name="標準 2 4 2 3 2 3" xfId="1797"/>
    <cellStyle name="標準 2 4 2 3 2 3 2" xfId="1798"/>
    <cellStyle name="標準 2 4 2 3 3" xfId="1799"/>
    <cellStyle name="標準 2 4 2 3 3 2" xfId="1800"/>
    <cellStyle name="標準 2 4 2 3 3 2 2" xfId="1801"/>
    <cellStyle name="標準 2 4 2 3 3 2 2 2" xfId="1802"/>
    <cellStyle name="標準 2 4 2 3 3 3" xfId="1803"/>
    <cellStyle name="標準 2 4 2 3 3 3 2" xfId="1804"/>
    <cellStyle name="標準 2 4 2 3 4" xfId="1805"/>
    <cellStyle name="標準 2 4 2 3 4 2" xfId="1806"/>
    <cellStyle name="標準 2 4 2 3 4 2 2" xfId="1807"/>
    <cellStyle name="標準 2 4 2 3 5" xfId="1808"/>
    <cellStyle name="標準 2 4 2 3 5 2" xfId="1809"/>
    <cellStyle name="標準 2 4 2 4" xfId="1810"/>
    <cellStyle name="標準 2 4 2 4 2" xfId="1811"/>
    <cellStyle name="標準 2 4 2 4 2 2" xfId="1812"/>
    <cellStyle name="標準 2 4 2 4 2 2 2" xfId="1813"/>
    <cellStyle name="標準 2 4 2 4 3" xfId="1814"/>
    <cellStyle name="標準 2 4 2 4 3 2" xfId="1815"/>
    <cellStyle name="標準 2 4 2 5" xfId="1816"/>
    <cellStyle name="標準 2 4 2 5 2" xfId="1817"/>
    <cellStyle name="標準 2 4 2 5 2 2" xfId="1818"/>
    <cellStyle name="標準 2 4 2 5 2 2 2" xfId="1819"/>
    <cellStyle name="標準 2 4 2 5 3" xfId="1820"/>
    <cellStyle name="標準 2 4 2 5 3 2" xfId="1821"/>
    <cellStyle name="標準 2 4 2 6" xfId="1822"/>
    <cellStyle name="標準 2 4 2 6 2" xfId="1823"/>
    <cellStyle name="標準 2 4 3" xfId="1824"/>
    <cellStyle name="標準 2 4 3 2" xfId="1825"/>
    <cellStyle name="標準 2 4 3 2 2" xfId="1826"/>
    <cellStyle name="標準 2 4 3 2 2 2" xfId="1827"/>
    <cellStyle name="標準 2 4 3 2 2 2 2" xfId="1828"/>
    <cellStyle name="標準 2 4 3 2 3" xfId="1829"/>
    <cellStyle name="標準 2 4 3 2 3 2" xfId="1830"/>
    <cellStyle name="標準 2 4 3 3" xfId="1831"/>
    <cellStyle name="標準 2 4 3 3 2" xfId="1832"/>
    <cellStyle name="標準 2 4 3 3 2 2" xfId="1833"/>
    <cellStyle name="標準 2 4 3 3 2 2 2" xfId="1834"/>
    <cellStyle name="標準 2 4 3 3 3" xfId="1835"/>
    <cellStyle name="標準 2 4 3 3 3 2" xfId="1836"/>
    <cellStyle name="標準 2 4 3 4" xfId="1837"/>
    <cellStyle name="標準 2 4 3 4 2" xfId="1838"/>
    <cellStyle name="標準 2 4 3 4 2 2" xfId="1839"/>
    <cellStyle name="標準 2 4 3 5" xfId="1840"/>
    <cellStyle name="標準 2 4 3 5 2" xfId="1841"/>
    <cellStyle name="標準 2 4 4" xfId="1842"/>
    <cellStyle name="標準 2 4 4 2" xfId="1843"/>
    <cellStyle name="標準 2 4 4 2 2" xfId="1844"/>
    <cellStyle name="標準 2 4 4 2 2 2" xfId="1845"/>
    <cellStyle name="標準 2 4 4 2 2 2 2" xfId="1846"/>
    <cellStyle name="標準 2 4 4 2 3" xfId="1847"/>
    <cellStyle name="標準 2 4 4 2 3 2" xfId="1848"/>
    <cellStyle name="標準 2 4 4 3" xfId="1849"/>
    <cellStyle name="標準 2 4 4 3 2" xfId="1850"/>
    <cellStyle name="標準 2 4 4 3 2 2" xfId="1851"/>
    <cellStyle name="標準 2 4 4 3 2 2 2" xfId="1852"/>
    <cellStyle name="標準 2 4 4 3 3" xfId="1853"/>
    <cellStyle name="標準 2 4 4 3 3 2" xfId="1854"/>
    <cellStyle name="標準 2 4 4 4" xfId="1855"/>
    <cellStyle name="標準 2 4 4 4 2" xfId="1856"/>
    <cellStyle name="標準 2 4 4 4 2 2" xfId="1857"/>
    <cellStyle name="標準 2 4 4 5" xfId="1858"/>
    <cellStyle name="標準 2 4 4 5 2" xfId="1859"/>
    <cellStyle name="標準 2 4 5" xfId="1860"/>
    <cellStyle name="標準 2 4 5 2" xfId="1861"/>
    <cellStyle name="標準 2 4 5 2 2" xfId="1862"/>
    <cellStyle name="標準 2 4 5 2 2 2" xfId="1863"/>
    <cellStyle name="標準 2 4 5 3" xfId="1864"/>
    <cellStyle name="標準 2 4 5 3 2" xfId="1865"/>
    <cellStyle name="標準 2 4 6" xfId="1866"/>
    <cellStyle name="標準 2 4 6 2" xfId="1867"/>
    <cellStyle name="標準 2 4 6 2 2" xfId="1868"/>
    <cellStyle name="標準 2 4 6 2 2 2" xfId="1869"/>
    <cellStyle name="標準 2 4 6 3" xfId="1870"/>
    <cellStyle name="標準 2 4 6 3 2" xfId="1871"/>
    <cellStyle name="標準 2 4 7" xfId="1872"/>
    <cellStyle name="標準 2 4 7 2" xfId="1873"/>
    <cellStyle name="標準 2 5" xfId="1874"/>
    <cellStyle name="標準 2 5 2" xfId="1875"/>
    <cellStyle name="標準 2 5 2 2" xfId="1876"/>
    <cellStyle name="標準 2 5 2 2 2" xfId="1877"/>
    <cellStyle name="標準 2 5 2 2 2 2" xfId="1878"/>
    <cellStyle name="標準 2 5 2 3" xfId="1879"/>
    <cellStyle name="標準 2 5 2 3 2" xfId="1880"/>
    <cellStyle name="標準 2 5 3" xfId="1881"/>
    <cellStyle name="標準 2 5 3 2" xfId="1882"/>
    <cellStyle name="標準 2 5 3 2 2" xfId="1883"/>
    <cellStyle name="標準 2 5 3 2 2 2" xfId="1884"/>
    <cellStyle name="標準 2 5 3 3" xfId="1885"/>
    <cellStyle name="標準 2 5 3 3 2" xfId="1886"/>
    <cellStyle name="標準 2 5 4" xfId="1887"/>
    <cellStyle name="標準 2 5 4 2" xfId="1888"/>
    <cellStyle name="標準 2 5 4 2 2" xfId="1889"/>
    <cellStyle name="標準 2 5 5" xfId="1890"/>
    <cellStyle name="標準 2 5 5 2" xfId="1891"/>
    <cellStyle name="標準 2 6" xfId="1892"/>
    <cellStyle name="標準 2 6 2" xfId="1893"/>
    <cellStyle name="標準 2 6 2 2" xfId="1894"/>
    <cellStyle name="標準 2 6 2 2 2" xfId="1895"/>
    <cellStyle name="標準 2 6 2 2 2 2" xfId="1896"/>
    <cellStyle name="標準 2 6 2 3" xfId="1897"/>
    <cellStyle name="標準 2 6 2 3 2" xfId="1898"/>
    <cellStyle name="標準 2 6 3" xfId="1899"/>
    <cellStyle name="標準 2 6 3 2" xfId="1900"/>
    <cellStyle name="標準 2 6 3 2 2" xfId="1901"/>
    <cellStyle name="標準 2 6 3 2 2 2" xfId="1902"/>
    <cellStyle name="標準 2 6 3 3" xfId="1903"/>
    <cellStyle name="標準 2 6 3 3 2" xfId="1904"/>
    <cellStyle name="標準 2 6 4" xfId="1905"/>
    <cellStyle name="標準 2 6 4 2" xfId="1906"/>
    <cellStyle name="標準 2 6 4 2 2" xfId="1907"/>
    <cellStyle name="標準 2 6 5" xfId="1908"/>
    <cellStyle name="標準 2 6 5 2" xfId="1909"/>
    <cellStyle name="標準 2 7" xfId="1910"/>
    <cellStyle name="標準 2 7 2" xfId="1911"/>
    <cellStyle name="標準 2 7 2 2" xfId="1912"/>
    <cellStyle name="標準 2 7 2 2 2" xfId="1913"/>
    <cellStyle name="標準 2 7 3" xfId="1914"/>
    <cellStyle name="標準 2 7 3 2" xfId="1915"/>
    <cellStyle name="標準 2 8" xfId="1916"/>
    <cellStyle name="標準 2 8 2" xfId="1917"/>
    <cellStyle name="標準 2 8 2 2" xfId="1918"/>
    <cellStyle name="標準 2 8 2 2 2" xfId="1919"/>
    <cellStyle name="標準 2 8 3" xfId="1920"/>
    <cellStyle name="標準 2 8 3 2" xfId="1921"/>
    <cellStyle name="標準 2 9" xfId="1922"/>
    <cellStyle name="標準 2 9 2" xfId="1923"/>
    <cellStyle name="標準 2 9 3" xfId="1924"/>
    <cellStyle name="標準 3" xfId="1925"/>
    <cellStyle name="標準 3 2" xfId="1926"/>
    <cellStyle name="標準 3 2 2" xfId="1927"/>
    <cellStyle name="標準 3 2 2 2" xfId="1928"/>
    <cellStyle name="標準 3 2 2 3" xfId="1929"/>
    <cellStyle name="標準 3 2 3" xfId="1930"/>
    <cellStyle name="標準 3 3" xfId="1931"/>
    <cellStyle name="標準 3 3 2" xfId="1932"/>
    <cellStyle name="標準 3 3 3" xfId="1933"/>
    <cellStyle name="標準 3 4" xfId="1934"/>
    <cellStyle name="標準 3 5" xfId="1935"/>
    <cellStyle name="標準 4" xfId="1936"/>
    <cellStyle name="標準 4 2" xfId="1937"/>
    <cellStyle name="標準 5" xfId="1938"/>
    <cellStyle name="標準 5 2" xfId="1939"/>
    <cellStyle name="標準 5 2 2" xfId="1940"/>
    <cellStyle name="標準 5 2 3" xfId="1941"/>
    <cellStyle name="標準 5 2 4" xfId="1942"/>
    <cellStyle name="標準 5 3" xfId="1943"/>
    <cellStyle name="標準 5 4" xfId="1944"/>
    <cellStyle name="標準 5 5" xfId="1945"/>
    <cellStyle name="常规" xfId="0" builtinId="0"/>
    <cellStyle name="常规 10" xfId="1946"/>
    <cellStyle name="常规 2" xfId="1947"/>
    <cellStyle name="常规 2 10" xfId="1948"/>
    <cellStyle name="常规 2 2" xfId="1949"/>
    <cellStyle name="常规 2 2 2" xfId="1950"/>
    <cellStyle name="常规 2 2 2 2" xfId="1951"/>
    <cellStyle name="常规 2 2 2 2 2" xfId="1952"/>
    <cellStyle name="常规 2 2 2 2 2 2" xfId="1953"/>
    <cellStyle name="常规 2 2 2 2 2 2 2" xfId="1954"/>
    <cellStyle name="常规 2 2 2 2 2 2 2 2" xfId="1955"/>
    <cellStyle name="常规 2 2 2 2 2 3" xfId="1956"/>
    <cellStyle name="常规 2 2 2 2 2 3 2" xfId="1957"/>
    <cellStyle name="常规 2 2 2 2 3" xfId="1958"/>
    <cellStyle name="常规 2 2 2 2 3 2" xfId="1959"/>
    <cellStyle name="常规 2 2 2 2 3 2 2" xfId="1960"/>
    <cellStyle name="常规 2 2 2 2 3 2 2 2" xfId="1961"/>
    <cellStyle name="常规 2 2 2 2 3 3" xfId="1962"/>
    <cellStyle name="常规 2 2 2 2 3 3 2" xfId="1963"/>
    <cellStyle name="常规 2 2 2 2 4" xfId="1964"/>
    <cellStyle name="常规 2 2 2 2 4 2" xfId="1965"/>
    <cellStyle name="常规 2 2 2 2 4 2 2" xfId="1966"/>
    <cellStyle name="常规 2 2 2 2 5" xfId="1967"/>
    <cellStyle name="常规 2 2 2 2 5 2" xfId="1968"/>
    <cellStyle name="常规 2 2 2 3" xfId="1969"/>
    <cellStyle name="常规 2 2 2 3 2" xfId="1970"/>
    <cellStyle name="常规 2 2 2 3 2 2" xfId="1971"/>
    <cellStyle name="常规 2 2 2 3 2 2 2" xfId="1972"/>
    <cellStyle name="常规 2 2 2 3 2 2 2 2" xfId="1973"/>
    <cellStyle name="常规 2 2 2 3 2 3" xfId="1974"/>
    <cellStyle name="常规 2 2 2 3 2 3 2" xfId="1975"/>
    <cellStyle name="常规 2 2 2 3 3" xfId="1976"/>
    <cellStyle name="常规 2 2 2 3 3 2" xfId="1977"/>
    <cellStyle name="常规 2 2 2 3 3 2 2" xfId="1978"/>
    <cellStyle name="常规 2 2 2 3 3 2 2 2" xfId="1979"/>
    <cellStyle name="常规 2 2 2 3 3 3" xfId="1980"/>
    <cellStyle name="常规 2 2 2 3 3 3 2" xfId="1981"/>
    <cellStyle name="常规 2 2 2 3 4" xfId="1982"/>
    <cellStyle name="常规 2 2 2 3 4 2" xfId="1983"/>
    <cellStyle name="常规 2 2 2 3 4 2 2" xfId="1984"/>
    <cellStyle name="常规 2 2 2 3 5" xfId="1985"/>
    <cellStyle name="常规 2 2 2 3 5 2" xfId="1986"/>
    <cellStyle name="常规 2 2 2 4" xfId="1987"/>
    <cellStyle name="常规 2 2 2 4 2" xfId="1988"/>
    <cellStyle name="常规 2 2 2 4 2 2" xfId="1989"/>
    <cellStyle name="常规 2 2 2 4 2 2 2" xfId="1990"/>
    <cellStyle name="常规 2 2 2 4 3" xfId="1991"/>
    <cellStyle name="常规 2 2 2 4 3 2" xfId="1992"/>
    <cellStyle name="常规 2 2 2 5" xfId="1993"/>
    <cellStyle name="常规 2 2 2 5 2" xfId="1994"/>
    <cellStyle name="常规 2 2 2 5 2 2" xfId="1995"/>
    <cellStyle name="常规 2 2 2 5 2 2 2" xfId="1996"/>
    <cellStyle name="常规 2 2 2 5 3" xfId="1997"/>
    <cellStyle name="常规 2 2 2 5 3 2" xfId="1998"/>
    <cellStyle name="常规 2 2 2 6" xfId="1999"/>
    <cellStyle name="常规 2 2 2 6 2" xfId="2000"/>
    <cellStyle name="常规 2 2 3" xfId="2001"/>
    <cellStyle name="常规 2 2 3 2" xfId="2002"/>
    <cellStyle name="常规 2 2 3 2 2" xfId="2003"/>
    <cellStyle name="常规 2 2 3 2 2 2" xfId="2004"/>
    <cellStyle name="常规 2 2 3 2 2 2 2" xfId="2005"/>
    <cellStyle name="常规 2 2 3 2 3" xfId="2006"/>
    <cellStyle name="常规 2 2 3 2 3 2" xfId="2007"/>
    <cellStyle name="常规 2 2 3 3" xfId="2008"/>
    <cellStyle name="常规 2 2 3 3 2" xfId="2009"/>
    <cellStyle name="常规 2 2 3 3 2 2" xfId="2010"/>
    <cellStyle name="常规 2 2 3 3 2 2 2" xfId="2011"/>
    <cellStyle name="常规 2 2 3 3 3" xfId="2012"/>
    <cellStyle name="常规 2 2 3 3 3 2" xfId="2013"/>
    <cellStyle name="常规 2 2 3 4" xfId="2014"/>
    <cellStyle name="常规 2 2 3 4 2" xfId="2015"/>
    <cellStyle name="常规 2 2 3 4 2 2" xfId="2016"/>
    <cellStyle name="常规 2 2 3 5" xfId="2017"/>
    <cellStyle name="常规 2 2 3 5 2" xfId="2018"/>
    <cellStyle name="常规 2 2 4" xfId="2019"/>
    <cellStyle name="常规 2 2 4 2" xfId="2020"/>
    <cellStyle name="常规 2 2 4 2 2" xfId="2021"/>
    <cellStyle name="常规 2 2 4 2 2 2" xfId="2022"/>
    <cellStyle name="常规 2 2 4 2 2 2 2" xfId="2023"/>
    <cellStyle name="常规 2 2 4 2 3" xfId="2024"/>
    <cellStyle name="常规 2 2 4 2 3 2" xfId="2025"/>
    <cellStyle name="常规 2 2 4 3" xfId="2026"/>
    <cellStyle name="常规 2 2 4 3 2" xfId="2027"/>
    <cellStyle name="常规 2 2 4 3 2 2" xfId="2028"/>
    <cellStyle name="常规 2 2 4 3 2 2 2" xfId="2029"/>
    <cellStyle name="常规 2 2 4 3 3" xfId="2030"/>
    <cellStyle name="常规 2 2 4 3 3 2" xfId="2031"/>
    <cellStyle name="常规 2 2 4 4" xfId="2032"/>
    <cellStyle name="常规 2 2 4 4 2" xfId="2033"/>
    <cellStyle name="常规 2 2 4 4 2 2" xfId="2034"/>
    <cellStyle name="常规 2 2 4 5" xfId="2035"/>
    <cellStyle name="常规 2 2 4 5 2" xfId="2036"/>
    <cellStyle name="常规 2 2 5" xfId="2037"/>
    <cellStyle name="常规 2 2 5 2" xfId="2038"/>
    <cellStyle name="常规 2 2 5 2 2" xfId="2039"/>
    <cellStyle name="常规 2 2 5 2 2 2" xfId="2040"/>
    <cellStyle name="常规 2 2 5 3" xfId="2041"/>
    <cellStyle name="常规 2 2 5 3 2" xfId="2042"/>
    <cellStyle name="常规 2 2 6" xfId="2043"/>
    <cellStyle name="常规 2 2 6 2" xfId="2044"/>
    <cellStyle name="常规 2 2 6 2 2" xfId="2045"/>
    <cellStyle name="常规 2 2 6 2 2 2" xfId="2046"/>
    <cellStyle name="常规 2 2 6 3" xfId="2047"/>
    <cellStyle name="常规 2 2 6 3 2" xfId="2048"/>
    <cellStyle name="常规 2 2 7" xfId="2049"/>
    <cellStyle name="常规 2 2 7 2" xfId="2050"/>
    <cellStyle name="常规 2 2 7 3" xfId="2051"/>
    <cellStyle name="常规 2 2 8" xfId="2052"/>
    <cellStyle name="常规 2 3" xfId="2053"/>
    <cellStyle name="常规 2 3 2" xfId="2054"/>
    <cellStyle name="常规 2 3 2 2" xfId="2055"/>
    <cellStyle name="常规 2 3 2 2 2" xfId="2056"/>
    <cellStyle name="常规 2 3 2 2 2 2" xfId="2057"/>
    <cellStyle name="常规 2 3 2 2 2 2 2" xfId="2058"/>
    <cellStyle name="常规 2 3 2 2 2 2 2 2" xfId="2059"/>
    <cellStyle name="常规 2 3 2 2 2 3" xfId="2060"/>
    <cellStyle name="常规 2 3 2 2 2 3 2" xfId="2061"/>
    <cellStyle name="常规 2 3 2 2 3" xfId="2062"/>
    <cellStyle name="常规 2 3 2 2 3 2" xfId="2063"/>
    <cellStyle name="常规 2 3 2 2 3 2 2" xfId="2064"/>
    <cellStyle name="常规 2 3 2 2 3 2 2 2" xfId="2065"/>
    <cellStyle name="常规 2 3 2 2 3 3" xfId="2066"/>
    <cellStyle name="常规 2 3 2 2 3 3 2" xfId="2067"/>
    <cellStyle name="常规 2 3 2 2 4" xfId="2068"/>
    <cellStyle name="常规 2 3 2 2 4 2" xfId="2069"/>
    <cellStyle name="常规 2 3 2 2 4 2 2" xfId="2070"/>
    <cellStyle name="常规 2 3 2 2 5" xfId="2071"/>
    <cellStyle name="常规 2 3 2 2 5 2" xfId="2072"/>
    <cellStyle name="常规 2 3 2 3" xfId="2073"/>
    <cellStyle name="常规 2 3 2 3 2" xfId="2074"/>
    <cellStyle name="常规 2 3 2 3 2 2" xfId="2075"/>
    <cellStyle name="常规 2 3 2 3 2 2 2" xfId="2076"/>
    <cellStyle name="常规 2 3 2 3 2 2 2 2" xfId="2077"/>
    <cellStyle name="常规 2 3 2 3 2 3" xfId="2078"/>
    <cellStyle name="常规 2 3 2 3 2 3 2" xfId="2079"/>
    <cellStyle name="常规 2 3 2 3 3" xfId="2080"/>
    <cellStyle name="常规 2 3 2 3 3 2" xfId="2081"/>
    <cellStyle name="常规 2 3 2 3 3 2 2" xfId="2082"/>
    <cellStyle name="常规 2 3 2 3 3 2 2 2" xfId="2083"/>
    <cellStyle name="常规 2 3 2 3 3 3" xfId="2084"/>
    <cellStyle name="常规 2 3 2 3 3 3 2" xfId="2085"/>
    <cellStyle name="常规 2 3 2 3 4" xfId="2086"/>
    <cellStyle name="常规 2 3 2 3 4 2" xfId="2087"/>
    <cellStyle name="常规 2 3 2 3 4 2 2" xfId="2088"/>
    <cellStyle name="常规 2 3 2 3 5" xfId="2089"/>
    <cellStyle name="常规 2 3 2 3 5 2" xfId="2090"/>
    <cellStyle name="常规 2 3 2 4" xfId="2091"/>
    <cellStyle name="常规 2 3 2 4 2" xfId="2092"/>
    <cellStyle name="常规 2 3 2 4 2 2" xfId="2093"/>
    <cellStyle name="常规 2 3 2 4 2 2 2" xfId="2094"/>
    <cellStyle name="常规 2 3 2 4 3" xfId="2095"/>
    <cellStyle name="常规 2 3 2 4 3 2" xfId="2096"/>
    <cellStyle name="常规 2 3 2 5" xfId="2097"/>
    <cellStyle name="常规 2 3 2 5 2" xfId="2098"/>
    <cellStyle name="常规 2 3 2 5 2 2" xfId="2099"/>
    <cellStyle name="常规 2 3 2 5 2 2 2" xfId="2100"/>
    <cellStyle name="常规 2 3 2 5 3" xfId="2101"/>
    <cellStyle name="常规 2 3 2 5 3 2" xfId="2102"/>
    <cellStyle name="常规 2 3 2 6" xfId="2103"/>
    <cellStyle name="常规 2 3 2 6 2" xfId="2104"/>
    <cellStyle name="常规 2 3 3" xfId="2105"/>
    <cellStyle name="常规 2 3 3 2" xfId="2106"/>
    <cellStyle name="常规 2 3 3 2 2" xfId="2107"/>
    <cellStyle name="常规 2 3 3 2 2 2" xfId="2108"/>
    <cellStyle name="常规 2 3 3 2 2 2 2" xfId="2109"/>
    <cellStyle name="常规 2 3 3 2 3" xfId="2110"/>
    <cellStyle name="常规 2 3 3 2 3 2" xfId="2111"/>
    <cellStyle name="常规 2 3 3 3" xfId="2112"/>
    <cellStyle name="常规 2 3 3 3 2" xfId="2113"/>
    <cellStyle name="常规 2 3 3 3 2 2" xfId="2114"/>
    <cellStyle name="常规 2 3 3 3 2 2 2" xfId="2115"/>
    <cellStyle name="常规 2 3 3 3 3" xfId="2116"/>
    <cellStyle name="常规 2 3 3 3 3 2" xfId="2117"/>
    <cellStyle name="常规 2 3 3 4" xfId="2118"/>
    <cellStyle name="常规 2 3 3 4 2" xfId="2119"/>
    <cellStyle name="常规 2 3 3 4 2 2" xfId="2120"/>
    <cellStyle name="常规 2 3 3 5" xfId="2121"/>
    <cellStyle name="常规 2 3 3 5 2" xfId="2122"/>
    <cellStyle name="常规 2 3 4" xfId="2123"/>
    <cellStyle name="常规 2 3 4 2" xfId="2124"/>
    <cellStyle name="常规 2 3 4 2 2" xfId="2125"/>
    <cellStyle name="常规 2 3 4 2 2 2" xfId="2126"/>
    <cellStyle name="常规 2 3 4 2 2 2 2" xfId="2127"/>
    <cellStyle name="常规 2 3 4 2 3" xfId="2128"/>
    <cellStyle name="常规 2 3 4 2 3 2" xfId="2129"/>
    <cellStyle name="常规 2 3 4 3" xfId="2130"/>
    <cellStyle name="常规 2 3 4 3 2" xfId="2131"/>
    <cellStyle name="常规 2 3 4 3 2 2" xfId="2132"/>
    <cellStyle name="常规 2 3 4 3 2 2 2" xfId="2133"/>
    <cellStyle name="常规 2 3 4 3 3" xfId="2134"/>
    <cellStyle name="常规 2 3 4 3 3 2" xfId="2135"/>
    <cellStyle name="常规 2 3 4 4" xfId="2136"/>
    <cellStyle name="常规 2 3 4 4 2" xfId="2137"/>
    <cellStyle name="常规 2 3 4 4 2 2" xfId="2138"/>
    <cellStyle name="常规 2 3 4 5" xfId="2139"/>
    <cellStyle name="常规 2 3 4 5 2" xfId="2140"/>
    <cellStyle name="常规 2 3 5" xfId="2141"/>
    <cellStyle name="常规 2 3 5 2" xfId="2142"/>
    <cellStyle name="常规 2 3 5 2 2" xfId="2143"/>
    <cellStyle name="常规 2 3 5 2 2 2" xfId="2144"/>
    <cellStyle name="常规 2 3 5 3" xfId="2145"/>
    <cellStyle name="常规 2 3 5 3 2" xfId="2146"/>
    <cellStyle name="常规 2 3 6" xfId="2147"/>
    <cellStyle name="常规 2 3 6 2" xfId="2148"/>
    <cellStyle name="常规 2 3 6 2 2" xfId="2149"/>
    <cellStyle name="常规 2 3 6 2 2 2" xfId="2150"/>
    <cellStyle name="常规 2 3 6 3" xfId="2151"/>
    <cellStyle name="常规 2 3 6 3 2" xfId="2152"/>
    <cellStyle name="常规 2 3 7" xfId="2153"/>
    <cellStyle name="常规 2 3 7 2" xfId="2154"/>
    <cellStyle name="常规 2 4" xfId="2155"/>
    <cellStyle name="常规 2 4 2" xfId="2156"/>
    <cellStyle name="常规 2 4 2 2" xfId="2157"/>
    <cellStyle name="常规 2 4 2 2 2" xfId="2158"/>
    <cellStyle name="常规 2 4 2 2 2 2" xfId="2159"/>
    <cellStyle name="常规 2 4 2 2 2 2 2" xfId="2160"/>
    <cellStyle name="常规 2 4 2 2 3" xfId="2161"/>
    <cellStyle name="常规 2 4 2 2 3 2" xfId="2162"/>
    <cellStyle name="常规 2 4 2 3" xfId="2163"/>
    <cellStyle name="常规 2 4 2 3 2" xfId="2164"/>
    <cellStyle name="常规 2 4 2 3 2 2" xfId="2165"/>
    <cellStyle name="常规 2 4 2 3 2 2 2" xfId="2166"/>
    <cellStyle name="常规 2 4 2 3 3" xfId="2167"/>
    <cellStyle name="常规 2 4 2 3 3 2" xfId="2168"/>
    <cellStyle name="常规 2 4 2 4" xfId="2169"/>
    <cellStyle name="常规 2 4 2 4 2" xfId="2170"/>
    <cellStyle name="常规 2 4 2 4 2 2" xfId="2171"/>
    <cellStyle name="常规 2 4 2 5" xfId="2172"/>
    <cellStyle name="常规 2 4 2 5 2" xfId="2173"/>
    <cellStyle name="常规 2 4 3" xfId="2174"/>
    <cellStyle name="常规 2 4 3 2" xfId="2175"/>
    <cellStyle name="常规 2 4 3 2 2" xfId="2176"/>
    <cellStyle name="常规 2 4 3 2 2 2" xfId="2177"/>
    <cellStyle name="常规 2 4 3 2 2 2 2" xfId="2178"/>
    <cellStyle name="常规 2 4 3 2 3" xfId="2179"/>
    <cellStyle name="常规 2 4 3 2 3 2" xfId="2180"/>
    <cellStyle name="常规 2 4 3 3" xfId="2181"/>
    <cellStyle name="常规 2 4 3 3 2" xfId="2182"/>
    <cellStyle name="常规 2 4 3 3 2 2" xfId="2183"/>
    <cellStyle name="常规 2 4 3 3 2 2 2" xfId="2184"/>
    <cellStyle name="常规 2 4 3 3 3" xfId="2185"/>
    <cellStyle name="常规 2 4 3 3 3 2" xfId="2186"/>
    <cellStyle name="常规 2 4 3 4" xfId="2187"/>
    <cellStyle name="常规 2 4 3 4 2" xfId="2188"/>
    <cellStyle name="常规 2 4 3 4 2 2" xfId="2189"/>
    <cellStyle name="常规 2 4 3 5" xfId="2190"/>
    <cellStyle name="常规 2 4 3 5 2" xfId="2191"/>
    <cellStyle name="常规 2 4 4" xfId="2192"/>
    <cellStyle name="常规 2 4 4 2" xfId="2193"/>
    <cellStyle name="常规 2 4 4 2 2" xfId="2194"/>
    <cellStyle name="常规 2 4 4 2 2 2" xfId="2195"/>
    <cellStyle name="常规 2 4 4 3" xfId="2196"/>
    <cellStyle name="常规 2 4 4 3 2" xfId="2197"/>
    <cellStyle name="常规 2 4 5" xfId="2198"/>
    <cellStyle name="常规 2 4 5 2" xfId="2199"/>
    <cellStyle name="常规 2 4 5 2 2" xfId="2200"/>
    <cellStyle name="常规 2 4 5 2 2 2" xfId="2201"/>
    <cellStyle name="常规 2 4 5 3" xfId="2202"/>
    <cellStyle name="常规 2 4 5 3 2" xfId="2203"/>
    <cellStyle name="常规 2 4 6" xfId="2204"/>
    <cellStyle name="常规 2 4 6 2" xfId="2205"/>
    <cellStyle name="常规 2 5" xfId="2206"/>
    <cellStyle name="常规 2 5 2" xfId="2207"/>
    <cellStyle name="常规 2 5 2 2" xfId="2208"/>
    <cellStyle name="常规 2 5 2 2 2" xfId="2209"/>
    <cellStyle name="常规 2 5 2 2 2 2" xfId="2210"/>
    <cellStyle name="常规 2 5 2 3" xfId="2211"/>
    <cellStyle name="常规 2 5 2 3 2" xfId="2212"/>
    <cellStyle name="常规 2 5 3" xfId="2213"/>
    <cellStyle name="常规 2 5 3 2" xfId="2214"/>
    <cellStyle name="常规 2 5 3 2 2" xfId="2215"/>
    <cellStyle name="常规 2 5 3 2 2 2" xfId="2216"/>
    <cellStyle name="常规 2 5 3 3" xfId="2217"/>
    <cellStyle name="常规 2 5 3 3 2" xfId="2218"/>
    <cellStyle name="常规 2 5 4" xfId="2219"/>
    <cellStyle name="常规 2 5 4 2" xfId="2220"/>
    <cellStyle name="常规 2 5 4 2 2" xfId="2221"/>
    <cellStyle name="常规 2 5 5" xfId="2222"/>
    <cellStyle name="常规 2 5 5 2" xfId="2223"/>
    <cellStyle name="常规 2 6" xfId="2224"/>
    <cellStyle name="常规 2 6 2" xfId="2225"/>
    <cellStyle name="常规 2 6 2 2" xfId="2226"/>
    <cellStyle name="常规 2 6 2 2 2" xfId="2227"/>
    <cellStyle name="常规 2 6 2 2 2 2" xfId="2228"/>
    <cellStyle name="常规 2 6 2 3" xfId="2229"/>
    <cellStyle name="常规 2 6 2 3 2" xfId="2230"/>
    <cellStyle name="常规 2 6 3" xfId="2231"/>
    <cellStyle name="常规 2 6 3 2" xfId="2232"/>
    <cellStyle name="常规 2 6 3 2 2" xfId="2233"/>
    <cellStyle name="常规 2 6 3 2 2 2" xfId="2234"/>
    <cellStyle name="常规 2 6 3 3" xfId="2235"/>
    <cellStyle name="常规 2 6 3 3 2" xfId="2236"/>
    <cellStyle name="常规 2 6 4" xfId="2237"/>
    <cellStyle name="常规 2 6 4 2" xfId="2238"/>
    <cellStyle name="常规 2 6 4 2 2" xfId="2239"/>
    <cellStyle name="常规 2 6 5" xfId="2240"/>
    <cellStyle name="常规 2 6 5 2" xfId="2241"/>
    <cellStyle name="常规 2 7" xfId="2242"/>
    <cellStyle name="常规 2 7 2" xfId="2243"/>
    <cellStyle name="常规 2 7 2 2" xfId="2244"/>
    <cellStyle name="常规 2 7 2 2 2" xfId="2245"/>
    <cellStyle name="常规 2 7 3" xfId="2246"/>
    <cellStyle name="常规 2 7 3 2" xfId="2247"/>
    <cellStyle name="常规 2 8" xfId="2248"/>
    <cellStyle name="常规 2 8 2" xfId="2249"/>
    <cellStyle name="常规 2 8 2 2" xfId="2250"/>
    <cellStyle name="常规 2 8 2 2 2" xfId="2251"/>
    <cellStyle name="常规 2 8 3" xfId="2252"/>
    <cellStyle name="常规 2 8 3 2" xfId="2253"/>
    <cellStyle name="常规 2 9" xfId="2254"/>
    <cellStyle name="常规 2 9 2" xfId="2255"/>
    <cellStyle name="常规 2 9 3" xfId="2256"/>
    <cellStyle name="常规 3" xfId="2257"/>
    <cellStyle name="常规 3 2" xfId="2258"/>
    <cellStyle name="常规 3 2 2" xfId="2259"/>
    <cellStyle name="常规 3 2 2 2" xfId="2260"/>
    <cellStyle name="常规 3 2 2 2 2" xfId="2261"/>
    <cellStyle name="常规 3 2 2 2 2 2" xfId="2262"/>
    <cellStyle name="常规 3 2 2 2 2 2 2" xfId="2263"/>
    <cellStyle name="常规 3 2 2 2 3" xfId="2264"/>
    <cellStyle name="常规 3 2 2 2 3 2" xfId="2265"/>
    <cellStyle name="常规 3 2 2 3" xfId="2266"/>
    <cellStyle name="常规 3 2 2 3 2" xfId="2267"/>
    <cellStyle name="常规 3 2 2 3 2 2" xfId="2268"/>
    <cellStyle name="常规 3 2 2 3 2 2 2" xfId="2269"/>
    <cellStyle name="常规 3 2 2 3 3" xfId="2270"/>
    <cellStyle name="常规 3 2 2 3 3 2" xfId="2271"/>
    <cellStyle name="常规 3 2 2 4" xfId="2272"/>
    <cellStyle name="常规 3 2 2 4 2" xfId="2273"/>
    <cellStyle name="常规 3 2 2 4 2 2" xfId="2274"/>
    <cellStyle name="常规 3 2 2 5" xfId="2275"/>
    <cellStyle name="常规 3 2 2 5 2" xfId="2276"/>
    <cellStyle name="常规 3 2 3" xfId="2277"/>
    <cellStyle name="常规 3 2 3 2" xfId="2278"/>
    <cellStyle name="常规 3 2 3 2 2" xfId="2279"/>
    <cellStyle name="常规 3 2 3 2 2 2" xfId="2280"/>
    <cellStyle name="常规 3 2 3 2 2 2 2" xfId="2281"/>
    <cellStyle name="常规 3 2 3 2 3" xfId="2282"/>
    <cellStyle name="常规 3 2 3 2 3 2" xfId="2283"/>
    <cellStyle name="常规 3 2 3 3" xfId="2284"/>
    <cellStyle name="常规 3 2 3 3 2" xfId="2285"/>
    <cellStyle name="常规 3 2 3 3 2 2" xfId="2286"/>
    <cellStyle name="常规 3 2 3 3 2 2 2" xfId="2287"/>
    <cellStyle name="常规 3 2 3 3 3" xfId="2288"/>
    <cellStyle name="常规 3 2 3 3 3 2" xfId="2289"/>
    <cellStyle name="常规 3 2 3 4" xfId="2290"/>
    <cellStyle name="常规 3 2 3 4 2" xfId="2291"/>
    <cellStyle name="常规 3 2 3 4 2 2" xfId="2292"/>
    <cellStyle name="常规 3 2 3 5" xfId="2293"/>
    <cellStyle name="常规 3 2 3 5 2" xfId="2294"/>
    <cellStyle name="常规 3 2 4" xfId="2295"/>
    <cellStyle name="常规 3 2 4 2" xfId="2296"/>
    <cellStyle name="常规 3 2 4 2 2" xfId="2297"/>
    <cellStyle name="常规 3 2 4 2 2 2" xfId="2298"/>
    <cellStyle name="常规 3 2 4 3" xfId="2299"/>
    <cellStyle name="常规 3 2 4 3 2" xfId="2300"/>
    <cellStyle name="常规 3 2 5" xfId="2301"/>
    <cellStyle name="常规 3 2 5 2" xfId="2302"/>
    <cellStyle name="常规 3 2 5 2 2" xfId="2303"/>
    <cellStyle name="常规 3 2 5 2 2 2" xfId="2304"/>
    <cellStyle name="常规 3 2 5 3" xfId="2305"/>
    <cellStyle name="常规 3 2 5 3 2" xfId="2306"/>
    <cellStyle name="常规 3 2 6" xfId="2307"/>
    <cellStyle name="常规 3 2 6 2" xfId="2308"/>
    <cellStyle name="常规 3 2 6 3" xfId="2309"/>
    <cellStyle name="常规 3 2 7" xfId="2310"/>
    <cellStyle name="常规 3 3" xfId="2311"/>
    <cellStyle name="常规 3 3 2" xfId="2312"/>
    <cellStyle name="常规 3 3 2 2" xfId="2313"/>
    <cellStyle name="常规 3 3 2 2 2" xfId="2314"/>
    <cellStyle name="常规 3 3 2 2 2 2" xfId="2315"/>
    <cellStyle name="常规 3 3 2 3" xfId="2316"/>
    <cellStyle name="常规 3 3 2 3 2" xfId="2317"/>
    <cellStyle name="常规 3 3 3" xfId="2318"/>
    <cellStyle name="常规 3 3 3 2" xfId="2319"/>
    <cellStyle name="常规 3 3 3 2 2" xfId="2320"/>
    <cellStyle name="常规 3 3 3 2 2 2" xfId="2321"/>
    <cellStyle name="常规 3 3 3 3" xfId="2322"/>
    <cellStyle name="常规 3 3 3 3 2" xfId="2323"/>
    <cellStyle name="常规 3 3 4" xfId="2324"/>
    <cellStyle name="常规 3 3 4 2" xfId="2325"/>
    <cellStyle name="常规 3 3 4 2 2" xfId="2326"/>
    <cellStyle name="常规 3 3 5" xfId="2327"/>
    <cellStyle name="常规 3 3 5 2" xfId="2328"/>
    <cellStyle name="常规 3 4" xfId="2329"/>
    <cellStyle name="常规 3 4 2" xfId="2330"/>
    <cellStyle name="常规 3 4 2 2" xfId="2331"/>
    <cellStyle name="常规 3 4 2 2 2" xfId="2332"/>
    <cellStyle name="常规 3 4 2 2 2 2" xfId="2333"/>
    <cellStyle name="常规 3 4 2 3" xfId="2334"/>
    <cellStyle name="常规 3 4 2 3 2" xfId="2335"/>
    <cellStyle name="常规 3 4 3" xfId="2336"/>
    <cellStyle name="常规 3 4 3 2" xfId="2337"/>
    <cellStyle name="常规 3 4 3 2 2" xfId="2338"/>
    <cellStyle name="常规 3 4 3 2 2 2" xfId="2339"/>
    <cellStyle name="常规 3 4 3 3" xfId="2340"/>
    <cellStyle name="常规 3 4 3 3 2" xfId="2341"/>
    <cellStyle name="常规 3 4 4" xfId="2342"/>
    <cellStyle name="常规 3 4 4 2" xfId="2343"/>
    <cellStyle name="常规 3 4 4 2 2" xfId="2344"/>
    <cellStyle name="常规 3 4 5" xfId="2345"/>
    <cellStyle name="常规 3 4 5 2" xfId="2346"/>
    <cellStyle name="常规 3 5" xfId="2347"/>
    <cellStyle name="常规 3 5 2" xfId="2348"/>
    <cellStyle name="常规 3 5 2 2" xfId="2349"/>
    <cellStyle name="常规 3 5 2 2 2" xfId="2350"/>
    <cellStyle name="常规 3 5 3" xfId="2351"/>
    <cellStyle name="常规 3 5 3 2" xfId="2352"/>
    <cellStyle name="常规 3 5 4" xfId="2353"/>
    <cellStyle name="常规 3 6" xfId="2354"/>
    <cellStyle name="常规 3 6 2" xfId="2355"/>
    <cellStyle name="常规 3 6 2 2" xfId="2356"/>
    <cellStyle name="常规 3 6 2 2 2" xfId="2357"/>
    <cellStyle name="常规 3 6 3" xfId="2358"/>
    <cellStyle name="常规 3 6 3 2" xfId="2359"/>
    <cellStyle name="常规 3 7" xfId="2360"/>
    <cellStyle name="常规 3 7 2" xfId="2361"/>
    <cellStyle name="常规 3 7 3" xfId="2362"/>
    <cellStyle name="常规 3 8" xfId="2363"/>
    <cellStyle name="常规 4" xfId="2364"/>
    <cellStyle name="常规 4 2" xfId="2365"/>
    <cellStyle name="常规 4 2 2" xfId="2366"/>
    <cellStyle name="常规 4 2 2 2" xfId="2367"/>
    <cellStyle name="常规 4 2 2 2 2" xfId="2368"/>
    <cellStyle name="常规 4 2 2 2 2 2" xfId="2369"/>
    <cellStyle name="常规 4 2 2 2 2 2 2" xfId="2370"/>
    <cellStyle name="常规 4 2 2 2 3" xfId="2371"/>
    <cellStyle name="常规 4 2 2 2 3 2" xfId="2372"/>
    <cellStyle name="常规 4 2 2 3" xfId="2373"/>
    <cellStyle name="常规 4 2 2 3 2" xfId="2374"/>
    <cellStyle name="常规 4 2 2 3 2 2" xfId="2375"/>
    <cellStyle name="常规 4 2 2 3 2 2 2" xfId="2376"/>
    <cellStyle name="常规 4 2 2 3 3" xfId="2377"/>
    <cellStyle name="常规 4 2 2 3 3 2" xfId="2378"/>
    <cellStyle name="常规 4 2 2 4" xfId="2379"/>
    <cellStyle name="常规 4 2 2 4 2" xfId="2380"/>
    <cellStyle name="常规 4 2 2 4 2 2" xfId="2381"/>
    <cellStyle name="常规 4 2 2 5" xfId="2382"/>
    <cellStyle name="常规 4 2 2 5 2" xfId="2383"/>
    <cellStyle name="常规 4 2 3" xfId="2384"/>
    <cellStyle name="常规 4 2 3 2" xfId="2385"/>
    <cellStyle name="常规 4 2 3 2 2" xfId="2386"/>
    <cellStyle name="常规 4 2 3 2 2 2" xfId="2387"/>
    <cellStyle name="常规 4 2 3 2 2 2 2" xfId="2388"/>
    <cellStyle name="常规 4 2 3 2 3" xfId="2389"/>
    <cellStyle name="常规 4 2 3 2 3 2" xfId="2390"/>
    <cellStyle name="常规 4 2 3 3" xfId="2391"/>
    <cellStyle name="常规 4 2 3 3 2" xfId="2392"/>
    <cellStyle name="常规 4 2 3 3 2 2" xfId="2393"/>
    <cellStyle name="常规 4 2 3 3 2 2 2" xfId="2394"/>
    <cellStyle name="常规 4 2 3 3 3" xfId="2395"/>
    <cellStyle name="常规 4 2 3 3 3 2" xfId="2396"/>
    <cellStyle name="常规 4 2 3 4" xfId="2397"/>
    <cellStyle name="常规 4 2 3 4 2" xfId="2398"/>
    <cellStyle name="常规 4 2 3 4 2 2" xfId="2399"/>
    <cellStyle name="常规 4 2 3 5" xfId="2400"/>
    <cellStyle name="常规 4 2 3 5 2" xfId="2401"/>
    <cellStyle name="常规 4 2 4" xfId="2402"/>
    <cellStyle name="常规 4 2 4 2" xfId="2403"/>
    <cellStyle name="常规 4 2 4 2 2" xfId="2404"/>
    <cellStyle name="常规 4 2 4 2 2 2" xfId="2405"/>
    <cellStyle name="常规 4 2 4 3" xfId="2406"/>
    <cellStyle name="常规 4 2 4 3 2" xfId="2407"/>
    <cellStyle name="常规 4 2 5" xfId="2408"/>
    <cellStyle name="常规 4 2 5 2" xfId="2409"/>
    <cellStyle name="常规 4 2 5 2 2" xfId="2410"/>
    <cellStyle name="常规 4 2 5 2 2 2" xfId="2411"/>
    <cellStyle name="常规 4 2 5 3" xfId="2412"/>
    <cellStyle name="常规 4 2 5 3 2" xfId="2413"/>
    <cellStyle name="常规 4 2 6" xfId="2414"/>
    <cellStyle name="常规 4 2 6 2" xfId="2415"/>
    <cellStyle name="常规 4 3" xfId="2416"/>
    <cellStyle name="常规 4 3 2" xfId="2417"/>
    <cellStyle name="常规 4 3 2 2" xfId="2418"/>
    <cellStyle name="常规 4 3 2 2 2" xfId="2419"/>
    <cellStyle name="常规 4 3 2 2 2 2" xfId="2420"/>
    <cellStyle name="常规 4 3 2 3" xfId="2421"/>
    <cellStyle name="常规 4 3 2 3 2" xfId="2422"/>
    <cellStyle name="常规 4 3 3" xfId="2423"/>
    <cellStyle name="常规 4 3 3 2" xfId="2424"/>
    <cellStyle name="常规 4 3 3 2 2" xfId="2425"/>
    <cellStyle name="常规 4 3 3 2 2 2" xfId="2426"/>
    <cellStyle name="常规 4 3 3 3" xfId="2427"/>
    <cellStyle name="常规 4 3 3 3 2" xfId="2428"/>
    <cellStyle name="常规 4 3 4" xfId="2429"/>
    <cellStyle name="常规 4 3 4 2" xfId="2430"/>
    <cellStyle name="常规 4 3 4 2 2" xfId="2431"/>
    <cellStyle name="常规 4 3 5" xfId="2432"/>
    <cellStyle name="常规 4 3 5 2" xfId="2433"/>
    <cellStyle name="常规 4 4" xfId="2434"/>
    <cellStyle name="常规 4 4 2" xfId="2435"/>
    <cellStyle name="常规 4 4 2 2" xfId="2436"/>
    <cellStyle name="常规 4 4 2 2 2" xfId="2437"/>
    <cellStyle name="常规 4 4 2 2 2 2" xfId="2438"/>
    <cellStyle name="常规 4 4 2 3" xfId="2439"/>
    <cellStyle name="常规 4 4 2 3 2" xfId="2440"/>
    <cellStyle name="常规 4 4 3" xfId="2441"/>
    <cellStyle name="常规 4 4 3 2" xfId="2442"/>
    <cellStyle name="常规 4 4 3 2 2" xfId="2443"/>
    <cellStyle name="常规 4 4 3 2 2 2" xfId="2444"/>
    <cellStyle name="常规 4 4 3 3" xfId="2445"/>
    <cellStyle name="常规 4 4 3 3 2" xfId="2446"/>
    <cellStyle name="常规 4 4 4" xfId="2447"/>
    <cellStyle name="常规 4 4 4 2" xfId="2448"/>
    <cellStyle name="常规 4 4 4 2 2" xfId="2449"/>
    <cellStyle name="常规 4 4 5" xfId="2450"/>
    <cellStyle name="常规 4 4 5 2" xfId="2451"/>
    <cellStyle name="常规 4 5" xfId="2452"/>
    <cellStyle name="常规 4 5 2" xfId="2453"/>
    <cellStyle name="常规 4 5 2 2" xfId="2454"/>
    <cellStyle name="常规 4 5 2 2 2" xfId="2455"/>
    <cellStyle name="常规 4 5 3" xfId="2456"/>
    <cellStyle name="常规 4 5 3 2" xfId="2457"/>
    <cellStyle name="常规 4 6" xfId="2458"/>
    <cellStyle name="常规 4 6 2" xfId="2459"/>
    <cellStyle name="常规 4 6 2 2" xfId="2460"/>
    <cellStyle name="常规 4 6 2 2 2" xfId="2461"/>
    <cellStyle name="常规 4 6 3" xfId="2462"/>
    <cellStyle name="常规 4 6 3 2" xfId="2463"/>
    <cellStyle name="常规 4 7" xfId="2464"/>
    <cellStyle name="常规 4 7 2" xfId="2465"/>
    <cellStyle name="常规 5" xfId="2466"/>
    <cellStyle name="常规 5 2" xfId="2467"/>
    <cellStyle name="常规 5 2 2" xfId="2468"/>
    <cellStyle name="常规 5 2 2 2" xfId="2469"/>
    <cellStyle name="常规 5 2 2 2 2" xfId="2470"/>
    <cellStyle name="常规 5 2 3" xfId="2471"/>
    <cellStyle name="常规 5 2 3 2" xfId="2472"/>
    <cellStyle name="常规 5 3" xfId="2473"/>
    <cellStyle name="常规 5 3 2" xfId="2474"/>
    <cellStyle name="常规 5 3 2 2" xfId="2475"/>
    <cellStyle name="常规 5 3 2 2 2" xfId="2476"/>
    <cellStyle name="常规 5 3 3" xfId="2477"/>
    <cellStyle name="常规 5 3 3 2" xfId="2478"/>
    <cellStyle name="常规 5 4" xfId="2479"/>
    <cellStyle name="常规 5 4 2" xfId="2480"/>
    <cellStyle name="常规 5 4 2 2" xfId="2481"/>
    <cellStyle name="常规 5 5" xfId="2482"/>
    <cellStyle name="常规 5 5 2" xfId="2483"/>
    <cellStyle name="常规 6" xfId="2484"/>
    <cellStyle name="常规 6 2" xfId="2485"/>
    <cellStyle name="常规 6 2 2" xfId="2486"/>
    <cellStyle name="常规 6 2 2 2" xfId="2487"/>
    <cellStyle name="常规 6 2 2 2 2" xfId="2488"/>
    <cellStyle name="常规 6 2 3" xfId="2489"/>
    <cellStyle name="常规 6 2 3 2" xfId="2490"/>
    <cellStyle name="常规 6 3" xfId="2491"/>
    <cellStyle name="常规 6 3 2" xfId="2492"/>
    <cellStyle name="常规 6 3 2 2" xfId="2493"/>
    <cellStyle name="常规 6 3 2 2 2" xfId="2494"/>
    <cellStyle name="常规 6 3 3" xfId="2495"/>
    <cellStyle name="常规 6 3 3 2" xfId="2496"/>
    <cellStyle name="常规 6 4" xfId="2497"/>
    <cellStyle name="常规 6 4 2" xfId="2498"/>
    <cellStyle name="常规 6 4 2 2" xfId="2499"/>
    <cellStyle name="常规 6 5" xfId="2500"/>
    <cellStyle name="常规 6 5 2" xfId="2501"/>
    <cellStyle name="常规 7" xfId="2502"/>
    <cellStyle name="常规 7 2" xfId="2503"/>
    <cellStyle name="常规 7 2 2" xfId="2504"/>
    <cellStyle name="常规 7 2 2 2" xfId="2505"/>
    <cellStyle name="常规 7 3" xfId="2506"/>
    <cellStyle name="常规 7 3 2" xfId="2507"/>
    <cellStyle name="常规 7 4" xfId="2508"/>
    <cellStyle name="常规 8" xfId="2509"/>
    <cellStyle name="常规 8 2" xfId="2510"/>
    <cellStyle name="常规 8 2 2" xfId="2511"/>
    <cellStyle name="常规 8 2 2 2" xfId="2512"/>
    <cellStyle name="常规 8 3" xfId="2513"/>
    <cellStyle name="常规 8 3 2" xfId="2514"/>
    <cellStyle name="常规 9" xfId="2515"/>
    <cellStyle name="常规 9 2" xfId="2516"/>
    <cellStyle name="常规 9 3" xfId="2517"/>
    <cellStyle name="好 2" xfId="2518"/>
    <cellStyle name="好 3" xfId="2519"/>
    <cellStyle name="好 3 2" xfId="2520"/>
    <cellStyle name="好 4" xfId="2521"/>
    <cellStyle name="好 5" xfId="2522"/>
    <cellStyle name="桁区切り 2" xfId="2523"/>
    <cellStyle name="桁区切り 2 2" xfId="2524"/>
    <cellStyle name="桁区切り 2 2 2" xfId="2525"/>
    <cellStyle name="桁区切り 2 2 3" xfId="2526"/>
    <cellStyle name="桁区切り 2 3" xfId="2527"/>
    <cellStyle name="桁区切り 2 4" xfId="2528"/>
    <cellStyle name="桁区切り 3" xfId="2529"/>
    <cellStyle name="桁区切り 3 2" xfId="2530"/>
    <cellStyle name="桁区切り 3 2 2" xfId="2531"/>
    <cellStyle name="桁区切り 3 2 3" xfId="2532"/>
    <cellStyle name="桁区切り 3 2 4" xfId="2533"/>
    <cellStyle name="桁区切り 3 3" xfId="2534"/>
    <cellStyle name="桁区切り 3 4" xfId="2535"/>
    <cellStyle name="桁区切り 3 5" xfId="2536"/>
    <cellStyle name="桁区切り 4" xfId="2537"/>
    <cellStyle name="桁区切り 4 2" xfId="2538"/>
    <cellStyle name="桁区切り 4 2 2" xfId="2539"/>
    <cellStyle name="桁区切り 4 3" xfId="2540"/>
    <cellStyle name="桁区切り 4 4" xfId="2541"/>
    <cellStyle name="桁区切り 5" xfId="2542"/>
    <cellStyle name="桁区切り 5 2" xfId="2543"/>
    <cellStyle name="桁区切り 5 3" xfId="2544"/>
    <cellStyle name="解释性文本 2" xfId="2545"/>
    <cellStyle name="解释性文本 3" xfId="2546"/>
    <cellStyle name="解释性文本 3 2" xfId="2547"/>
    <cellStyle name="解释性文本 4" xfId="2548"/>
    <cellStyle name="解释性文本 5" xfId="2549"/>
    <cellStyle name="千位分隔" xfId="3337" builtinId="3"/>
    <cellStyle name="千位分隔 2" xfId="2550"/>
    <cellStyle name="千位分隔 2 2" xfId="2551"/>
    <cellStyle name="千位分隔 2 2 2" xfId="2552"/>
    <cellStyle name="千位分隔 2 2 3" xfId="2553"/>
    <cellStyle name="千位分隔 2 3" xfId="2554"/>
    <cellStyle name="千位分隔 2 4" xfId="2555"/>
    <cellStyle name="千位分隔 2 5" xfId="2556"/>
    <cellStyle name="千位分隔 2 6" xfId="2557"/>
    <cellStyle name="千位分隔 3" xfId="2558"/>
    <cellStyle name="千位分隔 4" xfId="2559"/>
    <cellStyle name="千位分隔 5" xfId="3338"/>
    <cellStyle name="千位分隔[0] 10" xfId="2560"/>
    <cellStyle name="千位分隔[0] 2" xfId="2561"/>
    <cellStyle name="千位分隔[0] 2 10" xfId="2562"/>
    <cellStyle name="千位分隔[0] 2 2" xfId="2563"/>
    <cellStyle name="千位分隔[0] 2 2 2" xfId="2564"/>
    <cellStyle name="千位分隔[0] 2 2 2 2" xfId="2565"/>
    <cellStyle name="千位分隔[0] 2 2 2 2 2" xfId="2566"/>
    <cellStyle name="千位分隔[0] 2 2 2 2 2 2" xfId="2567"/>
    <cellStyle name="千位分隔[0] 2 2 2 2 2 2 2" xfId="2568"/>
    <cellStyle name="千位分隔[0] 2 2 2 2 2 2 2 2" xfId="2569"/>
    <cellStyle name="千位分隔[0] 2 2 2 2 2 2 2 2 2" xfId="2570"/>
    <cellStyle name="千位分隔[0] 2 2 2 2 2 2 3" xfId="2571"/>
    <cellStyle name="千位分隔[0] 2 2 2 2 2 2 3 2" xfId="2572"/>
    <cellStyle name="千位分隔[0] 2 2 2 2 2 3" xfId="2573"/>
    <cellStyle name="千位分隔[0] 2 2 2 2 2 3 2" xfId="2574"/>
    <cellStyle name="千位分隔[0] 2 2 2 2 2 3 2 2" xfId="2575"/>
    <cellStyle name="千位分隔[0] 2 2 2 2 2 3 2 2 2" xfId="2576"/>
    <cellStyle name="千位分隔[0] 2 2 2 2 2 3 3" xfId="2577"/>
    <cellStyle name="千位分隔[0] 2 2 2 2 2 3 3 2" xfId="2578"/>
    <cellStyle name="千位分隔[0] 2 2 2 2 2 4" xfId="2579"/>
    <cellStyle name="千位分隔[0] 2 2 2 2 2 4 2" xfId="2580"/>
    <cellStyle name="千位分隔[0] 2 2 2 2 2 4 2 2" xfId="2581"/>
    <cellStyle name="千位分隔[0] 2 2 2 2 2 5" xfId="2582"/>
    <cellStyle name="千位分隔[0] 2 2 2 2 2 5 2" xfId="2583"/>
    <cellStyle name="千位分隔[0] 2 2 2 2 3" xfId="2584"/>
    <cellStyle name="千位分隔[0] 2 2 2 2 3 2" xfId="2585"/>
    <cellStyle name="千位分隔[0] 2 2 2 2 3 2 2" xfId="2586"/>
    <cellStyle name="千位分隔[0] 2 2 2 2 3 2 2 2" xfId="2587"/>
    <cellStyle name="千位分隔[0] 2 2 2 2 3 2 2 2 2" xfId="2588"/>
    <cellStyle name="千位分隔[0] 2 2 2 2 3 2 3" xfId="2589"/>
    <cellStyle name="千位分隔[0] 2 2 2 2 3 2 3 2" xfId="2590"/>
    <cellStyle name="千位分隔[0] 2 2 2 2 3 3" xfId="2591"/>
    <cellStyle name="千位分隔[0] 2 2 2 2 3 3 2" xfId="2592"/>
    <cellStyle name="千位分隔[0] 2 2 2 2 3 3 2 2" xfId="2593"/>
    <cellStyle name="千位分隔[0] 2 2 2 2 3 3 2 2 2" xfId="2594"/>
    <cellStyle name="千位分隔[0] 2 2 2 2 3 3 3" xfId="2595"/>
    <cellStyle name="千位分隔[0] 2 2 2 2 3 3 3 2" xfId="2596"/>
    <cellStyle name="千位分隔[0] 2 2 2 2 3 4" xfId="2597"/>
    <cellStyle name="千位分隔[0] 2 2 2 2 3 4 2" xfId="2598"/>
    <cellStyle name="千位分隔[0] 2 2 2 2 3 4 2 2" xfId="2599"/>
    <cellStyle name="千位分隔[0] 2 2 2 2 3 5" xfId="2600"/>
    <cellStyle name="千位分隔[0] 2 2 2 2 3 5 2" xfId="2601"/>
    <cellStyle name="千位分隔[0] 2 2 2 2 4" xfId="2602"/>
    <cellStyle name="千位分隔[0] 2 2 2 2 4 2" xfId="2603"/>
    <cellStyle name="千位分隔[0] 2 2 2 2 4 2 2" xfId="2604"/>
    <cellStyle name="千位分隔[0] 2 2 2 2 4 2 2 2" xfId="2605"/>
    <cellStyle name="千位分隔[0] 2 2 2 2 4 3" xfId="2606"/>
    <cellStyle name="千位分隔[0] 2 2 2 2 4 3 2" xfId="2607"/>
    <cellStyle name="千位分隔[0] 2 2 2 2 5" xfId="2608"/>
    <cellStyle name="千位分隔[0] 2 2 2 2 5 2" xfId="2609"/>
    <cellStyle name="千位分隔[0] 2 2 2 2 5 2 2" xfId="2610"/>
    <cellStyle name="千位分隔[0] 2 2 2 2 5 2 2 2" xfId="2611"/>
    <cellStyle name="千位分隔[0] 2 2 2 2 5 3" xfId="2612"/>
    <cellStyle name="千位分隔[0] 2 2 2 2 5 3 2" xfId="2613"/>
    <cellStyle name="千位分隔[0] 2 2 2 2 6" xfId="2614"/>
    <cellStyle name="千位分隔[0] 2 2 2 2 6 2" xfId="2615"/>
    <cellStyle name="千位分隔[0] 2 2 2 3" xfId="2616"/>
    <cellStyle name="千位分隔[0] 2 2 2 3 2" xfId="2617"/>
    <cellStyle name="千位分隔[0] 2 2 2 3 2 2" xfId="2618"/>
    <cellStyle name="千位分隔[0] 2 2 2 3 2 2 2" xfId="2619"/>
    <cellStyle name="千位分隔[0] 2 2 2 3 2 2 2 2" xfId="2620"/>
    <cellStyle name="千位分隔[0] 2 2 2 3 2 3" xfId="2621"/>
    <cellStyle name="千位分隔[0] 2 2 2 3 2 3 2" xfId="2622"/>
    <cellStyle name="千位分隔[0] 2 2 2 3 3" xfId="2623"/>
    <cellStyle name="千位分隔[0] 2 2 2 3 3 2" xfId="2624"/>
    <cellStyle name="千位分隔[0] 2 2 2 3 3 2 2" xfId="2625"/>
    <cellStyle name="千位分隔[0] 2 2 2 3 3 2 2 2" xfId="2626"/>
    <cellStyle name="千位分隔[0] 2 2 2 3 3 3" xfId="2627"/>
    <cellStyle name="千位分隔[0] 2 2 2 3 3 3 2" xfId="2628"/>
    <cellStyle name="千位分隔[0] 2 2 2 3 4" xfId="2629"/>
    <cellStyle name="千位分隔[0] 2 2 2 3 4 2" xfId="2630"/>
    <cellStyle name="千位分隔[0] 2 2 2 3 4 2 2" xfId="2631"/>
    <cellStyle name="千位分隔[0] 2 2 2 3 5" xfId="2632"/>
    <cellStyle name="千位分隔[0] 2 2 2 3 5 2" xfId="2633"/>
    <cellStyle name="千位分隔[0] 2 2 2 4" xfId="2634"/>
    <cellStyle name="千位分隔[0] 2 2 2 4 2" xfId="2635"/>
    <cellStyle name="千位分隔[0] 2 2 2 4 2 2" xfId="2636"/>
    <cellStyle name="千位分隔[0] 2 2 2 4 2 2 2" xfId="2637"/>
    <cellStyle name="千位分隔[0] 2 2 2 4 2 2 2 2" xfId="2638"/>
    <cellStyle name="千位分隔[0] 2 2 2 4 2 3" xfId="2639"/>
    <cellStyle name="千位分隔[0] 2 2 2 4 2 3 2" xfId="2640"/>
    <cellStyle name="千位分隔[0] 2 2 2 4 3" xfId="2641"/>
    <cellStyle name="千位分隔[0] 2 2 2 4 3 2" xfId="2642"/>
    <cellStyle name="千位分隔[0] 2 2 2 4 3 2 2" xfId="2643"/>
    <cellStyle name="千位分隔[0] 2 2 2 4 3 2 2 2" xfId="2644"/>
    <cellStyle name="千位分隔[0] 2 2 2 4 3 3" xfId="2645"/>
    <cellStyle name="千位分隔[0] 2 2 2 4 3 3 2" xfId="2646"/>
    <cellStyle name="千位分隔[0] 2 2 2 4 4" xfId="2647"/>
    <cellStyle name="千位分隔[0] 2 2 2 4 4 2" xfId="2648"/>
    <cellStyle name="千位分隔[0] 2 2 2 4 4 2 2" xfId="2649"/>
    <cellStyle name="千位分隔[0] 2 2 2 4 5" xfId="2650"/>
    <cellStyle name="千位分隔[0] 2 2 2 4 5 2" xfId="2651"/>
    <cellStyle name="千位分隔[0] 2 2 2 5" xfId="2652"/>
    <cellStyle name="千位分隔[0] 2 2 2 5 2" xfId="2653"/>
    <cellStyle name="千位分隔[0] 2 2 2 5 2 2" xfId="2654"/>
    <cellStyle name="千位分隔[0] 2 2 2 5 2 2 2" xfId="2655"/>
    <cellStyle name="千位分隔[0] 2 2 2 5 3" xfId="2656"/>
    <cellStyle name="千位分隔[0] 2 2 2 5 3 2" xfId="2657"/>
    <cellStyle name="千位分隔[0] 2 2 2 6" xfId="2658"/>
    <cellStyle name="千位分隔[0] 2 2 2 6 2" xfId="2659"/>
    <cellStyle name="千位分隔[0] 2 2 2 6 2 2" xfId="2660"/>
    <cellStyle name="千位分隔[0] 2 2 2 6 2 2 2" xfId="2661"/>
    <cellStyle name="千位分隔[0] 2 2 2 6 3" xfId="2662"/>
    <cellStyle name="千位分隔[0] 2 2 2 6 3 2" xfId="2663"/>
    <cellStyle name="千位分隔[0] 2 2 2 7" xfId="2664"/>
    <cellStyle name="千位分隔[0] 2 2 2 7 2" xfId="2665"/>
    <cellStyle name="千位分隔[0] 2 2 3" xfId="2666"/>
    <cellStyle name="千位分隔[0] 2 2 3 2" xfId="2667"/>
    <cellStyle name="千位分隔[0] 2 2 3 2 2" xfId="2668"/>
    <cellStyle name="千位分隔[0] 2 2 3 2 2 2" xfId="2669"/>
    <cellStyle name="千位分隔[0] 2 2 3 2 2 2 2" xfId="2670"/>
    <cellStyle name="千位分隔[0] 2 2 3 2 2 2 2 2" xfId="2671"/>
    <cellStyle name="千位分隔[0] 2 2 3 2 2 2 2 2 2" xfId="2672"/>
    <cellStyle name="千位分隔[0] 2 2 3 2 2 2 3" xfId="2673"/>
    <cellStyle name="千位分隔[0] 2 2 3 2 2 2 3 2" xfId="2674"/>
    <cellStyle name="千位分隔[0] 2 2 3 2 2 3" xfId="2675"/>
    <cellStyle name="千位分隔[0] 2 2 3 2 2 3 2" xfId="2676"/>
    <cellStyle name="千位分隔[0] 2 2 3 2 2 3 2 2" xfId="2677"/>
    <cellStyle name="千位分隔[0] 2 2 3 2 2 3 2 2 2" xfId="2678"/>
    <cellStyle name="千位分隔[0] 2 2 3 2 2 3 3" xfId="2679"/>
    <cellStyle name="千位分隔[0] 2 2 3 2 2 3 3 2" xfId="2680"/>
    <cellStyle name="千位分隔[0] 2 2 3 2 2 4" xfId="2681"/>
    <cellStyle name="千位分隔[0] 2 2 3 2 2 4 2" xfId="2682"/>
    <cellStyle name="千位分隔[0] 2 2 3 2 2 4 2 2" xfId="2683"/>
    <cellStyle name="千位分隔[0] 2 2 3 2 2 5" xfId="2684"/>
    <cellStyle name="千位分隔[0] 2 2 3 2 2 5 2" xfId="2685"/>
    <cellStyle name="千位分隔[0] 2 2 3 2 3" xfId="2686"/>
    <cellStyle name="千位分隔[0] 2 2 3 2 3 2" xfId="2687"/>
    <cellStyle name="千位分隔[0] 2 2 3 2 3 2 2" xfId="2688"/>
    <cellStyle name="千位分隔[0] 2 2 3 2 3 2 2 2" xfId="2689"/>
    <cellStyle name="千位分隔[0] 2 2 3 2 3 2 2 2 2" xfId="2690"/>
    <cellStyle name="千位分隔[0] 2 2 3 2 3 2 3" xfId="2691"/>
    <cellStyle name="千位分隔[0] 2 2 3 2 3 2 3 2" xfId="2692"/>
    <cellStyle name="千位分隔[0] 2 2 3 2 3 3" xfId="2693"/>
    <cellStyle name="千位分隔[0] 2 2 3 2 3 3 2" xfId="2694"/>
    <cellStyle name="千位分隔[0] 2 2 3 2 3 3 2 2" xfId="2695"/>
    <cellStyle name="千位分隔[0] 2 2 3 2 3 3 2 2 2" xfId="2696"/>
    <cellStyle name="千位分隔[0] 2 2 3 2 3 3 3" xfId="2697"/>
    <cellStyle name="千位分隔[0] 2 2 3 2 3 3 3 2" xfId="2698"/>
    <cellStyle name="千位分隔[0] 2 2 3 2 3 4" xfId="2699"/>
    <cellStyle name="千位分隔[0] 2 2 3 2 3 4 2" xfId="2700"/>
    <cellStyle name="千位分隔[0] 2 2 3 2 3 4 2 2" xfId="2701"/>
    <cellStyle name="千位分隔[0] 2 2 3 2 3 5" xfId="2702"/>
    <cellStyle name="千位分隔[0] 2 2 3 2 3 5 2" xfId="2703"/>
    <cellStyle name="千位分隔[0] 2 2 3 2 4" xfId="2704"/>
    <cellStyle name="千位分隔[0] 2 2 3 2 4 2" xfId="2705"/>
    <cellStyle name="千位分隔[0] 2 2 3 2 4 2 2" xfId="2706"/>
    <cellStyle name="千位分隔[0] 2 2 3 2 4 2 2 2" xfId="2707"/>
    <cellStyle name="千位分隔[0] 2 2 3 2 4 3" xfId="2708"/>
    <cellStyle name="千位分隔[0] 2 2 3 2 4 3 2" xfId="2709"/>
    <cellStyle name="千位分隔[0] 2 2 3 2 5" xfId="2710"/>
    <cellStyle name="千位分隔[0] 2 2 3 2 5 2" xfId="2711"/>
    <cellStyle name="千位分隔[0] 2 2 3 2 5 2 2" xfId="2712"/>
    <cellStyle name="千位分隔[0] 2 2 3 2 5 2 2 2" xfId="2713"/>
    <cellStyle name="千位分隔[0] 2 2 3 2 5 3" xfId="2714"/>
    <cellStyle name="千位分隔[0] 2 2 3 2 5 3 2" xfId="2715"/>
    <cellStyle name="千位分隔[0] 2 2 3 2 6" xfId="2716"/>
    <cellStyle name="千位分隔[0] 2 2 3 2 6 2" xfId="2717"/>
    <cellStyle name="千位分隔[0] 2 2 3 3" xfId="2718"/>
    <cellStyle name="千位分隔[0] 2 2 3 3 2" xfId="2719"/>
    <cellStyle name="千位分隔[0] 2 2 3 3 2 2" xfId="2720"/>
    <cellStyle name="千位分隔[0] 2 2 3 3 2 2 2" xfId="2721"/>
    <cellStyle name="千位分隔[0] 2 2 3 3 2 2 2 2" xfId="2722"/>
    <cellStyle name="千位分隔[0] 2 2 3 3 2 3" xfId="2723"/>
    <cellStyle name="千位分隔[0] 2 2 3 3 2 3 2" xfId="2724"/>
    <cellStyle name="千位分隔[0] 2 2 3 3 3" xfId="2725"/>
    <cellStyle name="千位分隔[0] 2 2 3 3 3 2" xfId="2726"/>
    <cellStyle name="千位分隔[0] 2 2 3 3 3 2 2" xfId="2727"/>
    <cellStyle name="千位分隔[0] 2 2 3 3 3 2 2 2" xfId="2728"/>
    <cellStyle name="千位分隔[0] 2 2 3 3 3 3" xfId="2729"/>
    <cellStyle name="千位分隔[0] 2 2 3 3 3 3 2" xfId="2730"/>
    <cellStyle name="千位分隔[0] 2 2 3 3 4" xfId="2731"/>
    <cellStyle name="千位分隔[0] 2 2 3 3 4 2" xfId="2732"/>
    <cellStyle name="千位分隔[0] 2 2 3 3 4 2 2" xfId="2733"/>
    <cellStyle name="千位分隔[0] 2 2 3 3 5" xfId="2734"/>
    <cellStyle name="千位分隔[0] 2 2 3 3 5 2" xfId="2735"/>
    <cellStyle name="千位分隔[0] 2 2 3 4" xfId="2736"/>
    <cellStyle name="千位分隔[0] 2 2 3 4 2" xfId="2737"/>
    <cellStyle name="千位分隔[0] 2 2 3 4 2 2" xfId="2738"/>
    <cellStyle name="千位分隔[0] 2 2 3 4 2 2 2" xfId="2739"/>
    <cellStyle name="千位分隔[0] 2 2 3 4 2 2 2 2" xfId="2740"/>
    <cellStyle name="千位分隔[0] 2 2 3 4 2 3" xfId="2741"/>
    <cellStyle name="千位分隔[0] 2 2 3 4 2 3 2" xfId="2742"/>
    <cellStyle name="千位分隔[0] 2 2 3 4 3" xfId="2743"/>
    <cellStyle name="千位分隔[0] 2 2 3 4 3 2" xfId="2744"/>
    <cellStyle name="千位分隔[0] 2 2 3 4 3 2 2" xfId="2745"/>
    <cellStyle name="千位分隔[0] 2 2 3 4 3 2 2 2" xfId="2746"/>
    <cellStyle name="千位分隔[0] 2 2 3 4 3 3" xfId="2747"/>
    <cellStyle name="千位分隔[0] 2 2 3 4 3 3 2" xfId="2748"/>
    <cellStyle name="千位分隔[0] 2 2 3 4 4" xfId="2749"/>
    <cellStyle name="千位分隔[0] 2 2 3 4 4 2" xfId="2750"/>
    <cellStyle name="千位分隔[0] 2 2 3 4 4 2 2" xfId="2751"/>
    <cellStyle name="千位分隔[0] 2 2 3 4 5" xfId="2752"/>
    <cellStyle name="千位分隔[0] 2 2 3 4 5 2" xfId="2753"/>
    <cellStyle name="千位分隔[0] 2 2 3 5" xfId="2754"/>
    <cellStyle name="千位分隔[0] 2 2 3 5 2" xfId="2755"/>
    <cellStyle name="千位分隔[0] 2 2 3 5 2 2" xfId="2756"/>
    <cellStyle name="千位分隔[0] 2 2 3 5 2 2 2" xfId="2757"/>
    <cellStyle name="千位分隔[0] 2 2 3 5 3" xfId="2758"/>
    <cellStyle name="千位分隔[0] 2 2 3 5 3 2" xfId="2759"/>
    <cellStyle name="千位分隔[0] 2 2 3 6" xfId="2760"/>
    <cellStyle name="千位分隔[0] 2 2 3 6 2" xfId="2761"/>
    <cellStyle name="千位分隔[0] 2 2 3 6 2 2" xfId="2762"/>
    <cellStyle name="千位分隔[0] 2 2 3 6 2 2 2" xfId="2763"/>
    <cellStyle name="千位分隔[0] 2 2 3 6 3" xfId="2764"/>
    <cellStyle name="千位分隔[0] 2 2 3 6 3 2" xfId="2765"/>
    <cellStyle name="千位分隔[0] 2 2 3 7" xfId="2766"/>
    <cellStyle name="千位分隔[0] 2 2 3 7 2" xfId="2767"/>
    <cellStyle name="千位分隔[0] 2 2 4" xfId="2768"/>
    <cellStyle name="千位分隔[0] 2 2 4 2" xfId="2769"/>
    <cellStyle name="千位分隔[0] 2 2 4 2 2" xfId="2770"/>
    <cellStyle name="千位分隔[0] 2 2 4 2 2 2" xfId="2771"/>
    <cellStyle name="千位分隔[0] 2 2 4 2 2 2 2" xfId="2772"/>
    <cellStyle name="千位分隔[0] 2 2 4 2 3" xfId="2773"/>
    <cellStyle name="千位分隔[0] 2 2 4 2 3 2" xfId="2774"/>
    <cellStyle name="千位分隔[0] 2 2 4 3" xfId="2775"/>
    <cellStyle name="千位分隔[0] 2 2 4 3 2" xfId="2776"/>
    <cellStyle name="千位分隔[0] 2 2 4 3 2 2" xfId="2777"/>
    <cellStyle name="千位分隔[0] 2 2 4 3 2 2 2" xfId="2778"/>
    <cellStyle name="千位分隔[0] 2 2 4 3 3" xfId="2779"/>
    <cellStyle name="千位分隔[0] 2 2 4 3 3 2" xfId="2780"/>
    <cellStyle name="千位分隔[0] 2 2 4 4" xfId="2781"/>
    <cellStyle name="千位分隔[0] 2 2 4 4 2" xfId="2782"/>
    <cellStyle name="千位分隔[0] 2 2 4 4 2 2" xfId="2783"/>
    <cellStyle name="千位分隔[0] 2 2 4 5" xfId="2784"/>
    <cellStyle name="千位分隔[0] 2 2 4 5 2" xfId="2785"/>
    <cellStyle name="千位分隔[0] 2 2 5" xfId="2786"/>
    <cellStyle name="千位分隔[0] 2 2 5 2" xfId="2787"/>
    <cellStyle name="千位分隔[0] 2 2 5 2 2" xfId="2788"/>
    <cellStyle name="千位分隔[0] 2 2 5 2 2 2" xfId="2789"/>
    <cellStyle name="千位分隔[0] 2 2 5 2 2 2 2" xfId="2790"/>
    <cellStyle name="千位分隔[0] 2 2 5 2 3" xfId="2791"/>
    <cellStyle name="千位分隔[0] 2 2 5 2 3 2" xfId="2792"/>
    <cellStyle name="千位分隔[0] 2 2 5 3" xfId="2793"/>
    <cellStyle name="千位分隔[0] 2 2 5 3 2" xfId="2794"/>
    <cellStyle name="千位分隔[0] 2 2 5 3 2 2" xfId="2795"/>
    <cellStyle name="千位分隔[0] 2 2 5 3 2 2 2" xfId="2796"/>
    <cellStyle name="千位分隔[0] 2 2 5 3 3" xfId="2797"/>
    <cellStyle name="千位分隔[0] 2 2 5 3 3 2" xfId="2798"/>
    <cellStyle name="千位分隔[0] 2 2 5 4" xfId="2799"/>
    <cellStyle name="千位分隔[0] 2 2 5 4 2" xfId="2800"/>
    <cellStyle name="千位分隔[0] 2 2 5 4 2 2" xfId="2801"/>
    <cellStyle name="千位分隔[0] 2 2 5 5" xfId="2802"/>
    <cellStyle name="千位分隔[0] 2 2 5 5 2" xfId="2803"/>
    <cellStyle name="千位分隔[0] 2 2 6" xfId="2804"/>
    <cellStyle name="千位分隔[0] 2 2 6 2" xfId="2805"/>
    <cellStyle name="千位分隔[0] 2 2 6 2 2" xfId="2806"/>
    <cellStyle name="千位分隔[0] 2 2 6 2 2 2" xfId="2807"/>
    <cellStyle name="千位分隔[0] 2 2 6 3" xfId="2808"/>
    <cellStyle name="千位分隔[0] 2 2 6 3 2" xfId="2809"/>
    <cellStyle name="千位分隔[0] 2 2 7" xfId="2810"/>
    <cellStyle name="千位分隔[0] 2 2 7 2" xfId="2811"/>
    <cellStyle name="千位分隔[0] 2 2 7 2 2" xfId="2812"/>
    <cellStyle name="千位分隔[0] 2 2 7 2 2 2" xfId="2813"/>
    <cellStyle name="千位分隔[0] 2 2 7 3" xfId="2814"/>
    <cellStyle name="千位分隔[0] 2 2 7 3 2" xfId="2815"/>
    <cellStyle name="千位分隔[0] 2 2 8" xfId="2816"/>
    <cellStyle name="千位分隔[0] 2 2 8 2" xfId="2817"/>
    <cellStyle name="千位分隔[0] 2 2 8 3" xfId="2818"/>
    <cellStyle name="千位分隔[0] 2 2 9" xfId="2819"/>
    <cellStyle name="千位分隔[0] 2 3" xfId="2820"/>
    <cellStyle name="千位分隔[0] 2 3 2" xfId="2821"/>
    <cellStyle name="千位分隔[0] 2 3 2 2" xfId="2822"/>
    <cellStyle name="千位分隔[0] 2 3 2 2 2" xfId="2823"/>
    <cellStyle name="千位分隔[0] 2 3 2 2 2 2" xfId="2824"/>
    <cellStyle name="千位分隔[0] 2 3 2 2 2 2 2" xfId="2825"/>
    <cellStyle name="千位分隔[0] 2 3 2 2 2 2 2 2" xfId="2826"/>
    <cellStyle name="千位分隔[0] 2 3 2 2 2 3" xfId="2827"/>
    <cellStyle name="千位分隔[0] 2 3 2 2 2 3 2" xfId="2828"/>
    <cellStyle name="千位分隔[0] 2 3 2 2 3" xfId="2829"/>
    <cellStyle name="千位分隔[0] 2 3 2 2 3 2" xfId="2830"/>
    <cellStyle name="千位分隔[0] 2 3 2 2 3 2 2" xfId="2831"/>
    <cellStyle name="千位分隔[0] 2 3 2 2 3 2 2 2" xfId="2832"/>
    <cellStyle name="千位分隔[0] 2 3 2 2 3 3" xfId="2833"/>
    <cellStyle name="千位分隔[0] 2 3 2 2 3 3 2" xfId="2834"/>
    <cellStyle name="千位分隔[0] 2 3 2 2 4" xfId="2835"/>
    <cellStyle name="千位分隔[0] 2 3 2 2 4 2" xfId="2836"/>
    <cellStyle name="千位分隔[0] 2 3 2 2 4 2 2" xfId="2837"/>
    <cellStyle name="千位分隔[0] 2 3 2 2 5" xfId="2838"/>
    <cellStyle name="千位分隔[0] 2 3 2 2 5 2" xfId="2839"/>
    <cellStyle name="千位分隔[0] 2 3 2 3" xfId="2840"/>
    <cellStyle name="千位分隔[0] 2 3 2 3 2" xfId="2841"/>
    <cellStyle name="千位分隔[0] 2 3 2 3 2 2" xfId="2842"/>
    <cellStyle name="千位分隔[0] 2 3 2 3 2 2 2" xfId="2843"/>
    <cellStyle name="千位分隔[0] 2 3 2 3 2 2 2 2" xfId="2844"/>
    <cellStyle name="千位分隔[0] 2 3 2 3 2 3" xfId="2845"/>
    <cellStyle name="千位分隔[0] 2 3 2 3 2 3 2" xfId="2846"/>
    <cellStyle name="千位分隔[0] 2 3 2 3 3" xfId="2847"/>
    <cellStyle name="千位分隔[0] 2 3 2 3 3 2" xfId="2848"/>
    <cellStyle name="千位分隔[0] 2 3 2 3 3 2 2" xfId="2849"/>
    <cellStyle name="千位分隔[0] 2 3 2 3 3 2 2 2" xfId="2850"/>
    <cellStyle name="千位分隔[0] 2 3 2 3 3 3" xfId="2851"/>
    <cellStyle name="千位分隔[0] 2 3 2 3 3 3 2" xfId="2852"/>
    <cellStyle name="千位分隔[0] 2 3 2 3 4" xfId="2853"/>
    <cellStyle name="千位分隔[0] 2 3 2 3 4 2" xfId="2854"/>
    <cellStyle name="千位分隔[0] 2 3 2 3 4 2 2" xfId="2855"/>
    <cellStyle name="千位分隔[0] 2 3 2 3 5" xfId="2856"/>
    <cellStyle name="千位分隔[0] 2 3 2 3 5 2" xfId="2857"/>
    <cellStyle name="千位分隔[0] 2 3 2 4" xfId="2858"/>
    <cellStyle name="千位分隔[0] 2 3 2 4 2" xfId="2859"/>
    <cellStyle name="千位分隔[0] 2 3 2 4 2 2" xfId="2860"/>
    <cellStyle name="千位分隔[0] 2 3 2 4 2 2 2" xfId="2861"/>
    <cellStyle name="千位分隔[0] 2 3 2 4 3" xfId="2862"/>
    <cellStyle name="千位分隔[0] 2 3 2 4 3 2" xfId="2863"/>
    <cellStyle name="千位分隔[0] 2 3 2 5" xfId="2864"/>
    <cellStyle name="千位分隔[0] 2 3 2 5 2" xfId="2865"/>
    <cellStyle name="千位分隔[0] 2 3 2 5 2 2" xfId="2866"/>
    <cellStyle name="千位分隔[0] 2 3 2 5 2 2 2" xfId="2867"/>
    <cellStyle name="千位分隔[0] 2 3 2 5 3" xfId="2868"/>
    <cellStyle name="千位分隔[0] 2 3 2 5 3 2" xfId="2869"/>
    <cellStyle name="千位分隔[0] 2 3 2 6" xfId="2870"/>
    <cellStyle name="千位分隔[0] 2 3 2 6 2" xfId="2871"/>
    <cellStyle name="千位分隔[0] 2 3 3" xfId="2872"/>
    <cellStyle name="千位分隔[0] 2 3 3 2" xfId="2873"/>
    <cellStyle name="千位分隔[0] 2 3 3 2 2" xfId="2874"/>
    <cellStyle name="千位分隔[0] 2 3 3 2 2 2" xfId="2875"/>
    <cellStyle name="千位分隔[0] 2 3 3 2 2 2 2" xfId="2876"/>
    <cellStyle name="千位分隔[0] 2 3 3 2 3" xfId="2877"/>
    <cellStyle name="千位分隔[0] 2 3 3 2 3 2" xfId="2878"/>
    <cellStyle name="千位分隔[0] 2 3 3 3" xfId="2879"/>
    <cellStyle name="千位分隔[0] 2 3 3 3 2" xfId="2880"/>
    <cellStyle name="千位分隔[0] 2 3 3 3 2 2" xfId="2881"/>
    <cellStyle name="千位分隔[0] 2 3 3 3 2 2 2" xfId="2882"/>
    <cellStyle name="千位分隔[0] 2 3 3 3 3" xfId="2883"/>
    <cellStyle name="千位分隔[0] 2 3 3 3 3 2" xfId="2884"/>
    <cellStyle name="千位分隔[0] 2 3 3 4" xfId="2885"/>
    <cellStyle name="千位分隔[0] 2 3 3 4 2" xfId="2886"/>
    <cellStyle name="千位分隔[0] 2 3 3 4 2 2" xfId="2887"/>
    <cellStyle name="千位分隔[0] 2 3 3 5" xfId="2888"/>
    <cellStyle name="千位分隔[0] 2 3 3 5 2" xfId="2889"/>
    <cellStyle name="千位分隔[0] 2 3 4" xfId="2890"/>
    <cellStyle name="千位分隔[0] 2 3 4 2" xfId="2891"/>
    <cellStyle name="千位分隔[0] 2 3 4 2 2" xfId="2892"/>
    <cellStyle name="千位分隔[0] 2 3 4 2 2 2" xfId="2893"/>
    <cellStyle name="千位分隔[0] 2 3 4 2 2 2 2" xfId="2894"/>
    <cellStyle name="千位分隔[0] 2 3 4 2 3" xfId="2895"/>
    <cellStyle name="千位分隔[0] 2 3 4 2 3 2" xfId="2896"/>
    <cellStyle name="千位分隔[0] 2 3 4 3" xfId="2897"/>
    <cellStyle name="千位分隔[0] 2 3 4 3 2" xfId="2898"/>
    <cellStyle name="千位分隔[0] 2 3 4 3 2 2" xfId="2899"/>
    <cellStyle name="千位分隔[0] 2 3 4 3 2 2 2" xfId="2900"/>
    <cellStyle name="千位分隔[0] 2 3 4 3 3" xfId="2901"/>
    <cellStyle name="千位分隔[0] 2 3 4 3 3 2" xfId="2902"/>
    <cellStyle name="千位分隔[0] 2 3 4 4" xfId="2903"/>
    <cellStyle name="千位分隔[0] 2 3 4 4 2" xfId="2904"/>
    <cellStyle name="千位分隔[0] 2 3 4 4 2 2" xfId="2905"/>
    <cellStyle name="千位分隔[0] 2 3 4 5" xfId="2906"/>
    <cellStyle name="千位分隔[0] 2 3 4 5 2" xfId="2907"/>
    <cellStyle name="千位分隔[0] 2 3 5" xfId="2908"/>
    <cellStyle name="千位分隔[0] 2 3 5 2" xfId="2909"/>
    <cellStyle name="千位分隔[0] 2 3 5 2 2" xfId="2910"/>
    <cellStyle name="千位分隔[0] 2 3 5 2 2 2" xfId="2911"/>
    <cellStyle name="千位分隔[0] 2 3 5 3" xfId="2912"/>
    <cellStyle name="千位分隔[0] 2 3 5 3 2" xfId="2913"/>
    <cellStyle name="千位分隔[0] 2 3 6" xfId="2914"/>
    <cellStyle name="千位分隔[0] 2 3 6 2" xfId="2915"/>
    <cellStyle name="千位分隔[0] 2 3 6 2 2" xfId="2916"/>
    <cellStyle name="千位分隔[0] 2 3 6 2 2 2" xfId="2917"/>
    <cellStyle name="千位分隔[0] 2 3 6 3" xfId="2918"/>
    <cellStyle name="千位分隔[0] 2 3 6 3 2" xfId="2919"/>
    <cellStyle name="千位分隔[0] 2 3 7" xfId="2920"/>
    <cellStyle name="千位分隔[0] 2 3 7 2" xfId="2921"/>
    <cellStyle name="千位分隔[0] 2 4" xfId="2922"/>
    <cellStyle name="千位分隔[0] 2 4 2" xfId="2923"/>
    <cellStyle name="千位分隔[0] 2 4 2 2" xfId="2924"/>
    <cellStyle name="千位分隔[0] 2 4 2 2 2" xfId="2925"/>
    <cellStyle name="千位分隔[0] 2 4 2 2 2 2" xfId="2926"/>
    <cellStyle name="千位分隔[0] 2 4 2 2 2 2 2" xfId="2927"/>
    <cellStyle name="千位分隔[0] 2 4 2 2 2 2 2 2" xfId="2928"/>
    <cellStyle name="千位分隔[0] 2 4 2 2 2 3" xfId="2929"/>
    <cellStyle name="千位分隔[0] 2 4 2 2 2 3 2" xfId="2930"/>
    <cellStyle name="千位分隔[0] 2 4 2 2 3" xfId="2931"/>
    <cellStyle name="千位分隔[0] 2 4 2 2 3 2" xfId="2932"/>
    <cellStyle name="千位分隔[0] 2 4 2 2 3 2 2" xfId="2933"/>
    <cellStyle name="千位分隔[0] 2 4 2 2 3 2 2 2" xfId="2934"/>
    <cellStyle name="千位分隔[0] 2 4 2 2 3 3" xfId="2935"/>
    <cellStyle name="千位分隔[0] 2 4 2 2 3 3 2" xfId="2936"/>
    <cellStyle name="千位分隔[0] 2 4 2 2 4" xfId="2937"/>
    <cellStyle name="千位分隔[0] 2 4 2 2 4 2" xfId="2938"/>
    <cellStyle name="千位分隔[0] 2 4 2 2 4 2 2" xfId="2939"/>
    <cellStyle name="千位分隔[0] 2 4 2 2 5" xfId="2940"/>
    <cellStyle name="千位分隔[0] 2 4 2 2 5 2" xfId="2941"/>
    <cellStyle name="千位分隔[0] 2 4 2 3" xfId="2942"/>
    <cellStyle name="千位分隔[0] 2 4 2 3 2" xfId="2943"/>
    <cellStyle name="千位分隔[0] 2 4 2 3 2 2" xfId="2944"/>
    <cellStyle name="千位分隔[0] 2 4 2 3 2 2 2" xfId="2945"/>
    <cellStyle name="千位分隔[0] 2 4 2 3 2 2 2 2" xfId="2946"/>
    <cellStyle name="千位分隔[0] 2 4 2 3 2 3" xfId="2947"/>
    <cellStyle name="千位分隔[0] 2 4 2 3 2 3 2" xfId="2948"/>
    <cellStyle name="千位分隔[0] 2 4 2 3 3" xfId="2949"/>
    <cellStyle name="千位分隔[0] 2 4 2 3 3 2" xfId="2950"/>
    <cellStyle name="千位分隔[0] 2 4 2 3 3 2 2" xfId="2951"/>
    <cellStyle name="千位分隔[0] 2 4 2 3 3 2 2 2" xfId="2952"/>
    <cellStyle name="千位分隔[0] 2 4 2 3 3 3" xfId="2953"/>
    <cellStyle name="千位分隔[0] 2 4 2 3 3 3 2" xfId="2954"/>
    <cellStyle name="千位分隔[0] 2 4 2 3 4" xfId="2955"/>
    <cellStyle name="千位分隔[0] 2 4 2 3 4 2" xfId="2956"/>
    <cellStyle name="千位分隔[0] 2 4 2 3 4 2 2" xfId="2957"/>
    <cellStyle name="千位分隔[0] 2 4 2 3 5" xfId="2958"/>
    <cellStyle name="千位分隔[0] 2 4 2 3 5 2" xfId="2959"/>
    <cellStyle name="千位分隔[0] 2 4 2 4" xfId="2960"/>
    <cellStyle name="千位分隔[0] 2 4 2 4 2" xfId="2961"/>
    <cellStyle name="千位分隔[0] 2 4 2 4 2 2" xfId="2962"/>
    <cellStyle name="千位分隔[0] 2 4 2 4 2 2 2" xfId="2963"/>
    <cellStyle name="千位分隔[0] 2 4 2 4 3" xfId="2964"/>
    <cellStyle name="千位分隔[0] 2 4 2 4 3 2" xfId="2965"/>
    <cellStyle name="千位分隔[0] 2 4 2 5" xfId="2966"/>
    <cellStyle name="千位分隔[0] 2 4 2 5 2" xfId="2967"/>
    <cellStyle name="千位分隔[0] 2 4 2 5 2 2" xfId="2968"/>
    <cellStyle name="千位分隔[0] 2 4 2 5 2 2 2" xfId="2969"/>
    <cellStyle name="千位分隔[0] 2 4 2 5 3" xfId="2970"/>
    <cellStyle name="千位分隔[0] 2 4 2 5 3 2" xfId="2971"/>
    <cellStyle name="千位分隔[0] 2 4 2 6" xfId="2972"/>
    <cellStyle name="千位分隔[0] 2 4 2 6 2" xfId="2973"/>
    <cellStyle name="千位分隔[0] 2 4 3" xfId="2974"/>
    <cellStyle name="千位分隔[0] 2 4 3 2" xfId="2975"/>
    <cellStyle name="千位分隔[0] 2 4 3 2 2" xfId="2976"/>
    <cellStyle name="千位分隔[0] 2 4 3 2 2 2" xfId="2977"/>
    <cellStyle name="千位分隔[0] 2 4 3 2 2 2 2" xfId="2978"/>
    <cellStyle name="千位分隔[0] 2 4 3 2 3" xfId="2979"/>
    <cellStyle name="千位分隔[0] 2 4 3 2 3 2" xfId="2980"/>
    <cellStyle name="千位分隔[0] 2 4 3 3" xfId="2981"/>
    <cellStyle name="千位分隔[0] 2 4 3 3 2" xfId="2982"/>
    <cellStyle name="千位分隔[0] 2 4 3 3 2 2" xfId="2983"/>
    <cellStyle name="千位分隔[0] 2 4 3 3 2 2 2" xfId="2984"/>
    <cellStyle name="千位分隔[0] 2 4 3 3 3" xfId="2985"/>
    <cellStyle name="千位分隔[0] 2 4 3 3 3 2" xfId="2986"/>
    <cellStyle name="千位分隔[0] 2 4 3 4" xfId="2987"/>
    <cellStyle name="千位分隔[0] 2 4 3 4 2" xfId="2988"/>
    <cellStyle name="千位分隔[0] 2 4 3 4 2 2" xfId="2989"/>
    <cellStyle name="千位分隔[0] 2 4 3 5" xfId="2990"/>
    <cellStyle name="千位分隔[0] 2 4 3 5 2" xfId="2991"/>
    <cellStyle name="千位分隔[0] 2 4 4" xfId="2992"/>
    <cellStyle name="千位分隔[0] 2 4 4 2" xfId="2993"/>
    <cellStyle name="千位分隔[0] 2 4 4 2 2" xfId="2994"/>
    <cellStyle name="千位分隔[0] 2 4 4 2 2 2" xfId="2995"/>
    <cellStyle name="千位分隔[0] 2 4 4 2 2 2 2" xfId="2996"/>
    <cellStyle name="千位分隔[0] 2 4 4 2 3" xfId="2997"/>
    <cellStyle name="千位分隔[0] 2 4 4 2 3 2" xfId="2998"/>
    <cellStyle name="千位分隔[0] 2 4 4 3" xfId="2999"/>
    <cellStyle name="千位分隔[0] 2 4 4 3 2" xfId="3000"/>
    <cellStyle name="千位分隔[0] 2 4 4 3 2 2" xfId="3001"/>
    <cellStyle name="千位分隔[0] 2 4 4 3 2 2 2" xfId="3002"/>
    <cellStyle name="千位分隔[0] 2 4 4 3 3" xfId="3003"/>
    <cellStyle name="千位分隔[0] 2 4 4 3 3 2" xfId="3004"/>
    <cellStyle name="千位分隔[0] 2 4 4 4" xfId="3005"/>
    <cellStyle name="千位分隔[0] 2 4 4 4 2" xfId="3006"/>
    <cellStyle name="千位分隔[0] 2 4 4 4 2 2" xfId="3007"/>
    <cellStyle name="千位分隔[0] 2 4 4 5" xfId="3008"/>
    <cellStyle name="千位分隔[0] 2 4 4 5 2" xfId="3009"/>
    <cellStyle name="千位分隔[0] 2 4 5" xfId="3010"/>
    <cellStyle name="千位分隔[0] 2 4 5 2" xfId="3011"/>
    <cellStyle name="千位分隔[0] 2 4 5 2 2" xfId="3012"/>
    <cellStyle name="千位分隔[0] 2 4 5 2 2 2" xfId="3013"/>
    <cellStyle name="千位分隔[0] 2 4 5 3" xfId="3014"/>
    <cellStyle name="千位分隔[0] 2 4 5 3 2" xfId="3015"/>
    <cellStyle name="千位分隔[0] 2 4 6" xfId="3016"/>
    <cellStyle name="千位分隔[0] 2 4 6 2" xfId="3017"/>
    <cellStyle name="千位分隔[0] 2 4 6 2 2" xfId="3018"/>
    <cellStyle name="千位分隔[0] 2 4 6 2 2 2" xfId="3019"/>
    <cellStyle name="千位分隔[0] 2 4 6 3" xfId="3020"/>
    <cellStyle name="千位分隔[0] 2 4 6 3 2" xfId="3021"/>
    <cellStyle name="千位分隔[0] 2 4 7" xfId="3022"/>
    <cellStyle name="千位分隔[0] 2 4 7 2" xfId="3023"/>
    <cellStyle name="千位分隔[0] 2 5" xfId="3024"/>
    <cellStyle name="千位分隔[0] 2 5 2" xfId="3025"/>
    <cellStyle name="千位分隔[0] 2 5 2 2" xfId="3026"/>
    <cellStyle name="千位分隔[0] 2 5 2 2 2" xfId="3027"/>
    <cellStyle name="千位分隔[0] 2 5 2 2 2 2" xfId="3028"/>
    <cellStyle name="千位分隔[0] 2 5 2 3" xfId="3029"/>
    <cellStyle name="千位分隔[0] 2 5 2 3 2" xfId="3030"/>
    <cellStyle name="千位分隔[0] 2 5 3" xfId="3031"/>
    <cellStyle name="千位分隔[0] 2 5 3 2" xfId="3032"/>
    <cellStyle name="千位分隔[0] 2 5 3 2 2" xfId="3033"/>
    <cellStyle name="千位分隔[0] 2 5 3 2 2 2" xfId="3034"/>
    <cellStyle name="千位分隔[0] 2 5 3 3" xfId="3035"/>
    <cellStyle name="千位分隔[0] 2 5 3 3 2" xfId="3036"/>
    <cellStyle name="千位分隔[0] 2 5 4" xfId="3037"/>
    <cellStyle name="千位分隔[0] 2 5 4 2" xfId="3038"/>
    <cellStyle name="千位分隔[0] 2 5 4 2 2" xfId="3039"/>
    <cellStyle name="千位分隔[0] 2 5 5" xfId="3040"/>
    <cellStyle name="千位分隔[0] 2 5 5 2" xfId="3041"/>
    <cellStyle name="千位分隔[0] 2 6" xfId="3042"/>
    <cellStyle name="千位分隔[0] 2 6 2" xfId="3043"/>
    <cellStyle name="千位分隔[0] 2 6 2 2" xfId="3044"/>
    <cellStyle name="千位分隔[0] 2 6 2 2 2" xfId="3045"/>
    <cellStyle name="千位分隔[0] 2 6 2 2 2 2" xfId="3046"/>
    <cellStyle name="千位分隔[0] 2 6 2 3" xfId="3047"/>
    <cellStyle name="千位分隔[0] 2 6 2 3 2" xfId="3048"/>
    <cellStyle name="千位分隔[0] 2 6 3" xfId="3049"/>
    <cellStyle name="千位分隔[0] 2 6 3 2" xfId="3050"/>
    <cellStyle name="千位分隔[0] 2 6 3 2 2" xfId="3051"/>
    <cellStyle name="千位分隔[0] 2 6 3 2 2 2" xfId="3052"/>
    <cellStyle name="千位分隔[0] 2 6 3 3" xfId="3053"/>
    <cellStyle name="千位分隔[0] 2 6 3 3 2" xfId="3054"/>
    <cellStyle name="千位分隔[0] 2 6 4" xfId="3055"/>
    <cellStyle name="千位分隔[0] 2 6 4 2" xfId="3056"/>
    <cellStyle name="千位分隔[0] 2 6 4 2 2" xfId="3057"/>
    <cellStyle name="千位分隔[0] 2 6 5" xfId="3058"/>
    <cellStyle name="千位分隔[0] 2 6 5 2" xfId="3059"/>
    <cellStyle name="千位分隔[0] 2 7" xfId="3060"/>
    <cellStyle name="千位分隔[0] 2 7 2" xfId="3061"/>
    <cellStyle name="千位分隔[0] 2 7 2 2" xfId="3062"/>
    <cellStyle name="千位分隔[0] 2 7 2 2 2" xfId="3063"/>
    <cellStyle name="千位分隔[0] 2 7 3" xfId="3064"/>
    <cellStyle name="千位分隔[0] 2 7 3 2" xfId="3065"/>
    <cellStyle name="千位分隔[0] 2 8" xfId="3066"/>
    <cellStyle name="千位分隔[0] 2 8 2" xfId="3067"/>
    <cellStyle name="千位分隔[0] 2 8 2 2" xfId="3068"/>
    <cellStyle name="千位分隔[0] 2 8 2 2 2" xfId="3069"/>
    <cellStyle name="千位分隔[0] 2 8 3" xfId="3070"/>
    <cellStyle name="千位分隔[0] 2 8 3 2" xfId="3071"/>
    <cellStyle name="千位分隔[0] 2 9" xfId="3072"/>
    <cellStyle name="千位分隔[0] 2 9 2" xfId="3073"/>
    <cellStyle name="千位分隔[0] 2 9 3" xfId="3074"/>
    <cellStyle name="千位分隔[0] 3" xfId="3075"/>
    <cellStyle name="千位分隔[0] 3 2" xfId="3076"/>
    <cellStyle name="千位分隔[0] 3 2 2" xfId="3077"/>
    <cellStyle name="千位分隔[0] 3 2 2 2" xfId="3078"/>
    <cellStyle name="千位分隔[0] 3 2 2 2 2" xfId="3079"/>
    <cellStyle name="千位分隔[0] 3 2 2 2 2 2" xfId="3080"/>
    <cellStyle name="千位分隔[0] 3 2 2 2 2 2 2" xfId="3081"/>
    <cellStyle name="千位分隔[0] 3 2 2 2 3" xfId="3082"/>
    <cellStyle name="千位分隔[0] 3 2 2 2 3 2" xfId="3083"/>
    <cellStyle name="千位分隔[0] 3 2 2 3" xfId="3084"/>
    <cellStyle name="千位分隔[0] 3 2 2 3 2" xfId="3085"/>
    <cellStyle name="千位分隔[0] 3 2 2 3 2 2" xfId="3086"/>
    <cellStyle name="千位分隔[0] 3 2 2 3 2 2 2" xfId="3087"/>
    <cellStyle name="千位分隔[0] 3 2 2 3 3" xfId="3088"/>
    <cellStyle name="千位分隔[0] 3 2 2 3 3 2" xfId="3089"/>
    <cellStyle name="千位分隔[0] 3 2 2 4" xfId="3090"/>
    <cellStyle name="千位分隔[0] 3 2 2 4 2" xfId="3091"/>
    <cellStyle name="千位分隔[0] 3 2 2 4 2 2" xfId="3092"/>
    <cellStyle name="千位分隔[0] 3 2 2 5" xfId="3093"/>
    <cellStyle name="千位分隔[0] 3 2 2 5 2" xfId="3094"/>
    <cellStyle name="千位分隔[0] 3 2 3" xfId="3095"/>
    <cellStyle name="千位分隔[0] 3 2 3 2" xfId="3096"/>
    <cellStyle name="千位分隔[0] 3 2 3 2 2" xfId="3097"/>
    <cellStyle name="千位分隔[0] 3 2 3 2 2 2" xfId="3098"/>
    <cellStyle name="千位分隔[0] 3 2 3 2 2 2 2" xfId="3099"/>
    <cellStyle name="千位分隔[0] 3 2 3 2 3" xfId="3100"/>
    <cellStyle name="千位分隔[0] 3 2 3 2 3 2" xfId="3101"/>
    <cellStyle name="千位分隔[0] 3 2 3 3" xfId="3102"/>
    <cellStyle name="千位分隔[0] 3 2 3 3 2" xfId="3103"/>
    <cellStyle name="千位分隔[0] 3 2 3 3 2 2" xfId="3104"/>
    <cellStyle name="千位分隔[0] 3 2 3 3 2 2 2" xfId="3105"/>
    <cellStyle name="千位分隔[0] 3 2 3 3 3" xfId="3106"/>
    <cellStyle name="千位分隔[0] 3 2 3 3 3 2" xfId="3107"/>
    <cellStyle name="千位分隔[0] 3 2 3 4" xfId="3108"/>
    <cellStyle name="千位分隔[0] 3 2 3 4 2" xfId="3109"/>
    <cellStyle name="千位分隔[0] 3 2 3 4 2 2" xfId="3110"/>
    <cellStyle name="千位分隔[0] 3 2 3 5" xfId="3111"/>
    <cellStyle name="千位分隔[0] 3 2 3 5 2" xfId="3112"/>
    <cellStyle name="千位分隔[0] 3 2 4" xfId="3113"/>
    <cellStyle name="千位分隔[0] 3 2 4 2" xfId="3114"/>
    <cellStyle name="千位分隔[0] 3 2 4 2 2" xfId="3115"/>
    <cellStyle name="千位分隔[0] 3 2 4 2 2 2" xfId="3116"/>
    <cellStyle name="千位分隔[0] 3 2 4 3" xfId="3117"/>
    <cellStyle name="千位分隔[0] 3 2 4 3 2" xfId="3118"/>
    <cellStyle name="千位分隔[0] 3 2 5" xfId="3119"/>
    <cellStyle name="千位分隔[0] 3 2 5 2" xfId="3120"/>
    <cellStyle name="千位分隔[0] 3 2 5 2 2" xfId="3121"/>
    <cellStyle name="千位分隔[0] 3 2 5 2 2 2" xfId="3122"/>
    <cellStyle name="千位分隔[0] 3 2 5 3" xfId="3123"/>
    <cellStyle name="千位分隔[0] 3 2 5 3 2" xfId="3124"/>
    <cellStyle name="千位分隔[0] 3 2 6" xfId="3125"/>
    <cellStyle name="千位分隔[0] 3 2 6 2" xfId="3126"/>
    <cellStyle name="千位分隔[0] 3 3" xfId="3127"/>
    <cellStyle name="千位分隔[0] 3 3 2" xfId="3128"/>
    <cellStyle name="千位分隔[0] 3 3 2 2" xfId="3129"/>
    <cellStyle name="千位分隔[0] 3 3 2 2 2" xfId="3130"/>
    <cellStyle name="千位分隔[0] 3 3 2 2 2 2" xfId="3131"/>
    <cellStyle name="千位分隔[0] 3 3 2 3" xfId="3132"/>
    <cellStyle name="千位分隔[0] 3 3 2 3 2" xfId="3133"/>
    <cellStyle name="千位分隔[0] 3 3 3" xfId="3134"/>
    <cellStyle name="千位分隔[0] 3 3 3 2" xfId="3135"/>
    <cellStyle name="千位分隔[0] 3 3 3 2 2" xfId="3136"/>
    <cellStyle name="千位分隔[0] 3 3 3 2 2 2" xfId="3137"/>
    <cellStyle name="千位分隔[0] 3 3 3 3" xfId="3138"/>
    <cellStyle name="千位分隔[0] 3 3 3 3 2" xfId="3139"/>
    <cellStyle name="千位分隔[0] 3 3 4" xfId="3140"/>
    <cellStyle name="千位分隔[0] 3 3 4 2" xfId="3141"/>
    <cellStyle name="千位分隔[0] 3 3 4 2 2" xfId="3142"/>
    <cellStyle name="千位分隔[0] 3 3 5" xfId="3143"/>
    <cellStyle name="千位分隔[0] 3 3 5 2" xfId="3144"/>
    <cellStyle name="千位分隔[0] 3 4" xfId="3145"/>
    <cellStyle name="千位分隔[0] 3 4 2" xfId="3146"/>
    <cellStyle name="千位分隔[0] 3 4 2 2" xfId="3147"/>
    <cellStyle name="千位分隔[0] 3 4 2 2 2" xfId="3148"/>
    <cellStyle name="千位分隔[0] 3 4 2 2 2 2" xfId="3149"/>
    <cellStyle name="千位分隔[0] 3 4 2 3" xfId="3150"/>
    <cellStyle name="千位分隔[0] 3 4 2 3 2" xfId="3151"/>
    <cellStyle name="千位分隔[0] 3 4 3" xfId="3152"/>
    <cellStyle name="千位分隔[0] 3 4 3 2" xfId="3153"/>
    <cellStyle name="千位分隔[0] 3 4 3 2 2" xfId="3154"/>
    <cellStyle name="千位分隔[0] 3 4 3 2 2 2" xfId="3155"/>
    <cellStyle name="千位分隔[0] 3 4 3 3" xfId="3156"/>
    <cellStyle name="千位分隔[0] 3 4 3 3 2" xfId="3157"/>
    <cellStyle name="千位分隔[0] 3 4 4" xfId="3158"/>
    <cellStyle name="千位分隔[0] 3 4 4 2" xfId="3159"/>
    <cellStyle name="千位分隔[0] 3 4 4 2 2" xfId="3160"/>
    <cellStyle name="千位分隔[0] 3 4 5" xfId="3161"/>
    <cellStyle name="千位分隔[0] 3 4 5 2" xfId="3162"/>
    <cellStyle name="千位分隔[0] 3 5" xfId="3163"/>
    <cellStyle name="千位分隔[0] 3 5 2" xfId="3164"/>
    <cellStyle name="千位分隔[0] 3 5 2 2" xfId="3165"/>
    <cellStyle name="千位分隔[0] 3 5 2 2 2" xfId="3166"/>
    <cellStyle name="千位分隔[0] 3 5 3" xfId="3167"/>
    <cellStyle name="千位分隔[0] 3 5 3 2" xfId="3168"/>
    <cellStyle name="千位分隔[0] 3 6" xfId="3169"/>
    <cellStyle name="千位分隔[0] 3 6 2" xfId="3170"/>
    <cellStyle name="千位分隔[0] 3 6 2 2" xfId="3171"/>
    <cellStyle name="千位分隔[0] 3 6 2 2 2" xfId="3172"/>
    <cellStyle name="千位分隔[0] 3 6 3" xfId="3173"/>
    <cellStyle name="千位分隔[0] 3 6 3 2" xfId="3174"/>
    <cellStyle name="千位分隔[0] 3 7" xfId="3175"/>
    <cellStyle name="千位分隔[0] 3 7 2" xfId="3176"/>
    <cellStyle name="千位分隔[0] 4" xfId="3177"/>
    <cellStyle name="千位分隔[0] 4 2" xfId="3178"/>
    <cellStyle name="千位分隔[0] 4 2 2" xfId="3179"/>
    <cellStyle name="千位分隔[0] 4 2 2 2" xfId="3180"/>
    <cellStyle name="千位分隔[0] 4 2 2 2 2" xfId="3181"/>
    <cellStyle name="千位分隔[0] 4 2 2 2 2 2" xfId="3182"/>
    <cellStyle name="千位分隔[0] 4 2 2 2 2 2 2" xfId="3183"/>
    <cellStyle name="千位分隔[0] 4 2 2 2 3" xfId="3184"/>
    <cellStyle name="千位分隔[0] 4 2 2 2 3 2" xfId="3185"/>
    <cellStyle name="千位分隔[0] 4 2 2 3" xfId="3186"/>
    <cellStyle name="千位分隔[0] 4 2 2 3 2" xfId="3187"/>
    <cellStyle name="千位分隔[0] 4 2 2 3 2 2" xfId="3188"/>
    <cellStyle name="千位分隔[0] 4 2 2 3 2 2 2" xfId="3189"/>
    <cellStyle name="千位分隔[0] 4 2 2 3 3" xfId="3190"/>
    <cellStyle name="千位分隔[0] 4 2 2 3 3 2" xfId="3191"/>
    <cellStyle name="千位分隔[0] 4 2 2 4" xfId="3192"/>
    <cellStyle name="千位分隔[0] 4 2 2 4 2" xfId="3193"/>
    <cellStyle name="千位分隔[0] 4 2 2 4 2 2" xfId="3194"/>
    <cellStyle name="千位分隔[0] 4 2 2 5" xfId="3195"/>
    <cellStyle name="千位分隔[0] 4 2 2 5 2" xfId="3196"/>
    <cellStyle name="千位分隔[0] 4 2 3" xfId="3197"/>
    <cellStyle name="千位分隔[0] 4 2 3 2" xfId="3198"/>
    <cellStyle name="千位分隔[0] 4 2 3 2 2" xfId="3199"/>
    <cellStyle name="千位分隔[0] 4 2 3 2 2 2" xfId="3200"/>
    <cellStyle name="千位分隔[0] 4 2 3 2 2 2 2" xfId="3201"/>
    <cellStyle name="千位分隔[0] 4 2 3 2 3" xfId="3202"/>
    <cellStyle name="千位分隔[0] 4 2 3 2 3 2" xfId="3203"/>
    <cellStyle name="千位分隔[0] 4 2 3 3" xfId="3204"/>
    <cellStyle name="千位分隔[0] 4 2 3 3 2" xfId="3205"/>
    <cellStyle name="千位分隔[0] 4 2 3 3 2 2" xfId="3206"/>
    <cellStyle name="千位分隔[0] 4 2 3 3 2 2 2" xfId="3207"/>
    <cellStyle name="千位分隔[0] 4 2 3 3 3" xfId="3208"/>
    <cellStyle name="千位分隔[0] 4 2 3 3 3 2" xfId="3209"/>
    <cellStyle name="千位分隔[0] 4 2 3 4" xfId="3210"/>
    <cellStyle name="千位分隔[0] 4 2 3 4 2" xfId="3211"/>
    <cellStyle name="千位分隔[0] 4 2 3 4 2 2" xfId="3212"/>
    <cellStyle name="千位分隔[0] 4 2 3 5" xfId="3213"/>
    <cellStyle name="千位分隔[0] 4 2 3 5 2" xfId="3214"/>
    <cellStyle name="千位分隔[0] 4 2 4" xfId="3215"/>
    <cellStyle name="千位分隔[0] 4 2 4 2" xfId="3216"/>
    <cellStyle name="千位分隔[0] 4 2 4 2 2" xfId="3217"/>
    <cellStyle name="千位分隔[0] 4 2 4 2 2 2" xfId="3218"/>
    <cellStyle name="千位分隔[0] 4 2 4 3" xfId="3219"/>
    <cellStyle name="千位分隔[0] 4 2 4 3 2" xfId="3220"/>
    <cellStyle name="千位分隔[0] 4 2 5" xfId="3221"/>
    <cellStyle name="千位分隔[0] 4 2 5 2" xfId="3222"/>
    <cellStyle name="千位分隔[0] 4 2 5 2 2" xfId="3223"/>
    <cellStyle name="千位分隔[0] 4 2 5 2 2 2" xfId="3224"/>
    <cellStyle name="千位分隔[0] 4 2 5 3" xfId="3225"/>
    <cellStyle name="千位分隔[0] 4 2 5 3 2" xfId="3226"/>
    <cellStyle name="千位分隔[0] 4 2 6" xfId="3227"/>
    <cellStyle name="千位分隔[0] 4 2 6 2" xfId="3228"/>
    <cellStyle name="千位分隔[0] 4 3" xfId="3229"/>
    <cellStyle name="千位分隔[0] 4 3 2" xfId="3230"/>
    <cellStyle name="千位分隔[0] 4 3 2 2" xfId="3231"/>
    <cellStyle name="千位分隔[0] 4 3 2 2 2" xfId="3232"/>
    <cellStyle name="千位分隔[0] 4 3 2 2 2 2" xfId="3233"/>
    <cellStyle name="千位分隔[0] 4 3 2 3" xfId="3234"/>
    <cellStyle name="千位分隔[0] 4 3 2 3 2" xfId="3235"/>
    <cellStyle name="千位分隔[0] 4 3 3" xfId="3236"/>
    <cellStyle name="千位分隔[0] 4 3 3 2" xfId="3237"/>
    <cellStyle name="千位分隔[0] 4 3 3 2 2" xfId="3238"/>
    <cellStyle name="千位分隔[0] 4 3 3 2 2 2" xfId="3239"/>
    <cellStyle name="千位分隔[0] 4 3 3 3" xfId="3240"/>
    <cellStyle name="千位分隔[0] 4 3 3 3 2" xfId="3241"/>
    <cellStyle name="千位分隔[0] 4 3 4" xfId="3242"/>
    <cellStyle name="千位分隔[0] 4 3 4 2" xfId="3243"/>
    <cellStyle name="千位分隔[0] 4 3 4 2 2" xfId="3244"/>
    <cellStyle name="千位分隔[0] 4 3 5" xfId="3245"/>
    <cellStyle name="千位分隔[0] 4 3 5 2" xfId="3246"/>
    <cellStyle name="千位分隔[0] 4 4" xfId="3247"/>
    <cellStyle name="千位分隔[0] 4 4 2" xfId="3248"/>
    <cellStyle name="千位分隔[0] 4 4 2 2" xfId="3249"/>
    <cellStyle name="千位分隔[0] 4 4 2 2 2" xfId="3250"/>
    <cellStyle name="千位分隔[0] 4 4 2 2 2 2" xfId="3251"/>
    <cellStyle name="千位分隔[0] 4 4 2 3" xfId="3252"/>
    <cellStyle name="千位分隔[0] 4 4 2 3 2" xfId="3253"/>
    <cellStyle name="千位分隔[0] 4 4 3" xfId="3254"/>
    <cellStyle name="千位分隔[0] 4 4 3 2" xfId="3255"/>
    <cellStyle name="千位分隔[0] 4 4 3 2 2" xfId="3256"/>
    <cellStyle name="千位分隔[0] 4 4 3 2 2 2" xfId="3257"/>
    <cellStyle name="千位分隔[0] 4 4 3 3" xfId="3258"/>
    <cellStyle name="千位分隔[0] 4 4 3 3 2" xfId="3259"/>
    <cellStyle name="千位分隔[0] 4 4 4" xfId="3260"/>
    <cellStyle name="千位分隔[0] 4 4 4 2" xfId="3261"/>
    <cellStyle name="千位分隔[0] 4 4 4 2 2" xfId="3262"/>
    <cellStyle name="千位分隔[0] 4 4 5" xfId="3263"/>
    <cellStyle name="千位分隔[0] 4 4 5 2" xfId="3264"/>
    <cellStyle name="千位分隔[0] 4 5" xfId="3265"/>
    <cellStyle name="千位分隔[0] 4 5 2" xfId="3266"/>
    <cellStyle name="千位分隔[0] 4 5 2 2" xfId="3267"/>
    <cellStyle name="千位分隔[0] 4 5 2 2 2" xfId="3268"/>
    <cellStyle name="千位分隔[0] 4 5 3" xfId="3269"/>
    <cellStyle name="千位分隔[0] 4 5 3 2" xfId="3270"/>
    <cellStyle name="千位分隔[0] 4 6" xfId="3271"/>
    <cellStyle name="千位分隔[0] 4 6 2" xfId="3272"/>
    <cellStyle name="千位分隔[0] 4 6 2 2" xfId="3273"/>
    <cellStyle name="千位分隔[0] 4 6 2 2 2" xfId="3274"/>
    <cellStyle name="千位分隔[0] 4 6 3" xfId="3275"/>
    <cellStyle name="千位分隔[0] 4 6 3 2" xfId="3276"/>
    <cellStyle name="千位分隔[0] 4 7" xfId="3277"/>
    <cellStyle name="千位分隔[0] 4 7 2" xfId="3278"/>
    <cellStyle name="千位分隔[0] 5" xfId="3279"/>
    <cellStyle name="千位分隔[0] 5 2" xfId="3280"/>
    <cellStyle name="千位分隔[0] 5 2 2" xfId="3281"/>
    <cellStyle name="千位分隔[0] 5 2 2 2" xfId="3282"/>
    <cellStyle name="千位分隔[0] 5 2 2 2 2" xfId="3283"/>
    <cellStyle name="千位分隔[0] 5 2 3" xfId="3284"/>
    <cellStyle name="千位分隔[0] 5 2 3 2" xfId="3285"/>
    <cellStyle name="千位分隔[0] 5 3" xfId="3286"/>
    <cellStyle name="千位分隔[0] 5 3 2" xfId="3287"/>
    <cellStyle name="千位分隔[0] 5 3 2 2" xfId="3288"/>
    <cellStyle name="千位分隔[0] 5 3 2 2 2" xfId="3289"/>
    <cellStyle name="千位分隔[0] 5 3 3" xfId="3290"/>
    <cellStyle name="千位分隔[0] 5 3 3 2" xfId="3291"/>
    <cellStyle name="千位分隔[0] 5 4" xfId="3292"/>
    <cellStyle name="千位分隔[0] 5 4 2" xfId="3293"/>
    <cellStyle name="千位分隔[0] 5 4 2 2" xfId="3294"/>
    <cellStyle name="千位分隔[0] 5 5" xfId="3295"/>
    <cellStyle name="千位分隔[0] 5 5 2" xfId="3296"/>
    <cellStyle name="千位分隔[0] 6" xfId="3297"/>
    <cellStyle name="千位分隔[0] 6 2" xfId="3298"/>
    <cellStyle name="千位分隔[0] 6 2 2" xfId="3299"/>
    <cellStyle name="千位分隔[0] 6 2 2 2" xfId="3300"/>
    <cellStyle name="千位分隔[0] 6 2 2 2 2" xfId="3301"/>
    <cellStyle name="千位分隔[0] 6 2 3" xfId="3302"/>
    <cellStyle name="千位分隔[0] 6 2 3 2" xfId="3303"/>
    <cellStyle name="千位分隔[0] 6 3" xfId="3304"/>
    <cellStyle name="千位分隔[0] 6 3 2" xfId="3305"/>
    <cellStyle name="千位分隔[0] 6 3 2 2" xfId="3306"/>
    <cellStyle name="千位分隔[0] 6 3 2 2 2" xfId="3307"/>
    <cellStyle name="千位分隔[0] 6 3 3" xfId="3308"/>
    <cellStyle name="千位分隔[0] 6 3 3 2" xfId="3309"/>
    <cellStyle name="千位分隔[0] 6 4" xfId="3310"/>
    <cellStyle name="千位分隔[0] 6 4 2" xfId="3311"/>
    <cellStyle name="千位分隔[0] 6 4 2 2" xfId="3312"/>
    <cellStyle name="千位分隔[0] 6 5" xfId="3313"/>
    <cellStyle name="千位分隔[0] 6 5 2" xfId="3314"/>
    <cellStyle name="千位分隔[0] 7" xfId="3315"/>
    <cellStyle name="千位分隔[0] 7 2" xfId="3316"/>
    <cellStyle name="千位分隔[0] 7 2 2" xfId="3317"/>
    <cellStyle name="千位分隔[0] 7 2 2 2" xfId="3318"/>
    <cellStyle name="千位分隔[0] 7 3" xfId="3319"/>
    <cellStyle name="千位分隔[0] 7 3 2" xfId="3320"/>
    <cellStyle name="千位分隔[0] 7 4" xfId="3321"/>
    <cellStyle name="千位分隔[0] 8" xfId="3322"/>
    <cellStyle name="千位分隔[0] 8 2" xfId="3323"/>
    <cellStyle name="千位分隔[0] 8 2 2" xfId="3324"/>
    <cellStyle name="千位分隔[0] 8 2 2 2" xfId="3325"/>
    <cellStyle name="千位分隔[0] 8 3" xfId="3326"/>
    <cellStyle name="千位分隔[0] 8 3 2" xfId="3327"/>
    <cellStyle name="千位分隔[0] 9" xfId="3328"/>
    <cellStyle name="千位分隔[0] 9 2" xfId="3329"/>
    <cellStyle name="千位分隔[0] 9 3" xfId="3330"/>
    <cellStyle name="未定義" xfId="3331"/>
    <cellStyle name="未定義 2" xfId="3332"/>
    <cellStyle name="未定義 2 2" xfId="3333"/>
    <cellStyle name="未定義 3" xfId="3334"/>
    <cellStyle name="未定義 4" xfId="3335"/>
    <cellStyle name="표준_상품판매계획대비(SBU내역)_第7會計期間(YEK)-9月" xfId="33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142878</xdr:colOff>
      <xdr:row>10</xdr:row>
      <xdr:rowOff>76200</xdr:rowOff>
    </xdr:from>
    <xdr:to>
      <xdr:col>6</xdr:col>
      <xdr:colOff>400052</xdr:colOff>
      <xdr:row>10</xdr:row>
      <xdr:rowOff>304799</xdr:rowOff>
    </xdr:to>
    <xdr:sp macro="" textlink="">
      <xdr:nvSpPr>
        <xdr:cNvPr id="2" name="右箭头 35"/>
        <xdr:cNvSpPr/>
      </xdr:nvSpPr>
      <xdr:spPr>
        <a:xfrm rot="16200000">
          <a:off x="4610100" y="366712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142879</xdr:colOff>
      <xdr:row>13</xdr:row>
      <xdr:rowOff>76205</xdr:rowOff>
    </xdr:from>
    <xdr:to>
      <xdr:col>6</xdr:col>
      <xdr:colOff>409579</xdr:colOff>
      <xdr:row>13</xdr:row>
      <xdr:rowOff>314330</xdr:rowOff>
    </xdr:to>
    <xdr:sp macro="" textlink="">
      <xdr:nvSpPr>
        <xdr:cNvPr id="3" name="右箭头 48"/>
        <xdr:cNvSpPr/>
      </xdr:nvSpPr>
      <xdr:spPr>
        <a:xfrm rot="16200000" flipH="1">
          <a:off x="4605337" y="2776543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133350</xdr:colOff>
      <xdr:row>23</xdr:row>
      <xdr:rowOff>161925</xdr:rowOff>
    </xdr:from>
    <xdr:to>
      <xdr:col>15</xdr:col>
      <xdr:colOff>390525</xdr:colOff>
      <xdr:row>23</xdr:row>
      <xdr:rowOff>161926</xdr:rowOff>
    </xdr:to>
    <xdr:cxnSp macro="">
      <xdr:nvCxnSpPr>
        <xdr:cNvPr id="6" name="直接连接符 5"/>
        <xdr:cNvCxnSpPr/>
      </xdr:nvCxnSpPr>
      <xdr:spPr>
        <a:xfrm>
          <a:off x="10953750" y="5429250"/>
          <a:ext cx="0" cy="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13</xdr:row>
      <xdr:rowOff>190500</xdr:rowOff>
    </xdr:from>
    <xdr:to>
      <xdr:col>12</xdr:col>
      <xdr:colOff>409575</xdr:colOff>
      <xdr:row>13</xdr:row>
      <xdr:rowOff>190501</xdr:rowOff>
    </xdr:to>
    <xdr:cxnSp macro="">
      <xdr:nvCxnSpPr>
        <xdr:cNvPr id="7" name="直接连接符 6"/>
        <xdr:cNvCxnSpPr/>
      </xdr:nvCxnSpPr>
      <xdr:spPr>
        <a:xfrm>
          <a:off x="8877300" y="2771775"/>
          <a:ext cx="0" cy="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7</xdr:row>
      <xdr:rowOff>180975</xdr:rowOff>
    </xdr:from>
    <xdr:to>
      <xdr:col>6</xdr:col>
      <xdr:colOff>400050</xdr:colOff>
      <xdr:row>7</xdr:row>
      <xdr:rowOff>180976</xdr:rowOff>
    </xdr:to>
    <xdr:cxnSp macro="">
      <xdr:nvCxnSpPr>
        <xdr:cNvPr id="8" name="直接连接符 7"/>
        <xdr:cNvCxnSpPr/>
      </xdr:nvCxnSpPr>
      <xdr:spPr>
        <a:xfrm>
          <a:off x="4724400" y="1866900"/>
          <a:ext cx="0" cy="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133352</xdr:colOff>
      <xdr:row>16</xdr:row>
      <xdr:rowOff>66677</xdr:rowOff>
    </xdr:from>
    <xdr:to>
      <xdr:col>6</xdr:col>
      <xdr:colOff>400052</xdr:colOff>
      <xdr:row>16</xdr:row>
      <xdr:rowOff>304802</xdr:rowOff>
    </xdr:to>
    <xdr:sp macro="" textlink="">
      <xdr:nvSpPr>
        <xdr:cNvPr id="9" name="右箭头 48"/>
        <xdr:cNvSpPr/>
      </xdr:nvSpPr>
      <xdr:spPr>
        <a:xfrm rot="16200000" flipH="1">
          <a:off x="4605337" y="4557715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142875</xdr:colOff>
      <xdr:row>23</xdr:row>
      <xdr:rowOff>57152</xdr:rowOff>
    </xdr:from>
    <xdr:to>
      <xdr:col>6</xdr:col>
      <xdr:colOff>409575</xdr:colOff>
      <xdr:row>23</xdr:row>
      <xdr:rowOff>295277</xdr:rowOff>
    </xdr:to>
    <xdr:sp macro="" textlink="">
      <xdr:nvSpPr>
        <xdr:cNvPr id="10" name="右箭头 48"/>
        <xdr:cNvSpPr/>
      </xdr:nvSpPr>
      <xdr:spPr>
        <a:xfrm rot="16200000" flipH="1">
          <a:off x="4605337" y="5443540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133350</xdr:colOff>
      <xdr:row>7</xdr:row>
      <xdr:rowOff>57150</xdr:rowOff>
    </xdr:from>
    <xdr:to>
      <xdr:col>12</xdr:col>
      <xdr:colOff>390524</xdr:colOff>
      <xdr:row>7</xdr:row>
      <xdr:rowOff>285749</xdr:rowOff>
    </xdr:to>
    <xdr:sp macro="" textlink="">
      <xdr:nvSpPr>
        <xdr:cNvPr id="14" name="右箭头 35"/>
        <xdr:cNvSpPr/>
      </xdr:nvSpPr>
      <xdr:spPr>
        <a:xfrm rot="16200000">
          <a:off x="8763000" y="18573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142875</xdr:colOff>
      <xdr:row>10</xdr:row>
      <xdr:rowOff>47625</xdr:rowOff>
    </xdr:from>
    <xdr:to>
      <xdr:col>12</xdr:col>
      <xdr:colOff>400049</xdr:colOff>
      <xdr:row>10</xdr:row>
      <xdr:rowOff>276224</xdr:rowOff>
    </xdr:to>
    <xdr:sp macro="" textlink="">
      <xdr:nvSpPr>
        <xdr:cNvPr id="15" name="右箭头 35"/>
        <xdr:cNvSpPr/>
      </xdr:nvSpPr>
      <xdr:spPr>
        <a:xfrm rot="16200000">
          <a:off x="8763000" y="363855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152400</xdr:colOff>
      <xdr:row>16</xdr:row>
      <xdr:rowOff>57150</xdr:rowOff>
    </xdr:from>
    <xdr:to>
      <xdr:col>12</xdr:col>
      <xdr:colOff>409574</xdr:colOff>
      <xdr:row>16</xdr:row>
      <xdr:rowOff>285749</xdr:rowOff>
    </xdr:to>
    <xdr:sp macro="" textlink="">
      <xdr:nvSpPr>
        <xdr:cNvPr id="16" name="右箭头 35"/>
        <xdr:cNvSpPr/>
      </xdr:nvSpPr>
      <xdr:spPr>
        <a:xfrm rot="16200000">
          <a:off x="8763000" y="454342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161927</xdr:colOff>
      <xdr:row>23</xdr:row>
      <xdr:rowOff>57150</xdr:rowOff>
    </xdr:from>
    <xdr:to>
      <xdr:col>12</xdr:col>
      <xdr:colOff>419101</xdr:colOff>
      <xdr:row>23</xdr:row>
      <xdr:rowOff>285749</xdr:rowOff>
    </xdr:to>
    <xdr:sp macro="" textlink="">
      <xdr:nvSpPr>
        <xdr:cNvPr id="17" name="右箭头 35"/>
        <xdr:cNvSpPr/>
      </xdr:nvSpPr>
      <xdr:spPr>
        <a:xfrm rot="16200000">
          <a:off x="8763000" y="54387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142875</xdr:colOff>
      <xdr:row>7</xdr:row>
      <xdr:rowOff>66675</xdr:rowOff>
    </xdr:from>
    <xdr:to>
      <xdr:col>15</xdr:col>
      <xdr:colOff>400049</xdr:colOff>
      <xdr:row>7</xdr:row>
      <xdr:rowOff>295274</xdr:rowOff>
    </xdr:to>
    <xdr:sp macro="" textlink="">
      <xdr:nvSpPr>
        <xdr:cNvPr id="18" name="右箭头 35"/>
        <xdr:cNvSpPr/>
      </xdr:nvSpPr>
      <xdr:spPr>
        <a:xfrm rot="16200000">
          <a:off x="10839450" y="186690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133350</xdr:colOff>
      <xdr:row>13</xdr:row>
      <xdr:rowOff>66676</xdr:rowOff>
    </xdr:from>
    <xdr:to>
      <xdr:col>15</xdr:col>
      <xdr:colOff>400050</xdr:colOff>
      <xdr:row>13</xdr:row>
      <xdr:rowOff>304801</xdr:rowOff>
    </xdr:to>
    <xdr:sp macro="" textlink="">
      <xdr:nvSpPr>
        <xdr:cNvPr id="19" name="右箭头 48"/>
        <xdr:cNvSpPr/>
      </xdr:nvSpPr>
      <xdr:spPr>
        <a:xfrm rot="16200000" flipH="1">
          <a:off x="10834687" y="2767014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142875</xdr:colOff>
      <xdr:row>10</xdr:row>
      <xdr:rowOff>66675</xdr:rowOff>
    </xdr:from>
    <xdr:to>
      <xdr:col>15</xdr:col>
      <xdr:colOff>400049</xdr:colOff>
      <xdr:row>10</xdr:row>
      <xdr:rowOff>295274</xdr:rowOff>
    </xdr:to>
    <xdr:sp macro="" textlink="">
      <xdr:nvSpPr>
        <xdr:cNvPr id="20" name="右箭头 35"/>
        <xdr:cNvSpPr/>
      </xdr:nvSpPr>
      <xdr:spPr>
        <a:xfrm rot="16200000">
          <a:off x="10839450" y="365760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133350</xdr:colOff>
      <xdr:row>16</xdr:row>
      <xdr:rowOff>66675</xdr:rowOff>
    </xdr:from>
    <xdr:to>
      <xdr:col>15</xdr:col>
      <xdr:colOff>400050</xdr:colOff>
      <xdr:row>16</xdr:row>
      <xdr:rowOff>304801</xdr:rowOff>
    </xdr:to>
    <xdr:sp macro="" textlink="">
      <xdr:nvSpPr>
        <xdr:cNvPr id="21" name="右箭头 48"/>
        <xdr:cNvSpPr/>
      </xdr:nvSpPr>
      <xdr:spPr>
        <a:xfrm rot="16200000" flipH="1">
          <a:off x="10834687" y="4557713"/>
          <a:ext cx="238126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133352</xdr:colOff>
      <xdr:row>18</xdr:row>
      <xdr:rowOff>66677</xdr:rowOff>
    </xdr:from>
    <xdr:to>
      <xdr:col>6</xdr:col>
      <xdr:colOff>400052</xdr:colOff>
      <xdr:row>18</xdr:row>
      <xdr:rowOff>304802</xdr:rowOff>
    </xdr:to>
    <xdr:sp macro="" textlink="">
      <xdr:nvSpPr>
        <xdr:cNvPr id="22" name="右箭头 48"/>
        <xdr:cNvSpPr/>
      </xdr:nvSpPr>
      <xdr:spPr>
        <a:xfrm rot="16200000" flipH="1">
          <a:off x="4605337" y="4557715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152400</xdr:colOff>
      <xdr:row>18</xdr:row>
      <xdr:rowOff>57150</xdr:rowOff>
    </xdr:from>
    <xdr:to>
      <xdr:col>12</xdr:col>
      <xdr:colOff>409574</xdr:colOff>
      <xdr:row>18</xdr:row>
      <xdr:rowOff>285749</xdr:rowOff>
    </xdr:to>
    <xdr:sp macro="" textlink="">
      <xdr:nvSpPr>
        <xdr:cNvPr id="24" name="右箭头 35"/>
        <xdr:cNvSpPr/>
      </xdr:nvSpPr>
      <xdr:spPr>
        <a:xfrm rot="16200000">
          <a:off x="8763000" y="454342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133350</xdr:colOff>
      <xdr:row>18</xdr:row>
      <xdr:rowOff>66675</xdr:rowOff>
    </xdr:from>
    <xdr:to>
      <xdr:col>15</xdr:col>
      <xdr:colOff>400050</xdr:colOff>
      <xdr:row>18</xdr:row>
      <xdr:rowOff>304801</xdr:rowOff>
    </xdr:to>
    <xdr:sp macro="" textlink="">
      <xdr:nvSpPr>
        <xdr:cNvPr id="25" name="右箭头 48"/>
        <xdr:cNvSpPr/>
      </xdr:nvSpPr>
      <xdr:spPr>
        <a:xfrm rot="16200000" flipH="1">
          <a:off x="10834687" y="4557713"/>
          <a:ext cx="238126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133350</xdr:colOff>
      <xdr:row>10</xdr:row>
      <xdr:rowOff>57150</xdr:rowOff>
    </xdr:from>
    <xdr:to>
      <xdr:col>12</xdr:col>
      <xdr:colOff>390524</xdr:colOff>
      <xdr:row>10</xdr:row>
      <xdr:rowOff>285749</xdr:rowOff>
    </xdr:to>
    <xdr:sp macro="" textlink="">
      <xdr:nvSpPr>
        <xdr:cNvPr id="26" name="右箭头 35"/>
        <xdr:cNvSpPr/>
      </xdr:nvSpPr>
      <xdr:spPr>
        <a:xfrm rot="16200000">
          <a:off x="8763000" y="18573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133352</xdr:colOff>
      <xdr:row>21</xdr:row>
      <xdr:rowOff>66677</xdr:rowOff>
    </xdr:from>
    <xdr:to>
      <xdr:col>6</xdr:col>
      <xdr:colOff>400052</xdr:colOff>
      <xdr:row>21</xdr:row>
      <xdr:rowOff>304802</xdr:rowOff>
    </xdr:to>
    <xdr:sp macro="" textlink="">
      <xdr:nvSpPr>
        <xdr:cNvPr id="27" name="右箭头 48"/>
        <xdr:cNvSpPr/>
      </xdr:nvSpPr>
      <xdr:spPr>
        <a:xfrm rot="16200000" flipH="1">
          <a:off x="4605337" y="5453065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152400</xdr:colOff>
      <xdr:row>21</xdr:row>
      <xdr:rowOff>57150</xdr:rowOff>
    </xdr:from>
    <xdr:to>
      <xdr:col>12</xdr:col>
      <xdr:colOff>409574</xdr:colOff>
      <xdr:row>21</xdr:row>
      <xdr:rowOff>285749</xdr:rowOff>
    </xdr:to>
    <xdr:sp macro="" textlink="">
      <xdr:nvSpPr>
        <xdr:cNvPr id="29" name="右箭头 35"/>
        <xdr:cNvSpPr/>
      </xdr:nvSpPr>
      <xdr:spPr>
        <a:xfrm rot="16200000">
          <a:off x="8763000" y="54387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142875</xdr:colOff>
      <xdr:row>7</xdr:row>
      <xdr:rowOff>66675</xdr:rowOff>
    </xdr:from>
    <xdr:to>
      <xdr:col>18</xdr:col>
      <xdr:colOff>400049</xdr:colOff>
      <xdr:row>7</xdr:row>
      <xdr:rowOff>295274</xdr:rowOff>
    </xdr:to>
    <xdr:sp macro="" textlink="">
      <xdr:nvSpPr>
        <xdr:cNvPr id="23" name="右箭头 35"/>
        <xdr:cNvSpPr/>
      </xdr:nvSpPr>
      <xdr:spPr>
        <a:xfrm rot="16200000">
          <a:off x="9953625" y="163830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133350</xdr:colOff>
      <xdr:row>13</xdr:row>
      <xdr:rowOff>66676</xdr:rowOff>
    </xdr:from>
    <xdr:to>
      <xdr:col>18</xdr:col>
      <xdr:colOff>400050</xdr:colOff>
      <xdr:row>13</xdr:row>
      <xdr:rowOff>304801</xdr:rowOff>
    </xdr:to>
    <xdr:sp macro="" textlink="">
      <xdr:nvSpPr>
        <xdr:cNvPr id="28" name="右箭头 48"/>
        <xdr:cNvSpPr/>
      </xdr:nvSpPr>
      <xdr:spPr>
        <a:xfrm rot="16200000" flipH="1">
          <a:off x="9948862" y="2538414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142875</xdr:colOff>
      <xdr:row>10</xdr:row>
      <xdr:rowOff>66675</xdr:rowOff>
    </xdr:from>
    <xdr:to>
      <xdr:col>18</xdr:col>
      <xdr:colOff>400049</xdr:colOff>
      <xdr:row>10</xdr:row>
      <xdr:rowOff>295274</xdr:rowOff>
    </xdr:to>
    <xdr:sp macro="" textlink="">
      <xdr:nvSpPr>
        <xdr:cNvPr id="30" name="右箭头 35"/>
        <xdr:cNvSpPr/>
      </xdr:nvSpPr>
      <xdr:spPr>
        <a:xfrm rot="16200000">
          <a:off x="9953625" y="20859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21</xdr:col>
      <xdr:colOff>142875</xdr:colOff>
      <xdr:row>7</xdr:row>
      <xdr:rowOff>66675</xdr:rowOff>
    </xdr:from>
    <xdr:to>
      <xdr:col>21</xdr:col>
      <xdr:colOff>400049</xdr:colOff>
      <xdr:row>7</xdr:row>
      <xdr:rowOff>295274</xdr:rowOff>
    </xdr:to>
    <xdr:sp macro="" textlink="">
      <xdr:nvSpPr>
        <xdr:cNvPr id="31" name="右箭头 35"/>
        <xdr:cNvSpPr/>
      </xdr:nvSpPr>
      <xdr:spPr>
        <a:xfrm rot="16200000">
          <a:off x="12182475" y="175260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21</xdr:col>
      <xdr:colOff>133350</xdr:colOff>
      <xdr:row>13</xdr:row>
      <xdr:rowOff>66676</xdr:rowOff>
    </xdr:from>
    <xdr:to>
      <xdr:col>21</xdr:col>
      <xdr:colOff>400050</xdr:colOff>
      <xdr:row>13</xdr:row>
      <xdr:rowOff>304801</xdr:rowOff>
    </xdr:to>
    <xdr:sp macro="" textlink="">
      <xdr:nvSpPr>
        <xdr:cNvPr id="32" name="右箭头 48"/>
        <xdr:cNvSpPr/>
      </xdr:nvSpPr>
      <xdr:spPr>
        <a:xfrm rot="16200000" flipH="1">
          <a:off x="12177712" y="2652714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21</xdr:col>
      <xdr:colOff>142875</xdr:colOff>
      <xdr:row>10</xdr:row>
      <xdr:rowOff>66675</xdr:rowOff>
    </xdr:from>
    <xdr:to>
      <xdr:col>21</xdr:col>
      <xdr:colOff>400049</xdr:colOff>
      <xdr:row>10</xdr:row>
      <xdr:rowOff>295274</xdr:rowOff>
    </xdr:to>
    <xdr:sp macro="" textlink="">
      <xdr:nvSpPr>
        <xdr:cNvPr id="33" name="右箭头 35"/>
        <xdr:cNvSpPr/>
      </xdr:nvSpPr>
      <xdr:spPr>
        <a:xfrm rot="16200000">
          <a:off x="12182475" y="22002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133350</xdr:colOff>
      <xdr:row>18</xdr:row>
      <xdr:rowOff>57150</xdr:rowOff>
    </xdr:from>
    <xdr:to>
      <xdr:col>12</xdr:col>
      <xdr:colOff>390524</xdr:colOff>
      <xdr:row>18</xdr:row>
      <xdr:rowOff>285749</xdr:rowOff>
    </xdr:to>
    <xdr:sp macro="" textlink="">
      <xdr:nvSpPr>
        <xdr:cNvPr id="34" name="右箭头 35"/>
        <xdr:cNvSpPr/>
      </xdr:nvSpPr>
      <xdr:spPr>
        <a:xfrm rot="16200000">
          <a:off x="7117080" y="1703070"/>
          <a:ext cx="19811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133352</xdr:colOff>
      <xdr:row>20</xdr:row>
      <xdr:rowOff>66677</xdr:rowOff>
    </xdr:from>
    <xdr:to>
      <xdr:col>6</xdr:col>
      <xdr:colOff>400052</xdr:colOff>
      <xdr:row>20</xdr:row>
      <xdr:rowOff>304802</xdr:rowOff>
    </xdr:to>
    <xdr:sp macro="" textlink="">
      <xdr:nvSpPr>
        <xdr:cNvPr id="35" name="右箭头 48"/>
        <xdr:cNvSpPr/>
      </xdr:nvSpPr>
      <xdr:spPr>
        <a:xfrm rot="16200000" flipH="1">
          <a:off x="3814762" y="3328990"/>
          <a:ext cx="18097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152400</xdr:colOff>
      <xdr:row>20</xdr:row>
      <xdr:rowOff>57150</xdr:rowOff>
    </xdr:from>
    <xdr:to>
      <xdr:col>12</xdr:col>
      <xdr:colOff>409574</xdr:colOff>
      <xdr:row>20</xdr:row>
      <xdr:rowOff>285749</xdr:rowOff>
    </xdr:to>
    <xdr:sp macro="" textlink="">
      <xdr:nvSpPr>
        <xdr:cNvPr id="36" name="右箭头 35"/>
        <xdr:cNvSpPr/>
      </xdr:nvSpPr>
      <xdr:spPr>
        <a:xfrm rot="16200000">
          <a:off x="8096250" y="3324225"/>
          <a:ext cx="1904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133350</xdr:colOff>
      <xdr:row>20</xdr:row>
      <xdr:rowOff>57150</xdr:rowOff>
    </xdr:from>
    <xdr:to>
      <xdr:col>12</xdr:col>
      <xdr:colOff>390524</xdr:colOff>
      <xdr:row>20</xdr:row>
      <xdr:rowOff>285749</xdr:rowOff>
    </xdr:to>
    <xdr:sp macro="" textlink="">
      <xdr:nvSpPr>
        <xdr:cNvPr id="37" name="右箭头 35"/>
        <xdr:cNvSpPr/>
      </xdr:nvSpPr>
      <xdr:spPr>
        <a:xfrm rot="16200000">
          <a:off x="8096250" y="3324225"/>
          <a:ext cx="1904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133352</xdr:colOff>
      <xdr:row>20</xdr:row>
      <xdr:rowOff>66677</xdr:rowOff>
    </xdr:from>
    <xdr:to>
      <xdr:col>6</xdr:col>
      <xdr:colOff>400052</xdr:colOff>
      <xdr:row>20</xdr:row>
      <xdr:rowOff>304802</xdr:rowOff>
    </xdr:to>
    <xdr:sp macro="" textlink="">
      <xdr:nvSpPr>
        <xdr:cNvPr id="38" name="右箭头 48"/>
        <xdr:cNvSpPr/>
      </xdr:nvSpPr>
      <xdr:spPr>
        <a:xfrm rot="16200000" flipH="1">
          <a:off x="3814762" y="3328990"/>
          <a:ext cx="18097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152400</xdr:colOff>
      <xdr:row>20</xdr:row>
      <xdr:rowOff>57150</xdr:rowOff>
    </xdr:from>
    <xdr:to>
      <xdr:col>12</xdr:col>
      <xdr:colOff>409574</xdr:colOff>
      <xdr:row>20</xdr:row>
      <xdr:rowOff>285749</xdr:rowOff>
    </xdr:to>
    <xdr:sp macro="" textlink="">
      <xdr:nvSpPr>
        <xdr:cNvPr id="39" name="右箭头 35"/>
        <xdr:cNvSpPr/>
      </xdr:nvSpPr>
      <xdr:spPr>
        <a:xfrm rot="16200000">
          <a:off x="8096250" y="3324225"/>
          <a:ext cx="1904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133350</xdr:colOff>
      <xdr:row>20</xdr:row>
      <xdr:rowOff>57150</xdr:rowOff>
    </xdr:from>
    <xdr:to>
      <xdr:col>12</xdr:col>
      <xdr:colOff>390524</xdr:colOff>
      <xdr:row>20</xdr:row>
      <xdr:rowOff>285749</xdr:rowOff>
    </xdr:to>
    <xdr:sp macro="" textlink="">
      <xdr:nvSpPr>
        <xdr:cNvPr id="40" name="右箭头 35"/>
        <xdr:cNvSpPr/>
      </xdr:nvSpPr>
      <xdr:spPr>
        <a:xfrm rot="16200000">
          <a:off x="8096250" y="3324225"/>
          <a:ext cx="1904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142878</xdr:colOff>
      <xdr:row>9</xdr:row>
      <xdr:rowOff>76200</xdr:rowOff>
    </xdr:from>
    <xdr:to>
      <xdr:col>6</xdr:col>
      <xdr:colOff>400052</xdr:colOff>
      <xdr:row>9</xdr:row>
      <xdr:rowOff>304799</xdr:rowOff>
    </xdr:to>
    <xdr:sp macro="" textlink="">
      <xdr:nvSpPr>
        <xdr:cNvPr id="2" name="右箭头 35"/>
        <xdr:cNvSpPr/>
      </xdr:nvSpPr>
      <xdr:spPr>
        <a:xfrm rot="16200000">
          <a:off x="3724275" y="220980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142879</xdr:colOff>
      <xdr:row>11</xdr:row>
      <xdr:rowOff>76205</xdr:rowOff>
    </xdr:from>
    <xdr:to>
      <xdr:col>6</xdr:col>
      <xdr:colOff>409579</xdr:colOff>
      <xdr:row>11</xdr:row>
      <xdr:rowOff>314330</xdr:rowOff>
    </xdr:to>
    <xdr:sp macro="" textlink="">
      <xdr:nvSpPr>
        <xdr:cNvPr id="3" name="右箭头 48"/>
        <xdr:cNvSpPr/>
      </xdr:nvSpPr>
      <xdr:spPr>
        <a:xfrm rot="16200000" flipH="1">
          <a:off x="3719512" y="2662243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133350</xdr:colOff>
      <xdr:row>19</xdr:row>
      <xdr:rowOff>161925</xdr:rowOff>
    </xdr:from>
    <xdr:to>
      <xdr:col>15</xdr:col>
      <xdr:colOff>390525</xdr:colOff>
      <xdr:row>19</xdr:row>
      <xdr:rowOff>161926</xdr:rowOff>
    </xdr:to>
    <xdr:cxnSp macro="">
      <xdr:nvCxnSpPr>
        <xdr:cNvPr id="4" name="直接连接符 3"/>
        <xdr:cNvCxnSpPr/>
      </xdr:nvCxnSpPr>
      <xdr:spPr>
        <a:xfrm>
          <a:off x="10067925" y="3524250"/>
          <a:ext cx="0" cy="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152400</xdr:colOff>
      <xdr:row>11</xdr:row>
      <xdr:rowOff>190500</xdr:rowOff>
    </xdr:from>
    <xdr:to>
      <xdr:col>12</xdr:col>
      <xdr:colOff>409575</xdr:colOff>
      <xdr:row>11</xdr:row>
      <xdr:rowOff>190501</xdr:rowOff>
    </xdr:to>
    <xdr:cxnSp macro="">
      <xdr:nvCxnSpPr>
        <xdr:cNvPr id="5" name="直接连接符 4"/>
        <xdr:cNvCxnSpPr/>
      </xdr:nvCxnSpPr>
      <xdr:spPr>
        <a:xfrm>
          <a:off x="7991475" y="2657475"/>
          <a:ext cx="0" cy="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</xdr:colOff>
      <xdr:row>7</xdr:row>
      <xdr:rowOff>180975</xdr:rowOff>
    </xdr:from>
    <xdr:to>
      <xdr:col>6</xdr:col>
      <xdr:colOff>400050</xdr:colOff>
      <xdr:row>7</xdr:row>
      <xdr:rowOff>180976</xdr:rowOff>
    </xdr:to>
    <xdr:cxnSp macro="">
      <xdr:nvCxnSpPr>
        <xdr:cNvPr id="6" name="直接连接符 5"/>
        <xdr:cNvCxnSpPr/>
      </xdr:nvCxnSpPr>
      <xdr:spPr>
        <a:xfrm>
          <a:off x="3838575" y="1752600"/>
          <a:ext cx="0" cy="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133352</xdr:colOff>
      <xdr:row>13</xdr:row>
      <xdr:rowOff>66677</xdr:rowOff>
    </xdr:from>
    <xdr:to>
      <xdr:col>6</xdr:col>
      <xdr:colOff>400052</xdr:colOff>
      <xdr:row>13</xdr:row>
      <xdr:rowOff>304802</xdr:rowOff>
    </xdr:to>
    <xdr:sp macro="" textlink="">
      <xdr:nvSpPr>
        <xdr:cNvPr id="7" name="右箭头 48"/>
        <xdr:cNvSpPr/>
      </xdr:nvSpPr>
      <xdr:spPr>
        <a:xfrm rot="16200000" flipH="1">
          <a:off x="3838575" y="2914650"/>
          <a:ext cx="0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142875</xdr:colOff>
      <xdr:row>19</xdr:row>
      <xdr:rowOff>57152</xdr:rowOff>
    </xdr:from>
    <xdr:to>
      <xdr:col>6</xdr:col>
      <xdr:colOff>409575</xdr:colOff>
      <xdr:row>19</xdr:row>
      <xdr:rowOff>295277</xdr:rowOff>
    </xdr:to>
    <xdr:sp macro="" textlink="">
      <xdr:nvSpPr>
        <xdr:cNvPr id="8" name="右箭头 48"/>
        <xdr:cNvSpPr/>
      </xdr:nvSpPr>
      <xdr:spPr>
        <a:xfrm rot="16200000" flipH="1">
          <a:off x="3719512" y="3538540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133350</xdr:colOff>
      <xdr:row>7</xdr:row>
      <xdr:rowOff>57150</xdr:rowOff>
    </xdr:from>
    <xdr:to>
      <xdr:col>12</xdr:col>
      <xdr:colOff>390524</xdr:colOff>
      <xdr:row>7</xdr:row>
      <xdr:rowOff>285749</xdr:rowOff>
    </xdr:to>
    <xdr:sp macro="" textlink="">
      <xdr:nvSpPr>
        <xdr:cNvPr id="9" name="右箭头 35"/>
        <xdr:cNvSpPr/>
      </xdr:nvSpPr>
      <xdr:spPr>
        <a:xfrm rot="16200000">
          <a:off x="7877175" y="17430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142875</xdr:colOff>
      <xdr:row>9</xdr:row>
      <xdr:rowOff>47625</xdr:rowOff>
    </xdr:from>
    <xdr:to>
      <xdr:col>12</xdr:col>
      <xdr:colOff>400049</xdr:colOff>
      <xdr:row>9</xdr:row>
      <xdr:rowOff>276224</xdr:rowOff>
    </xdr:to>
    <xdr:sp macro="" textlink="">
      <xdr:nvSpPr>
        <xdr:cNvPr id="10" name="右箭头 35"/>
        <xdr:cNvSpPr/>
      </xdr:nvSpPr>
      <xdr:spPr>
        <a:xfrm rot="16200000">
          <a:off x="7877175" y="218122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152400</xdr:colOff>
      <xdr:row>13</xdr:row>
      <xdr:rowOff>57150</xdr:rowOff>
    </xdr:from>
    <xdr:to>
      <xdr:col>12</xdr:col>
      <xdr:colOff>409574</xdr:colOff>
      <xdr:row>13</xdr:row>
      <xdr:rowOff>285749</xdr:rowOff>
    </xdr:to>
    <xdr:sp macro="" textlink="">
      <xdr:nvSpPr>
        <xdr:cNvPr id="11" name="右箭头 35"/>
        <xdr:cNvSpPr/>
      </xdr:nvSpPr>
      <xdr:spPr>
        <a:xfrm rot="16200000">
          <a:off x="7991475" y="2914650"/>
          <a:ext cx="0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161927</xdr:colOff>
      <xdr:row>19</xdr:row>
      <xdr:rowOff>57150</xdr:rowOff>
    </xdr:from>
    <xdr:to>
      <xdr:col>12</xdr:col>
      <xdr:colOff>419101</xdr:colOff>
      <xdr:row>19</xdr:row>
      <xdr:rowOff>285749</xdr:rowOff>
    </xdr:to>
    <xdr:sp macro="" textlink="">
      <xdr:nvSpPr>
        <xdr:cNvPr id="12" name="右箭头 35"/>
        <xdr:cNvSpPr/>
      </xdr:nvSpPr>
      <xdr:spPr>
        <a:xfrm rot="16200000">
          <a:off x="7877175" y="35337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142875</xdr:colOff>
      <xdr:row>7</xdr:row>
      <xdr:rowOff>66675</xdr:rowOff>
    </xdr:from>
    <xdr:to>
      <xdr:col>15</xdr:col>
      <xdr:colOff>400049</xdr:colOff>
      <xdr:row>7</xdr:row>
      <xdr:rowOff>295274</xdr:rowOff>
    </xdr:to>
    <xdr:sp macro="" textlink="">
      <xdr:nvSpPr>
        <xdr:cNvPr id="13" name="右箭头 35"/>
        <xdr:cNvSpPr/>
      </xdr:nvSpPr>
      <xdr:spPr>
        <a:xfrm rot="16200000">
          <a:off x="9953625" y="175260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133350</xdr:colOff>
      <xdr:row>11</xdr:row>
      <xdr:rowOff>66676</xdr:rowOff>
    </xdr:from>
    <xdr:to>
      <xdr:col>15</xdr:col>
      <xdr:colOff>400050</xdr:colOff>
      <xdr:row>11</xdr:row>
      <xdr:rowOff>304801</xdr:rowOff>
    </xdr:to>
    <xdr:sp macro="" textlink="">
      <xdr:nvSpPr>
        <xdr:cNvPr id="14" name="右箭头 48"/>
        <xdr:cNvSpPr/>
      </xdr:nvSpPr>
      <xdr:spPr>
        <a:xfrm rot="16200000" flipH="1">
          <a:off x="9948862" y="2652714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142875</xdr:colOff>
      <xdr:row>9</xdr:row>
      <xdr:rowOff>66675</xdr:rowOff>
    </xdr:from>
    <xdr:to>
      <xdr:col>15</xdr:col>
      <xdr:colOff>400049</xdr:colOff>
      <xdr:row>9</xdr:row>
      <xdr:rowOff>295274</xdr:rowOff>
    </xdr:to>
    <xdr:sp macro="" textlink="">
      <xdr:nvSpPr>
        <xdr:cNvPr id="15" name="右箭头 35"/>
        <xdr:cNvSpPr/>
      </xdr:nvSpPr>
      <xdr:spPr>
        <a:xfrm rot="16200000">
          <a:off x="9953625" y="22002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133350</xdr:colOff>
      <xdr:row>13</xdr:row>
      <xdr:rowOff>66675</xdr:rowOff>
    </xdr:from>
    <xdr:to>
      <xdr:col>15</xdr:col>
      <xdr:colOff>400050</xdr:colOff>
      <xdr:row>13</xdr:row>
      <xdr:rowOff>304801</xdr:rowOff>
    </xdr:to>
    <xdr:sp macro="" textlink="">
      <xdr:nvSpPr>
        <xdr:cNvPr id="16" name="右箭头 48"/>
        <xdr:cNvSpPr/>
      </xdr:nvSpPr>
      <xdr:spPr>
        <a:xfrm rot="16200000" flipH="1">
          <a:off x="10067925" y="2914650"/>
          <a:ext cx="0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133352</xdr:colOff>
      <xdr:row>15</xdr:row>
      <xdr:rowOff>66677</xdr:rowOff>
    </xdr:from>
    <xdr:to>
      <xdr:col>6</xdr:col>
      <xdr:colOff>400052</xdr:colOff>
      <xdr:row>15</xdr:row>
      <xdr:rowOff>304802</xdr:rowOff>
    </xdr:to>
    <xdr:sp macro="" textlink="">
      <xdr:nvSpPr>
        <xdr:cNvPr id="17" name="右箭头 48"/>
        <xdr:cNvSpPr/>
      </xdr:nvSpPr>
      <xdr:spPr>
        <a:xfrm rot="16200000" flipH="1">
          <a:off x="3719512" y="3100390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152400</xdr:colOff>
      <xdr:row>15</xdr:row>
      <xdr:rowOff>57150</xdr:rowOff>
    </xdr:from>
    <xdr:to>
      <xdr:col>12</xdr:col>
      <xdr:colOff>409574</xdr:colOff>
      <xdr:row>15</xdr:row>
      <xdr:rowOff>285749</xdr:rowOff>
    </xdr:to>
    <xdr:sp macro="" textlink="">
      <xdr:nvSpPr>
        <xdr:cNvPr id="18" name="右箭头 35"/>
        <xdr:cNvSpPr/>
      </xdr:nvSpPr>
      <xdr:spPr>
        <a:xfrm rot="16200000">
          <a:off x="7877175" y="308610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133350</xdr:colOff>
      <xdr:row>15</xdr:row>
      <xdr:rowOff>66675</xdr:rowOff>
    </xdr:from>
    <xdr:to>
      <xdr:col>15</xdr:col>
      <xdr:colOff>400050</xdr:colOff>
      <xdr:row>15</xdr:row>
      <xdr:rowOff>304801</xdr:rowOff>
    </xdr:to>
    <xdr:sp macro="" textlink="">
      <xdr:nvSpPr>
        <xdr:cNvPr id="19" name="右箭头 48"/>
        <xdr:cNvSpPr/>
      </xdr:nvSpPr>
      <xdr:spPr>
        <a:xfrm rot="16200000" flipH="1">
          <a:off x="9948862" y="3100388"/>
          <a:ext cx="238126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133350</xdr:colOff>
      <xdr:row>9</xdr:row>
      <xdr:rowOff>57150</xdr:rowOff>
    </xdr:from>
    <xdr:to>
      <xdr:col>12</xdr:col>
      <xdr:colOff>390524</xdr:colOff>
      <xdr:row>9</xdr:row>
      <xdr:rowOff>285749</xdr:rowOff>
    </xdr:to>
    <xdr:sp macro="" textlink="">
      <xdr:nvSpPr>
        <xdr:cNvPr id="20" name="右箭头 35"/>
        <xdr:cNvSpPr/>
      </xdr:nvSpPr>
      <xdr:spPr>
        <a:xfrm rot="16200000">
          <a:off x="7877175" y="219075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133352</xdr:colOff>
      <xdr:row>17</xdr:row>
      <xdr:rowOff>66677</xdr:rowOff>
    </xdr:from>
    <xdr:to>
      <xdr:col>6</xdr:col>
      <xdr:colOff>400052</xdr:colOff>
      <xdr:row>17</xdr:row>
      <xdr:rowOff>304802</xdr:rowOff>
    </xdr:to>
    <xdr:sp macro="" textlink="">
      <xdr:nvSpPr>
        <xdr:cNvPr id="21" name="右箭头 48"/>
        <xdr:cNvSpPr/>
      </xdr:nvSpPr>
      <xdr:spPr>
        <a:xfrm rot="16200000" flipH="1">
          <a:off x="3838575" y="3362325"/>
          <a:ext cx="0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152400</xdr:colOff>
      <xdr:row>17</xdr:row>
      <xdr:rowOff>57150</xdr:rowOff>
    </xdr:from>
    <xdr:to>
      <xdr:col>12</xdr:col>
      <xdr:colOff>409574</xdr:colOff>
      <xdr:row>17</xdr:row>
      <xdr:rowOff>285749</xdr:rowOff>
    </xdr:to>
    <xdr:sp macro="" textlink="">
      <xdr:nvSpPr>
        <xdr:cNvPr id="22" name="右箭头 35"/>
        <xdr:cNvSpPr/>
      </xdr:nvSpPr>
      <xdr:spPr>
        <a:xfrm rot="16200000">
          <a:off x="7991475" y="3362325"/>
          <a:ext cx="0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22</xdr:col>
      <xdr:colOff>142875</xdr:colOff>
      <xdr:row>7</xdr:row>
      <xdr:rowOff>66675</xdr:rowOff>
    </xdr:from>
    <xdr:to>
      <xdr:col>22</xdr:col>
      <xdr:colOff>400049</xdr:colOff>
      <xdr:row>7</xdr:row>
      <xdr:rowOff>295274</xdr:rowOff>
    </xdr:to>
    <xdr:sp macro="" textlink="">
      <xdr:nvSpPr>
        <xdr:cNvPr id="23" name="右箭头 35"/>
        <xdr:cNvSpPr/>
      </xdr:nvSpPr>
      <xdr:spPr>
        <a:xfrm rot="16200000">
          <a:off x="12182475" y="1752600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22</xdr:col>
      <xdr:colOff>133350</xdr:colOff>
      <xdr:row>11</xdr:row>
      <xdr:rowOff>66676</xdr:rowOff>
    </xdr:from>
    <xdr:to>
      <xdr:col>22</xdr:col>
      <xdr:colOff>400050</xdr:colOff>
      <xdr:row>11</xdr:row>
      <xdr:rowOff>304801</xdr:rowOff>
    </xdr:to>
    <xdr:sp macro="" textlink="">
      <xdr:nvSpPr>
        <xdr:cNvPr id="24" name="右箭头 48"/>
        <xdr:cNvSpPr/>
      </xdr:nvSpPr>
      <xdr:spPr>
        <a:xfrm rot="16200000" flipH="1">
          <a:off x="12177712" y="2652714"/>
          <a:ext cx="238125" cy="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22</xdr:col>
      <xdr:colOff>142875</xdr:colOff>
      <xdr:row>9</xdr:row>
      <xdr:rowOff>66675</xdr:rowOff>
    </xdr:from>
    <xdr:to>
      <xdr:col>22</xdr:col>
      <xdr:colOff>400049</xdr:colOff>
      <xdr:row>9</xdr:row>
      <xdr:rowOff>295274</xdr:rowOff>
    </xdr:to>
    <xdr:sp macro="" textlink="">
      <xdr:nvSpPr>
        <xdr:cNvPr id="25" name="右箭头 35"/>
        <xdr:cNvSpPr/>
      </xdr:nvSpPr>
      <xdr:spPr>
        <a:xfrm rot="16200000">
          <a:off x="12182475" y="2200275"/>
          <a:ext cx="228599" cy="0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264590</xdr:colOff>
      <xdr:row>6</xdr:row>
      <xdr:rowOff>126999</xdr:rowOff>
    </xdr:from>
    <xdr:to>
      <xdr:col>9</xdr:col>
      <xdr:colOff>521764</xdr:colOff>
      <xdr:row>6</xdr:row>
      <xdr:rowOff>355598</xdr:rowOff>
    </xdr:to>
    <xdr:sp macro="" textlink="">
      <xdr:nvSpPr>
        <xdr:cNvPr id="35" name="右箭头 35"/>
        <xdr:cNvSpPr/>
      </xdr:nvSpPr>
      <xdr:spPr>
        <a:xfrm rot="16200000">
          <a:off x="7983544" y="1901295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9</xdr:col>
      <xdr:colOff>273049</xdr:colOff>
      <xdr:row>10</xdr:row>
      <xdr:rowOff>124885</xdr:rowOff>
    </xdr:from>
    <xdr:to>
      <xdr:col>9</xdr:col>
      <xdr:colOff>530223</xdr:colOff>
      <xdr:row>10</xdr:row>
      <xdr:rowOff>353484</xdr:rowOff>
    </xdr:to>
    <xdr:sp macro="" textlink="">
      <xdr:nvSpPr>
        <xdr:cNvPr id="64" name="右箭头 35"/>
        <xdr:cNvSpPr/>
      </xdr:nvSpPr>
      <xdr:spPr>
        <a:xfrm rot="16200000">
          <a:off x="7992003" y="3677181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9</xdr:col>
      <xdr:colOff>264584</xdr:colOff>
      <xdr:row>20</xdr:row>
      <xdr:rowOff>95250</xdr:rowOff>
    </xdr:from>
    <xdr:to>
      <xdr:col>9</xdr:col>
      <xdr:colOff>521758</xdr:colOff>
      <xdr:row>20</xdr:row>
      <xdr:rowOff>323849</xdr:rowOff>
    </xdr:to>
    <xdr:sp macro="" textlink="">
      <xdr:nvSpPr>
        <xdr:cNvPr id="66" name="右箭头 35"/>
        <xdr:cNvSpPr/>
      </xdr:nvSpPr>
      <xdr:spPr>
        <a:xfrm rot="16200000">
          <a:off x="7983538" y="8092546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279402</xdr:colOff>
      <xdr:row>6</xdr:row>
      <xdr:rowOff>120652</xdr:rowOff>
    </xdr:from>
    <xdr:to>
      <xdr:col>15</xdr:col>
      <xdr:colOff>536576</xdr:colOff>
      <xdr:row>6</xdr:row>
      <xdr:rowOff>349251</xdr:rowOff>
    </xdr:to>
    <xdr:sp macro="" textlink="">
      <xdr:nvSpPr>
        <xdr:cNvPr id="46" name="右箭头 35"/>
        <xdr:cNvSpPr/>
      </xdr:nvSpPr>
      <xdr:spPr>
        <a:xfrm rot="16200000">
          <a:off x="13480522" y="1894948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264587</xdr:colOff>
      <xdr:row>8</xdr:row>
      <xdr:rowOff>105833</xdr:rowOff>
    </xdr:from>
    <xdr:to>
      <xdr:col>6</xdr:col>
      <xdr:colOff>521761</xdr:colOff>
      <xdr:row>8</xdr:row>
      <xdr:rowOff>334432</xdr:rowOff>
    </xdr:to>
    <xdr:sp macro="" textlink="">
      <xdr:nvSpPr>
        <xdr:cNvPr id="33" name="右箭头 35"/>
        <xdr:cNvSpPr/>
      </xdr:nvSpPr>
      <xdr:spPr>
        <a:xfrm rot="16200000">
          <a:off x="5242457" y="2769129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9</xdr:col>
      <xdr:colOff>264585</xdr:colOff>
      <xdr:row>8</xdr:row>
      <xdr:rowOff>95251</xdr:rowOff>
    </xdr:from>
    <xdr:to>
      <xdr:col>9</xdr:col>
      <xdr:colOff>521759</xdr:colOff>
      <xdr:row>8</xdr:row>
      <xdr:rowOff>323850</xdr:rowOff>
    </xdr:to>
    <xdr:sp macro="" textlink="">
      <xdr:nvSpPr>
        <xdr:cNvPr id="42" name="右箭头 35"/>
        <xdr:cNvSpPr/>
      </xdr:nvSpPr>
      <xdr:spPr>
        <a:xfrm rot="16200000">
          <a:off x="7983539" y="2758547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232833</xdr:colOff>
      <xdr:row>12</xdr:row>
      <xdr:rowOff>201083</xdr:rowOff>
    </xdr:from>
    <xdr:to>
      <xdr:col>6</xdr:col>
      <xdr:colOff>592833</xdr:colOff>
      <xdr:row>12</xdr:row>
      <xdr:rowOff>264583</xdr:rowOff>
    </xdr:to>
    <xdr:sp macro="" textlink="">
      <xdr:nvSpPr>
        <xdr:cNvPr id="34" name="减号 33"/>
        <xdr:cNvSpPr/>
      </xdr:nvSpPr>
      <xdr:spPr>
        <a:xfrm>
          <a:off x="5196416" y="4656666"/>
          <a:ext cx="360000" cy="6350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264585</xdr:colOff>
      <xdr:row>10</xdr:row>
      <xdr:rowOff>137587</xdr:rowOff>
    </xdr:from>
    <xdr:to>
      <xdr:col>15</xdr:col>
      <xdr:colOff>531285</xdr:colOff>
      <xdr:row>10</xdr:row>
      <xdr:rowOff>375712</xdr:rowOff>
    </xdr:to>
    <xdr:sp macro="" textlink="">
      <xdr:nvSpPr>
        <xdr:cNvPr id="41" name="右箭头 40"/>
        <xdr:cNvSpPr/>
      </xdr:nvSpPr>
      <xdr:spPr>
        <a:xfrm rot="16200000" flipH="1">
          <a:off x="13465705" y="3689883"/>
          <a:ext cx="2381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264583</xdr:colOff>
      <xdr:row>6</xdr:row>
      <xdr:rowOff>105834</xdr:rowOff>
    </xdr:from>
    <xdr:to>
      <xdr:col>6</xdr:col>
      <xdr:colOff>521757</xdr:colOff>
      <xdr:row>6</xdr:row>
      <xdr:rowOff>334433</xdr:rowOff>
    </xdr:to>
    <xdr:sp macro="" textlink="">
      <xdr:nvSpPr>
        <xdr:cNvPr id="30" name="右箭头 35"/>
        <xdr:cNvSpPr/>
      </xdr:nvSpPr>
      <xdr:spPr>
        <a:xfrm rot="16200000">
          <a:off x="5242453" y="1880130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275168</xdr:colOff>
      <xdr:row>10</xdr:row>
      <xdr:rowOff>105833</xdr:rowOff>
    </xdr:from>
    <xdr:to>
      <xdr:col>6</xdr:col>
      <xdr:colOff>532342</xdr:colOff>
      <xdr:row>10</xdr:row>
      <xdr:rowOff>334432</xdr:rowOff>
    </xdr:to>
    <xdr:sp macro="" textlink="">
      <xdr:nvSpPr>
        <xdr:cNvPr id="45" name="右箭头 35"/>
        <xdr:cNvSpPr/>
      </xdr:nvSpPr>
      <xdr:spPr>
        <a:xfrm rot="16200000">
          <a:off x="5253038" y="3658129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264585</xdr:colOff>
      <xdr:row>20</xdr:row>
      <xdr:rowOff>95250</xdr:rowOff>
    </xdr:from>
    <xdr:to>
      <xdr:col>6</xdr:col>
      <xdr:colOff>521759</xdr:colOff>
      <xdr:row>20</xdr:row>
      <xdr:rowOff>323849</xdr:rowOff>
    </xdr:to>
    <xdr:sp macro="" textlink="">
      <xdr:nvSpPr>
        <xdr:cNvPr id="48" name="右箭头 35"/>
        <xdr:cNvSpPr/>
      </xdr:nvSpPr>
      <xdr:spPr>
        <a:xfrm rot="16200000">
          <a:off x="5242455" y="7203546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243417</xdr:colOff>
      <xdr:row>14</xdr:row>
      <xdr:rowOff>95250</xdr:rowOff>
    </xdr:from>
    <xdr:to>
      <xdr:col>12</xdr:col>
      <xdr:colOff>500591</xdr:colOff>
      <xdr:row>14</xdr:row>
      <xdr:rowOff>323849</xdr:rowOff>
    </xdr:to>
    <xdr:sp macro="" textlink="">
      <xdr:nvSpPr>
        <xdr:cNvPr id="59" name="右箭头 35"/>
        <xdr:cNvSpPr/>
      </xdr:nvSpPr>
      <xdr:spPr>
        <a:xfrm rot="16200000">
          <a:off x="10703454" y="5425546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9</xdr:col>
      <xdr:colOff>222250</xdr:colOff>
      <xdr:row>16</xdr:row>
      <xdr:rowOff>211667</xdr:rowOff>
    </xdr:from>
    <xdr:to>
      <xdr:col>9</xdr:col>
      <xdr:colOff>582250</xdr:colOff>
      <xdr:row>16</xdr:row>
      <xdr:rowOff>275167</xdr:rowOff>
    </xdr:to>
    <xdr:sp macro="" textlink="">
      <xdr:nvSpPr>
        <xdr:cNvPr id="43" name="减号 42"/>
        <xdr:cNvSpPr/>
      </xdr:nvSpPr>
      <xdr:spPr>
        <a:xfrm>
          <a:off x="7926917" y="6445250"/>
          <a:ext cx="360000" cy="6350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285750</xdr:colOff>
      <xdr:row>8</xdr:row>
      <xdr:rowOff>116416</xdr:rowOff>
    </xdr:from>
    <xdr:to>
      <xdr:col>15</xdr:col>
      <xdr:colOff>542924</xdr:colOff>
      <xdr:row>8</xdr:row>
      <xdr:rowOff>345015</xdr:rowOff>
    </xdr:to>
    <xdr:sp macro="" textlink="">
      <xdr:nvSpPr>
        <xdr:cNvPr id="67" name="右箭头 35"/>
        <xdr:cNvSpPr/>
      </xdr:nvSpPr>
      <xdr:spPr>
        <a:xfrm rot="16200000">
          <a:off x="13486870" y="2779712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254001</xdr:colOff>
      <xdr:row>12</xdr:row>
      <xdr:rowOff>116419</xdr:rowOff>
    </xdr:from>
    <xdr:to>
      <xdr:col>12</xdr:col>
      <xdr:colOff>520701</xdr:colOff>
      <xdr:row>12</xdr:row>
      <xdr:rowOff>354544</xdr:rowOff>
    </xdr:to>
    <xdr:sp macro="" textlink="">
      <xdr:nvSpPr>
        <xdr:cNvPr id="74" name="右箭头 48"/>
        <xdr:cNvSpPr/>
      </xdr:nvSpPr>
      <xdr:spPr>
        <a:xfrm rot="16200000" flipH="1">
          <a:off x="10714038" y="4557715"/>
          <a:ext cx="2381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232834</xdr:colOff>
      <xdr:row>16</xdr:row>
      <xdr:rowOff>201083</xdr:rowOff>
    </xdr:from>
    <xdr:to>
      <xdr:col>6</xdr:col>
      <xdr:colOff>592834</xdr:colOff>
      <xdr:row>16</xdr:row>
      <xdr:rowOff>264583</xdr:rowOff>
    </xdr:to>
    <xdr:sp macro="" textlink="">
      <xdr:nvSpPr>
        <xdr:cNvPr id="57" name="减号 56"/>
        <xdr:cNvSpPr/>
      </xdr:nvSpPr>
      <xdr:spPr>
        <a:xfrm>
          <a:off x="5196417" y="6434666"/>
          <a:ext cx="360000" cy="6350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243417</xdr:colOff>
      <xdr:row>8</xdr:row>
      <xdr:rowOff>127001</xdr:rowOff>
    </xdr:from>
    <xdr:to>
      <xdr:col>12</xdr:col>
      <xdr:colOff>510117</xdr:colOff>
      <xdr:row>8</xdr:row>
      <xdr:rowOff>365126</xdr:rowOff>
    </xdr:to>
    <xdr:sp macro="" textlink="">
      <xdr:nvSpPr>
        <xdr:cNvPr id="60" name="右箭头 59"/>
        <xdr:cNvSpPr/>
      </xdr:nvSpPr>
      <xdr:spPr>
        <a:xfrm rot="16200000" flipH="1">
          <a:off x="10703454" y="2790297"/>
          <a:ext cx="2381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254000</xdr:colOff>
      <xdr:row>12</xdr:row>
      <xdr:rowOff>127001</xdr:rowOff>
    </xdr:from>
    <xdr:to>
      <xdr:col>15</xdr:col>
      <xdr:colOff>520700</xdr:colOff>
      <xdr:row>12</xdr:row>
      <xdr:rowOff>365126</xdr:rowOff>
    </xdr:to>
    <xdr:sp macro="" textlink="">
      <xdr:nvSpPr>
        <xdr:cNvPr id="62" name="右箭头 48"/>
        <xdr:cNvSpPr/>
      </xdr:nvSpPr>
      <xdr:spPr>
        <a:xfrm rot="16200000" flipH="1">
          <a:off x="13455120" y="4568297"/>
          <a:ext cx="2381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222250</xdr:colOff>
      <xdr:row>16</xdr:row>
      <xdr:rowOff>211666</xdr:rowOff>
    </xdr:from>
    <xdr:to>
      <xdr:col>12</xdr:col>
      <xdr:colOff>582250</xdr:colOff>
      <xdr:row>16</xdr:row>
      <xdr:rowOff>275166</xdr:rowOff>
    </xdr:to>
    <xdr:sp macro="" textlink="">
      <xdr:nvSpPr>
        <xdr:cNvPr id="65" name="减号 64"/>
        <xdr:cNvSpPr/>
      </xdr:nvSpPr>
      <xdr:spPr>
        <a:xfrm>
          <a:off x="10668000" y="6445249"/>
          <a:ext cx="360000" cy="6350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222250</xdr:colOff>
      <xdr:row>16</xdr:row>
      <xdr:rowOff>201083</xdr:rowOff>
    </xdr:from>
    <xdr:to>
      <xdr:col>15</xdr:col>
      <xdr:colOff>582250</xdr:colOff>
      <xdr:row>16</xdr:row>
      <xdr:rowOff>264583</xdr:rowOff>
    </xdr:to>
    <xdr:sp macro="" textlink="">
      <xdr:nvSpPr>
        <xdr:cNvPr id="69" name="减号 68"/>
        <xdr:cNvSpPr/>
      </xdr:nvSpPr>
      <xdr:spPr>
        <a:xfrm>
          <a:off x="13409083" y="6434666"/>
          <a:ext cx="360000" cy="6350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264583</xdr:colOff>
      <xdr:row>10</xdr:row>
      <xdr:rowOff>105833</xdr:rowOff>
    </xdr:from>
    <xdr:to>
      <xdr:col>18</xdr:col>
      <xdr:colOff>521757</xdr:colOff>
      <xdr:row>10</xdr:row>
      <xdr:rowOff>334432</xdr:rowOff>
    </xdr:to>
    <xdr:sp macro="" textlink="">
      <xdr:nvSpPr>
        <xdr:cNvPr id="52" name="右箭头 35"/>
        <xdr:cNvSpPr/>
      </xdr:nvSpPr>
      <xdr:spPr>
        <a:xfrm rot="16200000">
          <a:off x="16206787" y="3658129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264583</xdr:colOff>
      <xdr:row>12</xdr:row>
      <xdr:rowOff>116417</xdr:rowOff>
    </xdr:from>
    <xdr:to>
      <xdr:col>18</xdr:col>
      <xdr:colOff>521757</xdr:colOff>
      <xdr:row>12</xdr:row>
      <xdr:rowOff>345016</xdr:rowOff>
    </xdr:to>
    <xdr:sp macro="" textlink="">
      <xdr:nvSpPr>
        <xdr:cNvPr id="54" name="右箭头 35"/>
        <xdr:cNvSpPr/>
      </xdr:nvSpPr>
      <xdr:spPr>
        <a:xfrm rot="16200000">
          <a:off x="16206787" y="4557713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6</xdr:col>
      <xdr:colOff>254001</xdr:colOff>
      <xdr:row>14</xdr:row>
      <xdr:rowOff>105833</xdr:rowOff>
    </xdr:from>
    <xdr:to>
      <xdr:col>6</xdr:col>
      <xdr:colOff>511175</xdr:colOff>
      <xdr:row>14</xdr:row>
      <xdr:rowOff>334432</xdr:rowOff>
    </xdr:to>
    <xdr:sp macro="" textlink="">
      <xdr:nvSpPr>
        <xdr:cNvPr id="37" name="右箭头 35"/>
        <xdr:cNvSpPr/>
      </xdr:nvSpPr>
      <xdr:spPr>
        <a:xfrm rot="16200000">
          <a:off x="5231871" y="5436129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9</xdr:col>
      <xdr:colOff>275168</xdr:colOff>
      <xdr:row>12</xdr:row>
      <xdr:rowOff>95250</xdr:rowOff>
    </xdr:from>
    <xdr:to>
      <xdr:col>9</xdr:col>
      <xdr:colOff>532342</xdr:colOff>
      <xdr:row>12</xdr:row>
      <xdr:rowOff>323849</xdr:rowOff>
    </xdr:to>
    <xdr:sp macro="" textlink="">
      <xdr:nvSpPr>
        <xdr:cNvPr id="40" name="右箭头 35"/>
        <xdr:cNvSpPr/>
      </xdr:nvSpPr>
      <xdr:spPr>
        <a:xfrm rot="16200000">
          <a:off x="7994122" y="4536546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9</xdr:col>
      <xdr:colOff>264584</xdr:colOff>
      <xdr:row>14</xdr:row>
      <xdr:rowOff>105833</xdr:rowOff>
    </xdr:from>
    <xdr:to>
      <xdr:col>9</xdr:col>
      <xdr:colOff>521758</xdr:colOff>
      <xdr:row>14</xdr:row>
      <xdr:rowOff>334432</xdr:rowOff>
    </xdr:to>
    <xdr:sp macro="" textlink="">
      <xdr:nvSpPr>
        <xdr:cNvPr id="47" name="右箭头 35"/>
        <xdr:cNvSpPr/>
      </xdr:nvSpPr>
      <xdr:spPr>
        <a:xfrm rot="16200000">
          <a:off x="7983538" y="5436129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232834</xdr:colOff>
      <xdr:row>6</xdr:row>
      <xdr:rowOff>201083</xdr:rowOff>
    </xdr:from>
    <xdr:to>
      <xdr:col>12</xdr:col>
      <xdr:colOff>592834</xdr:colOff>
      <xdr:row>6</xdr:row>
      <xdr:rowOff>264583</xdr:rowOff>
    </xdr:to>
    <xdr:sp macro="" textlink="">
      <xdr:nvSpPr>
        <xdr:cNvPr id="50" name="减号 49"/>
        <xdr:cNvSpPr/>
      </xdr:nvSpPr>
      <xdr:spPr>
        <a:xfrm>
          <a:off x="10678584" y="1989666"/>
          <a:ext cx="360000" cy="6350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222250</xdr:colOff>
      <xdr:row>10</xdr:row>
      <xdr:rowOff>211667</xdr:rowOff>
    </xdr:from>
    <xdr:to>
      <xdr:col>12</xdr:col>
      <xdr:colOff>582250</xdr:colOff>
      <xdr:row>10</xdr:row>
      <xdr:rowOff>275167</xdr:rowOff>
    </xdr:to>
    <xdr:sp macro="" textlink="">
      <xdr:nvSpPr>
        <xdr:cNvPr id="53" name="减号 52"/>
        <xdr:cNvSpPr/>
      </xdr:nvSpPr>
      <xdr:spPr>
        <a:xfrm>
          <a:off x="10668000" y="3778250"/>
          <a:ext cx="360000" cy="63500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264585</xdr:colOff>
      <xdr:row>20</xdr:row>
      <xdr:rowOff>95250</xdr:rowOff>
    </xdr:from>
    <xdr:to>
      <xdr:col>15</xdr:col>
      <xdr:colOff>521759</xdr:colOff>
      <xdr:row>20</xdr:row>
      <xdr:rowOff>323849</xdr:rowOff>
    </xdr:to>
    <xdr:sp macro="" textlink="">
      <xdr:nvSpPr>
        <xdr:cNvPr id="56" name="右箭头 35"/>
        <xdr:cNvSpPr/>
      </xdr:nvSpPr>
      <xdr:spPr>
        <a:xfrm rot="16200000">
          <a:off x="13465705" y="7203546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12</xdr:col>
      <xdr:colOff>254001</xdr:colOff>
      <xdr:row>20</xdr:row>
      <xdr:rowOff>95251</xdr:rowOff>
    </xdr:from>
    <xdr:to>
      <xdr:col>12</xdr:col>
      <xdr:colOff>520701</xdr:colOff>
      <xdr:row>20</xdr:row>
      <xdr:rowOff>333376</xdr:rowOff>
    </xdr:to>
    <xdr:sp macro="" textlink="">
      <xdr:nvSpPr>
        <xdr:cNvPr id="72" name="右箭头 48"/>
        <xdr:cNvSpPr/>
      </xdr:nvSpPr>
      <xdr:spPr>
        <a:xfrm rot="16200000" flipH="1">
          <a:off x="10714038" y="7203547"/>
          <a:ext cx="2381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15</xdr:col>
      <xdr:colOff>264585</xdr:colOff>
      <xdr:row>14</xdr:row>
      <xdr:rowOff>105833</xdr:rowOff>
    </xdr:from>
    <xdr:to>
      <xdr:col>15</xdr:col>
      <xdr:colOff>521759</xdr:colOff>
      <xdr:row>14</xdr:row>
      <xdr:rowOff>334432</xdr:rowOff>
    </xdr:to>
    <xdr:sp macro="" textlink="">
      <xdr:nvSpPr>
        <xdr:cNvPr id="73" name="右箭头 35"/>
        <xdr:cNvSpPr/>
      </xdr:nvSpPr>
      <xdr:spPr>
        <a:xfrm rot="16200000">
          <a:off x="13465705" y="5436129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254000</xdr:colOff>
      <xdr:row>6</xdr:row>
      <xdr:rowOff>105833</xdr:rowOff>
    </xdr:from>
    <xdr:to>
      <xdr:col>18</xdr:col>
      <xdr:colOff>511174</xdr:colOff>
      <xdr:row>6</xdr:row>
      <xdr:rowOff>334432</xdr:rowOff>
    </xdr:to>
    <xdr:sp macro="" textlink="">
      <xdr:nvSpPr>
        <xdr:cNvPr id="38" name="右箭头 35"/>
        <xdr:cNvSpPr/>
      </xdr:nvSpPr>
      <xdr:spPr>
        <a:xfrm rot="16200000">
          <a:off x="16196204" y="1880129"/>
          <a:ext cx="228599" cy="257174"/>
        </a:xfrm>
        <a:prstGeom prst="rightArrow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243417</xdr:colOff>
      <xdr:row>8</xdr:row>
      <xdr:rowOff>116417</xdr:rowOff>
    </xdr:from>
    <xdr:to>
      <xdr:col>18</xdr:col>
      <xdr:colOff>510117</xdr:colOff>
      <xdr:row>8</xdr:row>
      <xdr:rowOff>354542</xdr:rowOff>
    </xdr:to>
    <xdr:sp macro="" textlink="">
      <xdr:nvSpPr>
        <xdr:cNvPr id="39" name="右箭头 38"/>
        <xdr:cNvSpPr/>
      </xdr:nvSpPr>
      <xdr:spPr>
        <a:xfrm rot="16200000" flipH="1">
          <a:off x="16185621" y="2779713"/>
          <a:ext cx="2381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254001</xdr:colOff>
      <xdr:row>14</xdr:row>
      <xdr:rowOff>105835</xdr:rowOff>
    </xdr:from>
    <xdr:to>
      <xdr:col>18</xdr:col>
      <xdr:colOff>520701</xdr:colOff>
      <xdr:row>14</xdr:row>
      <xdr:rowOff>343960</xdr:rowOff>
    </xdr:to>
    <xdr:sp macro="" textlink="">
      <xdr:nvSpPr>
        <xdr:cNvPr id="44" name="右箭头 48"/>
        <xdr:cNvSpPr/>
      </xdr:nvSpPr>
      <xdr:spPr>
        <a:xfrm rot="16200000" flipH="1">
          <a:off x="16196205" y="5436131"/>
          <a:ext cx="2381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254003</xdr:colOff>
      <xdr:row>16</xdr:row>
      <xdr:rowOff>116419</xdr:rowOff>
    </xdr:from>
    <xdr:to>
      <xdr:col>18</xdr:col>
      <xdr:colOff>520703</xdr:colOff>
      <xdr:row>16</xdr:row>
      <xdr:rowOff>354544</xdr:rowOff>
    </xdr:to>
    <xdr:sp macro="" textlink="">
      <xdr:nvSpPr>
        <xdr:cNvPr id="51" name="右箭头 48"/>
        <xdr:cNvSpPr/>
      </xdr:nvSpPr>
      <xdr:spPr>
        <a:xfrm rot="16200000" flipH="1">
          <a:off x="16196207" y="6335715"/>
          <a:ext cx="2381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18</xdr:col>
      <xdr:colOff>243419</xdr:colOff>
      <xdr:row>20</xdr:row>
      <xdr:rowOff>116419</xdr:rowOff>
    </xdr:from>
    <xdr:to>
      <xdr:col>18</xdr:col>
      <xdr:colOff>510119</xdr:colOff>
      <xdr:row>20</xdr:row>
      <xdr:rowOff>354544</xdr:rowOff>
    </xdr:to>
    <xdr:sp macro="" textlink="">
      <xdr:nvSpPr>
        <xdr:cNvPr id="55" name="右箭头 48"/>
        <xdr:cNvSpPr/>
      </xdr:nvSpPr>
      <xdr:spPr>
        <a:xfrm rot="16200000" flipH="1">
          <a:off x="16185623" y="7224715"/>
          <a:ext cx="238125" cy="26670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AY67"/>
  <sheetViews>
    <sheetView view="pageBreakPreview" zoomScale="80" zoomScaleNormal="80" zoomScaleSheetLayoutView="80" workbookViewId="0">
      <pane xSplit="4" ySplit="5" topLeftCell="R6" activePane="bottomRight" state="frozen"/>
      <selection pane="topRight" activeCell="F1" sqref="F1"/>
      <selection pane="bottomLeft" activeCell="A6" sqref="A6"/>
      <selection pane="bottomRight" activeCell="Y7" sqref="Y7"/>
    </sheetView>
  </sheetViews>
  <sheetFormatPr defaultColWidth="9" defaultRowHeight="13.5"/>
  <cols>
    <col min="1" max="1" width="2.125" style="1" customWidth="1"/>
    <col min="2" max="2" width="14.625" style="1" customWidth="1"/>
    <col min="3" max="3" width="2.25" style="1" customWidth="1"/>
    <col min="4" max="4" width="12.375" style="1" customWidth="1"/>
    <col min="5" max="6" width="9.625" style="1" customWidth="1"/>
    <col min="7" max="7" width="9.5" style="1" customWidth="1"/>
    <col min="8" max="11" width="9.625" style="1" customWidth="1"/>
    <col min="12" max="12" width="9.625" style="9" customWidth="1"/>
    <col min="13" max="17" width="9.625" style="1" customWidth="1"/>
    <col min="18" max="18" width="9.625" style="9" customWidth="1"/>
    <col min="19" max="23" width="9.625" style="896" customWidth="1"/>
    <col min="24" max="24" width="9.625" style="897" customWidth="1"/>
    <col min="25" max="25" width="9.375" style="896" bestFit="1" customWidth="1"/>
    <col min="26" max="26" width="8.5" style="896" bestFit="1" customWidth="1"/>
    <col min="27" max="27" width="8.125" style="896" bestFit="1" customWidth="1"/>
    <col min="28" max="28" width="10.75" style="1006" bestFit="1" customWidth="1"/>
    <col min="29" max="29" width="8.125" style="896" bestFit="1" customWidth="1"/>
    <col min="30" max="30" width="8.125" style="897" bestFit="1" customWidth="1"/>
    <col min="31" max="31" width="9.375" style="896" bestFit="1" customWidth="1"/>
    <col min="32" max="32" width="8.5" style="896" bestFit="1" customWidth="1"/>
    <col min="33" max="33" width="8.125" style="896" bestFit="1" customWidth="1"/>
    <col min="34" max="34" width="10.75" style="1006" bestFit="1" customWidth="1"/>
    <col min="35" max="35" width="8.125" style="896" bestFit="1" customWidth="1"/>
    <col min="36" max="36" width="8.125" style="897" bestFit="1" customWidth="1"/>
    <col min="37" max="37" width="9.375" style="896" bestFit="1" customWidth="1"/>
    <col min="38" max="38" width="8.5" style="896" bestFit="1" customWidth="1"/>
    <col min="39" max="39" width="8.125" style="896" bestFit="1" customWidth="1"/>
    <col min="40" max="40" width="10.75" style="1006" bestFit="1" customWidth="1"/>
    <col min="41" max="41" width="8.125" style="896" bestFit="1" customWidth="1"/>
    <col min="42" max="42" width="8.125" style="897" bestFit="1" customWidth="1"/>
    <col min="43" max="44" width="9.625" style="1" customWidth="1"/>
    <col min="45" max="47" width="9.625" style="9" customWidth="1"/>
    <col min="48" max="48" width="2.5" style="1" customWidth="1"/>
    <col min="49" max="49" width="9.625" style="1" customWidth="1"/>
    <col min="50" max="50" width="9.75" style="1" customWidth="1"/>
    <col min="51" max="51" width="9" style="9"/>
    <col min="52" max="16384" width="9" style="1"/>
  </cols>
  <sheetData>
    <row r="1" spans="1:51" ht="9.75" customHeigh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10"/>
      <c r="M1" s="23"/>
      <c r="N1" s="23"/>
      <c r="O1" s="23"/>
      <c r="P1" s="23"/>
      <c r="Q1" s="23"/>
      <c r="R1" s="10"/>
      <c r="AQ1" s="23"/>
      <c r="AR1" s="23"/>
      <c r="AS1" s="10"/>
      <c r="AT1" s="10"/>
      <c r="AU1" s="10"/>
      <c r="AV1" s="23"/>
      <c r="AW1" s="23"/>
      <c r="AX1" s="23"/>
      <c r="AY1" s="10"/>
    </row>
    <row r="2" spans="1:51" ht="18.75">
      <c r="A2" s="23"/>
      <c r="B2" s="11" t="s">
        <v>287</v>
      </c>
      <c r="C2" s="23"/>
      <c r="D2" s="23"/>
      <c r="E2" s="23"/>
      <c r="F2" s="23"/>
      <c r="G2" s="23"/>
      <c r="H2" s="23"/>
      <c r="I2" s="23"/>
      <c r="J2" s="23"/>
      <c r="K2" s="23"/>
      <c r="L2" s="10"/>
      <c r="M2" s="23" t="s">
        <v>340</v>
      </c>
      <c r="N2" s="23"/>
      <c r="O2" s="23"/>
      <c r="P2" s="23"/>
      <c r="Q2" s="23"/>
      <c r="R2" s="10"/>
      <c r="AQ2" s="23"/>
      <c r="AR2" s="23"/>
      <c r="AS2" s="10"/>
      <c r="AT2" s="10"/>
      <c r="AU2" s="10"/>
      <c r="AV2" s="23"/>
      <c r="AW2" s="23"/>
      <c r="AX2" s="23"/>
      <c r="AY2" s="10"/>
    </row>
    <row r="3" spans="1:51" ht="14.25" thickBot="1">
      <c r="A3" s="23"/>
      <c r="B3" s="23"/>
      <c r="C3" s="23"/>
      <c r="D3" s="23"/>
      <c r="E3" s="23"/>
      <c r="F3" s="23"/>
      <c r="G3" s="23"/>
      <c r="H3" s="63"/>
      <c r="I3" s="23"/>
      <c r="J3" s="23"/>
      <c r="K3" s="23"/>
      <c r="L3" s="10"/>
      <c r="M3" s="23"/>
      <c r="N3" s="23"/>
      <c r="O3" s="23"/>
      <c r="P3" s="23"/>
      <c r="Q3" s="23"/>
      <c r="R3" s="10"/>
      <c r="T3" s="898"/>
      <c r="Z3" s="898"/>
      <c r="AF3" s="898"/>
      <c r="AL3" s="898"/>
      <c r="AQ3" s="23"/>
      <c r="AR3" s="23"/>
      <c r="AS3" s="10"/>
      <c r="AT3" s="10"/>
      <c r="AU3" s="10"/>
      <c r="AV3" s="23"/>
      <c r="AW3" s="22"/>
      <c r="AX3" s="22"/>
      <c r="AY3" s="21"/>
    </row>
    <row r="4" spans="1:51" ht="14.25" customHeight="1" thickTop="1">
      <c r="A4" s="23"/>
      <c r="B4" s="1515" t="s">
        <v>263</v>
      </c>
      <c r="C4" s="1517" t="s">
        <v>10</v>
      </c>
      <c r="D4" s="1518"/>
      <c r="E4" s="38" t="s">
        <v>146</v>
      </c>
      <c r="F4" s="38" t="s">
        <v>318</v>
      </c>
      <c r="G4" s="1521" t="s">
        <v>310</v>
      </c>
      <c r="H4" s="1522"/>
      <c r="I4" s="1522"/>
      <c r="J4" s="1523"/>
      <c r="K4" s="1523"/>
      <c r="L4" s="1523"/>
      <c r="M4" s="1524" t="s">
        <v>306</v>
      </c>
      <c r="N4" s="1522"/>
      <c r="O4" s="1522"/>
      <c r="P4" s="1523"/>
      <c r="Q4" s="1523"/>
      <c r="R4" s="1523"/>
      <c r="S4" s="1524" t="s">
        <v>338</v>
      </c>
      <c r="T4" s="1522"/>
      <c r="U4" s="1522"/>
      <c r="V4" s="1523"/>
      <c r="W4" s="1523"/>
      <c r="X4" s="1525"/>
      <c r="Y4" s="1526" t="s">
        <v>373</v>
      </c>
      <c r="Z4" s="1527"/>
      <c r="AA4" s="1527"/>
      <c r="AB4" s="1528"/>
      <c r="AC4" s="1528"/>
      <c r="AD4" s="1529"/>
      <c r="AE4" s="1510" t="s">
        <v>307</v>
      </c>
      <c r="AF4" s="1511"/>
      <c r="AG4" s="1511"/>
      <c r="AH4" s="1511"/>
      <c r="AI4" s="1511"/>
      <c r="AJ4" s="1511"/>
      <c r="AK4" s="1510" t="s">
        <v>313</v>
      </c>
      <c r="AL4" s="1511"/>
      <c r="AM4" s="1511"/>
      <c r="AN4" s="1511"/>
      <c r="AO4" s="1511"/>
      <c r="AP4" s="1512"/>
      <c r="AQ4" s="1530" t="s">
        <v>308</v>
      </c>
      <c r="AR4" s="1531"/>
      <c r="AS4" s="1531"/>
      <c r="AT4" s="1531"/>
      <c r="AU4" s="1532"/>
      <c r="AV4" s="23"/>
      <c r="AW4" s="1513" t="s">
        <v>320</v>
      </c>
      <c r="AX4" s="1514"/>
      <c r="AY4" s="1514"/>
    </row>
    <row r="5" spans="1:51" ht="14.25" customHeight="1" thickBot="1">
      <c r="A5" s="23"/>
      <c r="B5" s="1516"/>
      <c r="C5" s="1519"/>
      <c r="D5" s="1520"/>
      <c r="E5" s="39" t="s">
        <v>323</v>
      </c>
      <c r="F5" s="39" t="s">
        <v>324</v>
      </c>
      <c r="G5" s="1236" t="s">
        <v>273</v>
      </c>
      <c r="H5" s="899" t="s">
        <v>311</v>
      </c>
      <c r="I5" s="899" t="s">
        <v>124</v>
      </c>
      <c r="J5" s="899" t="s">
        <v>312</v>
      </c>
      <c r="K5" s="900" t="s">
        <v>319</v>
      </c>
      <c r="L5" s="900" t="s">
        <v>125</v>
      </c>
      <c r="M5" s="1334" t="s">
        <v>35</v>
      </c>
      <c r="N5" s="899" t="s">
        <v>36</v>
      </c>
      <c r="O5" s="899" t="s">
        <v>126</v>
      </c>
      <c r="P5" s="899" t="s">
        <v>312</v>
      </c>
      <c r="Q5" s="900" t="s">
        <v>319</v>
      </c>
      <c r="R5" s="900" t="s">
        <v>327</v>
      </c>
      <c r="S5" s="1334" t="s">
        <v>346</v>
      </c>
      <c r="T5" s="899" t="s">
        <v>36</v>
      </c>
      <c r="U5" s="899" t="s">
        <v>271</v>
      </c>
      <c r="V5" s="899" t="s">
        <v>339</v>
      </c>
      <c r="W5" s="900" t="s">
        <v>274</v>
      </c>
      <c r="X5" s="1324" t="s">
        <v>272</v>
      </c>
      <c r="Y5" s="1157" t="s">
        <v>35</v>
      </c>
      <c r="Z5" s="847" t="s">
        <v>36</v>
      </c>
      <c r="AA5" s="847" t="s">
        <v>374</v>
      </c>
      <c r="AB5" s="847" t="s">
        <v>375</v>
      </c>
      <c r="AC5" s="1144" t="s">
        <v>376</v>
      </c>
      <c r="AD5" s="1158" t="s">
        <v>377</v>
      </c>
      <c r="AE5" s="12" t="s">
        <v>326</v>
      </c>
      <c r="AF5" s="12" t="s">
        <v>325</v>
      </c>
      <c r="AG5" s="899" t="s">
        <v>283</v>
      </c>
      <c r="AH5" s="1118" t="s">
        <v>284</v>
      </c>
      <c r="AI5" s="899" t="s">
        <v>285</v>
      </c>
      <c r="AJ5" s="899" t="s">
        <v>286</v>
      </c>
      <c r="AK5" s="12" t="s">
        <v>326</v>
      </c>
      <c r="AL5" s="12" t="s">
        <v>325</v>
      </c>
      <c r="AM5" s="899" t="s">
        <v>314</v>
      </c>
      <c r="AN5" s="1118" t="s">
        <v>315</v>
      </c>
      <c r="AO5" s="899" t="s">
        <v>316</v>
      </c>
      <c r="AP5" s="901" t="s">
        <v>317</v>
      </c>
      <c r="AQ5" s="68" t="s">
        <v>341</v>
      </c>
      <c r="AR5" s="37" t="s">
        <v>53</v>
      </c>
      <c r="AS5" s="895" t="s">
        <v>29</v>
      </c>
      <c r="AT5" s="37" t="s">
        <v>155</v>
      </c>
      <c r="AU5" s="30" t="s">
        <v>29</v>
      </c>
      <c r="AV5" s="23"/>
      <c r="AW5" s="1235" t="s">
        <v>275</v>
      </c>
      <c r="AX5" s="847" t="s">
        <v>274</v>
      </c>
      <c r="AY5" s="847" t="s">
        <v>29</v>
      </c>
    </row>
    <row r="6" spans="1:51" ht="14.25" customHeight="1">
      <c r="A6" s="23"/>
      <c r="B6" s="832" t="s">
        <v>264</v>
      </c>
      <c r="C6" s="14" t="s">
        <v>5</v>
      </c>
      <c r="D6" s="24"/>
      <c r="E6" s="40">
        <f>SUM(E7:E13)</f>
        <v>348619.94301994308</v>
      </c>
      <c r="F6" s="40">
        <f>SUM(F7:F13)</f>
        <v>348620</v>
      </c>
      <c r="G6" s="1237">
        <f>SUM(G7:G13)</f>
        <v>381505.98290598299</v>
      </c>
      <c r="H6" s="902">
        <f>SUM(H7:H13)</f>
        <v>315103.3742991453</v>
      </c>
      <c r="I6" s="903">
        <f>H6/G6</f>
        <v>0.8259460884439086</v>
      </c>
      <c r="J6" s="902">
        <f>SUM(J7:J13)</f>
        <v>285614</v>
      </c>
      <c r="K6" s="904">
        <f>H6/J6</f>
        <v>1.1032490504637213</v>
      </c>
      <c r="L6" s="1238" t="str">
        <f>VLOOKUP(I6,$E$63:$G$67,2,TRUE)</f>
        <v>××</v>
      </c>
      <c r="M6" s="1335">
        <f>SUM(M7:M13)</f>
        <v>317354.70085470093</v>
      </c>
      <c r="N6" s="902">
        <f>SUM(N7:N13)</f>
        <v>298325.8442649573</v>
      </c>
      <c r="O6" s="903">
        <f t="shared" ref="O6:O37" si="0">N6/M6</f>
        <v>0.94003915322982445</v>
      </c>
      <c r="P6" s="902">
        <f>SUM(P7:P13)</f>
        <v>220260</v>
      </c>
      <c r="Q6" s="904">
        <f>N6/P6</f>
        <v>1.3544258797101485</v>
      </c>
      <c r="R6" s="1110" t="str">
        <f>VLOOKUP(O6,$E$63:$G$67,2,TRUE)</f>
        <v>×</v>
      </c>
      <c r="S6" s="1335">
        <f>SUM(S7:S13)</f>
        <v>354558.11965811963</v>
      </c>
      <c r="T6" s="902">
        <f>SUM(T7:T13)</f>
        <v>321658.30976923084</v>
      </c>
      <c r="U6" s="903">
        <f t="shared" ref="U6:U29" si="1">T6/S6</f>
        <v>0.90720897910725551</v>
      </c>
      <c r="V6" s="902">
        <f>SUM(V7:V13)</f>
        <v>323633.50597</v>
      </c>
      <c r="W6" s="904">
        <f>T6/V6</f>
        <v>0.99389681178143452</v>
      </c>
      <c r="X6" s="1325" t="str">
        <f t="shared" ref="X6:X46" si="2">VLOOKUP(U6,$E$63:$G$67,2,TRUE)</f>
        <v>×</v>
      </c>
      <c r="Y6" s="76">
        <f>SUM(Y7:Y13)</f>
        <v>411802.56410256412</v>
      </c>
      <c r="Z6" s="2">
        <f>SUM(Z7:Z13)</f>
        <v>416845.32950427354</v>
      </c>
      <c r="AA6" s="849">
        <f>Z6/Y6</f>
        <v>1.0122455900989811</v>
      </c>
      <c r="AB6" s="1145">
        <f>SUM(AB7:AB13)</f>
        <v>364678.0062</v>
      </c>
      <c r="AC6" s="1146">
        <f>Z6/AB6</f>
        <v>1.1430503688661264</v>
      </c>
      <c r="AD6" s="1160" t="str">
        <f t="shared" ref="AD6:AD46" si="3">VLOOKUP(AA6,$E$63:$G$67,2,TRUE)</f>
        <v>○</v>
      </c>
      <c r="AE6" s="914">
        <f>SUM(AE7:AE13)</f>
        <v>419143.58974358981</v>
      </c>
      <c r="AF6" s="902">
        <f>SUM(AF7:AF13)</f>
        <v>301848.717948718</v>
      </c>
      <c r="AG6" s="903">
        <f>AF6/AE6</f>
        <v>0.7201558733926321</v>
      </c>
      <c r="AH6" s="1119">
        <f>SUM(AH7:AH13)</f>
        <v>294469</v>
      </c>
      <c r="AI6" s="903">
        <f>AF6/AH6</f>
        <v>1.0250611030319592</v>
      </c>
      <c r="AJ6" s="1110" t="str">
        <f t="shared" ref="AJ6:AJ46" si="4">VLOOKUP(AG6,$E$63:$G$67,2,TRUE)</f>
        <v>××</v>
      </c>
      <c r="AK6" s="914">
        <f>SUM(AK7:AK13)</f>
        <v>318803.41880341881</v>
      </c>
      <c r="AL6" s="902">
        <f>SUM(AL7:AL13)</f>
        <v>250196.58119658122</v>
      </c>
      <c r="AM6" s="903">
        <f t="shared" ref="AM6:AM29" si="5">AL6/AK6</f>
        <v>0.7847989276139411</v>
      </c>
      <c r="AN6" s="1119">
        <f>SUM(AN7:AN13)-1</f>
        <v>243699</v>
      </c>
      <c r="AO6" s="903">
        <f>AL6/AN6</f>
        <v>1.0266623219487203</v>
      </c>
      <c r="AP6" s="905" t="str">
        <f t="shared" ref="AP6:AP46" si="6">VLOOKUP(AM6,$E$63:$G$67,2,TRUE)</f>
        <v>××</v>
      </c>
      <c r="AQ6" s="69">
        <f>SUM(AQ7:AQ13)</f>
        <v>317329.69283048436</v>
      </c>
      <c r="AR6" s="5">
        <f>AQ6/E6</f>
        <v>0.91024538091996432</v>
      </c>
      <c r="AS6" s="1100" t="str">
        <f t="shared" ref="AS6:AS47" si="7">VLOOKUP(AR6,$E$63:$G$67,2,TRUE)</f>
        <v>×</v>
      </c>
      <c r="AT6" s="5">
        <f>AQ6/F6</f>
        <v>0.91024523214527098</v>
      </c>
      <c r="AU6" s="31" t="str">
        <f t="shared" ref="AU6:AU37" si="8">VLOOKUP(AT6,$E$63:$G$67,2,TRUE)</f>
        <v>×</v>
      </c>
      <c r="AV6" s="23"/>
      <c r="AW6" s="848">
        <f>SUM(AW7:AW13)</f>
        <v>261472</v>
      </c>
      <c r="AX6" s="849">
        <f t="shared" ref="AX6:AX43" si="9">AQ6/AW6</f>
        <v>1.2136278180091342</v>
      </c>
      <c r="AY6" s="850" t="str">
        <f t="shared" ref="AY6:AY13" si="10">VLOOKUP(AX6,$E$63:$G$67,2,TRUE)</f>
        <v>◎</v>
      </c>
    </row>
    <row r="7" spans="1:51" ht="14.25" customHeight="1">
      <c r="A7" s="23"/>
      <c r="B7" s="832"/>
      <c r="C7" s="14"/>
      <c r="D7" s="15" t="s">
        <v>0</v>
      </c>
      <c r="E7" s="41">
        <f>ﾃﾞｰﾀ貼付!AY10</f>
        <v>68931.623931623937</v>
      </c>
      <c r="F7" s="41">
        <v>68932</v>
      </c>
      <c r="G7" s="1239">
        <f>ﾃﾞｰﾀ貼付!G10</f>
        <v>81025.641025641031</v>
      </c>
      <c r="H7" s="906">
        <f>ﾃﾞｰﾀ貼付!H10</f>
        <v>81143.475999999995</v>
      </c>
      <c r="I7" s="907">
        <f t="shared" ref="I7:I13" si="11">H7/G7</f>
        <v>1.0014542924050631</v>
      </c>
      <c r="J7" s="1240">
        <v>74747</v>
      </c>
      <c r="K7" s="908">
        <f t="shared" ref="K7:K55" si="12">H7/J7</f>
        <v>1.0855750197332334</v>
      </c>
      <c r="L7" s="1111" t="str">
        <f t="shared" ref="L7:L46" si="13">VLOOKUP(I7,$E$63:$G$67,2,TRUE)</f>
        <v>○</v>
      </c>
      <c r="M7" s="1336">
        <f>ﾃﾞｰﾀ貼付!K10</f>
        <v>75641.025641025641</v>
      </c>
      <c r="N7" s="906">
        <f>ﾃﾞｰﾀ貼付!L10</f>
        <v>73149.438641025641</v>
      </c>
      <c r="O7" s="907">
        <f t="shared" si="0"/>
        <v>0.96706037525423727</v>
      </c>
      <c r="P7" s="1240">
        <v>67862</v>
      </c>
      <c r="Q7" s="908">
        <f t="shared" ref="Q7:Q55" si="14">N7/P7</f>
        <v>1.0779145713510601</v>
      </c>
      <c r="R7" s="1111" t="str">
        <f t="shared" ref="R7:R46" si="15">VLOOKUP(O7,$E$63:$G$67,2,TRUE)</f>
        <v>△</v>
      </c>
      <c r="S7" s="1336">
        <f>ﾃﾞｰﾀ貼付!O10</f>
        <v>75213.675213675218</v>
      </c>
      <c r="T7" s="906">
        <f>ﾃﾞｰﾀ貼付!P10</f>
        <v>75236.954316239324</v>
      </c>
      <c r="U7" s="907">
        <f t="shared" si="1"/>
        <v>1.00030950625</v>
      </c>
      <c r="V7" s="1240">
        <v>81100.881970000002</v>
      </c>
      <c r="W7" s="908">
        <f>T7/V7</f>
        <v>0.92769588306166872</v>
      </c>
      <c r="X7" s="1326" t="str">
        <f t="shared" si="2"/>
        <v>○</v>
      </c>
      <c r="Y7" s="85">
        <f>ﾃﾞｰﾀ貼付!Z10</f>
        <v>79914.529914529921</v>
      </c>
      <c r="Z7" s="3">
        <f>ﾃﾞｰﾀ貼付!AA10</f>
        <v>80874.543854700853</v>
      </c>
      <c r="AA7" s="852">
        <f t="shared" ref="AA7:AA29" si="16">Z7/Y7</f>
        <v>1.0120130086631014</v>
      </c>
      <c r="AB7" s="949">
        <v>84186.014200000005</v>
      </c>
      <c r="AC7" s="1148">
        <f t="shared" ref="AC7:AC55" si="17">Z7/AB7</f>
        <v>0.96066483991708984</v>
      </c>
      <c r="AD7" s="1162" t="str">
        <f t="shared" si="3"/>
        <v>○</v>
      </c>
      <c r="AE7" s="906">
        <f>ﾃﾞｰﾀ貼付!AD10</f>
        <v>54957.264957264961</v>
      </c>
      <c r="AF7" s="906">
        <f>ﾃﾞｰﾀ貼付!AE10</f>
        <v>54957.264957264961</v>
      </c>
      <c r="AG7" s="907">
        <f t="shared" ref="AG7:AG29" si="18">AF7/AE7</f>
        <v>1</v>
      </c>
      <c r="AH7" s="1121">
        <v>65722</v>
      </c>
      <c r="AI7" s="907">
        <f t="shared" ref="AI7:AI21" si="19">AF7/AH7</f>
        <v>0.83620804231862944</v>
      </c>
      <c r="AJ7" s="1111" t="str">
        <f t="shared" si="4"/>
        <v>○</v>
      </c>
      <c r="AK7" s="906">
        <f>ﾃﾞｰﾀ貼付!AH10</f>
        <v>35384.61538461539</v>
      </c>
      <c r="AL7" s="906">
        <f>ﾃﾞｰﾀ貼付!AI10</f>
        <v>35384.61538461539</v>
      </c>
      <c r="AM7" s="907">
        <f>AL7/AK7</f>
        <v>1</v>
      </c>
      <c r="AN7" s="1121">
        <v>68302</v>
      </c>
      <c r="AO7" s="907">
        <f t="shared" ref="AO7:AO21" si="20">AL7/AN7</f>
        <v>0.51806118978383342</v>
      </c>
      <c r="AP7" s="909" t="str">
        <f t="shared" si="6"/>
        <v>○</v>
      </c>
      <c r="AQ7" s="70">
        <f>ﾃﾞｰﾀ貼付!BA10</f>
        <v>66791.048858974362</v>
      </c>
      <c r="AR7" s="6">
        <f>AQ7/E7</f>
        <v>0.96894640006199628</v>
      </c>
      <c r="AS7" s="1101" t="str">
        <f t="shared" si="7"/>
        <v>△</v>
      </c>
      <c r="AT7" s="6">
        <f t="shared" ref="AT7:AT29" si="21">AQ7/F7</f>
        <v>0.96894111383645276</v>
      </c>
      <c r="AU7" s="32" t="str">
        <f t="shared" si="8"/>
        <v>△</v>
      </c>
      <c r="AV7" s="23"/>
      <c r="AW7" s="851">
        <v>63225</v>
      </c>
      <c r="AX7" s="852">
        <f>AQ7/AW7</f>
        <v>1.0564025125974592</v>
      </c>
      <c r="AY7" s="853" t="str">
        <f t="shared" si="10"/>
        <v>○</v>
      </c>
    </row>
    <row r="8" spans="1:51" ht="14.25" customHeight="1">
      <c r="A8" s="23"/>
      <c r="B8" s="832"/>
      <c r="C8" s="14"/>
      <c r="D8" s="16" t="s">
        <v>1</v>
      </c>
      <c r="E8" s="42">
        <f>ﾃﾞｰﾀ貼付!AY14</f>
        <v>139601.13960113961</v>
      </c>
      <c r="F8" s="42">
        <v>139601</v>
      </c>
      <c r="G8" s="1241">
        <f>ﾃﾞｰﾀ貼付!G14</f>
        <v>153846.15384615384</v>
      </c>
      <c r="H8" s="910">
        <f>ﾃﾞｰﾀ貼付!H14</f>
        <v>99374.658974358972</v>
      </c>
      <c r="I8" s="911">
        <f t="shared" si="11"/>
        <v>0.64593528333333328</v>
      </c>
      <c r="J8" s="1242">
        <v>120533</v>
      </c>
      <c r="K8" s="912">
        <f t="shared" si="12"/>
        <v>0.82446018081653138</v>
      </c>
      <c r="L8" s="1112" t="str">
        <f t="shared" si="13"/>
        <v>××</v>
      </c>
      <c r="M8" s="1337">
        <f>ﾃﾞｰﾀ貼付!K14</f>
        <v>102564.10256410258</v>
      </c>
      <c r="N8" s="910">
        <f>ﾃﾞｰﾀ貼付!L14</f>
        <v>100384.54957264957</v>
      </c>
      <c r="O8" s="911">
        <f t="shared" si="0"/>
        <v>0.97874935833333321</v>
      </c>
      <c r="P8" s="1242">
        <v>77740</v>
      </c>
      <c r="Q8" s="912">
        <f>N8/P8</f>
        <v>1.2912856904122663</v>
      </c>
      <c r="R8" s="1112" t="str">
        <f t="shared" si="15"/>
        <v>△</v>
      </c>
      <c r="S8" s="1337">
        <f>ﾃﾞｰﾀ貼付!O14</f>
        <v>145299.14529914531</v>
      </c>
      <c r="T8" s="910">
        <f>ﾃﾞｰﾀ貼付!P14</f>
        <v>136799.69145299145</v>
      </c>
      <c r="U8" s="911">
        <f t="shared" si="1"/>
        <v>0.94150375882352932</v>
      </c>
      <c r="V8" s="1242">
        <v>128335.323</v>
      </c>
      <c r="W8" s="912">
        <f>T8/V8</f>
        <v>1.0659550952545733</v>
      </c>
      <c r="X8" s="1327" t="str">
        <f t="shared" si="2"/>
        <v>×</v>
      </c>
      <c r="Y8" s="73">
        <f>ﾃﾞｰﾀ貼付!Z14</f>
        <v>179487.1794871795</v>
      </c>
      <c r="Z8" s="4">
        <f>ﾃﾞｰﾀ貼付!AA14</f>
        <v>179667.43333333335</v>
      </c>
      <c r="AA8" s="855">
        <f t="shared" si="16"/>
        <v>1.0010042714285714</v>
      </c>
      <c r="AB8" s="950">
        <v>161012.345</v>
      </c>
      <c r="AC8" s="1150">
        <f t="shared" si="17"/>
        <v>1.1158612299779458</v>
      </c>
      <c r="AD8" s="1164" t="str">
        <f t="shared" si="3"/>
        <v>○</v>
      </c>
      <c r="AE8" s="910">
        <f>ﾃﾞｰﾀ貼付!AD14</f>
        <v>182905.98290598291</v>
      </c>
      <c r="AF8" s="910">
        <f>ﾃﾞｰﾀ貼付!AE14</f>
        <v>128205.12820512822</v>
      </c>
      <c r="AG8" s="911">
        <f t="shared" si="18"/>
        <v>0.70093457943925241</v>
      </c>
      <c r="AH8" s="1123">
        <v>159540</v>
      </c>
      <c r="AI8" s="911">
        <f t="shared" si="19"/>
        <v>0.80359237937274797</v>
      </c>
      <c r="AJ8" s="1112" t="str">
        <f t="shared" si="4"/>
        <v>××</v>
      </c>
      <c r="AK8" s="910">
        <f>ﾃﾞｰﾀ貼付!AH14</f>
        <v>130341.88034188034</v>
      </c>
      <c r="AL8" s="910">
        <f>ﾃﾞｰﾀ貼付!AI14</f>
        <v>85470.085470085469</v>
      </c>
      <c r="AM8" s="911">
        <f t="shared" si="5"/>
        <v>0.65573770491803274</v>
      </c>
      <c r="AN8" s="1123">
        <v>128206</v>
      </c>
      <c r="AO8" s="911">
        <f t="shared" si="20"/>
        <v>0.6666621333641598</v>
      </c>
      <c r="AP8" s="913" t="str">
        <f t="shared" si="6"/>
        <v>××</v>
      </c>
      <c r="AQ8" s="71">
        <f>ﾃﾞｰﾀ貼付!BA14</f>
        <v>121650.25783475785</v>
      </c>
      <c r="AR8" s="7">
        <f t="shared" ref="AR8:AR30" si="22">AQ8/E8</f>
        <v>0.8714130714285715</v>
      </c>
      <c r="AS8" s="1102" t="str">
        <f t="shared" si="7"/>
        <v>××</v>
      </c>
      <c r="AT8" s="7">
        <f t="shared" si="21"/>
        <v>0.87141394284251439</v>
      </c>
      <c r="AU8" s="33" t="str">
        <f t="shared" si="8"/>
        <v>××</v>
      </c>
      <c r="AV8" s="23"/>
      <c r="AW8" s="854">
        <v>108461</v>
      </c>
      <c r="AX8" s="855">
        <f t="shared" si="9"/>
        <v>1.1216036901260162</v>
      </c>
      <c r="AY8" s="856" t="str">
        <f t="shared" si="10"/>
        <v>◎</v>
      </c>
    </row>
    <row r="9" spans="1:51" ht="14.25" customHeight="1">
      <c r="A9" s="23"/>
      <c r="B9" s="832"/>
      <c r="C9" s="14"/>
      <c r="D9" s="16" t="s">
        <v>2</v>
      </c>
      <c r="E9" s="42">
        <f>ﾃﾞｰﾀ貼付!AY19</f>
        <v>124974.358974359</v>
      </c>
      <c r="F9" s="42">
        <v>124974</v>
      </c>
      <c r="G9" s="1241">
        <f>ﾃﾞｰﾀ貼付!G19</f>
        <v>128205.12820512822</v>
      </c>
      <c r="H9" s="910">
        <f>ﾃﾞｰﾀ貼付!H19</f>
        <v>130117.834</v>
      </c>
      <c r="I9" s="911">
        <f>H9/G9+0.002</f>
        <v>1.0169191052</v>
      </c>
      <c r="J9" s="1242">
        <v>88446</v>
      </c>
      <c r="K9" s="912">
        <f t="shared" si="12"/>
        <v>1.4711556656038713</v>
      </c>
      <c r="L9" s="1112" t="str">
        <f t="shared" si="13"/>
        <v>○</v>
      </c>
      <c r="M9" s="1337">
        <f>ﾃﾞｰﾀ貼付!K19</f>
        <v>121367.52136752137</v>
      </c>
      <c r="N9" s="910">
        <f>ﾃﾞｰﾀ貼付!L19</f>
        <v>115224.45600000001</v>
      </c>
      <c r="O9" s="911">
        <f t="shared" si="0"/>
        <v>0.94938460225352117</v>
      </c>
      <c r="P9" s="1242">
        <v>72985</v>
      </c>
      <c r="Q9" s="912">
        <f t="shared" si="14"/>
        <v>1.5787416044392684</v>
      </c>
      <c r="R9" s="1112" t="str">
        <f t="shared" si="15"/>
        <v>×</v>
      </c>
      <c r="S9" s="1337">
        <f>ﾃﾞｰﾀ貼付!O19</f>
        <v>124786.3247863248</v>
      </c>
      <c r="T9" s="910">
        <f>ﾃﾞｰﾀ貼付!P19</f>
        <v>94384.581000000006</v>
      </c>
      <c r="U9" s="911">
        <f t="shared" si="1"/>
        <v>0.75636958746575345</v>
      </c>
      <c r="V9" s="1242">
        <v>109853</v>
      </c>
      <c r="W9" s="912">
        <f t="shared" ref="W9:W55" si="23">T9/V9</f>
        <v>0.85918983550745087</v>
      </c>
      <c r="X9" s="1327" t="str">
        <f t="shared" si="2"/>
        <v>××</v>
      </c>
      <c r="Y9" s="73">
        <f>ﾃﾞｰﾀ貼付!Z19</f>
        <v>144871.79487179487</v>
      </c>
      <c r="Z9" s="4">
        <f>ﾃﾞｰﾀ貼付!AA19</f>
        <v>149070.62138461537</v>
      </c>
      <c r="AA9" s="855">
        <f t="shared" si="16"/>
        <v>1.0289830502654866</v>
      </c>
      <c r="AB9" s="950">
        <v>116645</v>
      </c>
      <c r="AC9" s="1150">
        <f t="shared" si="17"/>
        <v>1.2779855234653468</v>
      </c>
      <c r="AD9" s="1164" t="str">
        <f t="shared" si="3"/>
        <v>○</v>
      </c>
      <c r="AE9" s="910">
        <f>ﾃﾞｰﾀ貼付!AD19</f>
        <v>145299.14529914531</v>
      </c>
      <c r="AF9" s="910">
        <f>ﾃﾞｰﾀ貼付!AE19</f>
        <v>97435.897435897437</v>
      </c>
      <c r="AG9" s="911">
        <f t="shared" si="18"/>
        <v>0.6705882352941176</v>
      </c>
      <c r="AH9" s="1123">
        <v>67424</v>
      </c>
      <c r="AI9" s="911">
        <f t="shared" si="19"/>
        <v>1.4451218770155647</v>
      </c>
      <c r="AJ9" s="1112" t="str">
        <f t="shared" si="4"/>
        <v>××</v>
      </c>
      <c r="AK9" s="910">
        <f>ﾃﾞｰﾀ貼付!AH19</f>
        <v>130769.23076923078</v>
      </c>
      <c r="AL9" s="910">
        <f>ﾃﾞｰﾀ貼付!AI19</f>
        <v>82051.282051282062</v>
      </c>
      <c r="AM9" s="911">
        <f t="shared" si="5"/>
        <v>0.62745098039215685</v>
      </c>
      <c r="AN9" s="1123">
        <v>59991</v>
      </c>
      <c r="AO9" s="911">
        <f t="shared" si="20"/>
        <v>1.3677265265003427</v>
      </c>
      <c r="AP9" s="913" t="str">
        <f t="shared" si="6"/>
        <v>××</v>
      </c>
      <c r="AQ9" s="71">
        <f>ﾃﾞｰﾀ貼付!BA19</f>
        <v>111380.77864529914</v>
      </c>
      <c r="AR9" s="7">
        <f t="shared" si="22"/>
        <v>0.89122904537682923</v>
      </c>
      <c r="AS9" s="1102" t="str">
        <f t="shared" si="7"/>
        <v>××</v>
      </c>
      <c r="AT9" s="7">
        <f t="shared" si="21"/>
        <v>0.89123160533630308</v>
      </c>
      <c r="AU9" s="33" t="str">
        <f t="shared" si="8"/>
        <v>××</v>
      </c>
      <c r="AV9" s="23"/>
      <c r="AW9" s="854">
        <v>87889</v>
      </c>
      <c r="AX9" s="855">
        <f t="shared" si="9"/>
        <v>1.2672891789108893</v>
      </c>
      <c r="AY9" s="856" t="str">
        <f t="shared" si="10"/>
        <v>◎</v>
      </c>
    </row>
    <row r="10" spans="1:51" ht="14.25" customHeight="1">
      <c r="A10" s="23"/>
      <c r="B10" s="832"/>
      <c r="C10" s="14"/>
      <c r="D10" s="16" t="s">
        <v>3</v>
      </c>
      <c r="E10" s="42">
        <f>ﾃﾞｰﾀ貼付!AY23</f>
        <v>0</v>
      </c>
      <c r="F10" s="42">
        <v>0</v>
      </c>
      <c r="G10" s="1241">
        <f>ﾃﾞｰﾀ貼付!G23</f>
        <v>210.25641025641028</v>
      </c>
      <c r="H10" s="910">
        <f>ﾃﾞｰﾀ貼付!H23</f>
        <v>0</v>
      </c>
      <c r="I10" s="911">
        <f t="shared" si="11"/>
        <v>0</v>
      </c>
      <c r="J10" s="1242">
        <v>720</v>
      </c>
      <c r="K10" s="912">
        <f>H10/J10</f>
        <v>0</v>
      </c>
      <c r="L10" s="1112" t="str">
        <f t="shared" si="13"/>
        <v>××</v>
      </c>
      <c r="M10" s="1337">
        <f>ﾃﾞｰﾀ貼付!K23</f>
        <v>84.615384615384627</v>
      </c>
      <c r="N10" s="910">
        <f>ﾃﾞｰﾀ貼付!L23</f>
        <v>210.25641025641028</v>
      </c>
      <c r="O10" s="911">
        <f t="shared" si="0"/>
        <v>2.4848484848484849</v>
      </c>
      <c r="P10" s="1242">
        <v>296</v>
      </c>
      <c r="Q10" s="912">
        <f>N10/P10</f>
        <v>0.71032571032571035</v>
      </c>
      <c r="R10" s="1112" t="str">
        <f t="shared" si="15"/>
        <v>◎</v>
      </c>
      <c r="S10" s="1337">
        <f>ﾃﾞｰﾀ貼付!O23</f>
        <v>0</v>
      </c>
      <c r="T10" s="910">
        <f>ﾃﾞｰﾀ貼付!P23</f>
        <v>0</v>
      </c>
      <c r="U10" s="911" t="e">
        <f t="shared" si="1"/>
        <v>#DIV/0!</v>
      </c>
      <c r="V10" s="1242">
        <v>1832.7249999999999</v>
      </c>
      <c r="W10" s="912">
        <f t="shared" si="23"/>
        <v>0</v>
      </c>
      <c r="X10" s="1327" t="e">
        <f t="shared" si="2"/>
        <v>#DIV/0!</v>
      </c>
      <c r="Y10" s="73">
        <f>ﾃﾞｰﾀ貼付!Z23</f>
        <v>0</v>
      </c>
      <c r="Z10" s="4">
        <f>ﾃﾞｰﾀ貼付!AA23</f>
        <v>166.83760683760684</v>
      </c>
      <c r="AA10" s="855" t="e">
        <f t="shared" si="16"/>
        <v>#DIV/0!</v>
      </c>
      <c r="AB10" s="950">
        <v>842.64700000000005</v>
      </c>
      <c r="AC10" s="1150">
        <f t="shared" si="17"/>
        <v>0.19799228720639464</v>
      </c>
      <c r="AD10" s="1164" t="e">
        <f t="shared" si="3"/>
        <v>#DIV/0!</v>
      </c>
      <c r="AE10" s="910">
        <f>ﾃﾞｰﾀ貼付!AD23</f>
        <v>0</v>
      </c>
      <c r="AF10" s="910">
        <f>ﾃﾞｰﾀ貼付!AE23</f>
        <v>0</v>
      </c>
      <c r="AG10" s="911" t="e">
        <f t="shared" si="18"/>
        <v>#DIV/0!</v>
      </c>
      <c r="AH10" s="1123">
        <v>672</v>
      </c>
      <c r="AI10" s="911">
        <f t="shared" si="19"/>
        <v>0</v>
      </c>
      <c r="AJ10" s="1112" t="e">
        <f t="shared" si="4"/>
        <v>#DIV/0!</v>
      </c>
      <c r="AK10" s="910">
        <f>ﾃﾞｰﾀ貼付!AH23</f>
        <v>0</v>
      </c>
      <c r="AL10" s="910">
        <f>ﾃﾞｰﾀ貼付!AI23</f>
        <v>0</v>
      </c>
      <c r="AM10" s="911" t="e">
        <f>AL10/AK10-0.031</f>
        <v>#DIV/0!</v>
      </c>
      <c r="AN10" s="1123">
        <v>-14113</v>
      </c>
      <c r="AO10" s="911">
        <f t="shared" si="20"/>
        <v>0</v>
      </c>
      <c r="AP10" s="913" t="e">
        <f t="shared" si="6"/>
        <v>#DIV/0!</v>
      </c>
      <c r="AQ10" s="71">
        <f>ﾃﾞｰﾀ貼付!BA23</f>
        <v>62.849002849002851</v>
      </c>
      <c r="AR10" s="7" t="e">
        <f t="shared" si="22"/>
        <v>#DIV/0!</v>
      </c>
      <c r="AS10" s="1102" t="e">
        <f t="shared" si="7"/>
        <v>#DIV/0!</v>
      </c>
      <c r="AT10" s="7" t="e">
        <f t="shared" si="21"/>
        <v>#DIV/0!</v>
      </c>
      <c r="AU10" s="33" t="e">
        <f t="shared" si="8"/>
        <v>#DIV/0!</v>
      </c>
      <c r="AV10" s="23"/>
      <c r="AW10" s="854">
        <v>420</v>
      </c>
      <c r="AX10" s="855">
        <f t="shared" si="9"/>
        <v>0.14964048297381632</v>
      </c>
      <c r="AY10" s="856" t="str">
        <f t="shared" si="10"/>
        <v>××</v>
      </c>
    </row>
    <row r="11" spans="1:51" ht="14.25" customHeight="1">
      <c r="A11" s="23"/>
      <c r="B11" s="832"/>
      <c r="C11" s="13"/>
      <c r="D11" s="16" t="s">
        <v>120</v>
      </c>
      <c r="E11" s="42">
        <f>ﾃﾞｰﾀ貼付!AY25</f>
        <v>1580.0569800569804</v>
      </c>
      <c r="F11" s="42">
        <v>1580</v>
      </c>
      <c r="G11" s="1241">
        <f>ﾃﾞｰﾀ貼付!G25</f>
        <v>1979.4871794871797</v>
      </c>
      <c r="H11" s="910">
        <f>ﾃﾞｰﾀ貼付!H25</f>
        <v>3342.6190000000001</v>
      </c>
      <c r="I11" s="911">
        <f>H11/G11+0.008</f>
        <v>1.6966287694300517</v>
      </c>
      <c r="J11" s="1242">
        <v>1168</v>
      </c>
      <c r="K11" s="912">
        <f t="shared" si="12"/>
        <v>2.8618313356164387</v>
      </c>
      <c r="L11" s="1112" t="str">
        <f t="shared" si="13"/>
        <v>◎</v>
      </c>
      <c r="M11" s="1337">
        <f>ﾃﾞｰﾀ貼付!K25</f>
        <v>1458.1196581196582</v>
      </c>
      <c r="N11" s="910">
        <f>ﾃﾞｰﾀ貼付!L25</f>
        <v>2316.1179999999999</v>
      </c>
      <c r="O11" s="911">
        <f t="shared" si="0"/>
        <v>1.588427936694021</v>
      </c>
      <c r="P11" s="1242">
        <v>1360</v>
      </c>
      <c r="Q11" s="912">
        <f t="shared" si="14"/>
        <v>1.7030279411764706</v>
      </c>
      <c r="R11" s="1112" t="str">
        <f t="shared" si="15"/>
        <v>◎</v>
      </c>
      <c r="S11" s="1337">
        <f>ﾃﾞｰﾀ貼付!O25</f>
        <v>3033.3333333333335</v>
      </c>
      <c r="T11" s="910">
        <f>ﾃﾞｰﾀ貼付!P25</f>
        <v>4243.2370000000001</v>
      </c>
      <c r="U11" s="911">
        <f t="shared" si="1"/>
        <v>1.3988693406593407</v>
      </c>
      <c r="V11" s="1242">
        <v>1896.576</v>
      </c>
      <c r="W11" s="912">
        <f t="shared" si="23"/>
        <v>2.2373145078288452</v>
      </c>
      <c r="X11" s="1327" t="str">
        <f t="shared" si="2"/>
        <v>◎</v>
      </c>
      <c r="Y11" s="73">
        <f>ﾃﾞｰﾀ貼付!Z25</f>
        <v>1656.4102564102566</v>
      </c>
      <c r="Z11" s="4">
        <f>ﾃﾞｰﾀ貼付!AA25</f>
        <v>2303.6120000000001</v>
      </c>
      <c r="AA11" s="855">
        <f t="shared" si="16"/>
        <v>1.3907255108359131</v>
      </c>
      <c r="AB11" s="950">
        <v>1922</v>
      </c>
      <c r="AC11" s="1150">
        <f t="shared" si="17"/>
        <v>1.1985494276795006</v>
      </c>
      <c r="AD11" s="1164" t="str">
        <f t="shared" si="3"/>
        <v>◎</v>
      </c>
      <c r="AE11" s="910">
        <f>ﾃﾞｰﾀ貼付!AD25</f>
        <v>1810.2564102564104</v>
      </c>
      <c r="AF11" s="910">
        <f>ﾃﾞｰﾀ貼付!AE25</f>
        <v>1810.2564102564104</v>
      </c>
      <c r="AG11" s="911">
        <f t="shared" si="18"/>
        <v>1</v>
      </c>
      <c r="AH11" s="1123">
        <v>1111</v>
      </c>
      <c r="AI11" s="911">
        <f t="shared" si="19"/>
        <v>1.6293937086016295</v>
      </c>
      <c r="AJ11" s="1112" t="str">
        <f t="shared" si="4"/>
        <v>○</v>
      </c>
      <c r="AK11" s="910">
        <f>ﾃﾞｰﾀ貼付!AH25</f>
        <v>940.17094017094018</v>
      </c>
      <c r="AL11" s="910">
        <f>ﾃﾞｰﾀ貼付!AI25</f>
        <v>940.17094017094018</v>
      </c>
      <c r="AM11" s="911">
        <f>AL11/AK11+0.017</f>
        <v>1.0169999999999999</v>
      </c>
      <c r="AN11" s="1123">
        <v>1314</v>
      </c>
      <c r="AO11" s="911">
        <f t="shared" si="20"/>
        <v>0.71550299860802147</v>
      </c>
      <c r="AP11" s="913" t="str">
        <f t="shared" si="6"/>
        <v>○</v>
      </c>
      <c r="AQ11" s="72">
        <f>ﾃﾞｰﾀ貼付!BA25</f>
        <v>2492.668891737892</v>
      </c>
      <c r="AR11" s="7">
        <f t="shared" si="22"/>
        <v>1.577581646231518</v>
      </c>
      <c r="AS11" s="1102" t="str">
        <f t="shared" si="7"/>
        <v>◎</v>
      </c>
      <c r="AT11" s="7">
        <f t="shared" si="21"/>
        <v>1.5776385390746153</v>
      </c>
      <c r="AU11" s="33" t="str">
        <f t="shared" si="8"/>
        <v>◎</v>
      </c>
      <c r="AV11" s="23"/>
      <c r="AW11" s="857">
        <v>1364</v>
      </c>
      <c r="AX11" s="855">
        <f t="shared" si="9"/>
        <v>1.8274698619779266</v>
      </c>
      <c r="AY11" s="856" t="str">
        <f t="shared" si="10"/>
        <v>◎</v>
      </c>
    </row>
    <row r="12" spans="1:51" ht="14.25" customHeight="1">
      <c r="A12" s="23"/>
      <c r="B12" s="832"/>
      <c r="C12" s="14"/>
      <c r="D12" s="16" t="s">
        <v>80</v>
      </c>
      <c r="E12" s="42">
        <f>ﾃﾞｰﾀ貼付!AY27</f>
        <v>0</v>
      </c>
      <c r="F12" s="42">
        <v>0</v>
      </c>
      <c r="G12" s="1241">
        <f>ﾃﾞｰﾀ貼付!G27</f>
        <v>0</v>
      </c>
      <c r="H12" s="910">
        <f>ﾃﾞｰﾀ貼付!H27</f>
        <v>141.02564102564102</v>
      </c>
      <c r="I12" s="911" t="e">
        <f t="shared" si="11"/>
        <v>#DIV/0!</v>
      </c>
      <c r="J12" s="1242">
        <v>0</v>
      </c>
      <c r="K12" s="912" t="e">
        <f t="shared" si="12"/>
        <v>#DIV/0!</v>
      </c>
      <c r="L12" s="1112" t="e">
        <f t="shared" si="13"/>
        <v>#DIV/0!</v>
      </c>
      <c r="M12" s="1337">
        <f>ﾃﾞｰﾀ貼付!K27</f>
        <v>0</v>
      </c>
      <c r="N12" s="910">
        <f>ﾃﾞｰﾀ貼付!L27</f>
        <v>0</v>
      </c>
      <c r="O12" s="911" t="e">
        <f t="shared" si="0"/>
        <v>#DIV/0!</v>
      </c>
      <c r="P12" s="1242">
        <v>17</v>
      </c>
      <c r="Q12" s="912">
        <f t="shared" si="14"/>
        <v>0</v>
      </c>
      <c r="R12" s="1112" t="e">
        <f t="shared" si="15"/>
        <v>#DIV/0!</v>
      </c>
      <c r="S12" s="1337">
        <f>ﾃﾞｰﾀ貼付!O27</f>
        <v>0</v>
      </c>
      <c r="T12" s="910">
        <f>ﾃﾞｰﾀ貼付!P27</f>
        <v>0</v>
      </c>
      <c r="U12" s="911" t="e">
        <f t="shared" si="1"/>
        <v>#DIV/0!</v>
      </c>
      <c r="V12" s="1242">
        <v>420</v>
      </c>
      <c r="W12" s="912">
        <f t="shared" si="23"/>
        <v>0</v>
      </c>
      <c r="X12" s="1327" t="e">
        <f t="shared" si="2"/>
        <v>#DIV/0!</v>
      </c>
      <c r="Y12" s="73">
        <f>ﾃﾞｰﾀ貼付!Z27</f>
        <v>0</v>
      </c>
      <c r="Z12" s="4">
        <f>ﾃﾞｰﾀ貼付!AA27</f>
        <v>130.48632478632481</v>
      </c>
      <c r="AA12" s="855" t="e">
        <f t="shared" si="16"/>
        <v>#DIV/0!</v>
      </c>
      <c r="AB12" s="950">
        <v>0</v>
      </c>
      <c r="AC12" s="1150" t="e">
        <f t="shared" si="17"/>
        <v>#DIV/0!</v>
      </c>
      <c r="AD12" s="1164" t="e">
        <f t="shared" si="3"/>
        <v>#DIV/0!</v>
      </c>
      <c r="AE12" s="910">
        <f>ﾃﾞｰﾀ貼付!AD27</f>
        <v>0</v>
      </c>
      <c r="AF12" s="910">
        <f>ﾃﾞｰﾀ貼付!AE27</f>
        <v>85.470085470085479</v>
      </c>
      <c r="AG12" s="911" t="e">
        <f t="shared" si="18"/>
        <v>#DIV/0!</v>
      </c>
      <c r="AH12" s="1123">
        <v>0</v>
      </c>
      <c r="AI12" s="911" t="e">
        <f t="shared" si="19"/>
        <v>#DIV/0!</v>
      </c>
      <c r="AJ12" s="1112" t="e">
        <f t="shared" si="4"/>
        <v>#DIV/0!</v>
      </c>
      <c r="AK12" s="910">
        <f>ﾃﾞｰﾀ貼付!AH27</f>
        <v>0</v>
      </c>
      <c r="AL12" s="910">
        <f>ﾃﾞｰﾀ貼付!AI27</f>
        <v>0</v>
      </c>
      <c r="AM12" s="911" t="e">
        <f t="shared" si="5"/>
        <v>#DIV/0!</v>
      </c>
      <c r="AN12" s="1123">
        <v>0</v>
      </c>
      <c r="AO12" s="911" t="e">
        <f t="shared" si="20"/>
        <v>#DIV/0!</v>
      </c>
      <c r="AP12" s="913" t="e">
        <f t="shared" si="6"/>
        <v>#DIV/0!</v>
      </c>
      <c r="AQ12" s="73">
        <f>ﾃﾞｰﾀ貼付!BA27</f>
        <v>59.497008547008555</v>
      </c>
      <c r="AR12" s="7" t="e">
        <f t="shared" si="22"/>
        <v>#DIV/0!</v>
      </c>
      <c r="AS12" s="1102" t="e">
        <f t="shared" si="7"/>
        <v>#DIV/0!</v>
      </c>
      <c r="AT12" s="7" t="e">
        <f t="shared" si="21"/>
        <v>#DIV/0!</v>
      </c>
      <c r="AU12" s="33" t="e">
        <f t="shared" si="8"/>
        <v>#DIV/0!</v>
      </c>
      <c r="AV12" s="23"/>
      <c r="AW12" s="858">
        <v>63</v>
      </c>
      <c r="AX12" s="855">
        <f t="shared" si="9"/>
        <v>0.9443969610636278</v>
      </c>
      <c r="AY12" s="856" t="str">
        <f>VLOOKUP(AX12,$E$63:$G$67,2,TRUE)</f>
        <v>×</v>
      </c>
    </row>
    <row r="13" spans="1:51" ht="14.25" customHeight="1" thickBot="1">
      <c r="A13" s="23"/>
      <c r="B13" s="832"/>
      <c r="C13" s="14"/>
      <c r="D13" s="54" t="s">
        <v>123</v>
      </c>
      <c r="E13" s="42">
        <f>ﾃﾞｰﾀ貼付!AY29</f>
        <v>13532.763532763534</v>
      </c>
      <c r="F13" s="42">
        <v>13533</v>
      </c>
      <c r="G13" s="1243">
        <f>ﾃﾞｰﾀ貼付!G29</f>
        <v>16239.31623931624</v>
      </c>
      <c r="H13" s="910">
        <f>ﾃﾞｰﾀ貼付!H29</f>
        <v>983.76068376068383</v>
      </c>
      <c r="I13" s="911">
        <f t="shared" si="11"/>
        <v>6.0578947368421052E-2</v>
      </c>
      <c r="J13" s="1244">
        <v>0</v>
      </c>
      <c r="K13" s="912" t="e">
        <f t="shared" si="12"/>
        <v>#DIV/0!</v>
      </c>
      <c r="L13" s="1112" t="str">
        <f t="shared" si="13"/>
        <v>××</v>
      </c>
      <c r="M13" s="1338">
        <f>ﾃﾞｰﾀ貼付!K29</f>
        <v>16239.31623931624</v>
      </c>
      <c r="N13" s="922">
        <f>ﾃﾞｰﾀ貼付!L29</f>
        <v>7041.0256410256416</v>
      </c>
      <c r="O13" s="926">
        <f t="shared" si="0"/>
        <v>0.43357894736842106</v>
      </c>
      <c r="P13" s="1244">
        <v>0</v>
      </c>
      <c r="Q13" s="912" t="e">
        <f t="shared" si="14"/>
        <v>#DIV/0!</v>
      </c>
      <c r="R13" s="1112" t="str">
        <f t="shared" si="15"/>
        <v>××</v>
      </c>
      <c r="S13" s="1338">
        <f>ﾃﾞｰﾀ貼付!O29</f>
        <v>6225.6410256410263</v>
      </c>
      <c r="T13" s="922">
        <f>ﾃﾞｰﾀ貼付!P29</f>
        <v>10993.846</v>
      </c>
      <c r="U13" s="926">
        <f t="shared" si="1"/>
        <v>1.7658978336079074</v>
      </c>
      <c r="V13" s="1244">
        <v>195</v>
      </c>
      <c r="W13" s="912">
        <f t="shared" si="23"/>
        <v>56.378697435897436</v>
      </c>
      <c r="X13" s="1327" t="str">
        <f t="shared" si="2"/>
        <v>◎</v>
      </c>
      <c r="Y13" s="77">
        <f>ﾃﾞｰﾀ貼付!Z29</f>
        <v>5872.6495726495732</v>
      </c>
      <c r="Z13" s="56">
        <f>ﾃﾞｰﾀ貼付!AA29</f>
        <v>4631.7950000000001</v>
      </c>
      <c r="AA13" s="875">
        <f t="shared" si="16"/>
        <v>0.78870617814000865</v>
      </c>
      <c r="AB13" s="952">
        <v>70</v>
      </c>
      <c r="AC13" s="1150">
        <f t="shared" si="17"/>
        <v>66.168499999999995</v>
      </c>
      <c r="AD13" s="1164" t="str">
        <f t="shared" si="3"/>
        <v>××</v>
      </c>
      <c r="AE13" s="922">
        <f>ﾃﾞｰﾀ貼付!AD29</f>
        <v>34170.940170940172</v>
      </c>
      <c r="AF13" s="922">
        <f>ﾃﾞｰﾀ貼付!AE29</f>
        <v>19354.700854700855</v>
      </c>
      <c r="AG13" s="923">
        <f t="shared" si="18"/>
        <v>0.56640820410205106</v>
      </c>
      <c r="AH13" s="1129">
        <v>0</v>
      </c>
      <c r="AI13" s="923" t="e">
        <f t="shared" si="19"/>
        <v>#DIV/0!</v>
      </c>
      <c r="AJ13" s="1115" t="str">
        <f t="shared" si="4"/>
        <v>××</v>
      </c>
      <c r="AK13" s="922">
        <f>ﾃﾞｰﾀ貼付!AH29</f>
        <v>21367.521367521367</v>
      </c>
      <c r="AL13" s="910">
        <f>ﾃﾞｰﾀ貼付!AI29</f>
        <v>46350.427350427351</v>
      </c>
      <c r="AM13" s="911">
        <f t="shared" si="5"/>
        <v>2.1692</v>
      </c>
      <c r="AN13" s="1123">
        <v>0</v>
      </c>
      <c r="AO13" s="911" t="e">
        <f t="shared" si="20"/>
        <v>#DIV/0!</v>
      </c>
      <c r="AP13" s="913" t="str">
        <f t="shared" si="6"/>
        <v>◎</v>
      </c>
      <c r="AQ13" s="73">
        <f>ﾃﾞｰﾀ貼付!BA29</f>
        <v>14892.592588319088</v>
      </c>
      <c r="AR13" s="7">
        <f t="shared" si="22"/>
        <v>1.1004842102105261</v>
      </c>
      <c r="AS13" s="1102" t="str">
        <f t="shared" si="7"/>
        <v>◎</v>
      </c>
      <c r="AT13" s="7">
        <f t="shared" si="21"/>
        <v>1.100464981032963</v>
      </c>
      <c r="AU13" s="33" t="str">
        <f t="shared" si="8"/>
        <v>◎</v>
      </c>
      <c r="AV13" s="23"/>
      <c r="AW13" s="858">
        <v>50</v>
      </c>
      <c r="AX13" s="855">
        <f>AQ13/AW13</f>
        <v>297.85185176638174</v>
      </c>
      <c r="AY13" s="856" t="str">
        <f t="shared" si="10"/>
        <v>◎</v>
      </c>
    </row>
    <row r="14" spans="1:51" ht="14.25" customHeight="1">
      <c r="A14" s="23"/>
      <c r="B14" s="833" t="s">
        <v>265</v>
      </c>
      <c r="C14" s="26" t="s">
        <v>4</v>
      </c>
      <c r="D14" s="27"/>
      <c r="E14" s="43">
        <f>SUM(E15:E21)</f>
        <v>375492.45014245017</v>
      </c>
      <c r="F14" s="43">
        <f>SUM(F15:F21)</f>
        <v>375493</v>
      </c>
      <c r="G14" s="1245">
        <f>SUM(G15:G21)</f>
        <v>432763.07692307694</v>
      </c>
      <c r="H14" s="914">
        <f>SUM(H15:H21)</f>
        <v>367824.57869230764</v>
      </c>
      <c r="I14" s="916">
        <f>H14/G14+0.001</f>
        <v>0.8509444576175984</v>
      </c>
      <c r="J14" s="902">
        <f>SUM(J15:J21)</f>
        <v>298470</v>
      </c>
      <c r="K14" s="916">
        <f t="shared" si="12"/>
        <v>1.2323670006778156</v>
      </c>
      <c r="L14" s="1113" t="str">
        <f t="shared" si="13"/>
        <v>××</v>
      </c>
      <c r="M14" s="1339">
        <f>SUM(M15:M21)</f>
        <v>332957.264957265</v>
      </c>
      <c r="N14" s="914">
        <f>SUM(N15:N21)</f>
        <v>308214.70052829065</v>
      </c>
      <c r="O14" s="915">
        <f t="shared" si="0"/>
        <v>0.92568846806165939</v>
      </c>
      <c r="P14" s="902">
        <f>SUM(P15:P21)-1</f>
        <v>234440</v>
      </c>
      <c r="Q14" s="916">
        <f>N14/P14</f>
        <v>1.3146847830075528</v>
      </c>
      <c r="R14" s="1113" t="str">
        <f t="shared" si="15"/>
        <v>×</v>
      </c>
      <c r="S14" s="1339">
        <f>SUM(S15:S21)</f>
        <v>349529.05982905987</v>
      </c>
      <c r="T14" s="914">
        <f>SUM(T15:T21)</f>
        <v>335966.20377435902</v>
      </c>
      <c r="U14" s="915">
        <f t="shared" si="1"/>
        <v>0.96119677127465775</v>
      </c>
      <c r="V14" s="902">
        <f>SUM(V15:V21)</f>
        <v>306322.94709999999</v>
      </c>
      <c r="W14" s="916">
        <f t="shared" si="23"/>
        <v>1.096771257116046</v>
      </c>
      <c r="X14" s="1328" t="str">
        <f t="shared" si="2"/>
        <v>△</v>
      </c>
      <c r="Y14" s="1089">
        <f>SUM(Y15:Y21)</f>
        <v>400983.16581196582</v>
      </c>
      <c r="Z14" s="28">
        <f>SUM(Z15:Z21)</f>
        <v>403403.08096589753</v>
      </c>
      <c r="AA14" s="859">
        <f t="shared" si="16"/>
        <v>1.0060349544825193</v>
      </c>
      <c r="AB14" s="1145">
        <f>SUM(AB15:AB21)</f>
        <v>367765.89561000001</v>
      </c>
      <c r="AC14" s="1151">
        <f t="shared" si="17"/>
        <v>1.0969018220049671</v>
      </c>
      <c r="AD14" s="1165" t="str">
        <f t="shared" si="3"/>
        <v>○</v>
      </c>
      <c r="AE14" s="902">
        <f>SUM(AE15:AE21)</f>
        <v>439147.86324786325</v>
      </c>
      <c r="AF14" s="902">
        <f>SUM(AF15:AF21)</f>
        <v>321645.55897435901</v>
      </c>
      <c r="AG14" s="903">
        <f>AF14/AE14</f>
        <v>0.73243111464899979</v>
      </c>
      <c r="AH14" s="1119">
        <f>SUM(AH15:AH21)+1</f>
        <v>299573</v>
      </c>
      <c r="AI14" s="903">
        <f t="shared" si="19"/>
        <v>1.0736800678778093</v>
      </c>
      <c r="AJ14" s="1110" t="str">
        <f t="shared" si="4"/>
        <v>××</v>
      </c>
      <c r="AK14" s="902">
        <f>SUM(AK15:AK21)</f>
        <v>320938.88888888893</v>
      </c>
      <c r="AL14" s="914">
        <f>SUM(AL15:AL21)</f>
        <v>217387.60683760681</v>
      </c>
      <c r="AM14" s="915">
        <f t="shared" si="5"/>
        <v>0.6773489108478461</v>
      </c>
      <c r="AN14" s="1125">
        <f>SUM(AN15:AN21)</f>
        <v>278174</v>
      </c>
      <c r="AO14" s="915">
        <f t="shared" si="20"/>
        <v>0.78148068057261577</v>
      </c>
      <c r="AP14" s="917" t="str">
        <f t="shared" si="6"/>
        <v>××</v>
      </c>
      <c r="AQ14" s="69">
        <f>ﾃﾞｰﾀ貼付!BA67</f>
        <v>325740.28829547006</v>
      </c>
      <c r="AR14" s="29">
        <f t="shared" si="22"/>
        <v>0.86750156540269807</v>
      </c>
      <c r="AS14" s="1103" t="str">
        <f t="shared" si="7"/>
        <v>××</v>
      </c>
      <c r="AT14" s="29">
        <f>AQ14/F14</f>
        <v>0.86750029506667248</v>
      </c>
      <c r="AU14" s="35" t="str">
        <f t="shared" si="8"/>
        <v>××</v>
      </c>
      <c r="AV14" s="23"/>
      <c r="AW14" s="848">
        <f>SUM(AW15:AW21)</f>
        <v>261662</v>
      </c>
      <c r="AX14" s="859">
        <f t="shared" si="9"/>
        <v>1.2448895456561138</v>
      </c>
      <c r="AY14" s="860" t="str">
        <f t="shared" ref="AY14:AY21" si="24">VLOOKUP(AX14,$E$63:$G$67,2,TRUE)</f>
        <v>◎</v>
      </c>
    </row>
    <row r="15" spans="1:51" ht="14.25" customHeight="1">
      <c r="A15" s="23"/>
      <c r="B15" s="832"/>
      <c r="C15" s="14"/>
      <c r="D15" s="15" t="s">
        <v>0</v>
      </c>
      <c r="E15" s="41">
        <f>ﾃﾞｰﾀ貼付!AY43</f>
        <v>71636.75213675214</v>
      </c>
      <c r="F15" s="41">
        <v>71637</v>
      </c>
      <c r="G15" s="1239">
        <f>ﾃﾞｰﾀ貼付!G43</f>
        <v>85641.025641025641</v>
      </c>
      <c r="H15" s="906">
        <f>ﾃﾞｰﾀ貼付!H43</f>
        <v>85665.48347008547</v>
      </c>
      <c r="I15" s="907">
        <f t="shared" ref="I15:I25" si="25">H15/G15</f>
        <v>1.0002855854291417</v>
      </c>
      <c r="J15" s="1240">
        <v>71229</v>
      </c>
      <c r="K15" s="908">
        <f t="shared" si="12"/>
        <v>1.2026770482540183</v>
      </c>
      <c r="L15" s="1111" t="str">
        <f t="shared" si="13"/>
        <v>○</v>
      </c>
      <c r="M15" s="1336">
        <f>ﾃﾞｰﾀ貼付!K43</f>
        <v>81623.931623931625</v>
      </c>
      <c r="N15" s="906">
        <f>ﾃﾞｰﾀ貼付!L43</f>
        <v>81761.879196581212</v>
      </c>
      <c r="O15" s="907">
        <f t="shared" si="0"/>
        <v>1.0016900383246075</v>
      </c>
      <c r="P15" s="1240">
        <v>67749</v>
      </c>
      <c r="Q15" s="908">
        <f t="shared" si="14"/>
        <v>1.2068352181815409</v>
      </c>
      <c r="R15" s="1111" t="str">
        <f t="shared" si="15"/>
        <v>○</v>
      </c>
      <c r="S15" s="1336">
        <f>ﾃﾞｰﾀ貼付!O43</f>
        <v>80769.23076923078</v>
      </c>
      <c r="T15" s="906">
        <f>ﾃﾞｰﾀ貼付!P43</f>
        <v>81059.842102564115</v>
      </c>
      <c r="U15" s="907">
        <f t="shared" si="1"/>
        <v>1.0035980450793651</v>
      </c>
      <c r="V15" s="1240">
        <v>81435.618099999992</v>
      </c>
      <c r="W15" s="908">
        <f t="shared" si="23"/>
        <v>0.99538560636975282</v>
      </c>
      <c r="X15" s="1326" t="str">
        <f t="shared" si="2"/>
        <v>○</v>
      </c>
      <c r="Y15" s="1161">
        <f>ﾃﾞｰﾀ貼付!Z43</f>
        <v>80341.880341880344</v>
      </c>
      <c r="Z15" s="1147">
        <f>ﾃﾞｰﾀ貼付!AA43</f>
        <v>80499.023316239312</v>
      </c>
      <c r="AA15" s="852">
        <f t="shared" si="16"/>
        <v>1.0019559285106383</v>
      </c>
      <c r="AB15" s="949">
        <v>84444.442610000013</v>
      </c>
      <c r="AC15" s="1148">
        <f t="shared" si="17"/>
        <v>0.95327792840101622</v>
      </c>
      <c r="AD15" s="1162" t="str">
        <f t="shared" si="3"/>
        <v>○</v>
      </c>
      <c r="AE15" s="906">
        <f>ﾃﾞｰﾀ貼付!AD43</f>
        <v>66666.666666666672</v>
      </c>
      <c r="AF15" s="906">
        <f>ﾃﾞｰﾀ貼付!AE43</f>
        <v>66666.666666666672</v>
      </c>
      <c r="AG15" s="907">
        <f t="shared" si="18"/>
        <v>1</v>
      </c>
      <c r="AH15" s="1121">
        <v>67773</v>
      </c>
      <c r="AI15" s="907">
        <f t="shared" si="19"/>
        <v>0.98367589846497383</v>
      </c>
      <c r="AJ15" s="1111" t="str">
        <f t="shared" si="4"/>
        <v>○</v>
      </c>
      <c r="AK15" s="906">
        <f>ﾃﾞｰﾀ貼付!AH43</f>
        <v>35384.61538461539</v>
      </c>
      <c r="AL15" s="906">
        <f>ﾃﾞｰﾀ貼付!AI43</f>
        <v>35384.61538461539</v>
      </c>
      <c r="AM15" s="907">
        <f>AL15/AK15</f>
        <v>1</v>
      </c>
      <c r="AN15" s="1121">
        <v>64180</v>
      </c>
      <c r="AO15" s="907">
        <f t="shared" si="20"/>
        <v>0.55133398854184157</v>
      </c>
      <c r="AP15" s="909" t="str">
        <f t="shared" si="6"/>
        <v>○</v>
      </c>
      <c r="AQ15" s="70">
        <f>ﾃﾞｰﾀ貼付!BA43</f>
        <v>71839.585022792031</v>
      </c>
      <c r="AR15" s="6">
        <f>AQ15/E15</f>
        <v>1.0028314081807155</v>
      </c>
      <c r="AS15" s="1101" t="str">
        <f t="shared" si="7"/>
        <v>○</v>
      </c>
      <c r="AT15" s="6">
        <f>AQ15/F15</f>
        <v>1.0028279383948522</v>
      </c>
      <c r="AU15" s="32" t="str">
        <f t="shared" si="8"/>
        <v>○</v>
      </c>
      <c r="AV15" s="23"/>
      <c r="AW15" s="851">
        <v>63453</v>
      </c>
      <c r="AX15" s="852">
        <f t="shared" si="9"/>
        <v>1.1321700317209908</v>
      </c>
      <c r="AY15" s="853" t="str">
        <f t="shared" si="24"/>
        <v>◎</v>
      </c>
    </row>
    <row r="16" spans="1:51" ht="14.25" customHeight="1">
      <c r="A16" s="23"/>
      <c r="B16" s="832"/>
      <c r="C16" s="14"/>
      <c r="D16" s="16" t="s">
        <v>1</v>
      </c>
      <c r="E16" s="42">
        <f>ﾃﾞｰﾀ貼付!AY50</f>
        <v>150997.15099715101</v>
      </c>
      <c r="F16" s="42">
        <v>150997</v>
      </c>
      <c r="G16" s="1241">
        <f>ﾃﾞｰﾀ貼付!G50</f>
        <v>213675.21367521369</v>
      </c>
      <c r="H16" s="910">
        <f>ﾃﾞｰﾀ貼付!H50</f>
        <v>156424.42393162395</v>
      </c>
      <c r="I16" s="911">
        <f>H16/G16</f>
        <v>0.73206630400000006</v>
      </c>
      <c r="J16" s="1242">
        <v>137242</v>
      </c>
      <c r="K16" s="912">
        <f t="shared" si="12"/>
        <v>1.1397707985283219</v>
      </c>
      <c r="L16" s="1112" t="str">
        <f t="shared" si="13"/>
        <v>××</v>
      </c>
      <c r="M16" s="1337">
        <f>ﾃﾞｰﾀ貼付!K50</f>
        <v>102564.10256410258</v>
      </c>
      <c r="N16" s="910">
        <f>ﾃﾞｰﾀ貼付!L50</f>
        <v>102787.00128205128</v>
      </c>
      <c r="O16" s="911">
        <f t="shared" si="0"/>
        <v>1.0021732624999999</v>
      </c>
      <c r="P16" s="1242">
        <v>94074</v>
      </c>
      <c r="Q16" s="912">
        <f t="shared" si="14"/>
        <v>1.092618590493136</v>
      </c>
      <c r="R16" s="1112" t="str">
        <f t="shared" si="15"/>
        <v>○</v>
      </c>
      <c r="S16" s="1337">
        <f>ﾃﾞｰﾀ貼付!O50</f>
        <v>145299.14529914531</v>
      </c>
      <c r="T16" s="910">
        <f>ﾃﾞｰﾀ貼付!P50</f>
        <v>139804.84487179489</v>
      </c>
      <c r="U16" s="911">
        <f t="shared" si="1"/>
        <v>0.96218628529411776</v>
      </c>
      <c r="V16" s="1242">
        <v>130918.43799999999</v>
      </c>
      <c r="W16" s="912">
        <f t="shared" si="23"/>
        <v>1.0678774281724541</v>
      </c>
      <c r="X16" s="1327" t="str">
        <f t="shared" si="2"/>
        <v>△</v>
      </c>
      <c r="Y16" s="73">
        <f>ﾃﾞｰﾀ貼付!Z50</f>
        <v>185470.08547008547</v>
      </c>
      <c r="Z16" s="4">
        <f>ﾃﾞｰﾀ貼付!AA50</f>
        <v>171499.79145299149</v>
      </c>
      <c r="AA16" s="855">
        <f t="shared" si="16"/>
        <v>0.92467629493087578</v>
      </c>
      <c r="AB16" s="950">
        <v>161069.34299999999</v>
      </c>
      <c r="AC16" s="1150">
        <f t="shared" si="17"/>
        <v>1.0647575029407768</v>
      </c>
      <c r="AD16" s="1164" t="str">
        <f t="shared" si="3"/>
        <v>×</v>
      </c>
      <c r="AE16" s="910">
        <f>ﾃﾞｰﾀ貼付!AD50</f>
        <v>188034.18803418803</v>
      </c>
      <c r="AF16" s="910">
        <f>ﾃﾞｰﾀ貼付!AE50</f>
        <v>128205.12820512822</v>
      </c>
      <c r="AG16" s="911">
        <f t="shared" si="18"/>
        <v>0.68181818181818188</v>
      </c>
      <c r="AH16" s="1123">
        <v>154063</v>
      </c>
      <c r="AI16" s="911">
        <f t="shared" si="19"/>
        <v>0.83216040324495966</v>
      </c>
      <c r="AJ16" s="1112" t="str">
        <f t="shared" si="4"/>
        <v>××</v>
      </c>
      <c r="AK16" s="910">
        <f>ﾃﾞｰﾀ貼付!AH50</f>
        <v>128205.12820512822</v>
      </c>
      <c r="AL16" s="910">
        <f>ﾃﾞｰﾀ貼付!AI50</f>
        <v>85470.085470085469</v>
      </c>
      <c r="AM16" s="911">
        <f t="shared" si="5"/>
        <v>0.66666666666666663</v>
      </c>
      <c r="AN16" s="1123">
        <v>136855</v>
      </c>
      <c r="AO16" s="911">
        <f>AL16/AN16</f>
        <v>0.6245302361629862</v>
      </c>
      <c r="AP16" s="913" t="str">
        <f t="shared" si="6"/>
        <v>××</v>
      </c>
      <c r="AQ16" s="71">
        <f>ﾃﾞｰﾀ貼付!BA50</f>
        <v>130698.54586894589</v>
      </c>
      <c r="AR16" s="7">
        <f t="shared" si="22"/>
        <v>0.86556961509433972</v>
      </c>
      <c r="AS16" s="1102" t="str">
        <f t="shared" si="7"/>
        <v>××</v>
      </c>
      <c r="AT16" s="7">
        <f t="shared" si="21"/>
        <v>0.86557048066482045</v>
      </c>
      <c r="AU16" s="33" t="str">
        <f t="shared" si="8"/>
        <v>××</v>
      </c>
      <c r="AV16" s="23"/>
      <c r="AW16" s="854">
        <v>114252</v>
      </c>
      <c r="AX16" s="855">
        <f>AQ16/AW16</f>
        <v>1.143949741527027</v>
      </c>
      <c r="AY16" s="856" t="str">
        <f t="shared" si="24"/>
        <v>◎</v>
      </c>
    </row>
    <row r="17" spans="1:51" ht="14.25" customHeight="1">
      <c r="A17" s="23"/>
      <c r="B17" s="832"/>
      <c r="C17" s="14"/>
      <c r="D17" s="16" t="s">
        <v>2</v>
      </c>
      <c r="E17" s="42">
        <f>ﾃﾞｰﾀ貼付!AY55</f>
        <v>134888.88888888891</v>
      </c>
      <c r="F17" s="42">
        <v>134889</v>
      </c>
      <c r="G17" s="1241">
        <f>ﾃﾞｰﾀ貼付!G55</f>
        <v>122222.22222222223</v>
      </c>
      <c r="H17" s="910">
        <f>ﾃﾞｰﾀ貼付!H55</f>
        <v>122672.99676923078</v>
      </c>
      <c r="I17" s="911">
        <f>H17/G17+0.002</f>
        <v>1.0056881553846153</v>
      </c>
      <c r="J17" s="1242">
        <v>87546</v>
      </c>
      <c r="K17" s="912">
        <f t="shared" si="12"/>
        <v>1.4012404538097776</v>
      </c>
      <c r="L17" s="1112" t="str">
        <f t="shared" si="13"/>
        <v>○</v>
      </c>
      <c r="M17" s="1337">
        <f>ﾃﾞｰﾀ貼付!K55</f>
        <v>130769.23076923078</v>
      </c>
      <c r="N17" s="910">
        <f>ﾃﾞｰﾀ貼付!L55</f>
        <v>119397.9055197436</v>
      </c>
      <c r="O17" s="911">
        <f t="shared" si="0"/>
        <v>0.91304280691568629</v>
      </c>
      <c r="P17" s="1242">
        <v>68638</v>
      </c>
      <c r="Q17" s="912">
        <f t="shared" si="14"/>
        <v>1.7395306611460648</v>
      </c>
      <c r="R17" s="1112" t="str">
        <f t="shared" si="15"/>
        <v>×</v>
      </c>
      <c r="S17" s="1337">
        <f>ﾃﾞｰﾀ貼付!O55</f>
        <v>117948.71794871797</v>
      </c>
      <c r="T17" s="910">
        <f>ﾃﾞｰﾀ貼付!P55</f>
        <v>101142.3008</v>
      </c>
      <c r="U17" s="911">
        <f t="shared" si="1"/>
        <v>0.85751081113043459</v>
      </c>
      <c r="V17" s="1242">
        <v>88915.154999999999</v>
      </c>
      <c r="W17" s="912">
        <f t="shared" si="23"/>
        <v>1.1375147554992171</v>
      </c>
      <c r="X17" s="1327" t="str">
        <f t="shared" si="2"/>
        <v>××</v>
      </c>
      <c r="Y17" s="73">
        <f>ﾃﾞｰﾀ貼付!Z55</f>
        <v>127777.77777777778</v>
      </c>
      <c r="Z17" s="4">
        <f>ﾃﾞｰﾀ貼付!AA55</f>
        <v>145472.85753000001</v>
      </c>
      <c r="AA17" s="855">
        <f t="shared" si="16"/>
        <v>1.1384832328434782</v>
      </c>
      <c r="AB17" s="950">
        <v>119174</v>
      </c>
      <c r="AC17" s="1150">
        <f t="shared" si="17"/>
        <v>1.2206761334687097</v>
      </c>
      <c r="AD17" s="1164" t="str">
        <f t="shared" si="3"/>
        <v>◎</v>
      </c>
      <c r="AE17" s="910">
        <f>ﾃﾞｰﾀ貼付!AD55</f>
        <v>156837.60683760684</v>
      </c>
      <c r="AF17" s="910">
        <f>ﾃﾞｰﾀ貼付!AE55</f>
        <v>111965.81196581197</v>
      </c>
      <c r="AG17" s="911">
        <f t="shared" si="18"/>
        <v>0.71389645776566757</v>
      </c>
      <c r="AH17" s="1123">
        <v>76036</v>
      </c>
      <c r="AI17" s="911">
        <f t="shared" si="19"/>
        <v>1.4725368505157026</v>
      </c>
      <c r="AJ17" s="1112" t="str">
        <f t="shared" si="4"/>
        <v>××</v>
      </c>
      <c r="AK17" s="910">
        <f>ﾃﾞｰﾀ貼付!AH55</f>
        <v>118376.06837606838</v>
      </c>
      <c r="AL17" s="910">
        <f>ﾃﾞｰﾀ貼付!AI55</f>
        <v>80341.880341880344</v>
      </c>
      <c r="AM17" s="911">
        <f t="shared" si="5"/>
        <v>0.67870036101083031</v>
      </c>
      <c r="AN17" s="1123">
        <v>70985</v>
      </c>
      <c r="AO17" s="911">
        <f t="shared" si="20"/>
        <v>1.1318148952860512</v>
      </c>
      <c r="AP17" s="913" t="str">
        <f t="shared" si="6"/>
        <v>××</v>
      </c>
      <c r="AQ17" s="71">
        <f>ﾃﾞｰﾀ貼付!BA55</f>
        <v>113498.95882111111</v>
      </c>
      <c r="AR17" s="7">
        <f>AQ17/E17</f>
        <v>0.84142555962932442</v>
      </c>
      <c r="AS17" s="1102" t="str">
        <f t="shared" si="7"/>
        <v>××</v>
      </c>
      <c r="AT17" s="7">
        <f t="shared" si="21"/>
        <v>0.84142486652811654</v>
      </c>
      <c r="AU17" s="33" t="str">
        <f t="shared" si="8"/>
        <v>××</v>
      </c>
      <c r="AV17" s="23"/>
      <c r="AW17" s="854">
        <v>80520</v>
      </c>
      <c r="AX17" s="855">
        <f>AQ17/AW17</f>
        <v>1.4095747493928354</v>
      </c>
      <c r="AY17" s="856" t="str">
        <f t="shared" si="24"/>
        <v>◎</v>
      </c>
    </row>
    <row r="18" spans="1:51" ht="14.25" customHeight="1">
      <c r="A18" s="23"/>
      <c r="B18" s="832"/>
      <c r="C18" s="14"/>
      <c r="D18" s="16" t="s">
        <v>3</v>
      </c>
      <c r="E18" s="42">
        <f>ﾃﾞｰﾀ貼付!AY59</f>
        <v>3352.564102564103</v>
      </c>
      <c r="F18" s="42">
        <v>3353</v>
      </c>
      <c r="G18" s="1241">
        <f>ﾃﾞｰﾀ貼付!G59</f>
        <v>4416.9230769230771</v>
      </c>
      <c r="H18" s="910">
        <f>ﾃﾞｰﾀ貼付!H59</f>
        <v>0</v>
      </c>
      <c r="I18" s="911">
        <f t="shared" si="25"/>
        <v>0</v>
      </c>
      <c r="J18" s="1242">
        <v>1301</v>
      </c>
      <c r="K18" s="912">
        <f t="shared" si="12"/>
        <v>0</v>
      </c>
      <c r="L18" s="1112" t="str">
        <f t="shared" si="13"/>
        <v>××</v>
      </c>
      <c r="M18" s="1337">
        <f>ﾃﾞｰﾀ貼付!K59</f>
        <v>84.615384615384627</v>
      </c>
      <c r="N18" s="910">
        <f>ﾃﾞｰﾀ貼付!L59</f>
        <v>210.25641025641028</v>
      </c>
      <c r="O18" s="911">
        <f t="shared" si="0"/>
        <v>2.4848484848484849</v>
      </c>
      <c r="P18" s="1242">
        <v>2617</v>
      </c>
      <c r="Q18" s="912">
        <f t="shared" si="14"/>
        <v>8.0342533533209887E-2</v>
      </c>
      <c r="R18" s="1112" t="str">
        <f t="shared" si="15"/>
        <v>◎</v>
      </c>
      <c r="S18" s="1337">
        <f>ﾃﾞｰﾀ貼付!O59</f>
        <v>0</v>
      </c>
      <c r="T18" s="910">
        <f>ﾃﾞｰﾀ貼付!P59</f>
        <v>0</v>
      </c>
      <c r="U18" s="911" t="e">
        <f t="shared" si="1"/>
        <v>#DIV/0!</v>
      </c>
      <c r="V18" s="1242">
        <v>2720.145</v>
      </c>
      <c r="W18" s="912">
        <f t="shared" si="23"/>
        <v>0</v>
      </c>
      <c r="X18" s="1327" t="e">
        <f t="shared" si="2"/>
        <v>#DIV/0!</v>
      </c>
      <c r="Y18" s="73">
        <f>ﾃﾞｰﾀ貼付!Z59</f>
        <v>392.56752136752135</v>
      </c>
      <c r="Z18" s="4">
        <f>ﾃﾞｰﾀ貼付!AA59</f>
        <v>166.85128205128206</v>
      </c>
      <c r="AA18" s="855">
        <f t="shared" si="16"/>
        <v>0.42502569104558202</v>
      </c>
      <c r="AB18" s="950">
        <v>1050.1099999999999</v>
      </c>
      <c r="AC18" s="1150">
        <f t="shared" si="17"/>
        <v>0.1588893373563551</v>
      </c>
      <c r="AD18" s="1164" t="str">
        <f t="shared" si="3"/>
        <v>××</v>
      </c>
      <c r="AE18" s="910">
        <f>ﾃﾞｰﾀ貼付!AD59</f>
        <v>0</v>
      </c>
      <c r="AF18" s="910">
        <f>ﾃﾞｰﾀ貼付!AE59</f>
        <v>4648.9777777777781</v>
      </c>
      <c r="AG18" s="911" t="e">
        <f t="shared" si="18"/>
        <v>#DIV/0!</v>
      </c>
      <c r="AH18" s="1123">
        <v>430</v>
      </c>
      <c r="AI18" s="911">
        <f t="shared" si="19"/>
        <v>10.811576227390182</v>
      </c>
      <c r="AJ18" s="1112" t="e">
        <f t="shared" si="4"/>
        <v>#DIV/0!</v>
      </c>
      <c r="AK18" s="910">
        <f>ﾃﾞｰﾀ貼付!AH59</f>
        <v>8070.5128205128212</v>
      </c>
      <c r="AL18" s="910">
        <f>ﾃﾞｰﾀ貼付!AI59</f>
        <v>8544.8717948717949</v>
      </c>
      <c r="AM18" s="911">
        <f>AL18/AK18+0.014</f>
        <v>1.0727768069896744</v>
      </c>
      <c r="AN18" s="1123">
        <v>4832</v>
      </c>
      <c r="AO18" s="911">
        <f t="shared" si="20"/>
        <v>1.7683923416539311</v>
      </c>
      <c r="AP18" s="913" t="str">
        <f t="shared" si="6"/>
        <v>○</v>
      </c>
      <c r="AQ18" s="71">
        <f>ﾃﾞｰﾀ貼付!BA59</f>
        <v>2261.8262108262111</v>
      </c>
      <c r="AR18" s="7">
        <f t="shared" si="22"/>
        <v>0.67465561929041851</v>
      </c>
      <c r="AS18" s="1102" t="str">
        <f t="shared" si="7"/>
        <v>××</v>
      </c>
      <c r="AT18" s="7">
        <f t="shared" si="21"/>
        <v>0.67456791256373727</v>
      </c>
      <c r="AU18" s="33" t="str">
        <f t="shared" si="8"/>
        <v>××</v>
      </c>
      <c r="AV18" s="23"/>
      <c r="AW18" s="854">
        <v>1994</v>
      </c>
      <c r="AX18" s="855">
        <f t="shared" si="9"/>
        <v>1.134316053573827</v>
      </c>
      <c r="AY18" s="856" t="str">
        <f t="shared" si="24"/>
        <v>◎</v>
      </c>
    </row>
    <row r="19" spans="1:51" ht="14.25" customHeight="1">
      <c r="A19" s="23"/>
      <c r="B19" s="832"/>
      <c r="C19" s="13"/>
      <c r="D19" s="16" t="s">
        <v>119</v>
      </c>
      <c r="E19" s="42">
        <f>ﾃﾞｰﾀ貼付!AY61</f>
        <v>1580.0569800569804</v>
      </c>
      <c r="F19" s="42">
        <v>1580</v>
      </c>
      <c r="G19" s="1241">
        <f>ﾃﾞｰﾀ貼付!G61</f>
        <v>1850.4273504273506</v>
      </c>
      <c r="H19" s="910">
        <f>ﾃﾞｰﾀ貼付!H61</f>
        <v>2426.3069999999998</v>
      </c>
      <c r="I19" s="911">
        <f>H19/G19+0.008</f>
        <v>1.3192144064665126</v>
      </c>
      <c r="J19" s="1242">
        <v>1152</v>
      </c>
      <c r="K19" s="912">
        <f t="shared" si="12"/>
        <v>2.1061692708333331</v>
      </c>
      <c r="L19" s="1112" t="str">
        <f t="shared" si="13"/>
        <v>◎</v>
      </c>
      <c r="M19" s="1337">
        <f>ﾃﾞｰﾀ貼付!K61</f>
        <v>1458.1196581196582</v>
      </c>
      <c r="N19" s="910">
        <f>ﾃﾞｰﾀ貼付!L61</f>
        <v>1938</v>
      </c>
      <c r="O19" s="911">
        <f t="shared" si="0"/>
        <v>1.3291090269636576</v>
      </c>
      <c r="P19" s="1242">
        <v>1363</v>
      </c>
      <c r="Q19" s="912">
        <f t="shared" si="14"/>
        <v>1.4218635363169478</v>
      </c>
      <c r="R19" s="1112" t="str">
        <f t="shared" si="15"/>
        <v>◎</v>
      </c>
      <c r="S19" s="1337">
        <f>ﾃﾞｰﾀ貼付!O61</f>
        <v>2034.1880341880344</v>
      </c>
      <c r="T19" s="910">
        <f>ﾃﾞｰﾀ貼付!P61</f>
        <v>2141.4380000000001</v>
      </c>
      <c r="U19" s="911">
        <f t="shared" si="1"/>
        <v>1.0527237226890755</v>
      </c>
      <c r="V19" s="1242">
        <v>1893.5909999999999</v>
      </c>
      <c r="W19" s="912">
        <f t="shared" si="23"/>
        <v>1.1308872929793183</v>
      </c>
      <c r="X19" s="1327" t="str">
        <f t="shared" si="2"/>
        <v>○</v>
      </c>
      <c r="Y19" s="73">
        <f>ﾃﾞｰﾀ貼付!Z61</f>
        <v>2333.3333333333335</v>
      </c>
      <c r="Z19" s="4">
        <f>ﾃﾞｰﾀ貼付!AA61</f>
        <v>2574.2420000000002</v>
      </c>
      <c r="AA19" s="855">
        <f t="shared" si="16"/>
        <v>1.1032465714285715</v>
      </c>
      <c r="AB19" s="950">
        <v>1958</v>
      </c>
      <c r="AC19" s="1150">
        <f t="shared" si="17"/>
        <v>1.3147303370786518</v>
      </c>
      <c r="AD19" s="1164" t="str">
        <f t="shared" si="3"/>
        <v>◎</v>
      </c>
      <c r="AE19" s="910">
        <f>ﾃﾞｰﾀ貼付!AD61</f>
        <v>1810.2564102564104</v>
      </c>
      <c r="AF19" s="910">
        <f>ﾃﾞｰﾀ貼付!AE61</f>
        <v>2138.4615384615386</v>
      </c>
      <c r="AG19" s="911">
        <f t="shared" si="18"/>
        <v>1.1813031161473087</v>
      </c>
      <c r="AH19" s="1123">
        <v>1270</v>
      </c>
      <c r="AI19" s="911">
        <f t="shared" si="19"/>
        <v>1.6838279830405816</v>
      </c>
      <c r="AJ19" s="1112" t="str">
        <f t="shared" si="4"/>
        <v>◎</v>
      </c>
      <c r="AK19" s="910">
        <f>ﾃﾞｰﾀ貼付!AH61</f>
        <v>940.17094017094018</v>
      </c>
      <c r="AL19" s="910">
        <f>ﾃﾞｰﾀ貼付!AI61</f>
        <v>940.17094017094018</v>
      </c>
      <c r="AM19" s="911">
        <f>AL19/AK19+0.017</f>
        <v>1.0169999999999999</v>
      </c>
      <c r="AN19" s="1123">
        <v>1322</v>
      </c>
      <c r="AO19" s="911">
        <f t="shared" si="20"/>
        <v>0.71117317713384276</v>
      </c>
      <c r="AP19" s="913" t="str">
        <f t="shared" si="6"/>
        <v>○</v>
      </c>
      <c r="AQ19" s="72">
        <f>ﾃﾞｰﾀ貼付!BA61</f>
        <v>2026.43657977208</v>
      </c>
      <c r="AR19" s="7">
        <f t="shared" si="22"/>
        <v>1.2825085457987737</v>
      </c>
      <c r="AS19" s="1102" t="str">
        <f t="shared" si="7"/>
        <v>◎</v>
      </c>
      <c r="AT19" s="7">
        <f t="shared" si="21"/>
        <v>1.2825547973241012</v>
      </c>
      <c r="AU19" s="33" t="str">
        <f t="shared" si="8"/>
        <v>◎</v>
      </c>
      <c r="AV19" s="23"/>
      <c r="AW19" s="857">
        <v>1370</v>
      </c>
      <c r="AX19" s="855">
        <f t="shared" si="9"/>
        <v>1.4791507881548029</v>
      </c>
      <c r="AY19" s="856" t="str">
        <f t="shared" si="24"/>
        <v>◎</v>
      </c>
    </row>
    <row r="20" spans="1:51" ht="14.25" customHeight="1">
      <c r="A20" s="23"/>
      <c r="B20" s="832"/>
      <c r="C20" s="14"/>
      <c r="D20" s="14" t="s">
        <v>80</v>
      </c>
      <c r="E20" s="58">
        <f>ﾃﾞｰﾀ貼付!AY63</f>
        <v>0</v>
      </c>
      <c r="F20" s="58">
        <v>0</v>
      </c>
      <c r="G20" s="1246">
        <f>ﾃﾞｰﾀ貼付!G63</f>
        <v>0</v>
      </c>
      <c r="H20" s="918">
        <f>ﾃﾞｰﾀ貼付!H63</f>
        <v>31.948717948717952</v>
      </c>
      <c r="I20" s="919" t="e">
        <f>H20/G20</f>
        <v>#DIV/0!</v>
      </c>
      <c r="J20" s="1247">
        <v>0</v>
      </c>
      <c r="K20" s="920" t="e">
        <f t="shared" si="12"/>
        <v>#DIV/0!</v>
      </c>
      <c r="L20" s="1114" t="e">
        <f t="shared" si="13"/>
        <v>#DIV/0!</v>
      </c>
      <c r="M20" s="1340">
        <f>ﾃﾞｰﾀ貼付!K63</f>
        <v>217.94871794871796</v>
      </c>
      <c r="N20" s="918">
        <f>ﾃﾞｰﾀ貼付!L63</f>
        <v>76.923076923076934</v>
      </c>
      <c r="O20" s="911">
        <f t="shared" si="0"/>
        <v>0.35294117647058826</v>
      </c>
      <c r="P20" s="1247">
        <v>0</v>
      </c>
      <c r="Q20" s="920" t="e">
        <f t="shared" si="14"/>
        <v>#DIV/0!</v>
      </c>
      <c r="R20" s="1112" t="str">
        <f t="shared" si="15"/>
        <v>××</v>
      </c>
      <c r="S20" s="1340">
        <f>ﾃﾞｰﾀ貼付!O63</f>
        <v>0</v>
      </c>
      <c r="T20" s="918">
        <f>ﾃﾞｰﾀ貼付!P63</f>
        <v>0</v>
      </c>
      <c r="U20" s="911" t="e">
        <f t="shared" si="1"/>
        <v>#DIV/0!</v>
      </c>
      <c r="V20" s="1247">
        <v>440</v>
      </c>
      <c r="W20" s="920">
        <f t="shared" si="23"/>
        <v>0</v>
      </c>
      <c r="X20" s="1327" t="e">
        <f t="shared" si="2"/>
        <v>#DIV/0!</v>
      </c>
      <c r="Y20" s="86">
        <f>ﾃﾞｰﾀ貼付!Z63</f>
        <v>0</v>
      </c>
      <c r="Z20" s="20">
        <f>ﾃﾞｰﾀ貼付!AA63</f>
        <v>130.48632478632481</v>
      </c>
      <c r="AA20" s="855" t="e">
        <f t="shared" si="16"/>
        <v>#DIV/0!</v>
      </c>
      <c r="AB20" s="951">
        <v>0</v>
      </c>
      <c r="AC20" s="1153" t="e">
        <f t="shared" si="17"/>
        <v>#DIV/0!</v>
      </c>
      <c r="AD20" s="1164" t="e">
        <f t="shared" si="3"/>
        <v>#DIV/0!</v>
      </c>
      <c r="AE20" s="946">
        <f>ﾃﾞｰﾀ貼付!AD63</f>
        <v>0</v>
      </c>
      <c r="AF20" s="918">
        <f>ﾃﾞｰﾀ貼付!AE63</f>
        <v>85.470085470085479</v>
      </c>
      <c r="AG20" s="919" t="e">
        <f t="shared" si="18"/>
        <v>#DIV/0!</v>
      </c>
      <c r="AH20" s="1127">
        <v>0</v>
      </c>
      <c r="AI20" s="919" t="e">
        <f t="shared" si="19"/>
        <v>#DIV/0!</v>
      </c>
      <c r="AJ20" s="1114" t="e">
        <f t="shared" si="4"/>
        <v>#DIV/0!</v>
      </c>
      <c r="AK20" s="946">
        <f>ﾃﾞｰﾀ貼付!AH63</f>
        <v>0</v>
      </c>
      <c r="AL20" s="918">
        <f>ﾃﾞｰﾀ貼付!AI63</f>
        <v>0</v>
      </c>
      <c r="AM20" s="919" t="e">
        <f t="shared" si="5"/>
        <v>#DIV/0!</v>
      </c>
      <c r="AN20" s="1127">
        <v>0</v>
      </c>
      <c r="AO20" s="919" t="e">
        <f t="shared" si="20"/>
        <v>#DIV/0!</v>
      </c>
      <c r="AP20" s="921" t="e">
        <f t="shared" si="6"/>
        <v>#DIV/0!</v>
      </c>
      <c r="AQ20" s="74">
        <f>ﾃﾞｰﾀ貼付!BA63</f>
        <v>54.138034188034197</v>
      </c>
      <c r="AR20" s="25" t="e">
        <f t="shared" si="22"/>
        <v>#DIV/0!</v>
      </c>
      <c r="AS20" s="1104" t="e">
        <f t="shared" si="7"/>
        <v>#DIV/0!</v>
      </c>
      <c r="AT20" s="25" t="e">
        <f t="shared" si="21"/>
        <v>#DIV/0!</v>
      </c>
      <c r="AU20" s="34" t="e">
        <f t="shared" si="8"/>
        <v>#DIV/0!</v>
      </c>
      <c r="AV20" s="23"/>
      <c r="AW20" s="861">
        <v>63</v>
      </c>
      <c r="AX20" s="862">
        <f t="shared" si="9"/>
        <v>0.85933387600054278</v>
      </c>
      <c r="AY20" s="863" t="str">
        <f t="shared" si="24"/>
        <v>××</v>
      </c>
    </row>
    <row r="21" spans="1:51" ht="14.25" customHeight="1" thickBot="1">
      <c r="A21" s="23"/>
      <c r="B21" s="834"/>
      <c r="C21" s="17"/>
      <c r="D21" s="55" t="s">
        <v>123</v>
      </c>
      <c r="E21" s="57">
        <f>ﾃﾞｰﾀ貼付!AY65</f>
        <v>13037.037037037036</v>
      </c>
      <c r="F21" s="57">
        <v>13037</v>
      </c>
      <c r="G21" s="1262">
        <f>ﾃﾞｰﾀ貼付!G65</f>
        <v>4957.264957264958</v>
      </c>
      <c r="H21" s="922">
        <f>ﾃﾞｰﾀ貼付!H65</f>
        <v>603.41880341880346</v>
      </c>
      <c r="I21" s="923">
        <f>H21/G21</f>
        <v>0.12172413793103447</v>
      </c>
      <c r="J21" s="1244">
        <v>0</v>
      </c>
      <c r="K21" s="924" t="e">
        <f t="shared" si="12"/>
        <v>#DIV/0!</v>
      </c>
      <c r="L21" s="1115" t="str">
        <f t="shared" si="13"/>
        <v>××</v>
      </c>
      <c r="M21" s="1341">
        <f>ﾃﾞｰﾀ貼付!K65</f>
        <v>16239.31623931624</v>
      </c>
      <c r="N21" s="922">
        <f>ﾃﾞｰﾀ貼付!L65</f>
        <v>2042.735042735043</v>
      </c>
      <c r="O21" s="923">
        <f t="shared" si="0"/>
        <v>0.12578947368421053</v>
      </c>
      <c r="P21" s="1244">
        <v>0</v>
      </c>
      <c r="Q21" s="924" t="e">
        <f t="shared" si="14"/>
        <v>#DIV/0!</v>
      </c>
      <c r="R21" s="1471" t="str">
        <f t="shared" si="15"/>
        <v>××</v>
      </c>
      <c r="S21" s="1341">
        <f>ﾃﾞｰﾀ貼付!O65</f>
        <v>3477.7777777777778</v>
      </c>
      <c r="T21" s="922">
        <f>ﾃﾞｰﾀ貼付!P65</f>
        <v>11817.778</v>
      </c>
      <c r="U21" s="923">
        <f t="shared" si="1"/>
        <v>3.3980831309904151</v>
      </c>
      <c r="V21" s="1244">
        <v>0</v>
      </c>
      <c r="W21" s="924" t="e">
        <f t="shared" si="23"/>
        <v>#DIV/0!</v>
      </c>
      <c r="X21" s="1329" t="str">
        <f t="shared" si="2"/>
        <v>◎</v>
      </c>
      <c r="Y21" s="87">
        <f>ﾃﾞｰﾀ貼付!Z65</f>
        <v>4667.5213675213681</v>
      </c>
      <c r="Z21" s="56">
        <f>ﾃﾞｰﾀ貼付!AA65</f>
        <v>3059.82905982906</v>
      </c>
      <c r="AA21" s="869">
        <f t="shared" si="16"/>
        <v>0.65555759018494775</v>
      </c>
      <c r="AB21" s="952">
        <v>70</v>
      </c>
      <c r="AC21" s="1155">
        <f t="shared" si="17"/>
        <v>43.711843711843713</v>
      </c>
      <c r="AD21" s="1168" t="str">
        <f t="shared" si="3"/>
        <v>××</v>
      </c>
      <c r="AE21" s="947">
        <f>ﾃﾞｰﾀ貼付!AD65</f>
        <v>25799.145299145301</v>
      </c>
      <c r="AF21" s="922">
        <f>ﾃﾞｰﾀ貼付!AE65</f>
        <v>7935.0427350427353</v>
      </c>
      <c r="AG21" s="923">
        <f t="shared" si="18"/>
        <v>0.30756998509193306</v>
      </c>
      <c r="AH21" s="1129">
        <v>0</v>
      </c>
      <c r="AI21" s="923" t="e">
        <f t="shared" si="19"/>
        <v>#DIV/0!</v>
      </c>
      <c r="AJ21" s="1115" t="str">
        <f t="shared" si="4"/>
        <v>××</v>
      </c>
      <c r="AK21" s="1289">
        <f>ﾃﾞｰﾀ貼付!AH65</f>
        <v>29962.393162393164</v>
      </c>
      <c r="AL21" s="922">
        <f>ﾃﾞｰﾀ貼付!AI65</f>
        <v>6705.9829059829062</v>
      </c>
      <c r="AM21" s="923">
        <f t="shared" si="5"/>
        <v>0.22381332724783204</v>
      </c>
      <c r="AN21" s="1129">
        <v>0</v>
      </c>
      <c r="AO21" s="923" t="e">
        <f t="shared" si="20"/>
        <v>#DIV/0!</v>
      </c>
      <c r="AP21" s="925" t="str">
        <f t="shared" si="6"/>
        <v>××</v>
      </c>
      <c r="AQ21" s="75">
        <f>ﾃﾞｰﾀ貼付!BA65</f>
        <v>5360.7977578347582</v>
      </c>
      <c r="AR21" s="59">
        <f t="shared" si="22"/>
        <v>0.41119755528846158</v>
      </c>
      <c r="AS21" s="1105" t="str">
        <f t="shared" si="7"/>
        <v>××</v>
      </c>
      <c r="AT21" s="59">
        <f t="shared" si="21"/>
        <v>0.4111987234666532</v>
      </c>
      <c r="AU21" s="60" t="str">
        <f t="shared" si="8"/>
        <v>××</v>
      </c>
      <c r="AV21" s="23"/>
      <c r="AW21" s="864">
        <v>10</v>
      </c>
      <c r="AX21" s="865">
        <f t="shared" si="9"/>
        <v>536.07977578347584</v>
      </c>
      <c r="AY21" s="866" t="str">
        <f t="shared" si="24"/>
        <v>◎</v>
      </c>
    </row>
    <row r="22" spans="1:51" ht="14.25" customHeight="1">
      <c r="A22" s="23"/>
      <c r="B22" s="832" t="s">
        <v>266</v>
      </c>
      <c r="C22" s="14" t="s">
        <v>6</v>
      </c>
      <c r="D22" s="24"/>
      <c r="E22" s="40">
        <f>ﾃﾞｰﾀ貼付!AR250/6</f>
        <v>69409.953319088323</v>
      </c>
      <c r="F22" s="40">
        <f>SUM(F23:F29)</f>
        <v>69409.953319088308</v>
      </c>
      <c r="G22" s="1237">
        <f>ﾃﾞｰﾀ貼付!G250</f>
        <v>82063.484188034185</v>
      </c>
      <c r="H22" s="902">
        <f>ﾃﾞｰﾀ貼付!H250</f>
        <v>67815.142414666683</v>
      </c>
      <c r="I22" s="903">
        <f t="shared" si="25"/>
        <v>0.82637415515139589</v>
      </c>
      <c r="J22" s="1248">
        <f>SUM(J23:J29)</f>
        <v>48826</v>
      </c>
      <c r="K22" s="904">
        <f>H22/J22</f>
        <v>1.3889145622141212</v>
      </c>
      <c r="L22" s="1110" t="str">
        <f t="shared" si="13"/>
        <v>××</v>
      </c>
      <c r="M22" s="1335">
        <f>ﾃﾞｰﾀ貼付!K250</f>
        <v>57215.384076923081</v>
      </c>
      <c r="N22" s="902">
        <f>ﾃﾞｰﾀ貼付!L250</f>
        <v>51909.33351000004</v>
      </c>
      <c r="O22" s="903">
        <f t="shared" si="0"/>
        <v>0.90726182035605429</v>
      </c>
      <c r="P22" s="1248">
        <f>SUM(P23:P29)-1</f>
        <v>38894</v>
      </c>
      <c r="Q22" s="904">
        <f>N22/P22</f>
        <v>1.3346360238083006</v>
      </c>
      <c r="R22" s="1110" t="str">
        <f t="shared" si="15"/>
        <v>×</v>
      </c>
      <c r="S22" s="1335">
        <f>ﾃﾞｰﾀ貼付!O250</f>
        <v>63823.904273504282</v>
      </c>
      <c r="T22" s="902">
        <f>ﾃﾞｰﾀ貼付!P250</f>
        <v>62707.416519775164</v>
      </c>
      <c r="U22" s="903">
        <f t="shared" si="1"/>
        <v>0.98250674623500567</v>
      </c>
      <c r="V22" s="1248">
        <f>SUM(V23:V29)</f>
        <v>43280.641052244951</v>
      </c>
      <c r="W22" s="904">
        <f>T22/V22</f>
        <v>1.4488560010948024</v>
      </c>
      <c r="X22" s="1325" t="str">
        <f t="shared" si="2"/>
        <v>△</v>
      </c>
      <c r="Y22" s="1159">
        <f>ﾃﾞｰﾀ貼付!Z250</f>
        <v>73148.688658119674</v>
      </c>
      <c r="Z22" s="1145">
        <f>ﾃﾞｰﾀ貼付!AA250</f>
        <v>68689.339283809008</v>
      </c>
      <c r="AA22" s="849">
        <f t="shared" si="16"/>
        <v>0.93903719320037782</v>
      </c>
      <c r="AB22" s="948">
        <f>SUM(AB23:AB29)</f>
        <v>52054.582425185843</v>
      </c>
      <c r="AC22" s="1146">
        <f>Z22/AB22</f>
        <v>1.3195637364401309</v>
      </c>
      <c r="AD22" s="1160" t="str">
        <f t="shared" si="3"/>
        <v>×</v>
      </c>
      <c r="AE22" s="902">
        <f>ﾃﾞｰﾀ貼付!AD250</f>
        <v>80013.282051282047</v>
      </c>
      <c r="AF22" s="902">
        <f>ﾃﾞｰﾀ貼付!AE250</f>
        <v>57156.050948717952</v>
      </c>
      <c r="AG22" s="903">
        <f t="shared" si="18"/>
        <v>0.71433203942422385</v>
      </c>
      <c r="AH22" s="1119">
        <f>SUM(AH23:AH29)+1</f>
        <v>48777</v>
      </c>
      <c r="AI22" s="903">
        <f>AF22/AH22</f>
        <v>1.1717828269208428</v>
      </c>
      <c r="AJ22" s="1120" t="str">
        <f t="shared" si="4"/>
        <v>××</v>
      </c>
      <c r="AK22" s="902">
        <f>ﾃﾞｰﾀ貼付!AH250</f>
        <v>57074.14974358974</v>
      </c>
      <c r="AL22" s="902">
        <f>ﾃﾞｰﾀ貼付!AI250</f>
        <v>37936.125555555554</v>
      </c>
      <c r="AM22" s="903">
        <f t="shared" si="5"/>
        <v>0.66468139649888236</v>
      </c>
      <c r="AN22" s="1119">
        <f>SUM(AN23:AN29)-1</f>
        <v>46506</v>
      </c>
      <c r="AO22" s="903">
        <f>AL22/AN22</f>
        <v>0.81572540221811285</v>
      </c>
      <c r="AP22" s="905" t="str">
        <f t="shared" si="6"/>
        <v>××</v>
      </c>
      <c r="AQ22" s="76">
        <f t="shared" ref="AQ22:AQ29" si="26">(H22+N22+T22+Z22+AF22+AL22)/6</f>
        <v>57702.234705420735</v>
      </c>
      <c r="AR22" s="5">
        <f t="shared" si="22"/>
        <v>0.83132507581664272</v>
      </c>
      <c r="AS22" s="1100" t="str">
        <f t="shared" si="7"/>
        <v>××</v>
      </c>
      <c r="AT22" s="5">
        <f t="shared" si="21"/>
        <v>0.83132507581664294</v>
      </c>
      <c r="AU22" s="31" t="str">
        <f t="shared" si="8"/>
        <v>××</v>
      </c>
      <c r="AV22" s="23"/>
      <c r="AW22" s="867">
        <f>SUM(AW23:AW29)</f>
        <v>42714</v>
      </c>
      <c r="AX22" s="849">
        <f>AQ22/AW22</f>
        <v>1.3508974740230542</v>
      </c>
      <c r="AY22" s="850" t="str">
        <f t="shared" ref="AY22:AY29" si="27">VLOOKUP(AX22,$E$63:$G$67,2,TRUE)</f>
        <v>◎</v>
      </c>
    </row>
    <row r="23" spans="1:51" ht="14.25" customHeight="1">
      <c r="A23" s="23"/>
      <c r="B23" s="832"/>
      <c r="C23" s="14"/>
      <c r="D23" s="15" t="s">
        <v>0</v>
      </c>
      <c r="E23" s="41">
        <f>ﾃﾞｰﾀ貼付!AR216/6</f>
        <v>11095.089031339032</v>
      </c>
      <c r="F23" s="41">
        <v>11095.089031339032</v>
      </c>
      <c r="G23" s="1239">
        <f>ﾃﾞｰﾀ貼付!G216</f>
        <v>11761.5</v>
      </c>
      <c r="H23" s="906">
        <f>ﾃﾞｰﾀ貼付!H216</f>
        <v>11214.52214999999</v>
      </c>
      <c r="I23" s="907">
        <f t="shared" si="25"/>
        <v>0.95349420992220291</v>
      </c>
      <c r="J23" s="1240">
        <v>8686</v>
      </c>
      <c r="K23" s="908">
        <f t="shared" si="12"/>
        <v>1.2911031717706642</v>
      </c>
      <c r="L23" s="1111" t="str">
        <f t="shared" si="13"/>
        <v>△</v>
      </c>
      <c r="M23" s="1336">
        <f>ﾃﾞｰﾀ貼付!K216</f>
        <v>11647</v>
      </c>
      <c r="N23" s="906">
        <f>ﾃﾞｰﾀ貼付!L216</f>
        <v>11170</v>
      </c>
      <c r="O23" s="907">
        <f t="shared" si="0"/>
        <v>0.95904524770327126</v>
      </c>
      <c r="P23" s="1240">
        <v>7852</v>
      </c>
      <c r="Q23" s="908">
        <f t="shared" si="14"/>
        <v>1.4225674987264392</v>
      </c>
      <c r="R23" s="1111" t="str">
        <f t="shared" si="15"/>
        <v>△</v>
      </c>
      <c r="S23" s="1336">
        <f>ﾃﾞｰﾀ貼付!O216</f>
        <v>11399.401709401711</v>
      </c>
      <c r="T23" s="906">
        <f>ﾃﾞｰﾀ貼付!P216</f>
        <v>11488.800289775148</v>
      </c>
      <c r="U23" s="907">
        <f t="shared" si="1"/>
        <v>1.0078423923160551</v>
      </c>
      <c r="V23" s="1240">
        <v>7954.069292244898</v>
      </c>
      <c r="W23" s="908">
        <f>T23/V23</f>
        <v>1.4443927840780268</v>
      </c>
      <c r="X23" s="1326" t="str">
        <f t="shared" si="2"/>
        <v>○</v>
      </c>
      <c r="Y23" s="1161">
        <f>ﾃﾞｰﾀ貼付!Z216</f>
        <v>11464.102564102566</v>
      </c>
      <c r="Z23" s="1147">
        <f>ﾃﾞｰﾀ貼付!AA216</f>
        <v>11323.872677313291</v>
      </c>
      <c r="AA23" s="852">
        <f t="shared" si="16"/>
        <v>0.98776791414721155</v>
      </c>
      <c r="AB23" s="949">
        <v>8308.9769651858933</v>
      </c>
      <c r="AC23" s="1148">
        <f t="shared" si="17"/>
        <v>1.3628480046050948</v>
      </c>
      <c r="AD23" s="1162" t="str">
        <f t="shared" si="3"/>
        <v>△</v>
      </c>
      <c r="AE23" s="906">
        <f>ﾃﾞｰﾀ貼付!AD216</f>
        <v>9621.3675213675215</v>
      </c>
      <c r="AF23" s="906">
        <f>ﾃﾞｰﾀ貼付!AE216</f>
        <v>9621.3675213675215</v>
      </c>
      <c r="AG23" s="907">
        <f t="shared" si="18"/>
        <v>1</v>
      </c>
      <c r="AH23" s="1121">
        <v>7854</v>
      </c>
      <c r="AI23" s="907">
        <f t="shared" ref="AI23:AI29" si="28">AF23/AH23</f>
        <v>1.2250276956159309</v>
      </c>
      <c r="AJ23" s="1122" t="str">
        <f t="shared" si="4"/>
        <v>○</v>
      </c>
      <c r="AK23" s="906">
        <f>ﾃﾞｰﾀ貼付!AH216</f>
        <v>5258.9743589743593</v>
      </c>
      <c r="AL23" s="906">
        <f>ﾃﾞｰﾀ貼付!AI216</f>
        <v>5258.9743589743593</v>
      </c>
      <c r="AM23" s="907">
        <f t="shared" si="5"/>
        <v>1</v>
      </c>
      <c r="AN23" s="1121">
        <v>7924</v>
      </c>
      <c r="AO23" s="907">
        <f t="shared" ref="AO23:AO29" si="29">AL23/AN23</f>
        <v>0.66367672374739517</v>
      </c>
      <c r="AP23" s="909" t="str">
        <f t="shared" si="6"/>
        <v>○</v>
      </c>
      <c r="AQ23" s="70">
        <f t="shared" si="26"/>
        <v>10012.922832905051</v>
      </c>
      <c r="AR23" s="6">
        <f t="shared" si="22"/>
        <v>0.90246439705194714</v>
      </c>
      <c r="AS23" s="1101" t="str">
        <f t="shared" si="7"/>
        <v>×</v>
      </c>
      <c r="AT23" s="6">
        <f t="shared" si="21"/>
        <v>0.90246439705194714</v>
      </c>
      <c r="AU23" s="32" t="str">
        <f t="shared" si="8"/>
        <v>×</v>
      </c>
      <c r="AV23" s="23"/>
      <c r="AW23" s="851">
        <v>7332</v>
      </c>
      <c r="AX23" s="852">
        <f t="shared" si="9"/>
        <v>1.3656468675538804</v>
      </c>
      <c r="AY23" s="853" t="str">
        <f t="shared" si="27"/>
        <v>◎</v>
      </c>
    </row>
    <row r="24" spans="1:51" ht="14.25" customHeight="1">
      <c r="A24" s="23"/>
      <c r="B24" s="832"/>
      <c r="C24" s="14"/>
      <c r="D24" s="16" t="s">
        <v>1</v>
      </c>
      <c r="E24" s="42">
        <f>ﾃﾞｰﾀ貼付!AR228/6</f>
        <v>35364.314430199425</v>
      </c>
      <c r="F24" s="42">
        <v>35364.314430199425</v>
      </c>
      <c r="G24" s="1241">
        <f>ﾃﾞｰﾀ貼付!G228</f>
        <v>50354.444444444445</v>
      </c>
      <c r="H24" s="910">
        <f>ﾃﾞｰﾀ貼付!H228</f>
        <v>37088.054150000033</v>
      </c>
      <c r="I24" s="911">
        <f>H24/G24</f>
        <v>0.73653983395485401</v>
      </c>
      <c r="J24" s="1242">
        <v>29402</v>
      </c>
      <c r="K24" s="912">
        <f t="shared" si="12"/>
        <v>1.261412630093192</v>
      </c>
      <c r="L24" s="1112" t="str">
        <f t="shared" si="13"/>
        <v>××</v>
      </c>
      <c r="M24" s="1337">
        <f>ﾃﾞｰﾀ貼付!K228</f>
        <v>22761.025641025641</v>
      </c>
      <c r="N24" s="910">
        <f>ﾃﾞｰﾀ貼付!L228</f>
        <v>23790.184660000046</v>
      </c>
      <c r="O24" s="911">
        <f t="shared" si="0"/>
        <v>1.0452158455073921</v>
      </c>
      <c r="P24" s="1242">
        <v>20851</v>
      </c>
      <c r="Q24" s="912">
        <f t="shared" si="14"/>
        <v>1.1409613284734568</v>
      </c>
      <c r="R24" s="1112" t="str">
        <f t="shared" si="15"/>
        <v>○</v>
      </c>
      <c r="S24" s="1337">
        <f>ﾃﾞｰﾀ貼付!O228</f>
        <v>34017.435897435906</v>
      </c>
      <c r="T24" s="910">
        <f>ﾃﾞｰﾀ貼付!P228</f>
        <v>31952.751260000019</v>
      </c>
      <c r="U24" s="911">
        <f t="shared" si="1"/>
        <v>0.93930510683812252</v>
      </c>
      <c r="V24" s="1242">
        <v>25060.922090000047</v>
      </c>
      <c r="W24" s="912">
        <f t="shared" si="23"/>
        <v>1.2750030164592383</v>
      </c>
      <c r="X24" s="1327" t="str">
        <f t="shared" si="2"/>
        <v>×</v>
      </c>
      <c r="Y24" s="1163">
        <f>ﾃﾞｰﾀ貼付!Z228</f>
        <v>42724.888888888898</v>
      </c>
      <c r="Z24" s="1149">
        <f>ﾃﾞｰﾀ貼付!AA228</f>
        <v>38340.102309999995</v>
      </c>
      <c r="AA24" s="855">
        <f t="shared" si="16"/>
        <v>0.89737160954842843</v>
      </c>
      <c r="AB24" s="950">
        <v>30040.197459999952</v>
      </c>
      <c r="AC24" s="1150">
        <f t="shared" si="17"/>
        <v>1.2762932853904103</v>
      </c>
      <c r="AD24" s="1164" t="str">
        <f t="shared" si="3"/>
        <v>××</v>
      </c>
      <c r="AE24" s="910">
        <f>ﾃﾞｰﾀ貼付!AD228</f>
        <v>43135.042735042734</v>
      </c>
      <c r="AF24" s="910">
        <f>ﾃﾞｰﾀ貼付!AE228</f>
        <v>29410.25641025641</v>
      </c>
      <c r="AG24" s="911">
        <f t="shared" si="18"/>
        <v>0.68181818181818188</v>
      </c>
      <c r="AH24" s="1123">
        <v>31501</v>
      </c>
      <c r="AI24" s="911">
        <f t="shared" si="28"/>
        <v>0.93362929463370714</v>
      </c>
      <c r="AJ24" s="1124" t="str">
        <f t="shared" si="4"/>
        <v>××</v>
      </c>
      <c r="AK24" s="910">
        <f>ﾃﾞｰﾀ貼付!AH228</f>
        <v>29410.25641025641</v>
      </c>
      <c r="AL24" s="910">
        <f>ﾃﾞｰﾀ貼付!AI228</f>
        <v>19700.854700854703</v>
      </c>
      <c r="AM24" s="911">
        <f t="shared" si="5"/>
        <v>0.66986341179889575</v>
      </c>
      <c r="AN24" s="1123">
        <v>29382</v>
      </c>
      <c r="AO24" s="911">
        <f t="shared" si="29"/>
        <v>0.67050761353395627</v>
      </c>
      <c r="AP24" s="913" t="str">
        <f t="shared" si="6"/>
        <v>××</v>
      </c>
      <c r="AQ24" s="71">
        <f t="shared" si="26"/>
        <v>30047.033915185206</v>
      </c>
      <c r="AR24" s="7">
        <f>AQ24/E24</f>
        <v>0.84964276557632012</v>
      </c>
      <c r="AS24" s="1102" t="str">
        <f t="shared" si="7"/>
        <v>××</v>
      </c>
      <c r="AT24" s="7">
        <f t="shared" si="21"/>
        <v>0.84964276557632012</v>
      </c>
      <c r="AU24" s="33" t="str">
        <f t="shared" si="8"/>
        <v>××</v>
      </c>
      <c r="AV24" s="23"/>
      <c r="AW24" s="854">
        <v>24783</v>
      </c>
      <c r="AX24" s="855">
        <f t="shared" si="9"/>
        <v>1.2124050322876652</v>
      </c>
      <c r="AY24" s="856" t="str">
        <f t="shared" si="27"/>
        <v>◎</v>
      </c>
    </row>
    <row r="25" spans="1:51" ht="14.25" customHeight="1">
      <c r="A25" s="23"/>
      <c r="B25" s="832"/>
      <c r="C25" s="14"/>
      <c r="D25" s="16" t="s">
        <v>2</v>
      </c>
      <c r="E25" s="42">
        <f>ﾃﾞｰﾀ貼付!AR236/6</f>
        <v>19973.461538461539</v>
      </c>
      <c r="F25" s="42">
        <v>19973.461538461539</v>
      </c>
      <c r="G25" s="1241">
        <f>ﾃﾞｰﾀ貼付!G236</f>
        <v>18000</v>
      </c>
      <c r="H25" s="910">
        <f>ﾃﾞｰﾀ貼付!H236</f>
        <v>17700.933448</v>
      </c>
      <c r="I25" s="911">
        <f t="shared" si="25"/>
        <v>0.98338519155555559</v>
      </c>
      <c r="J25" s="1242">
        <v>9784</v>
      </c>
      <c r="K25" s="912">
        <f t="shared" si="12"/>
        <v>1.8091714480784955</v>
      </c>
      <c r="L25" s="1112" t="str">
        <f t="shared" si="13"/>
        <v>△</v>
      </c>
      <c r="M25" s="1337">
        <f>ﾃﾞｰﾀ貼付!K236</f>
        <v>19500</v>
      </c>
      <c r="N25" s="910">
        <f>ﾃﾞｰﾀ貼付!L236</f>
        <v>15582.91785</v>
      </c>
      <c r="O25" s="911">
        <f t="shared" si="0"/>
        <v>0.79912399230769227</v>
      </c>
      <c r="P25" s="1242">
        <v>8862</v>
      </c>
      <c r="Q25" s="912">
        <f t="shared" si="14"/>
        <v>1.7583974102911306</v>
      </c>
      <c r="R25" s="1112" t="str">
        <f t="shared" si="15"/>
        <v>××</v>
      </c>
      <c r="S25" s="1337">
        <f>ﾃﾞｰﾀ貼付!O236</f>
        <v>16455</v>
      </c>
      <c r="T25" s="910">
        <f>ﾃﾞｰﾀ貼付!P236</f>
        <v>15394.67297</v>
      </c>
      <c r="U25" s="911">
        <f t="shared" si="1"/>
        <v>0.93556201580066845</v>
      </c>
      <c r="V25" s="1242">
        <v>9090</v>
      </c>
      <c r="W25" s="912">
        <f t="shared" si="23"/>
        <v>1.6935833850385038</v>
      </c>
      <c r="X25" s="1327" t="str">
        <f t="shared" si="2"/>
        <v>×</v>
      </c>
      <c r="Y25" s="1163">
        <f>ﾃﾞｰﾀ貼付!Z236</f>
        <v>17080</v>
      </c>
      <c r="Z25" s="1149">
        <f>ﾃﾞｰﾀ貼付!AA236</f>
        <v>17390.112000000001</v>
      </c>
      <c r="AA25" s="855">
        <f t="shared" si="16"/>
        <v>1.0181564402810306</v>
      </c>
      <c r="AB25" s="950">
        <v>13175</v>
      </c>
      <c r="AC25" s="1150">
        <f t="shared" si="17"/>
        <v>1.3199325996204934</v>
      </c>
      <c r="AD25" s="1164" t="str">
        <f t="shared" si="3"/>
        <v>○</v>
      </c>
      <c r="AE25" s="910">
        <f>ﾃﾞｰﾀ貼付!AD236</f>
        <v>22360</v>
      </c>
      <c r="AF25" s="910">
        <f>ﾃﾞｰﾀ貼付!AE236</f>
        <v>14700</v>
      </c>
      <c r="AG25" s="911">
        <f t="shared" si="18"/>
        <v>0.65742397137745978</v>
      </c>
      <c r="AH25" s="1123">
        <v>8505</v>
      </c>
      <c r="AI25" s="911">
        <f t="shared" si="28"/>
        <v>1.728395061728395</v>
      </c>
      <c r="AJ25" s="1124" t="str">
        <f t="shared" si="4"/>
        <v>××</v>
      </c>
      <c r="AK25" s="910">
        <f>ﾃﾞｰﾀ貼付!AH236</f>
        <v>16560</v>
      </c>
      <c r="AL25" s="910">
        <f>ﾃﾞｰﾀ貼付!AI236</f>
        <v>11050</v>
      </c>
      <c r="AM25" s="911">
        <f t="shared" si="5"/>
        <v>0.66727053140096615</v>
      </c>
      <c r="AN25" s="1123">
        <v>8114</v>
      </c>
      <c r="AO25" s="911">
        <f t="shared" si="29"/>
        <v>1.361843726891792</v>
      </c>
      <c r="AP25" s="913" t="str">
        <f t="shared" si="6"/>
        <v>××</v>
      </c>
      <c r="AQ25" s="71">
        <f t="shared" si="26"/>
        <v>15303.106044666667</v>
      </c>
      <c r="AR25" s="7">
        <f t="shared" si="22"/>
        <v>0.76617195347929623</v>
      </c>
      <c r="AS25" s="1102" t="str">
        <f t="shared" si="7"/>
        <v>××</v>
      </c>
      <c r="AT25" s="7">
        <f t="shared" si="21"/>
        <v>0.76617195347929623</v>
      </c>
      <c r="AU25" s="33" t="str">
        <f t="shared" si="8"/>
        <v>××</v>
      </c>
      <c r="AV25" s="23"/>
      <c r="AW25" s="854">
        <v>9622</v>
      </c>
      <c r="AX25" s="855">
        <f t="shared" si="9"/>
        <v>1.5904288136215616</v>
      </c>
      <c r="AY25" s="856" t="str">
        <f t="shared" si="27"/>
        <v>◎</v>
      </c>
    </row>
    <row r="26" spans="1:51" ht="14.25" customHeight="1">
      <c r="A26" s="23"/>
      <c r="B26" s="832"/>
      <c r="C26" s="14"/>
      <c r="D26" s="16" t="s">
        <v>3</v>
      </c>
      <c r="E26" s="42">
        <f>ﾃﾞｰﾀ貼付!AR242/6</f>
        <v>26</v>
      </c>
      <c r="F26" s="42">
        <v>26</v>
      </c>
      <c r="G26" s="1241">
        <f>ﾃﾞｰﾀ貼付!G242</f>
        <v>130.94999999999999</v>
      </c>
      <c r="H26" s="910">
        <f>ﾃﾞｰﾀ貼付!H242</f>
        <v>0</v>
      </c>
      <c r="I26" s="911">
        <f>H26/G26-0.1%</f>
        <v>-1E-3</v>
      </c>
      <c r="J26" s="1242">
        <v>363</v>
      </c>
      <c r="K26" s="912">
        <f t="shared" si="12"/>
        <v>0</v>
      </c>
      <c r="L26" s="1112" t="e">
        <f t="shared" si="13"/>
        <v>#N/A</v>
      </c>
      <c r="M26" s="1337">
        <f>ﾃﾞｰﾀ貼付!K242</f>
        <v>8.4610000000000003</v>
      </c>
      <c r="N26" s="910">
        <f>ﾃﾞｰﾀ貼付!L242</f>
        <v>107.574</v>
      </c>
      <c r="O26" s="911">
        <f t="shared" si="0"/>
        <v>12.714099988181065</v>
      </c>
      <c r="P26" s="1242">
        <v>571</v>
      </c>
      <c r="Q26" s="912">
        <f t="shared" si="14"/>
        <v>0.18839579684763572</v>
      </c>
      <c r="R26" s="1112" t="str">
        <f t="shared" si="15"/>
        <v>◎</v>
      </c>
      <c r="S26" s="1337">
        <f>ﾃﾞｰﾀ貼付!O242</f>
        <v>0</v>
      </c>
      <c r="T26" s="910">
        <f>ﾃﾞｰﾀ貼付!P242</f>
        <v>-65.385000000000005</v>
      </c>
      <c r="U26" s="911" t="e">
        <f>T26/S26</f>
        <v>#DIV/0!</v>
      </c>
      <c r="V26" s="1242">
        <v>2.5636700000000001</v>
      </c>
      <c r="W26" s="912">
        <f t="shared" si="23"/>
        <v>-25.504452601153815</v>
      </c>
      <c r="X26" s="1327" t="e">
        <f t="shared" si="2"/>
        <v>#DIV/0!</v>
      </c>
      <c r="Y26" s="1163">
        <f>ﾃﾞｰﾀ貼付!Z242</f>
        <v>-93.430999999999997</v>
      </c>
      <c r="Z26" s="1149">
        <f>ﾃﾞｰﾀ貼付!AA242</f>
        <v>-175.79742999999999</v>
      </c>
      <c r="AA26" s="855">
        <f t="shared" si="16"/>
        <v>1.8815749590606972</v>
      </c>
      <c r="AB26" s="950">
        <v>239.18100000000001</v>
      </c>
      <c r="AC26" s="1150">
        <f t="shared" si="17"/>
        <v>-0.73499747053486686</v>
      </c>
      <c r="AD26" s="1164" t="str">
        <f t="shared" si="3"/>
        <v>◎</v>
      </c>
      <c r="AE26" s="910">
        <f>ﾃﾞｰﾀ貼付!AD242</f>
        <v>0</v>
      </c>
      <c r="AF26" s="910">
        <f>ﾃﾞｰﾀ貼付!AE242</f>
        <v>530.13300000000004</v>
      </c>
      <c r="AG26" s="911" t="e">
        <f t="shared" si="18"/>
        <v>#DIV/0!</v>
      </c>
      <c r="AH26" s="1123">
        <v>49</v>
      </c>
      <c r="AI26" s="911">
        <f t="shared" si="28"/>
        <v>10.819040816326531</v>
      </c>
      <c r="AJ26" s="1124" t="e">
        <f t="shared" si="4"/>
        <v>#DIV/0!</v>
      </c>
      <c r="AK26" s="910">
        <f>ﾃﾞｰﾀ貼付!AH242</f>
        <v>805.56</v>
      </c>
      <c r="AL26" s="910">
        <f>ﾃﾞｰﾀ貼付!AI242</f>
        <v>6.57</v>
      </c>
      <c r="AM26" s="911">
        <f t="shared" si="5"/>
        <v>8.1558170713540903E-3</v>
      </c>
      <c r="AN26" s="1123">
        <v>318</v>
      </c>
      <c r="AO26" s="911">
        <f t="shared" si="29"/>
        <v>2.0660377358490568E-2</v>
      </c>
      <c r="AP26" s="913" t="str">
        <f t="shared" si="6"/>
        <v>××</v>
      </c>
      <c r="AQ26" s="71">
        <f t="shared" si="26"/>
        <v>67.182428333333334</v>
      </c>
      <c r="AR26" s="7">
        <f t="shared" si="22"/>
        <v>2.5839395512820511</v>
      </c>
      <c r="AS26" s="1102" t="str">
        <f t="shared" si="7"/>
        <v>◎</v>
      </c>
      <c r="AT26" s="7">
        <f t="shared" si="21"/>
        <v>2.5839395512820511</v>
      </c>
      <c r="AU26" s="33" t="str">
        <f t="shared" si="8"/>
        <v>◎</v>
      </c>
      <c r="AV26" s="23"/>
      <c r="AW26" s="854">
        <v>274</v>
      </c>
      <c r="AX26" s="855">
        <f>AQ26/AW26</f>
        <v>0.24519134428223843</v>
      </c>
      <c r="AY26" s="856" t="str">
        <f t="shared" si="27"/>
        <v>××</v>
      </c>
    </row>
    <row r="27" spans="1:51" ht="14.25" customHeight="1">
      <c r="A27" s="23"/>
      <c r="B27" s="832"/>
      <c r="C27" s="13"/>
      <c r="D27" s="16" t="s">
        <v>119</v>
      </c>
      <c r="E27" s="42">
        <f>ﾃﾞｰﾀ貼付!AR244/6</f>
        <v>924.66666666666663</v>
      </c>
      <c r="F27" s="42">
        <v>924.66666666666663</v>
      </c>
      <c r="G27" s="1241">
        <f>ﾃﾞｰﾀ貼付!G244</f>
        <v>1073</v>
      </c>
      <c r="H27" s="910">
        <f>ﾃﾞｰﾀ貼付!H244</f>
        <v>1644.5909999999999</v>
      </c>
      <c r="I27" s="911">
        <f>H27/G27</f>
        <v>1.5327036346691518</v>
      </c>
      <c r="J27" s="1242">
        <v>591</v>
      </c>
      <c r="K27" s="912">
        <f t="shared" si="12"/>
        <v>2.7827258883248729</v>
      </c>
      <c r="L27" s="1112" t="str">
        <f t="shared" si="13"/>
        <v>◎</v>
      </c>
      <c r="M27" s="1337">
        <f>ﾃﾞｰﾀ貼付!K244</f>
        <v>876</v>
      </c>
      <c r="N27" s="910">
        <f>ﾃﾞｰﾀ貼付!L244</f>
        <v>924.36599999999999</v>
      </c>
      <c r="O27" s="911">
        <f t="shared" si="0"/>
        <v>1.0552123287671233</v>
      </c>
      <c r="P27" s="1242">
        <v>759</v>
      </c>
      <c r="Q27" s="912">
        <f t="shared" si="14"/>
        <v>1.2178735177865612</v>
      </c>
      <c r="R27" s="1112" t="str">
        <f t="shared" si="15"/>
        <v>○</v>
      </c>
      <c r="S27" s="1337">
        <f>ﾃﾞｰﾀ貼付!O244</f>
        <v>1180</v>
      </c>
      <c r="T27" s="910">
        <f>ﾃﾞｰﾀ貼付!P244</f>
        <v>1265.5999999999999</v>
      </c>
      <c r="U27" s="911">
        <f t="shared" si="1"/>
        <v>1.0725423728813559</v>
      </c>
      <c r="V27" s="1242">
        <v>1087.462</v>
      </c>
      <c r="W27" s="912">
        <f t="shared" si="23"/>
        <v>1.1638107814342018</v>
      </c>
      <c r="X27" s="1327" t="str">
        <f t="shared" si="2"/>
        <v>○</v>
      </c>
      <c r="Y27" s="1163">
        <f>ﾃﾞｰﾀ貼付!Z244</f>
        <v>1273</v>
      </c>
      <c r="Z27" s="1149">
        <f>ﾃﾞｰﾀ貼付!AA244</f>
        <v>1472.3309999999999</v>
      </c>
      <c r="AA27" s="855">
        <f t="shared" si="16"/>
        <v>1.1565836606441475</v>
      </c>
      <c r="AB27" s="950">
        <v>263</v>
      </c>
      <c r="AC27" s="1150">
        <f t="shared" si="17"/>
        <v>5.5982167300380228</v>
      </c>
      <c r="AD27" s="1164" t="str">
        <f t="shared" si="3"/>
        <v>◎</v>
      </c>
      <c r="AE27" s="910">
        <f>ﾃﾞｰﾀ貼付!AD244</f>
        <v>1027</v>
      </c>
      <c r="AF27" s="910">
        <f>ﾃﾞｰﾀ貼付!AE244</f>
        <v>1212</v>
      </c>
      <c r="AG27" s="911">
        <f t="shared" si="18"/>
        <v>1.1801363193768257</v>
      </c>
      <c r="AH27" s="1123">
        <v>867</v>
      </c>
      <c r="AI27" s="911">
        <f t="shared" si="28"/>
        <v>1.3979238754325261</v>
      </c>
      <c r="AJ27" s="1124" t="str">
        <f t="shared" si="4"/>
        <v>◎</v>
      </c>
      <c r="AK27" s="910">
        <f>ﾃﾞｰﾀ貼付!AH244</f>
        <v>545</v>
      </c>
      <c r="AL27" s="910">
        <f>ﾃﾞｰﾀ貼付!AI244</f>
        <v>545</v>
      </c>
      <c r="AM27" s="911">
        <f t="shared" si="5"/>
        <v>1</v>
      </c>
      <c r="AN27" s="1123">
        <v>769</v>
      </c>
      <c r="AO27" s="911">
        <f t="shared" si="29"/>
        <v>0.70871261378413519</v>
      </c>
      <c r="AP27" s="913" t="str">
        <f t="shared" si="6"/>
        <v>○</v>
      </c>
      <c r="AQ27" s="72">
        <f t="shared" si="26"/>
        <v>1177.3146666666667</v>
      </c>
      <c r="AR27" s="7">
        <f t="shared" si="22"/>
        <v>1.2732314347512617</v>
      </c>
      <c r="AS27" s="1102" t="str">
        <f t="shared" si="7"/>
        <v>◎</v>
      </c>
      <c r="AT27" s="7">
        <f t="shared" si="21"/>
        <v>1.2732314347512617</v>
      </c>
      <c r="AU27" s="33" t="str">
        <f t="shared" si="8"/>
        <v>◎</v>
      </c>
      <c r="AV27" s="23"/>
      <c r="AW27" s="857">
        <v>684</v>
      </c>
      <c r="AX27" s="855">
        <f t="shared" si="9"/>
        <v>1.7212202729044834</v>
      </c>
      <c r="AY27" s="856" t="str">
        <f t="shared" si="27"/>
        <v>◎</v>
      </c>
    </row>
    <row r="28" spans="1:51" ht="14.25" customHeight="1">
      <c r="A28" s="23"/>
      <c r="B28" s="832"/>
      <c r="C28" s="14"/>
      <c r="D28" s="14" t="s">
        <v>80</v>
      </c>
      <c r="E28" s="40">
        <f>ﾃﾞｰﾀ貼付!AR246/6</f>
        <v>0</v>
      </c>
      <c r="F28" s="40">
        <v>0</v>
      </c>
      <c r="G28" s="1249">
        <f>ﾃﾞｰﾀ貼付!G246</f>
        <v>0</v>
      </c>
      <c r="H28" s="918">
        <f>ﾃﾞｰﾀ貼付!H246</f>
        <v>6.3090000000000002</v>
      </c>
      <c r="I28" s="919" t="e">
        <f t="shared" ref="I28:I34" si="30">H28/G28</f>
        <v>#DIV/0!</v>
      </c>
      <c r="J28" s="1247">
        <v>0</v>
      </c>
      <c r="K28" s="920" t="e">
        <f t="shared" si="12"/>
        <v>#DIV/0!</v>
      </c>
      <c r="L28" s="1114" t="e">
        <f t="shared" si="13"/>
        <v>#DIV/0!</v>
      </c>
      <c r="M28" s="1342">
        <f>ﾃﾞｰﾀ貼付!K246</f>
        <v>-13</v>
      </c>
      <c r="N28" s="918">
        <f>ﾃﾞｰﾀ貼付!L246</f>
        <v>-67.959000000000003</v>
      </c>
      <c r="O28" s="911">
        <f t="shared" si="0"/>
        <v>5.227615384615385</v>
      </c>
      <c r="P28" s="1247">
        <v>0</v>
      </c>
      <c r="Q28" s="920" t="e">
        <f t="shared" si="14"/>
        <v>#DIV/0!</v>
      </c>
      <c r="R28" s="1114" t="str">
        <f t="shared" si="15"/>
        <v>◎</v>
      </c>
      <c r="S28" s="1342">
        <f>ﾃﾞｰﾀ貼付!O246</f>
        <v>0</v>
      </c>
      <c r="T28" s="918">
        <f>ﾃﾞｰﾀ貼付!P246</f>
        <v>0</v>
      </c>
      <c r="U28" s="911" t="e">
        <f t="shared" si="1"/>
        <v>#DIV/0!</v>
      </c>
      <c r="V28" s="1247">
        <v>85.623999999999995</v>
      </c>
      <c r="W28" s="920">
        <f t="shared" si="23"/>
        <v>0</v>
      </c>
      <c r="X28" s="1330" t="e">
        <f t="shared" si="2"/>
        <v>#DIV/0!</v>
      </c>
      <c r="Y28" s="1166">
        <f>ﾃﾞｰﾀ貼付!Z246</f>
        <v>0</v>
      </c>
      <c r="Z28" s="1152">
        <f>ﾃﾞｰﾀ貼付!AA246</f>
        <v>-107.949</v>
      </c>
      <c r="AA28" s="855" t="e">
        <f t="shared" si="16"/>
        <v>#DIV/0!</v>
      </c>
      <c r="AB28" s="951">
        <v>0</v>
      </c>
      <c r="AC28" s="1153" t="e">
        <f t="shared" si="17"/>
        <v>#DIV/0!</v>
      </c>
      <c r="AD28" s="1169" t="e">
        <f t="shared" si="3"/>
        <v>#DIV/0!</v>
      </c>
      <c r="AE28" s="918">
        <f>ﾃﾞｰﾀ貼付!AD246</f>
        <v>0</v>
      </c>
      <c r="AF28" s="918">
        <f>ﾃﾞｰﾀ貼付!AE246</f>
        <v>8</v>
      </c>
      <c r="AG28" s="919" t="e">
        <f t="shared" si="18"/>
        <v>#DIV/0!</v>
      </c>
      <c r="AH28" s="1127">
        <v>0</v>
      </c>
      <c r="AI28" s="919" t="e">
        <f t="shared" si="28"/>
        <v>#DIV/0!</v>
      </c>
      <c r="AJ28" s="1128" t="e">
        <f t="shared" si="4"/>
        <v>#DIV/0!</v>
      </c>
      <c r="AK28" s="918">
        <f>ﾃﾞｰﾀ貼付!AH246</f>
        <v>0</v>
      </c>
      <c r="AL28" s="918">
        <f>ﾃﾞｰﾀ貼付!AI246</f>
        <v>0</v>
      </c>
      <c r="AM28" s="919" t="e">
        <f t="shared" si="5"/>
        <v>#DIV/0!</v>
      </c>
      <c r="AN28" s="1127">
        <v>0</v>
      </c>
      <c r="AO28" s="919" t="e">
        <f t="shared" si="29"/>
        <v>#DIV/0!</v>
      </c>
      <c r="AP28" s="921" t="e">
        <f t="shared" si="6"/>
        <v>#DIV/0!</v>
      </c>
      <c r="AQ28" s="74">
        <f t="shared" si="26"/>
        <v>-26.933166666666665</v>
      </c>
      <c r="AR28" s="25" t="e">
        <f t="shared" si="22"/>
        <v>#DIV/0!</v>
      </c>
      <c r="AS28" s="1104" t="e">
        <f t="shared" si="7"/>
        <v>#DIV/0!</v>
      </c>
      <c r="AT28" s="25" t="e">
        <f t="shared" si="21"/>
        <v>#DIV/0!</v>
      </c>
      <c r="AU28" s="34" t="e">
        <f t="shared" si="8"/>
        <v>#DIV/0!</v>
      </c>
      <c r="AV28" s="23"/>
      <c r="AW28" s="861">
        <v>14</v>
      </c>
      <c r="AX28" s="862">
        <f t="shared" si="9"/>
        <v>-1.9237976190476189</v>
      </c>
      <c r="AY28" s="863" t="e">
        <f t="shared" si="27"/>
        <v>#N/A</v>
      </c>
    </row>
    <row r="29" spans="1:51" ht="14.25" customHeight="1" thickBot="1">
      <c r="A29" s="23"/>
      <c r="B29" s="834"/>
      <c r="C29" s="17"/>
      <c r="D29" s="55" t="s">
        <v>123</v>
      </c>
      <c r="E29" s="44">
        <f>ﾃﾞｰﾀ貼付!AR248/6</f>
        <v>2026.4216524216527</v>
      </c>
      <c r="F29" s="44">
        <v>2026.4216524216527</v>
      </c>
      <c r="G29" s="1250">
        <f>ﾃﾞｰﾀ貼付!G248</f>
        <v>743.58974358974365</v>
      </c>
      <c r="H29" s="922">
        <f>ﾃﾞｰﾀ貼付!H248</f>
        <v>160.73266666666669</v>
      </c>
      <c r="I29" s="923">
        <f t="shared" si="30"/>
        <v>0.21615772413793105</v>
      </c>
      <c r="J29" s="1244">
        <v>0</v>
      </c>
      <c r="K29" s="924" t="e">
        <f t="shared" si="12"/>
        <v>#DIV/0!</v>
      </c>
      <c r="L29" s="1115" t="str">
        <f t="shared" si="13"/>
        <v>××</v>
      </c>
      <c r="M29" s="1343">
        <f>ﾃﾞｰﾀ貼付!K248</f>
        <v>2435.897435897436</v>
      </c>
      <c r="N29" s="922">
        <f>ﾃﾞｰﾀ貼付!L248</f>
        <v>402.25</v>
      </c>
      <c r="O29" s="923">
        <f t="shared" si="0"/>
        <v>0.16513421052631577</v>
      </c>
      <c r="P29" s="1244">
        <v>0</v>
      </c>
      <c r="Q29" s="924" t="e">
        <f t="shared" si="14"/>
        <v>#DIV/0!</v>
      </c>
      <c r="R29" s="1115" t="str">
        <f t="shared" si="15"/>
        <v>××</v>
      </c>
      <c r="S29" s="1343">
        <f>ﾃﾞｰﾀ貼付!O248</f>
        <v>772.06666666666672</v>
      </c>
      <c r="T29" s="922">
        <f>ﾃﾞｰﾀ貼付!P248</f>
        <v>2670.9769999999999</v>
      </c>
      <c r="U29" s="923">
        <f t="shared" si="1"/>
        <v>3.4595160176150586</v>
      </c>
      <c r="V29" s="1244">
        <v>0</v>
      </c>
      <c r="W29" s="924" t="e">
        <f t="shared" si="23"/>
        <v>#DIV/0!</v>
      </c>
      <c r="X29" s="1331" t="str">
        <f t="shared" si="2"/>
        <v>◎</v>
      </c>
      <c r="Y29" s="1167">
        <f>ﾃﾞｰﾀ貼付!Z248</f>
        <v>700.1282051282052</v>
      </c>
      <c r="Z29" s="1154">
        <f>ﾃﾞｰﾀ貼付!AA248</f>
        <v>446.66772649572653</v>
      </c>
      <c r="AA29" s="869">
        <f t="shared" si="16"/>
        <v>0.63797990600012211</v>
      </c>
      <c r="AB29" s="952">
        <v>28.227</v>
      </c>
      <c r="AC29" s="1155">
        <f t="shared" si="17"/>
        <v>15.824130318337993</v>
      </c>
      <c r="AD29" s="1170" t="str">
        <f t="shared" si="3"/>
        <v>××</v>
      </c>
      <c r="AE29" s="922">
        <f>ﾃﾞｰﾀ貼付!AD248</f>
        <v>3869.8717948717949</v>
      </c>
      <c r="AF29" s="922">
        <f>ﾃﾞｰﾀ貼付!AE248</f>
        <v>1674.2940170940171</v>
      </c>
      <c r="AG29" s="923">
        <f t="shared" si="18"/>
        <v>0.43264844569598587</v>
      </c>
      <c r="AH29" s="1129">
        <v>0</v>
      </c>
      <c r="AI29" s="923" t="e">
        <f t="shared" si="28"/>
        <v>#DIV/0!</v>
      </c>
      <c r="AJ29" s="1130" t="str">
        <f t="shared" si="4"/>
        <v>××</v>
      </c>
      <c r="AK29" s="922">
        <f>ﾃﾞｰﾀ貼付!AH248</f>
        <v>4494.3589743589746</v>
      </c>
      <c r="AL29" s="922">
        <f>ﾃﾞｰﾀ貼付!AI248</f>
        <v>1374.7264957264956</v>
      </c>
      <c r="AM29" s="923">
        <f t="shared" si="5"/>
        <v>0.3058782139053704</v>
      </c>
      <c r="AN29" s="1129">
        <v>0</v>
      </c>
      <c r="AO29" s="923" t="e">
        <f t="shared" si="29"/>
        <v>#DIV/0!</v>
      </c>
      <c r="AP29" s="925" t="str">
        <f t="shared" si="6"/>
        <v>××</v>
      </c>
      <c r="AQ29" s="77">
        <f t="shared" si="26"/>
        <v>1121.6079843304842</v>
      </c>
      <c r="AR29" s="8">
        <f t="shared" si="22"/>
        <v>0.55349190677572901</v>
      </c>
      <c r="AS29" s="1106" t="str">
        <f t="shared" si="7"/>
        <v>××</v>
      </c>
      <c r="AT29" s="8">
        <f t="shared" si="21"/>
        <v>0.55349190677572901</v>
      </c>
      <c r="AU29" s="36" t="str">
        <f t="shared" si="8"/>
        <v>××</v>
      </c>
      <c r="AV29" s="23"/>
      <c r="AW29" s="868">
        <v>5</v>
      </c>
      <c r="AX29" s="869">
        <f>AQ29/AW29</f>
        <v>224.32159686609685</v>
      </c>
      <c r="AY29" s="870" t="str">
        <f t="shared" si="27"/>
        <v>◎</v>
      </c>
    </row>
    <row r="30" spans="1:51" ht="14.25" customHeight="1">
      <c r="A30" s="23"/>
      <c r="B30" s="833" t="s">
        <v>267</v>
      </c>
      <c r="C30" s="26" t="s">
        <v>7</v>
      </c>
      <c r="D30" s="27"/>
      <c r="E30" s="47">
        <f>E22/E14</f>
        <v>0.18485046315247175</v>
      </c>
      <c r="F30" s="47">
        <f>F22/F14</f>
        <v>0.1848501924645421</v>
      </c>
      <c r="G30" s="1251">
        <f>G22/G14</f>
        <v>0.18962681560428238</v>
      </c>
      <c r="H30" s="915">
        <f>H22/H14</f>
        <v>0.18436816445427198</v>
      </c>
      <c r="I30" s="915">
        <f>H30/G30</f>
        <v>0.97226842030093319</v>
      </c>
      <c r="J30" s="1252">
        <f>J22/J14</f>
        <v>0.16358763024759607</v>
      </c>
      <c r="K30" s="916">
        <f>H30-J30</f>
        <v>2.0780534206675916E-2</v>
      </c>
      <c r="L30" s="1113" t="str">
        <f t="shared" si="13"/>
        <v>△</v>
      </c>
      <c r="M30" s="1344">
        <f>M22/M14</f>
        <v>0.17184002302597801</v>
      </c>
      <c r="N30" s="915">
        <f>N22/N14</f>
        <v>0.1684193953793432</v>
      </c>
      <c r="O30" s="915">
        <f t="shared" si="0"/>
        <v>0.9800941155244276</v>
      </c>
      <c r="P30" s="1252">
        <f>P22/P14</f>
        <v>0.16590172325541716</v>
      </c>
      <c r="Q30" s="916">
        <f>N30-P30</f>
        <v>2.5176721239260347E-3</v>
      </c>
      <c r="R30" s="1113" t="str">
        <f t="shared" si="15"/>
        <v>△</v>
      </c>
      <c r="S30" s="1344">
        <f>S22/S14</f>
        <v>0.18259970803205289</v>
      </c>
      <c r="T30" s="915">
        <f>T22/T14</f>
        <v>0.18664798963496518</v>
      </c>
      <c r="U30" s="915">
        <f>T30/S30</f>
        <v>1.0221702523325047</v>
      </c>
      <c r="V30" s="1466">
        <f>V22/(V14/1.17)</f>
        <v>0.16531033835540748</v>
      </c>
      <c r="W30" s="916">
        <f>T30-V30</f>
        <v>2.1337651279557696E-2</v>
      </c>
      <c r="X30" s="1328" t="str">
        <f t="shared" si="2"/>
        <v>○</v>
      </c>
      <c r="Y30" s="954">
        <f>Y22/Y14</f>
        <v>0.18242334066568144</v>
      </c>
      <c r="Z30" s="29">
        <f>Z22/Z14</f>
        <v>0.17027470171854189</v>
      </c>
      <c r="AA30" s="859">
        <f>Z30/Y30</f>
        <v>0.93340414169147479</v>
      </c>
      <c r="AB30" s="1406">
        <v>0.16560497361085752</v>
      </c>
      <c r="AC30" s="1151">
        <f>Z30-AB30</f>
        <v>4.6697281076843733E-3</v>
      </c>
      <c r="AD30" s="1165" t="str">
        <f t="shared" si="3"/>
        <v>×</v>
      </c>
      <c r="AE30" s="1284">
        <f>AE22/AE14</f>
        <v>0.18220123276820102</v>
      </c>
      <c r="AF30" s="915">
        <f>AF22/AF14</f>
        <v>0.17769886558040221</v>
      </c>
      <c r="AG30" s="915">
        <f>AF30/AE30</f>
        <v>0.97528904102681468</v>
      </c>
      <c r="AH30" s="1125">
        <f t="shared" ref="AH30:AH37" si="31">AH22/AH14</f>
        <v>0.16282174962363097</v>
      </c>
      <c r="AI30" s="915">
        <f>AF30-AH30</f>
        <v>1.4877115956771242E-2</v>
      </c>
      <c r="AJ30" s="1126" t="str">
        <f t="shared" si="4"/>
        <v>△</v>
      </c>
      <c r="AK30" s="1284">
        <f>AK22/AK14</f>
        <v>0.17783494527940855</v>
      </c>
      <c r="AL30" s="915">
        <f>AL22/AL14</f>
        <v>0.17450914570256368</v>
      </c>
      <c r="AM30" s="915">
        <f>AL30/AK30</f>
        <v>0.9812983912041614</v>
      </c>
      <c r="AN30" s="1125">
        <f t="shared" ref="AN30:AN37" si="32">AN22/AN14</f>
        <v>0.16718312998339169</v>
      </c>
      <c r="AO30" s="915">
        <f>AL30-AN30</f>
        <v>7.326015719171991E-3</v>
      </c>
      <c r="AP30" s="917" t="str">
        <f t="shared" si="6"/>
        <v>△</v>
      </c>
      <c r="AQ30" s="78">
        <f>AQ22/AQ14</f>
        <v>0.17714184207106928</v>
      </c>
      <c r="AR30" s="29">
        <f t="shared" si="22"/>
        <v>0.95829806996456324</v>
      </c>
      <c r="AS30" s="1103" t="str">
        <f t="shared" si="7"/>
        <v>△</v>
      </c>
      <c r="AT30" s="29">
        <f>AQ30-F30</f>
        <v>-7.7083503934728126E-3</v>
      </c>
      <c r="AU30" s="35" t="e">
        <f t="shared" si="8"/>
        <v>#N/A</v>
      </c>
      <c r="AV30" s="23"/>
      <c r="AW30" s="871">
        <f>AW22/AW14</f>
        <v>0.16324112786724859</v>
      </c>
      <c r="AX30" s="859">
        <f>AQ30-AW30</f>
        <v>1.3900714203820691E-2</v>
      </c>
      <c r="AY30" s="860" t="str">
        <f t="shared" ref="AY30:AY37" si="33">VLOOKUP(AX30,$E$63:$G$67,2,TRUE)</f>
        <v>××</v>
      </c>
    </row>
    <row r="31" spans="1:51" ht="14.25" customHeight="1">
      <c r="A31" s="23"/>
      <c r="B31" s="832"/>
      <c r="C31" s="14"/>
      <c r="D31" s="15" t="s">
        <v>0</v>
      </c>
      <c r="E31" s="45">
        <f>E23/E15</f>
        <v>0.15487984449879696</v>
      </c>
      <c r="F31" s="45">
        <f>F23/F15</f>
        <v>0.15487930861620436</v>
      </c>
      <c r="G31" s="1253">
        <f t="shared" ref="G31:H31" si="34">G23/G15</f>
        <v>0.13733488023952095</v>
      </c>
      <c r="H31" s="907">
        <f t="shared" si="34"/>
        <v>0.13091062696116249</v>
      </c>
      <c r="I31" s="907">
        <f>H31/G31</f>
        <v>0.95322198361294563</v>
      </c>
      <c r="J31" s="1254">
        <f t="shared" ref="J31" si="35">J23/J15</f>
        <v>0.12194471352960171</v>
      </c>
      <c r="K31" s="908">
        <f t="shared" ref="K31:K37" si="36">H31-J31</f>
        <v>8.9659134315607791E-3</v>
      </c>
      <c r="L31" s="1111" t="str">
        <f t="shared" si="13"/>
        <v>△</v>
      </c>
      <c r="M31" s="1345">
        <f>M23/M15</f>
        <v>0.14269099476439789</v>
      </c>
      <c r="N31" s="907">
        <f>N23/N15</f>
        <v>0.13661623374805043</v>
      </c>
      <c r="O31" s="907">
        <f t="shared" si="0"/>
        <v>0.95742715911135312</v>
      </c>
      <c r="P31" s="1254">
        <f>P23/P15</f>
        <v>0.11589838964412759</v>
      </c>
      <c r="Q31" s="908">
        <f>N31-P31</f>
        <v>2.0717844103922842E-2</v>
      </c>
      <c r="R31" s="1111" t="str">
        <f t="shared" si="15"/>
        <v>△</v>
      </c>
      <c r="S31" s="1345">
        <f t="shared" ref="S31:T31" si="37">S23/S15</f>
        <v>0.14113544973544973</v>
      </c>
      <c r="T31" s="907">
        <f t="shared" si="37"/>
        <v>0.14173232998947244</v>
      </c>
      <c r="U31" s="907">
        <f>T31/S31</f>
        <v>1.0042291306340223</v>
      </c>
      <c r="V31" s="1467">
        <f t="shared" ref="V31:V37" si="38">V23/(V15/1.17)</f>
        <v>0.11427752731610362</v>
      </c>
      <c r="W31" s="908">
        <f>T31-V31</f>
        <v>2.7454802673368819E-2</v>
      </c>
      <c r="X31" s="1326" t="str">
        <f t="shared" si="2"/>
        <v>○</v>
      </c>
      <c r="Y31" s="955">
        <f t="shared" ref="Y31:Z31" si="39">Y23/Y15</f>
        <v>0.14269148936170215</v>
      </c>
      <c r="Z31" s="6">
        <f t="shared" si="39"/>
        <v>0.14067093252582225</v>
      </c>
      <c r="AA31" s="852">
        <f>Z31/Y31</f>
        <v>0.98583968220586671</v>
      </c>
      <c r="AB31" s="1407">
        <v>0.11512306492643321</v>
      </c>
      <c r="AC31" s="1148">
        <f t="shared" ref="AC31:AC37" si="40">Z31-AB31</f>
        <v>2.554786759938904E-2</v>
      </c>
      <c r="AD31" s="1162" t="str">
        <f t="shared" si="3"/>
        <v>△</v>
      </c>
      <c r="AE31" s="1285">
        <f t="shared" ref="AE31:AF31" si="41">AE23/AE15</f>
        <v>0.14432051282051281</v>
      </c>
      <c r="AF31" s="907">
        <f t="shared" si="41"/>
        <v>0.14432051282051281</v>
      </c>
      <c r="AG31" s="907">
        <f>AF31/AE31</f>
        <v>1</v>
      </c>
      <c r="AH31" s="1121">
        <f t="shared" si="31"/>
        <v>0.11588685759815856</v>
      </c>
      <c r="AI31" s="907">
        <f t="shared" ref="AI31:AI37" si="42">AF31-AH31</f>
        <v>2.8433655222354248E-2</v>
      </c>
      <c r="AJ31" s="1122" t="str">
        <f t="shared" si="4"/>
        <v>○</v>
      </c>
      <c r="AK31" s="1285">
        <f t="shared" ref="AK31:AL31" si="43">AK23/AK15</f>
        <v>0.14862318840579708</v>
      </c>
      <c r="AL31" s="907">
        <f t="shared" si="43"/>
        <v>0.14862318840579708</v>
      </c>
      <c r="AM31" s="907">
        <f>AL31/AK31</f>
        <v>1</v>
      </c>
      <c r="AN31" s="1121">
        <f t="shared" si="32"/>
        <v>0.12346525397320038</v>
      </c>
      <c r="AO31" s="907">
        <f t="shared" ref="AO31:AO32" si="44">AL31-AN31</f>
        <v>2.5157934432596701E-2</v>
      </c>
      <c r="AP31" s="909" t="str">
        <f t="shared" si="6"/>
        <v>○</v>
      </c>
      <c r="AQ31" s="79">
        <f t="shared" ref="AQ31:AQ37" si="45">AQ23/AQ15</f>
        <v>0.13937890690387927</v>
      </c>
      <c r="AR31" s="6">
        <f>AQ31/E31+0.003</f>
        <v>0.90291636648990758</v>
      </c>
      <c r="AS31" s="1101" t="str">
        <f t="shared" si="7"/>
        <v>×</v>
      </c>
      <c r="AT31" s="6">
        <f t="shared" ref="AT31:AT37" si="46">AQ31-F31</f>
        <v>-1.5500401712325085E-2</v>
      </c>
      <c r="AU31" s="32" t="e">
        <f t="shared" si="8"/>
        <v>#N/A</v>
      </c>
      <c r="AV31" s="23"/>
      <c r="AW31" s="872">
        <f>AW23/AW15</f>
        <v>0.11555009219422249</v>
      </c>
      <c r="AX31" s="852">
        <f>AQ31-AW31</f>
        <v>2.3828814709656782E-2</v>
      </c>
      <c r="AY31" s="853" t="str">
        <f t="shared" si="33"/>
        <v>××</v>
      </c>
    </row>
    <row r="32" spans="1:51" ht="14.25" customHeight="1">
      <c r="A32" s="23"/>
      <c r="B32" s="832"/>
      <c r="C32" s="14"/>
      <c r="D32" s="16" t="s">
        <v>1</v>
      </c>
      <c r="E32" s="46">
        <f t="shared" ref="E32:H37" si="47">E24/E16</f>
        <v>0.23420517669811317</v>
      </c>
      <c r="F32" s="46">
        <f t="shared" si="47"/>
        <v>0.23420541090352409</v>
      </c>
      <c r="G32" s="1255">
        <f t="shared" si="47"/>
        <v>0.2356588</v>
      </c>
      <c r="H32" s="911">
        <f t="shared" si="47"/>
        <v>0.23709886997066337</v>
      </c>
      <c r="I32" s="911">
        <f t="shared" si="30"/>
        <v>1.006110826205783</v>
      </c>
      <c r="J32" s="1256">
        <f t="shared" ref="J32" si="48">J24/J16</f>
        <v>0.21423470949126361</v>
      </c>
      <c r="K32" s="912">
        <f t="shared" si="36"/>
        <v>2.2864160479399764E-2</v>
      </c>
      <c r="L32" s="1112" t="str">
        <f t="shared" si="13"/>
        <v>○</v>
      </c>
      <c r="M32" s="1346">
        <f t="shared" ref="M32:N32" si="49">M24/M16</f>
        <v>0.22191999999999998</v>
      </c>
      <c r="N32" s="911">
        <f t="shared" si="49"/>
        <v>0.23145129601279946</v>
      </c>
      <c r="O32" s="911">
        <f t="shared" si="0"/>
        <v>1.042949243028116</v>
      </c>
      <c r="P32" s="1256">
        <f t="shared" ref="P32:P37" si="50">P24/P16</f>
        <v>0.22164466271233285</v>
      </c>
      <c r="Q32" s="912">
        <f t="shared" ref="Q32:Q37" si="51">N32-P32</f>
        <v>9.8066333004666051E-3</v>
      </c>
      <c r="R32" s="1112" t="str">
        <f t="shared" si="15"/>
        <v>○</v>
      </c>
      <c r="S32" s="1346">
        <f t="shared" ref="S32:T32" si="52">S24/S16</f>
        <v>0.23412000000000005</v>
      </c>
      <c r="T32" s="911">
        <f t="shared" si="52"/>
        <v>0.22855253184753091</v>
      </c>
      <c r="U32" s="911">
        <f t="shared" ref="U32:U34" si="53">T32/S32</f>
        <v>0.97621959613672848</v>
      </c>
      <c r="V32" s="1468">
        <f t="shared" si="38"/>
        <v>0.22396599969593325</v>
      </c>
      <c r="W32" s="912">
        <f t="shared" ref="W32:W37" si="54">T32-V32</f>
        <v>4.5865321515976554E-3</v>
      </c>
      <c r="X32" s="1327" t="str">
        <f t="shared" si="2"/>
        <v>△</v>
      </c>
      <c r="Y32" s="956">
        <f t="shared" ref="Y32:Z32" si="55">Y24/Y16</f>
        <v>0.23036000000000004</v>
      </c>
      <c r="Z32" s="7">
        <f t="shared" si="55"/>
        <v>0.223557719721829</v>
      </c>
      <c r="AA32" s="855">
        <f t="shared" ref="AA32:AA34" si="56">Z32/Y32</f>
        <v>0.97047108752313316</v>
      </c>
      <c r="AB32" s="1408">
        <v>0.21821055685438503</v>
      </c>
      <c r="AC32" s="1150">
        <f>Z32-AB32</f>
        <v>5.3471628674439664E-3</v>
      </c>
      <c r="AD32" s="1164" t="str">
        <f t="shared" si="3"/>
        <v>△</v>
      </c>
      <c r="AE32" s="1286">
        <f t="shared" ref="AE32:AF32" si="57">AE24/AE16</f>
        <v>0.22939999999999999</v>
      </c>
      <c r="AF32" s="911">
        <f t="shared" si="57"/>
        <v>0.22939999999999997</v>
      </c>
      <c r="AG32" s="911">
        <f t="shared" ref="AG32:AG34" si="58">AF32/AE32</f>
        <v>0.99999999999999989</v>
      </c>
      <c r="AH32" s="1123">
        <f t="shared" si="31"/>
        <v>0.20446830192843188</v>
      </c>
      <c r="AI32" s="911">
        <f t="shared" si="42"/>
        <v>2.4931698071568087E-2</v>
      </c>
      <c r="AJ32" s="1124" t="str">
        <f t="shared" si="4"/>
        <v>△</v>
      </c>
      <c r="AK32" s="1286">
        <f t="shared" ref="AK32:AL32" si="59">AK24/AK16</f>
        <v>0.22939999999999997</v>
      </c>
      <c r="AL32" s="911">
        <f t="shared" si="59"/>
        <v>0.23050000000000004</v>
      </c>
      <c r="AM32" s="911">
        <f t="shared" ref="AM32:AM34" si="60">AL32/AK32</f>
        <v>1.0047951176983438</v>
      </c>
      <c r="AN32" s="1123">
        <f t="shared" si="32"/>
        <v>0.21469438456760806</v>
      </c>
      <c r="AO32" s="911">
        <f t="shared" si="44"/>
        <v>1.5805615432391978E-2</v>
      </c>
      <c r="AP32" s="913" t="str">
        <f t="shared" si="6"/>
        <v>○</v>
      </c>
      <c r="AQ32" s="80">
        <f t="shared" si="45"/>
        <v>0.22989570171127979</v>
      </c>
      <c r="AR32" s="7">
        <f>AQ32/E32</f>
        <v>0.98159957415293075</v>
      </c>
      <c r="AS32" s="1102" t="str">
        <f t="shared" si="7"/>
        <v>△</v>
      </c>
      <c r="AT32" s="7">
        <f t="shared" si="46"/>
        <v>-4.3097091922442987E-3</v>
      </c>
      <c r="AU32" s="33" t="e">
        <f t="shared" si="8"/>
        <v>#N/A</v>
      </c>
      <c r="AV32" s="23"/>
      <c r="AW32" s="873">
        <f t="shared" ref="AW32:AW37" si="61">AW24/AW16</f>
        <v>0.21691523999579876</v>
      </c>
      <c r="AX32" s="855">
        <f>AQ32-AW32</f>
        <v>1.2980461715481034E-2</v>
      </c>
      <c r="AY32" s="856" t="str">
        <f t="shared" si="33"/>
        <v>××</v>
      </c>
    </row>
    <row r="33" spans="1:51" ht="14.25" customHeight="1">
      <c r="A33" s="23"/>
      <c r="B33" s="832"/>
      <c r="C33" s="14"/>
      <c r="D33" s="16" t="s">
        <v>2</v>
      </c>
      <c r="E33" s="46">
        <f t="shared" si="47"/>
        <v>0.14807343809403117</v>
      </c>
      <c r="F33" s="46">
        <f t="shared" si="47"/>
        <v>0.14807331612260111</v>
      </c>
      <c r="G33" s="1255">
        <f t="shared" si="47"/>
        <v>0.14727272727272725</v>
      </c>
      <c r="H33" s="911">
        <f t="shared" si="47"/>
        <v>0.14429364174822051</v>
      </c>
      <c r="I33" s="911">
        <f t="shared" si="30"/>
        <v>0.97977164150026286</v>
      </c>
      <c r="J33" s="1256">
        <f t="shared" ref="J33" si="62">J25/J17</f>
        <v>0.11175838987503713</v>
      </c>
      <c r="K33" s="912">
        <f t="shared" si="36"/>
        <v>3.2535251873183388E-2</v>
      </c>
      <c r="L33" s="1112" t="str">
        <f t="shared" si="13"/>
        <v>△</v>
      </c>
      <c r="M33" s="1346">
        <f t="shared" ref="M33:N33" si="63">M25/M17</f>
        <v>0.14911764705882352</v>
      </c>
      <c r="N33" s="911">
        <f t="shared" si="63"/>
        <v>0.13051248916107003</v>
      </c>
      <c r="O33" s="911">
        <f t="shared" si="0"/>
        <v>0.87523168273695884</v>
      </c>
      <c r="P33" s="1256">
        <f t="shared" si="50"/>
        <v>0.12911215361752965</v>
      </c>
      <c r="Q33" s="912">
        <f t="shared" si="51"/>
        <v>1.4003355435403819E-3</v>
      </c>
      <c r="R33" s="1112" t="str">
        <f t="shared" si="15"/>
        <v>××</v>
      </c>
      <c r="S33" s="1346">
        <f t="shared" ref="S33:T33" si="64">S25/S17</f>
        <v>0.13950978260869562</v>
      </c>
      <c r="T33" s="911">
        <f t="shared" si="64"/>
        <v>0.152208055860244</v>
      </c>
      <c r="U33" s="911">
        <f t="shared" si="53"/>
        <v>1.0910206654623293</v>
      </c>
      <c r="V33" s="1468">
        <f t="shared" si="38"/>
        <v>0.11961178046644577</v>
      </c>
      <c r="W33" s="912">
        <f t="shared" si="54"/>
        <v>3.2596275393798224E-2</v>
      </c>
      <c r="X33" s="1327" t="str">
        <f t="shared" si="2"/>
        <v>○</v>
      </c>
      <c r="Y33" s="956">
        <f t="shared" ref="Y33:Z33" si="65">Y25/Y17</f>
        <v>0.13366956521739129</v>
      </c>
      <c r="Z33" s="7">
        <f t="shared" si="65"/>
        <v>0.11954197020164907</v>
      </c>
      <c r="AA33" s="855">
        <f t="shared" si="56"/>
        <v>0.89430956109742676</v>
      </c>
      <c r="AB33" s="1408">
        <v>0.12934658566465837</v>
      </c>
      <c r="AC33" s="1150">
        <f t="shared" si="40"/>
        <v>-9.8046154630093002E-3</v>
      </c>
      <c r="AD33" s="1164" t="str">
        <f t="shared" si="3"/>
        <v>××</v>
      </c>
      <c r="AE33" s="1286">
        <f t="shared" ref="AE33:AF33" si="66">AE25/AE17</f>
        <v>0.14256784741144413</v>
      </c>
      <c r="AF33" s="911">
        <f t="shared" si="66"/>
        <v>0.13129007633587786</v>
      </c>
      <c r="AG33" s="911">
        <f t="shared" si="58"/>
        <v>0.92089541028827382</v>
      </c>
      <c r="AH33" s="1123">
        <f t="shared" si="31"/>
        <v>0.1118549108317113</v>
      </c>
      <c r="AI33" s="911">
        <f>AF33-AH33</f>
        <v>1.943516550416656E-2</v>
      </c>
      <c r="AJ33" s="1124" t="str">
        <f t="shared" si="4"/>
        <v>×</v>
      </c>
      <c r="AK33" s="1286">
        <f t="shared" ref="AK33:AL33" si="67">AK25/AK17</f>
        <v>0.13989314079422382</v>
      </c>
      <c r="AL33" s="911">
        <f t="shared" si="67"/>
        <v>0.13753723404255319</v>
      </c>
      <c r="AM33" s="911">
        <f t="shared" si="60"/>
        <v>0.98315924041525338</v>
      </c>
      <c r="AN33" s="1123">
        <f t="shared" si="32"/>
        <v>0.11430583926181588</v>
      </c>
      <c r="AO33" s="911">
        <f>AL33-AN33</f>
        <v>2.3231394780737311E-2</v>
      </c>
      <c r="AP33" s="913" t="str">
        <f t="shared" si="6"/>
        <v>△</v>
      </c>
      <c r="AQ33" s="80">
        <f t="shared" si="45"/>
        <v>0.13483036499732409</v>
      </c>
      <c r="AR33" s="7">
        <f>AQ33/E33+0.001</f>
        <v>0.91156415473856067</v>
      </c>
      <c r="AS33" s="1102" t="str">
        <f t="shared" si="7"/>
        <v>×</v>
      </c>
      <c r="AT33" s="7">
        <f t="shared" si="46"/>
        <v>-1.3242951125277014E-2</v>
      </c>
      <c r="AU33" s="33" t="e">
        <f t="shared" si="8"/>
        <v>#N/A</v>
      </c>
      <c r="AV33" s="23"/>
      <c r="AW33" s="873">
        <f t="shared" si="61"/>
        <v>0.11949826130154</v>
      </c>
      <c r="AX33" s="855">
        <f>AQ33-AW33</f>
        <v>1.5332103695784097E-2</v>
      </c>
      <c r="AY33" s="856" t="str">
        <f t="shared" si="33"/>
        <v>××</v>
      </c>
    </row>
    <row r="34" spans="1:51" ht="14.25" customHeight="1">
      <c r="A34" s="23"/>
      <c r="B34" s="832"/>
      <c r="C34" s="14"/>
      <c r="D34" s="16" t="s">
        <v>3</v>
      </c>
      <c r="E34" s="46">
        <f t="shared" si="47"/>
        <v>7.7552581261950276E-3</v>
      </c>
      <c r="F34" s="46">
        <f t="shared" si="47"/>
        <v>7.7542499254399048E-3</v>
      </c>
      <c r="G34" s="1255">
        <f t="shared" si="47"/>
        <v>2.9647335423197488E-2</v>
      </c>
      <c r="H34" s="911" t="e">
        <f t="shared" si="47"/>
        <v>#DIV/0!</v>
      </c>
      <c r="I34" s="911" t="e">
        <f t="shared" si="30"/>
        <v>#DIV/0!</v>
      </c>
      <c r="J34" s="1256">
        <f t="shared" ref="J34" si="68">J26/J18</f>
        <v>0.27901614142966946</v>
      </c>
      <c r="K34" s="912" t="e">
        <f t="shared" si="36"/>
        <v>#DIV/0!</v>
      </c>
      <c r="L34" s="1112" t="e">
        <f t="shared" si="13"/>
        <v>#DIV/0!</v>
      </c>
      <c r="M34" s="1346">
        <f t="shared" ref="M34:N34" si="69">M26/M18</f>
        <v>9.9993636363636354E-2</v>
      </c>
      <c r="N34" s="911">
        <f t="shared" si="69"/>
        <v>0.51163243902439015</v>
      </c>
      <c r="O34" s="911">
        <f t="shared" si="0"/>
        <v>5.1166499952435993</v>
      </c>
      <c r="P34" s="1256">
        <f t="shared" si="50"/>
        <v>0.21818876576232327</v>
      </c>
      <c r="Q34" s="912">
        <f t="shared" si="51"/>
        <v>0.29344367326206688</v>
      </c>
      <c r="R34" s="1112" t="str">
        <f t="shared" si="15"/>
        <v>◎</v>
      </c>
      <c r="S34" s="1346" t="e">
        <f t="shared" ref="S34:T34" si="70">S26/S18</f>
        <v>#DIV/0!</v>
      </c>
      <c r="T34" s="911" t="e">
        <f t="shared" si="70"/>
        <v>#DIV/0!</v>
      </c>
      <c r="U34" s="911" t="e">
        <f t="shared" si="53"/>
        <v>#DIV/0!</v>
      </c>
      <c r="V34" s="1468">
        <f t="shared" si="38"/>
        <v>1.1026963268502231E-3</v>
      </c>
      <c r="W34" s="912" t="e">
        <f t="shared" si="54"/>
        <v>#DIV/0!</v>
      </c>
      <c r="X34" s="1327" t="e">
        <f t="shared" si="2"/>
        <v>#DIV/0!</v>
      </c>
      <c r="Y34" s="956">
        <f t="shared" ref="Y34:Z34" si="71">Y26/Y18</f>
        <v>-0.23799982146900528</v>
      </c>
      <c r="Z34" s="7">
        <f t="shared" si="71"/>
        <v>-1.0536174960044258</v>
      </c>
      <c r="AA34" s="855">
        <f t="shared" si="56"/>
        <v>4.4269675897283749</v>
      </c>
      <c r="AB34" s="1408">
        <v>0.26648805363247663</v>
      </c>
      <c r="AC34" s="1150">
        <f t="shared" si="40"/>
        <v>-1.3201055496369025</v>
      </c>
      <c r="AD34" s="1164" t="str">
        <f t="shared" si="3"/>
        <v>◎</v>
      </c>
      <c r="AE34" s="1286" t="e">
        <f t="shared" ref="AE34:AF34" si="72">AE26/AE18</f>
        <v>#DIV/0!</v>
      </c>
      <c r="AF34" s="911">
        <f t="shared" si="72"/>
        <v>0.11403216477696411</v>
      </c>
      <c r="AG34" s="911" t="e">
        <f t="shared" si="58"/>
        <v>#DIV/0!</v>
      </c>
      <c r="AH34" s="1123">
        <f t="shared" si="31"/>
        <v>0.11395348837209303</v>
      </c>
      <c r="AI34" s="911">
        <f t="shared" si="42"/>
        <v>7.8676404871080852E-5</v>
      </c>
      <c r="AJ34" s="1124" t="e">
        <f t="shared" si="4"/>
        <v>#DIV/0!</v>
      </c>
      <c r="AK34" s="1286">
        <f t="shared" ref="AK34:AL34" si="73">AK26/AK18</f>
        <v>9.9815218427323257E-2</v>
      </c>
      <c r="AL34" s="911">
        <f t="shared" si="73"/>
        <v>7.6888222055513885E-4</v>
      </c>
      <c r="AM34" s="911">
        <f t="shared" si="60"/>
        <v>7.703056033634509E-3</v>
      </c>
      <c r="AN34" s="1123">
        <f t="shared" si="32"/>
        <v>6.5811258278145698E-2</v>
      </c>
      <c r="AO34" s="911">
        <f t="shared" ref="AO34" si="74">AL34-AN34</f>
        <v>-6.5042376057590556E-2</v>
      </c>
      <c r="AP34" s="913" t="str">
        <f t="shared" si="6"/>
        <v>××</v>
      </c>
      <c r="AQ34" s="80">
        <f t="shared" si="45"/>
        <v>2.9702736669937432E-2</v>
      </c>
      <c r="AR34" s="7">
        <f>AQ34/E34-0.005</f>
        <v>3.8250126425979487</v>
      </c>
      <c r="AS34" s="1102" t="str">
        <f t="shared" si="7"/>
        <v>◎</v>
      </c>
      <c r="AT34" s="7">
        <f t="shared" si="46"/>
        <v>2.1948486744497529E-2</v>
      </c>
      <c r="AU34" s="33" t="str">
        <f t="shared" si="8"/>
        <v>××</v>
      </c>
      <c r="AV34" s="23"/>
      <c r="AW34" s="873">
        <f t="shared" si="61"/>
        <v>0.13741223671013039</v>
      </c>
      <c r="AX34" s="855">
        <f t="shared" ref="AX34:AX37" si="75">AQ34-AW34</f>
        <v>-0.10770950004019296</v>
      </c>
      <c r="AY34" s="856" t="e">
        <f t="shared" si="33"/>
        <v>#N/A</v>
      </c>
    </row>
    <row r="35" spans="1:51" ht="14.25" customHeight="1">
      <c r="A35" s="23"/>
      <c r="B35" s="832"/>
      <c r="C35" s="14"/>
      <c r="D35" s="16" t="s">
        <v>119</v>
      </c>
      <c r="E35" s="48">
        <f t="shared" si="47"/>
        <v>0.5852109628561124</v>
      </c>
      <c r="F35" s="48">
        <f t="shared" si="47"/>
        <v>0.58523206751054846</v>
      </c>
      <c r="G35" s="1257">
        <f t="shared" si="47"/>
        <v>0.57986605080831399</v>
      </c>
      <c r="H35" s="926">
        <f t="shared" si="47"/>
        <v>0.67781653352193272</v>
      </c>
      <c r="I35" s="926">
        <f>(H35/G35)</f>
        <v>1.1689191539616417</v>
      </c>
      <c r="J35" s="1258">
        <f t="shared" ref="J35" si="76">J27/J19</f>
        <v>0.51302083333333337</v>
      </c>
      <c r="K35" s="927">
        <f t="shared" si="36"/>
        <v>0.16479570018859935</v>
      </c>
      <c r="L35" s="1112" t="str">
        <f t="shared" si="13"/>
        <v>◎</v>
      </c>
      <c r="M35" s="1347">
        <f>M27/M19</f>
        <v>0.6007737397420867</v>
      </c>
      <c r="N35" s="926">
        <f t="shared" ref="N35" si="77">N27/N19</f>
        <v>0.476969040247678</v>
      </c>
      <c r="O35" s="926">
        <f t="shared" si="0"/>
        <v>0.79392458207717553</v>
      </c>
      <c r="P35" s="1258">
        <f t="shared" si="50"/>
        <v>0.55685986793837128</v>
      </c>
      <c r="Q35" s="927">
        <f t="shared" si="51"/>
        <v>-7.9890827690693278E-2</v>
      </c>
      <c r="R35" s="1116" t="str">
        <f t="shared" si="15"/>
        <v>××</v>
      </c>
      <c r="S35" s="1347">
        <f t="shared" ref="S35:T35" si="78">S27/S19</f>
        <v>0.58008403361344529</v>
      </c>
      <c r="T35" s="926">
        <f t="shared" si="78"/>
        <v>0.59100473606987447</v>
      </c>
      <c r="U35" s="926">
        <f>(T35/S35)</f>
        <v>1.0188260697133866</v>
      </c>
      <c r="V35" s="1469">
        <f t="shared" si="38"/>
        <v>0.67191412506713433</v>
      </c>
      <c r="W35" s="927">
        <f t="shared" si="54"/>
        <v>-8.0909388997259857E-2</v>
      </c>
      <c r="X35" s="1332" t="str">
        <f t="shared" si="2"/>
        <v>○</v>
      </c>
      <c r="Y35" s="957">
        <f t="shared" ref="Y35:Z35" si="79">Y27/Y19</f>
        <v>0.54557142857142849</v>
      </c>
      <c r="Z35" s="49">
        <f t="shared" si="79"/>
        <v>0.571947392669376</v>
      </c>
      <c r="AA35" s="875">
        <f>(Z35/Y35)</f>
        <v>1.0483455744136247</v>
      </c>
      <c r="AB35" s="1409">
        <v>0.15715526046986719</v>
      </c>
      <c r="AC35" s="1156">
        <f t="shared" si="40"/>
        <v>0.41479213219950883</v>
      </c>
      <c r="AD35" s="1171" t="str">
        <f t="shared" si="3"/>
        <v>○</v>
      </c>
      <c r="AE35" s="1287">
        <f t="shared" ref="AE35:AF35" si="80">AE27/AE19</f>
        <v>0.56732294617563739</v>
      </c>
      <c r="AF35" s="926">
        <f t="shared" si="80"/>
        <v>0.5667625899280575</v>
      </c>
      <c r="AG35" s="926">
        <f>(AF35/AE35)</f>
        <v>0.99901227995208497</v>
      </c>
      <c r="AH35" s="1131">
        <f t="shared" si="31"/>
        <v>0.68267716535433076</v>
      </c>
      <c r="AI35" s="926">
        <f>AF35-AH35</f>
        <v>-0.11591457542627326</v>
      </c>
      <c r="AJ35" s="1124" t="str">
        <f t="shared" si="4"/>
        <v>△</v>
      </c>
      <c r="AK35" s="1287">
        <f t="shared" ref="AK35:AL35" si="81">AK27/AK19</f>
        <v>0.57968181818181819</v>
      </c>
      <c r="AL35" s="926">
        <f t="shared" si="81"/>
        <v>0.57968181818181819</v>
      </c>
      <c r="AM35" s="926">
        <f>(AL35/AK35)</f>
        <v>1</v>
      </c>
      <c r="AN35" s="1131">
        <f t="shared" si="32"/>
        <v>0.58169440242057491</v>
      </c>
      <c r="AO35" s="926">
        <f>AL35-AN35</f>
        <v>-2.0125842387567205E-3</v>
      </c>
      <c r="AP35" s="913" t="str">
        <f t="shared" si="6"/>
        <v>○</v>
      </c>
      <c r="AQ35" s="81">
        <f t="shared" si="45"/>
        <v>0.58097780035094071</v>
      </c>
      <c r="AR35" s="49">
        <f>AQ35/E35</f>
        <v>0.99276643334822057</v>
      </c>
      <c r="AS35" s="1107" t="str">
        <f t="shared" si="7"/>
        <v>△</v>
      </c>
      <c r="AT35" s="49">
        <f t="shared" si="46"/>
        <v>-4.2542671596077497E-3</v>
      </c>
      <c r="AU35" s="50" t="e">
        <f t="shared" si="8"/>
        <v>#N/A</v>
      </c>
      <c r="AV35" s="23"/>
      <c r="AW35" s="874">
        <f t="shared" si="61"/>
        <v>0.49927007299270071</v>
      </c>
      <c r="AX35" s="875">
        <f>AQ35-AW35</f>
        <v>8.1707727358240001E-2</v>
      </c>
      <c r="AY35" s="876" t="str">
        <f t="shared" si="33"/>
        <v>××</v>
      </c>
    </row>
    <row r="36" spans="1:51" ht="14.25" customHeight="1">
      <c r="A36" s="23"/>
      <c r="B36" s="832"/>
      <c r="C36" s="14"/>
      <c r="D36" s="14" t="s">
        <v>80</v>
      </c>
      <c r="E36" s="48" t="e">
        <f t="shared" si="47"/>
        <v>#DIV/0!</v>
      </c>
      <c r="F36" s="48" t="e">
        <f t="shared" si="47"/>
        <v>#DIV/0!</v>
      </c>
      <c r="G36" s="1257" t="e">
        <f t="shared" si="47"/>
        <v>#DIV/0!</v>
      </c>
      <c r="H36" s="926">
        <f t="shared" si="47"/>
        <v>0.19747271268057784</v>
      </c>
      <c r="I36" s="926" t="e">
        <f t="shared" ref="I36:I46" si="82">2-(H36/G36)</f>
        <v>#DIV/0!</v>
      </c>
      <c r="J36" s="1258" t="e">
        <f t="shared" ref="J36" si="83">J28/J20</f>
        <v>#DIV/0!</v>
      </c>
      <c r="K36" s="927" t="e">
        <f t="shared" si="36"/>
        <v>#DIV/0!</v>
      </c>
      <c r="L36" s="1112" t="e">
        <f t="shared" si="13"/>
        <v>#DIV/0!</v>
      </c>
      <c r="M36" s="1347">
        <f t="shared" ref="M36:N36" si="84">M28/M20</f>
        <v>-5.9647058823529407E-2</v>
      </c>
      <c r="N36" s="926">
        <f t="shared" si="84"/>
        <v>-0.88346699999999989</v>
      </c>
      <c r="O36" s="926">
        <f t="shared" si="0"/>
        <v>14.811576923076922</v>
      </c>
      <c r="P36" s="1258" t="e">
        <f t="shared" si="50"/>
        <v>#DIV/0!</v>
      </c>
      <c r="Q36" s="927" t="e">
        <f t="shared" si="51"/>
        <v>#DIV/0!</v>
      </c>
      <c r="R36" s="1116" t="str">
        <f t="shared" si="15"/>
        <v>◎</v>
      </c>
      <c r="S36" s="1347" t="e">
        <f t="shared" ref="S36:T36" si="85">S28/S20</f>
        <v>#DIV/0!</v>
      </c>
      <c r="T36" s="926" t="e">
        <f t="shared" si="85"/>
        <v>#DIV/0!</v>
      </c>
      <c r="U36" s="926" t="e">
        <f t="shared" ref="U36" si="86">2-(T36/S36)</f>
        <v>#DIV/0!</v>
      </c>
      <c r="V36" s="1469">
        <f t="shared" si="38"/>
        <v>0.22768199999999997</v>
      </c>
      <c r="W36" s="927" t="e">
        <f t="shared" si="54"/>
        <v>#DIV/0!</v>
      </c>
      <c r="X36" s="1332" t="e">
        <f t="shared" si="2"/>
        <v>#DIV/0!</v>
      </c>
      <c r="Y36" s="957" t="e">
        <f t="shared" ref="Y36:Z36" si="87">Y28/Y20</f>
        <v>#DIV/0!</v>
      </c>
      <c r="Z36" s="49">
        <f t="shared" si="87"/>
        <v>-0.82728209394179542</v>
      </c>
      <c r="AA36" s="875" t="e">
        <f t="shared" ref="AA36" si="88">2-(Z36/Y36)</f>
        <v>#DIV/0!</v>
      </c>
      <c r="AB36" s="1409" t="e">
        <v>#DIV/0!</v>
      </c>
      <c r="AC36" s="1156" t="e">
        <f t="shared" si="40"/>
        <v>#DIV/0!</v>
      </c>
      <c r="AD36" s="1171" t="e">
        <f t="shared" si="3"/>
        <v>#DIV/0!</v>
      </c>
      <c r="AE36" s="1287" t="e">
        <f t="shared" ref="AE36:AF36" si="89">AE28/AE20</f>
        <v>#DIV/0!</v>
      </c>
      <c r="AF36" s="926">
        <f t="shared" si="89"/>
        <v>9.3599999999999989E-2</v>
      </c>
      <c r="AG36" s="926" t="e">
        <f t="shared" ref="AG36" si="90">2-(AF36/AE36)</f>
        <v>#DIV/0!</v>
      </c>
      <c r="AH36" s="1131" t="e">
        <f t="shared" si="31"/>
        <v>#DIV/0!</v>
      </c>
      <c r="AI36" s="926" t="e">
        <f t="shared" si="42"/>
        <v>#DIV/0!</v>
      </c>
      <c r="AJ36" s="1124" t="e">
        <f t="shared" si="4"/>
        <v>#DIV/0!</v>
      </c>
      <c r="AK36" s="1287" t="e">
        <f t="shared" ref="AK36:AL36" si="91">AK28/AK20</f>
        <v>#DIV/0!</v>
      </c>
      <c r="AL36" s="926" t="e">
        <f t="shared" si="91"/>
        <v>#DIV/0!</v>
      </c>
      <c r="AM36" s="926" t="e">
        <f t="shared" ref="AM36" si="92">2-(AL36/AK36)</f>
        <v>#DIV/0!</v>
      </c>
      <c r="AN36" s="1131" t="e">
        <f t="shared" si="32"/>
        <v>#DIV/0!</v>
      </c>
      <c r="AO36" s="926" t="e">
        <f t="shared" ref="AO36:AO37" si="93">AL36-AN36</f>
        <v>#DIV/0!</v>
      </c>
      <c r="AP36" s="913" t="e">
        <f t="shared" si="6"/>
        <v>#DIV/0!</v>
      </c>
      <c r="AQ36" s="81">
        <f t="shared" si="45"/>
        <v>-0.49749066567732042</v>
      </c>
      <c r="AR36" s="49" t="e">
        <f>AQ36/E36</f>
        <v>#DIV/0!</v>
      </c>
      <c r="AS36" s="1107" t="e">
        <f t="shared" si="7"/>
        <v>#DIV/0!</v>
      </c>
      <c r="AT36" s="49" t="e">
        <f>AQ36-F36</f>
        <v>#DIV/0!</v>
      </c>
      <c r="AU36" s="50" t="e">
        <f t="shared" si="8"/>
        <v>#DIV/0!</v>
      </c>
      <c r="AV36" s="23"/>
      <c r="AW36" s="874">
        <f t="shared" si="61"/>
        <v>0.22222222222222221</v>
      </c>
      <c r="AX36" s="875">
        <f>AQ36-AW36</f>
        <v>-0.71971288789954269</v>
      </c>
      <c r="AY36" s="876" t="e">
        <f t="shared" si="33"/>
        <v>#N/A</v>
      </c>
    </row>
    <row r="37" spans="1:51" ht="14.25" customHeight="1" thickBot="1">
      <c r="A37" s="23"/>
      <c r="B37" s="834"/>
      <c r="C37" s="17"/>
      <c r="D37" s="55" t="s">
        <v>123</v>
      </c>
      <c r="E37" s="1269">
        <f t="shared" si="47"/>
        <v>0.15543575174825178</v>
      </c>
      <c r="F37" s="1269">
        <f t="shared" si="47"/>
        <v>0.15543619332834646</v>
      </c>
      <c r="G37" s="1277">
        <f t="shared" si="47"/>
        <v>0.15</v>
      </c>
      <c r="H37" s="1278">
        <f t="shared" si="47"/>
        <v>0.26637</v>
      </c>
      <c r="I37" s="1278">
        <f>2-(H37/G37)</f>
        <v>0.22419999999999995</v>
      </c>
      <c r="J37" s="1279" t="e">
        <f t="shared" ref="J37" si="94">J29/J21</f>
        <v>#DIV/0!</v>
      </c>
      <c r="K37" s="1280" t="e">
        <f t="shared" si="36"/>
        <v>#DIV/0!</v>
      </c>
      <c r="L37" s="1333" t="str">
        <f t="shared" si="13"/>
        <v>××</v>
      </c>
      <c r="M37" s="1348">
        <f t="shared" ref="M37:N37" si="95">M29/M21</f>
        <v>0.15</v>
      </c>
      <c r="N37" s="1278">
        <f t="shared" si="95"/>
        <v>0.19691736401673637</v>
      </c>
      <c r="O37" s="1278">
        <f t="shared" si="0"/>
        <v>1.3127824267782426</v>
      </c>
      <c r="P37" s="1279" t="e">
        <f t="shared" si="50"/>
        <v>#DIV/0!</v>
      </c>
      <c r="Q37" s="1280" t="e">
        <f t="shared" si="51"/>
        <v>#DIV/0!</v>
      </c>
      <c r="R37" s="1333" t="str">
        <f t="shared" si="15"/>
        <v>◎</v>
      </c>
      <c r="S37" s="1348">
        <f t="shared" ref="S37:T37" si="96">S29/S21</f>
        <v>0.222</v>
      </c>
      <c r="T37" s="1278">
        <f t="shared" si="96"/>
        <v>0.22601346886022058</v>
      </c>
      <c r="U37" s="1278">
        <f>2-(T37/S37)</f>
        <v>0.98192131144044792</v>
      </c>
      <c r="V37" s="1477" t="e">
        <f t="shared" si="38"/>
        <v>#DIV/0!</v>
      </c>
      <c r="W37" s="1280" t="e">
        <f t="shared" si="54"/>
        <v>#DIV/0!</v>
      </c>
      <c r="X37" s="1281" t="str">
        <f t="shared" si="2"/>
        <v>△</v>
      </c>
      <c r="Y37" s="957">
        <f t="shared" ref="Y37:Z37" si="97">Y29/Y21</f>
        <v>0.15</v>
      </c>
      <c r="Z37" s="49">
        <f t="shared" si="97"/>
        <v>0.145978</v>
      </c>
      <c r="AA37" s="875">
        <f>2-(Z37/Y37)</f>
        <v>1.0268133333333334</v>
      </c>
      <c r="AB37" s="1409">
        <v>0.47179414285714288</v>
      </c>
      <c r="AC37" s="1156">
        <f t="shared" si="40"/>
        <v>-0.32581614285714289</v>
      </c>
      <c r="AD37" s="1171" t="str">
        <f t="shared" si="3"/>
        <v>○</v>
      </c>
      <c r="AE37" s="1288">
        <f t="shared" ref="AE37:AF37" si="98">AE29/AE21</f>
        <v>0.15</v>
      </c>
      <c r="AF37" s="1278">
        <f t="shared" si="98"/>
        <v>0.21099999999999999</v>
      </c>
      <c r="AG37" s="1278">
        <f>2-(AF37/AE37)</f>
        <v>0.59333333333333327</v>
      </c>
      <c r="AH37" s="1282" t="e">
        <f t="shared" si="31"/>
        <v>#DIV/0!</v>
      </c>
      <c r="AI37" s="1278" t="e">
        <f t="shared" si="42"/>
        <v>#DIV/0!</v>
      </c>
      <c r="AJ37" s="1283" t="str">
        <f t="shared" si="4"/>
        <v>××</v>
      </c>
      <c r="AK37" s="1288">
        <f t="shared" ref="AK37:AL37" si="99">AK29/AK21</f>
        <v>0.15</v>
      </c>
      <c r="AL37" s="1278">
        <f t="shared" si="99"/>
        <v>0.20499999999999999</v>
      </c>
      <c r="AM37" s="1278">
        <f>2-(AL37/AK37)</f>
        <v>0.6333333333333333</v>
      </c>
      <c r="AN37" s="1282" t="e">
        <f t="shared" si="32"/>
        <v>#DIV/0!</v>
      </c>
      <c r="AO37" s="1278" t="e">
        <f t="shared" si="93"/>
        <v>#DIV/0!</v>
      </c>
      <c r="AP37" s="1281" t="str">
        <f t="shared" si="6"/>
        <v>××</v>
      </c>
      <c r="AQ37" s="1272">
        <f t="shared" si="45"/>
        <v>0.20922408100385137</v>
      </c>
      <c r="AR37" s="1270">
        <f>AQ37/E37</f>
        <v>1.3460486319950169</v>
      </c>
      <c r="AS37" s="1273" t="str">
        <f t="shared" si="7"/>
        <v>◎</v>
      </c>
      <c r="AT37" s="1270">
        <f t="shared" si="46"/>
        <v>5.3787887675504908E-2</v>
      </c>
      <c r="AU37" s="1274" t="str">
        <f t="shared" si="8"/>
        <v>××</v>
      </c>
      <c r="AV37" s="23"/>
      <c r="AW37" s="1275">
        <f t="shared" si="61"/>
        <v>0.5</v>
      </c>
      <c r="AX37" s="1271">
        <f t="shared" si="75"/>
        <v>-0.29077591899614863</v>
      </c>
      <c r="AY37" s="1276" t="e">
        <f t="shared" si="33"/>
        <v>#N/A</v>
      </c>
    </row>
    <row r="38" spans="1:51" ht="14.25" customHeight="1" thickTop="1">
      <c r="A38" s="23"/>
      <c r="B38" s="833" t="s">
        <v>268</v>
      </c>
      <c r="C38" s="26" t="s">
        <v>8</v>
      </c>
      <c r="D38" s="27"/>
      <c r="E38" s="40">
        <f>SUM(E39:E46)+166</f>
        <v>31094</v>
      </c>
      <c r="F38" s="40">
        <f>SUM(F39:F46)</f>
        <v>30928</v>
      </c>
      <c r="G38" s="1245">
        <f>SUM(G39:G46)</f>
        <v>27769</v>
      </c>
      <c r="H38" s="902">
        <f>SUM(H39:H46)-1</f>
        <v>25957</v>
      </c>
      <c r="I38" s="903">
        <f t="shared" si="82"/>
        <v>1.0652526198278656</v>
      </c>
      <c r="J38" s="1248"/>
      <c r="K38" s="904" t="e">
        <f t="shared" si="12"/>
        <v>#DIV/0!</v>
      </c>
      <c r="L38" s="1110" t="str">
        <f t="shared" si="13"/>
        <v>○</v>
      </c>
      <c r="M38" s="1373">
        <f>SUM(M39:M46)</f>
        <v>25697</v>
      </c>
      <c r="N38" s="1374">
        <f>SUM(N39:N46)</f>
        <v>24130</v>
      </c>
      <c r="O38" s="1375">
        <f t="shared" ref="O38:O46" si="100">2-(N38/M38)</f>
        <v>1.0609798809199518</v>
      </c>
      <c r="P38" s="1376"/>
      <c r="Q38" s="1377" t="e">
        <f t="shared" si="14"/>
        <v>#DIV/0!</v>
      </c>
      <c r="R38" s="1444" t="str">
        <f t="shared" si="15"/>
        <v>○</v>
      </c>
      <c r="S38" s="1335">
        <f>SUM(S39:S46)+1</f>
        <v>41872</v>
      </c>
      <c r="T38" s="902">
        <f>SUM(T39:T46)</f>
        <v>37219</v>
      </c>
      <c r="U38" s="903">
        <f>2-(T38/S38)</f>
        <v>1.1111243790599925</v>
      </c>
      <c r="V38" s="904"/>
      <c r="W38" s="903" t="e">
        <f t="shared" si="23"/>
        <v>#DIV/0!</v>
      </c>
      <c r="X38" s="1325" t="str">
        <f t="shared" si="2"/>
        <v>◎</v>
      </c>
      <c r="Y38" s="1451">
        <f>SUM(Y39:Y46)+1</f>
        <v>34136</v>
      </c>
      <c r="Z38" s="1452">
        <f>SUM(Z39:Z46)</f>
        <v>28910</v>
      </c>
      <c r="AA38" s="1453">
        <f>2-(Z38/Y38)</f>
        <v>1.1530935083196625</v>
      </c>
      <c r="AB38" s="1454"/>
      <c r="AC38" s="1453" t="e">
        <f t="shared" si="17"/>
        <v>#DIV/0!</v>
      </c>
      <c r="AD38" s="1455" t="str">
        <f t="shared" si="3"/>
        <v>◎</v>
      </c>
      <c r="AE38" s="902">
        <f>SUM(AE39:AE46)+1</f>
        <v>26198</v>
      </c>
      <c r="AF38" s="902">
        <f>SUM(AF39:AF46)+1</f>
        <v>25718</v>
      </c>
      <c r="AG38" s="903">
        <f>2-(AF38/AE38)</f>
        <v>1.018322009313688</v>
      </c>
      <c r="AH38" s="1119"/>
      <c r="AI38" s="903" t="e">
        <f t="shared" ref="AI38:AI55" si="101">AF38/AH38</f>
        <v>#DIV/0!</v>
      </c>
      <c r="AJ38" s="1120" t="str">
        <f t="shared" si="4"/>
        <v>○</v>
      </c>
      <c r="AK38" s="902">
        <f>SUM(AK39:AK46)</f>
        <v>33048</v>
      </c>
      <c r="AL38" s="902">
        <f>SUM(AL39:AL46)</f>
        <v>31490</v>
      </c>
      <c r="AM38" s="903">
        <f>2-(AL38/AK38)</f>
        <v>1.0471435487775356</v>
      </c>
      <c r="AN38" s="1119"/>
      <c r="AO38" s="903" t="e">
        <f t="shared" ref="AO38:AO55" si="102">AL38/AN38</f>
        <v>#DIV/0!</v>
      </c>
      <c r="AP38" s="905" t="str">
        <f t="shared" si="6"/>
        <v>○</v>
      </c>
      <c r="AQ38" s="76">
        <f t="shared" ref="AQ38:AQ55" si="103">(H38+N38+T38+Z38+AF38+AL38)/6</f>
        <v>28904</v>
      </c>
      <c r="AR38" s="5">
        <f>2-(AQ38/E38)</f>
        <v>1.070431594519843</v>
      </c>
      <c r="AS38" s="1100" t="str">
        <f>VLOOKUP(AR38,$E$63:$G$67,2,TRUE)</f>
        <v>○</v>
      </c>
      <c r="AT38" s="5">
        <f t="shared" ref="AT38:AT55" si="104">AQ38/F38</f>
        <v>0.93455768235902736</v>
      </c>
      <c r="AU38" s="31" t="str">
        <f t="shared" ref="AU38:AU55" si="105">VLOOKUP(AT38,$E$63:$G$67,2,TRUE)</f>
        <v>×</v>
      </c>
      <c r="AV38" s="23"/>
      <c r="AW38" s="867"/>
      <c r="AX38" s="849" t="e">
        <f t="shared" si="9"/>
        <v>#DIV/0!</v>
      </c>
      <c r="AY38" s="850" t="e">
        <f>VLOOKUP(AX38,$E$63:$G$67,2,TRUE)</f>
        <v>#DIV/0!</v>
      </c>
    </row>
    <row r="39" spans="1:51" ht="14.25" customHeight="1">
      <c r="A39" s="23"/>
      <c r="B39" s="832"/>
      <c r="C39" s="14"/>
      <c r="D39" s="15" t="s">
        <v>0</v>
      </c>
      <c r="E39" s="41">
        <v>4477</v>
      </c>
      <c r="F39" s="41">
        <v>4477</v>
      </c>
      <c r="G39" s="1239">
        <v>6009</v>
      </c>
      <c r="H39" s="928">
        <v>3463</v>
      </c>
      <c r="I39" s="907">
        <f t="shared" si="82"/>
        <v>1.4236977866533533</v>
      </c>
      <c r="J39" s="1240"/>
      <c r="K39" s="908" t="e">
        <f t="shared" si="12"/>
        <v>#DIV/0!</v>
      </c>
      <c r="L39" s="1111" t="str">
        <f t="shared" si="13"/>
        <v>◎</v>
      </c>
      <c r="M39" s="1378">
        <v>3551</v>
      </c>
      <c r="N39" s="1351">
        <v>3316</v>
      </c>
      <c r="O39" s="1352">
        <f t="shared" si="100"/>
        <v>1.0661785412559843</v>
      </c>
      <c r="P39" s="1353"/>
      <c r="Q39" s="1354" t="e">
        <f t="shared" si="14"/>
        <v>#DIV/0!</v>
      </c>
      <c r="R39" s="1445" t="str">
        <f t="shared" si="15"/>
        <v>○</v>
      </c>
      <c r="S39" s="1336">
        <v>6055</v>
      </c>
      <c r="T39" s="928">
        <v>8278</v>
      </c>
      <c r="U39" s="907">
        <f t="shared" ref="U39:U46" si="106">2-(T39/S39)</f>
        <v>0.63286540049545836</v>
      </c>
      <c r="V39" s="908"/>
      <c r="W39" s="907" t="e">
        <f t="shared" si="23"/>
        <v>#DIV/0!</v>
      </c>
      <c r="X39" s="1326" t="str">
        <f t="shared" si="2"/>
        <v>××</v>
      </c>
      <c r="Y39" s="1161">
        <v>4253</v>
      </c>
      <c r="Z39" s="1437">
        <v>6729</v>
      </c>
      <c r="AA39" s="852">
        <f t="shared" ref="AA39:AA46" si="107">2-(Z39/Y39)</f>
        <v>0.41782271337879151</v>
      </c>
      <c r="AB39" s="1148"/>
      <c r="AC39" s="852" t="e">
        <f t="shared" si="17"/>
        <v>#DIV/0!</v>
      </c>
      <c r="AD39" s="1162" t="str">
        <f t="shared" si="3"/>
        <v>××</v>
      </c>
      <c r="AE39" s="906">
        <v>3205</v>
      </c>
      <c r="AF39" s="906">
        <v>5458</v>
      </c>
      <c r="AG39" s="907">
        <f t="shared" ref="AG39:AG46" si="108">2-(AF39/AE39)</f>
        <v>0.29703588143525739</v>
      </c>
      <c r="AH39" s="1121"/>
      <c r="AI39" s="907" t="e">
        <f t="shared" si="101"/>
        <v>#DIV/0!</v>
      </c>
      <c r="AJ39" s="1122" t="str">
        <f t="shared" si="4"/>
        <v>××</v>
      </c>
      <c r="AK39" s="906">
        <v>4515</v>
      </c>
      <c r="AL39" s="906">
        <v>6349</v>
      </c>
      <c r="AM39" s="907">
        <f t="shared" ref="AM39:AM46" si="109">2-(AL39/AK39)</f>
        <v>0.59379844961240313</v>
      </c>
      <c r="AN39" s="1121"/>
      <c r="AO39" s="907" t="e">
        <f t="shared" si="102"/>
        <v>#DIV/0!</v>
      </c>
      <c r="AP39" s="909" t="str">
        <f t="shared" si="6"/>
        <v>××</v>
      </c>
      <c r="AQ39" s="70">
        <f>(H39+N39+T39+Z39+AF39+AL39)/6</f>
        <v>5598.833333333333</v>
      </c>
      <c r="AR39" s="6">
        <f>2-(AQ39/E39)</f>
        <v>0.74942297669570412</v>
      </c>
      <c r="AS39" s="1101" t="str">
        <f t="shared" si="7"/>
        <v>××</v>
      </c>
      <c r="AT39" s="6">
        <f t="shared" si="104"/>
        <v>1.2505770233042959</v>
      </c>
      <c r="AU39" s="32" t="str">
        <f t="shared" si="105"/>
        <v>◎</v>
      </c>
      <c r="AV39" s="23"/>
      <c r="AW39" s="851"/>
      <c r="AX39" s="852" t="e">
        <f t="shared" si="9"/>
        <v>#DIV/0!</v>
      </c>
      <c r="AY39" s="853" t="e">
        <f>VLOOKUP(AX39,$E$63:$G$67,2,TRUE)</f>
        <v>#DIV/0!</v>
      </c>
    </row>
    <row r="40" spans="1:51" ht="14.25" customHeight="1">
      <c r="A40" s="23"/>
      <c r="B40" s="832"/>
      <c r="C40" s="14"/>
      <c r="D40" s="16" t="s">
        <v>1</v>
      </c>
      <c r="E40" s="42">
        <v>5061</v>
      </c>
      <c r="F40" s="42">
        <v>5061</v>
      </c>
      <c r="G40" s="1241">
        <v>10146</v>
      </c>
      <c r="H40" s="929">
        <v>4864</v>
      </c>
      <c r="I40" s="911">
        <f t="shared" si="82"/>
        <v>1.5205992509363295</v>
      </c>
      <c r="J40" s="1242"/>
      <c r="K40" s="912" t="e">
        <f t="shared" si="12"/>
        <v>#DIV/0!</v>
      </c>
      <c r="L40" s="1112" t="str">
        <f t="shared" si="13"/>
        <v>◎</v>
      </c>
      <c r="M40" s="1379">
        <v>3586</v>
      </c>
      <c r="N40" s="1355">
        <v>3430</v>
      </c>
      <c r="O40" s="1356">
        <f t="shared" si="100"/>
        <v>1.0435025097601784</v>
      </c>
      <c r="P40" s="1357"/>
      <c r="Q40" s="1358" t="e">
        <f t="shared" si="14"/>
        <v>#DIV/0!</v>
      </c>
      <c r="R40" s="1446" t="str">
        <f t="shared" si="15"/>
        <v>○</v>
      </c>
      <c r="S40" s="1337">
        <v>5664</v>
      </c>
      <c r="T40" s="929">
        <v>8999</v>
      </c>
      <c r="U40" s="911">
        <f t="shared" si="106"/>
        <v>0.41119350282485878</v>
      </c>
      <c r="V40" s="912"/>
      <c r="W40" s="911" t="e">
        <f t="shared" si="23"/>
        <v>#DIV/0!</v>
      </c>
      <c r="X40" s="1327" t="str">
        <f t="shared" si="2"/>
        <v>××</v>
      </c>
      <c r="Y40" s="1163">
        <v>5901</v>
      </c>
      <c r="Z40" s="1438">
        <v>10172</v>
      </c>
      <c r="AA40" s="855">
        <f t="shared" si="107"/>
        <v>0.27622436875105905</v>
      </c>
      <c r="AB40" s="1150"/>
      <c r="AC40" s="855" t="e">
        <f t="shared" si="17"/>
        <v>#DIV/0!</v>
      </c>
      <c r="AD40" s="1164" t="str">
        <f t="shared" si="3"/>
        <v>××</v>
      </c>
      <c r="AE40" s="910">
        <v>5247</v>
      </c>
      <c r="AF40" s="910">
        <v>9456</v>
      </c>
      <c r="AG40" s="911">
        <f t="shared" si="108"/>
        <v>0.1978273299028015</v>
      </c>
      <c r="AH40" s="1123"/>
      <c r="AI40" s="911" t="e">
        <f t="shared" si="101"/>
        <v>#DIV/0!</v>
      </c>
      <c r="AJ40" s="1124" t="str">
        <f t="shared" si="4"/>
        <v>××</v>
      </c>
      <c r="AK40" s="910">
        <v>5016</v>
      </c>
      <c r="AL40" s="910">
        <v>9139</v>
      </c>
      <c r="AM40" s="911">
        <f t="shared" si="109"/>
        <v>0.17803030303030298</v>
      </c>
      <c r="AN40" s="1123"/>
      <c r="AO40" s="911" t="e">
        <f t="shared" si="102"/>
        <v>#DIV/0!</v>
      </c>
      <c r="AP40" s="913" t="str">
        <f t="shared" si="6"/>
        <v>××</v>
      </c>
      <c r="AQ40" s="71">
        <f>(H40+N40+T40+Z40+AF40+AL40)/6</f>
        <v>7676.666666666667</v>
      </c>
      <c r="AR40" s="7">
        <f>2-(AQ40/E40)</f>
        <v>0.48317196864914691</v>
      </c>
      <c r="AS40" s="1102" t="str">
        <f t="shared" si="7"/>
        <v>××</v>
      </c>
      <c r="AT40" s="7">
        <f t="shared" si="104"/>
        <v>1.5168280313508531</v>
      </c>
      <c r="AU40" s="33" t="str">
        <f t="shared" si="105"/>
        <v>◎</v>
      </c>
      <c r="AV40" s="23"/>
      <c r="AW40" s="854"/>
      <c r="AX40" s="855" t="e">
        <f t="shared" si="9"/>
        <v>#DIV/0!</v>
      </c>
      <c r="AY40" s="856" t="e">
        <f t="shared" ref="AY40:AY43" si="110">VLOOKUP(AX40,$E$63:$G$67,2,TRUE)</f>
        <v>#DIV/0!</v>
      </c>
    </row>
    <row r="41" spans="1:51" ht="14.25" customHeight="1">
      <c r="A41" s="23"/>
      <c r="B41" s="832"/>
      <c r="C41" s="14"/>
      <c r="D41" s="16" t="s">
        <v>2</v>
      </c>
      <c r="E41" s="42">
        <v>7906</v>
      </c>
      <c r="F41" s="42">
        <v>7906</v>
      </c>
      <c r="G41" s="1241">
        <v>10548</v>
      </c>
      <c r="H41" s="929">
        <v>7156</v>
      </c>
      <c r="I41" s="911">
        <f t="shared" si="82"/>
        <v>1.3215775502464924</v>
      </c>
      <c r="J41" s="1242"/>
      <c r="K41" s="912" t="e">
        <f t="shared" si="12"/>
        <v>#DIV/0!</v>
      </c>
      <c r="L41" s="1112" t="str">
        <f t="shared" si="13"/>
        <v>◎</v>
      </c>
      <c r="M41" s="1379">
        <v>6435</v>
      </c>
      <c r="N41" s="1355">
        <v>6101</v>
      </c>
      <c r="O41" s="1356">
        <f t="shared" si="100"/>
        <v>1.0519036519036518</v>
      </c>
      <c r="P41" s="1357"/>
      <c r="Q41" s="1358" t="e">
        <f t="shared" si="14"/>
        <v>#DIV/0!</v>
      </c>
      <c r="R41" s="1446" t="str">
        <f t="shared" si="15"/>
        <v>○</v>
      </c>
      <c r="S41" s="1337">
        <v>12095</v>
      </c>
      <c r="T41" s="929">
        <v>12615</v>
      </c>
      <c r="U41" s="911">
        <f t="shared" si="106"/>
        <v>0.95700702769739565</v>
      </c>
      <c r="V41" s="912"/>
      <c r="W41" s="911" t="e">
        <f t="shared" si="23"/>
        <v>#DIV/0!</v>
      </c>
      <c r="X41" s="1327" t="str">
        <f t="shared" si="2"/>
        <v>△</v>
      </c>
      <c r="Y41" s="1163">
        <v>10203</v>
      </c>
      <c r="Z41" s="1438">
        <v>10986</v>
      </c>
      <c r="AA41" s="855">
        <f t="shared" si="107"/>
        <v>0.92325786533372534</v>
      </c>
      <c r="AB41" s="1150"/>
      <c r="AC41" s="855" t="e">
        <f t="shared" si="17"/>
        <v>#DIV/0!</v>
      </c>
      <c r="AD41" s="1164" t="str">
        <f t="shared" si="3"/>
        <v>×</v>
      </c>
      <c r="AE41" s="910">
        <v>7144</v>
      </c>
      <c r="AF41" s="910">
        <v>11141</v>
      </c>
      <c r="AG41" s="911">
        <f t="shared" si="108"/>
        <v>0.44050951847704378</v>
      </c>
      <c r="AH41" s="1123"/>
      <c r="AI41" s="911" t="e">
        <f t="shared" si="101"/>
        <v>#DIV/0!</v>
      </c>
      <c r="AJ41" s="1124" t="str">
        <f t="shared" si="4"/>
        <v>××</v>
      </c>
      <c r="AK41" s="910">
        <v>7879</v>
      </c>
      <c r="AL41" s="910">
        <v>12336</v>
      </c>
      <c r="AM41" s="911">
        <f t="shared" si="109"/>
        <v>0.43431907602487629</v>
      </c>
      <c r="AN41" s="1123"/>
      <c r="AO41" s="911" t="e">
        <f t="shared" si="102"/>
        <v>#DIV/0!</v>
      </c>
      <c r="AP41" s="913" t="str">
        <f t="shared" si="6"/>
        <v>××</v>
      </c>
      <c r="AQ41" s="71">
        <f t="shared" si="103"/>
        <v>10055.833333333334</v>
      </c>
      <c r="AR41" s="7">
        <f t="shared" ref="AR41:AR46" si="111">2-(AQ41/E41)</f>
        <v>0.72807572307951762</v>
      </c>
      <c r="AS41" s="1102" t="str">
        <f t="shared" si="7"/>
        <v>××</v>
      </c>
      <c r="AT41" s="7">
        <f t="shared" si="104"/>
        <v>1.2719242769204824</v>
      </c>
      <c r="AU41" s="33" t="str">
        <f t="shared" si="105"/>
        <v>◎</v>
      </c>
      <c r="AV41" s="23"/>
      <c r="AW41" s="854"/>
      <c r="AX41" s="855" t="e">
        <f t="shared" si="9"/>
        <v>#DIV/0!</v>
      </c>
      <c r="AY41" s="856" t="e">
        <f>VLOOKUP(AX41,$E$63:$G$67,2,TRUE)</f>
        <v>#DIV/0!</v>
      </c>
    </row>
    <row r="42" spans="1:51" ht="14.25" customHeight="1">
      <c r="A42" s="23"/>
      <c r="B42" s="832"/>
      <c r="C42" s="14"/>
      <c r="D42" s="16" t="s">
        <v>3</v>
      </c>
      <c r="E42" s="42">
        <v>118</v>
      </c>
      <c r="F42" s="42">
        <v>118</v>
      </c>
      <c r="G42" s="1241">
        <v>0</v>
      </c>
      <c r="H42" s="929">
        <v>74</v>
      </c>
      <c r="I42" s="911" t="e">
        <f t="shared" si="82"/>
        <v>#DIV/0!</v>
      </c>
      <c r="J42" s="1242"/>
      <c r="K42" s="912" t="e">
        <f t="shared" si="12"/>
        <v>#DIV/0!</v>
      </c>
      <c r="L42" s="1112" t="e">
        <f t="shared" si="13"/>
        <v>#DIV/0!</v>
      </c>
      <c r="M42" s="1379">
        <v>107</v>
      </c>
      <c r="N42" s="1355">
        <v>75</v>
      </c>
      <c r="O42" s="1356">
        <f t="shared" si="100"/>
        <v>1.2990654205607477</v>
      </c>
      <c r="P42" s="1357"/>
      <c r="Q42" s="1358" t="e">
        <f t="shared" si="14"/>
        <v>#DIV/0!</v>
      </c>
      <c r="R42" s="1446" t="str">
        <f t="shared" si="15"/>
        <v>◎</v>
      </c>
      <c r="S42" s="1337">
        <v>369</v>
      </c>
      <c r="T42" s="929">
        <v>650</v>
      </c>
      <c r="U42" s="911">
        <f t="shared" si="106"/>
        <v>0.2384823848238482</v>
      </c>
      <c r="V42" s="912"/>
      <c r="W42" s="911" t="e">
        <f t="shared" si="23"/>
        <v>#DIV/0!</v>
      </c>
      <c r="X42" s="1327" t="str">
        <f t="shared" si="2"/>
        <v>××</v>
      </c>
      <c r="Y42" s="1163">
        <v>189</v>
      </c>
      <c r="Z42" s="1438">
        <v>351</v>
      </c>
      <c r="AA42" s="855">
        <f t="shared" si="107"/>
        <v>0.14285714285714279</v>
      </c>
      <c r="AB42" s="1150"/>
      <c r="AC42" s="855" t="e">
        <f t="shared" si="17"/>
        <v>#DIV/0!</v>
      </c>
      <c r="AD42" s="1164" t="str">
        <f t="shared" si="3"/>
        <v>××</v>
      </c>
      <c r="AE42" s="910">
        <v>29</v>
      </c>
      <c r="AF42" s="910">
        <v>193</v>
      </c>
      <c r="AG42" s="911">
        <f t="shared" si="108"/>
        <v>-4.6551724137931032</v>
      </c>
      <c r="AH42" s="1123"/>
      <c r="AI42" s="911" t="e">
        <f t="shared" si="101"/>
        <v>#DIV/0!</v>
      </c>
      <c r="AJ42" s="1124" t="e">
        <f t="shared" si="4"/>
        <v>#N/A</v>
      </c>
      <c r="AK42" s="910">
        <v>121</v>
      </c>
      <c r="AL42" s="910">
        <v>386</v>
      </c>
      <c r="AM42" s="911">
        <f t="shared" si="109"/>
        <v>-1.1900826446280992</v>
      </c>
      <c r="AN42" s="1123"/>
      <c r="AO42" s="911" t="e">
        <f t="shared" si="102"/>
        <v>#DIV/0!</v>
      </c>
      <c r="AP42" s="913" t="e">
        <f t="shared" si="6"/>
        <v>#N/A</v>
      </c>
      <c r="AQ42" s="71">
        <f t="shared" si="103"/>
        <v>288.16666666666669</v>
      </c>
      <c r="AR42" s="7">
        <f t="shared" si="111"/>
        <v>-0.44209039548022622</v>
      </c>
      <c r="AS42" s="1102" t="e">
        <f t="shared" si="7"/>
        <v>#N/A</v>
      </c>
      <c r="AT42" s="7">
        <f t="shared" si="104"/>
        <v>2.4420903954802262</v>
      </c>
      <c r="AU42" s="33" t="str">
        <f t="shared" si="105"/>
        <v>◎</v>
      </c>
      <c r="AV42" s="23"/>
      <c r="AW42" s="854"/>
      <c r="AX42" s="855" t="e">
        <f t="shared" si="9"/>
        <v>#DIV/0!</v>
      </c>
      <c r="AY42" s="856" t="e">
        <f t="shared" si="110"/>
        <v>#DIV/0!</v>
      </c>
    </row>
    <row r="43" spans="1:51" ht="14.25" customHeight="1">
      <c r="A43" s="23"/>
      <c r="B43" s="835"/>
      <c r="C43" s="13"/>
      <c r="D43" s="16" t="s">
        <v>119</v>
      </c>
      <c r="E43" s="42">
        <v>1569</v>
      </c>
      <c r="F43" s="42">
        <v>1569</v>
      </c>
      <c r="G43" s="1241">
        <v>1066</v>
      </c>
      <c r="H43" s="929">
        <v>1362</v>
      </c>
      <c r="I43" s="911">
        <f>2-(H43/G43)</f>
        <v>0.72232645403377105</v>
      </c>
      <c r="J43" s="1242"/>
      <c r="K43" s="912" t="e">
        <f t="shared" si="12"/>
        <v>#DIV/0!</v>
      </c>
      <c r="L43" s="1112" t="str">
        <f t="shared" si="13"/>
        <v>××</v>
      </c>
      <c r="M43" s="1379">
        <v>1250</v>
      </c>
      <c r="N43" s="1355">
        <v>1412</v>
      </c>
      <c r="O43" s="1356">
        <f t="shared" si="100"/>
        <v>0.87040000000000006</v>
      </c>
      <c r="P43" s="1357"/>
      <c r="Q43" s="1358" t="e">
        <f t="shared" si="14"/>
        <v>#DIV/0!</v>
      </c>
      <c r="R43" s="1446" t="str">
        <f t="shared" si="15"/>
        <v>××</v>
      </c>
      <c r="S43" s="1337">
        <v>2049</v>
      </c>
      <c r="T43" s="929">
        <v>2161</v>
      </c>
      <c r="U43" s="911">
        <f t="shared" si="106"/>
        <v>0.94533918984870668</v>
      </c>
      <c r="V43" s="912"/>
      <c r="W43" s="911" t="e">
        <f t="shared" si="23"/>
        <v>#DIV/0!</v>
      </c>
      <c r="X43" s="1327" t="str">
        <f t="shared" si="2"/>
        <v>×</v>
      </c>
      <c r="Y43" s="1163">
        <v>1829</v>
      </c>
      <c r="Z43" s="1438">
        <v>1616</v>
      </c>
      <c r="AA43" s="855">
        <f t="shared" si="107"/>
        <v>1.1164570803717879</v>
      </c>
      <c r="AB43" s="1150"/>
      <c r="AC43" s="855" t="e">
        <f t="shared" si="17"/>
        <v>#DIV/0!</v>
      </c>
      <c r="AD43" s="1164" t="str">
        <f t="shared" si="3"/>
        <v>◎</v>
      </c>
      <c r="AE43" s="910">
        <v>1259</v>
      </c>
      <c r="AF43" s="910">
        <v>1044</v>
      </c>
      <c r="AG43" s="911">
        <f t="shared" si="108"/>
        <v>1.17077045274027</v>
      </c>
      <c r="AH43" s="1123"/>
      <c r="AI43" s="911" t="e">
        <f t="shared" si="101"/>
        <v>#DIV/0!</v>
      </c>
      <c r="AJ43" s="1124" t="str">
        <f t="shared" si="4"/>
        <v>◎</v>
      </c>
      <c r="AK43" s="910">
        <v>1818</v>
      </c>
      <c r="AL43" s="910">
        <v>1578</v>
      </c>
      <c r="AM43" s="911">
        <f t="shared" si="109"/>
        <v>1.1320132013201321</v>
      </c>
      <c r="AN43" s="1123"/>
      <c r="AO43" s="911" t="e">
        <f t="shared" si="102"/>
        <v>#DIV/0!</v>
      </c>
      <c r="AP43" s="913" t="str">
        <f t="shared" si="6"/>
        <v>◎</v>
      </c>
      <c r="AQ43" s="71">
        <f>(H43+N43+T43+Z43+AF43+AL43)/6</f>
        <v>1528.8333333333333</v>
      </c>
      <c r="AR43" s="7">
        <f t="shared" si="111"/>
        <v>1.0256001699596347</v>
      </c>
      <c r="AS43" s="1102" t="str">
        <f t="shared" si="7"/>
        <v>○</v>
      </c>
      <c r="AT43" s="7">
        <f t="shared" si="104"/>
        <v>0.97439983004036534</v>
      </c>
      <c r="AU43" s="33" t="str">
        <f t="shared" si="105"/>
        <v>△</v>
      </c>
      <c r="AV43" s="23"/>
      <c r="AW43" s="854"/>
      <c r="AX43" s="855" t="e">
        <f t="shared" si="9"/>
        <v>#DIV/0!</v>
      </c>
      <c r="AY43" s="856" t="e">
        <f t="shared" si="110"/>
        <v>#DIV/0!</v>
      </c>
    </row>
    <row r="44" spans="1:51" ht="14.25" customHeight="1">
      <c r="A44" s="23"/>
      <c r="B44" s="835"/>
      <c r="C44" s="14"/>
      <c r="D44" s="51" t="s">
        <v>118</v>
      </c>
      <c r="E44" s="61">
        <v>411</v>
      </c>
      <c r="F44" s="61">
        <v>411</v>
      </c>
      <c r="G44" s="1241">
        <v>0</v>
      </c>
      <c r="H44" s="929">
        <v>285</v>
      </c>
      <c r="I44" s="911" t="e">
        <f t="shared" si="82"/>
        <v>#DIV/0!</v>
      </c>
      <c r="J44" s="1259"/>
      <c r="K44" s="912" t="e">
        <f t="shared" si="12"/>
        <v>#DIV/0!</v>
      </c>
      <c r="L44" s="1112" t="e">
        <f t="shared" si="13"/>
        <v>#DIV/0!</v>
      </c>
      <c r="M44" s="1380">
        <v>308</v>
      </c>
      <c r="N44" s="1359">
        <v>275</v>
      </c>
      <c r="O44" s="1356">
        <f t="shared" si="100"/>
        <v>1.1071428571428572</v>
      </c>
      <c r="P44" s="1360"/>
      <c r="Q44" s="1358" t="e">
        <f t="shared" si="14"/>
        <v>#DIV/0!</v>
      </c>
      <c r="R44" s="1446" t="str">
        <f t="shared" si="15"/>
        <v>◎</v>
      </c>
      <c r="S44" s="1337">
        <v>550</v>
      </c>
      <c r="T44" s="929">
        <v>659</v>
      </c>
      <c r="U44" s="911">
        <f t="shared" si="106"/>
        <v>0.80181818181818176</v>
      </c>
      <c r="V44" s="912"/>
      <c r="W44" s="911" t="e">
        <f t="shared" si="23"/>
        <v>#DIV/0!</v>
      </c>
      <c r="X44" s="1327" t="str">
        <f t="shared" si="2"/>
        <v>××</v>
      </c>
      <c r="Y44" s="1163">
        <v>415</v>
      </c>
      <c r="Z44" s="1438">
        <v>424</v>
      </c>
      <c r="AA44" s="855">
        <f t="shared" si="107"/>
        <v>0.97831325301204819</v>
      </c>
      <c r="AB44" s="1150"/>
      <c r="AC44" s="855" t="e">
        <f t="shared" si="17"/>
        <v>#DIV/0!</v>
      </c>
      <c r="AD44" s="1164" t="str">
        <f t="shared" si="3"/>
        <v>△</v>
      </c>
      <c r="AE44" s="910">
        <v>244</v>
      </c>
      <c r="AF44" s="910">
        <v>239</v>
      </c>
      <c r="AG44" s="911">
        <f t="shared" si="108"/>
        <v>1.0204918032786885</v>
      </c>
      <c r="AH44" s="1123"/>
      <c r="AI44" s="911" t="e">
        <f t="shared" si="101"/>
        <v>#DIV/0!</v>
      </c>
      <c r="AJ44" s="1124" t="str">
        <f t="shared" si="4"/>
        <v>○</v>
      </c>
      <c r="AK44" s="910">
        <v>411</v>
      </c>
      <c r="AL44" s="910">
        <v>435</v>
      </c>
      <c r="AM44" s="911">
        <f t="shared" si="109"/>
        <v>0.94160583941605847</v>
      </c>
      <c r="AN44" s="1123"/>
      <c r="AO44" s="911" t="e">
        <f t="shared" si="102"/>
        <v>#DIV/0!</v>
      </c>
      <c r="AP44" s="913" t="str">
        <f t="shared" si="6"/>
        <v>×</v>
      </c>
      <c r="AQ44" s="71">
        <f t="shared" si="103"/>
        <v>386.16666666666669</v>
      </c>
      <c r="AR44" s="7">
        <f t="shared" si="111"/>
        <v>1.0604217356042174</v>
      </c>
      <c r="AS44" s="1102" t="str">
        <f t="shared" si="7"/>
        <v>○</v>
      </c>
      <c r="AT44" s="7">
        <f t="shared" si="104"/>
        <v>0.93957826439578274</v>
      </c>
      <c r="AU44" s="33" t="str">
        <f t="shared" si="105"/>
        <v>×</v>
      </c>
      <c r="AV44" s="23"/>
      <c r="AW44" s="854"/>
      <c r="AX44" s="855" t="e">
        <f t="shared" ref="AX44:AX45" si="112">AQ44/AW44</f>
        <v>#DIV/0!</v>
      </c>
      <c r="AY44" s="856" t="e">
        <f t="shared" ref="AY44:AY45" si="113">VLOOKUP(AX44,$E$63:$G$67,2,TRUE)</f>
        <v>#DIV/0!</v>
      </c>
    </row>
    <row r="45" spans="1:51" ht="14.25" customHeight="1">
      <c r="A45" s="23"/>
      <c r="B45" s="835"/>
      <c r="C45" s="14"/>
      <c r="D45" s="51" t="s">
        <v>158</v>
      </c>
      <c r="E45" s="61">
        <v>1584</v>
      </c>
      <c r="F45" s="61">
        <v>1584</v>
      </c>
      <c r="G45" s="1260">
        <v>0</v>
      </c>
      <c r="H45" s="930">
        <v>822</v>
      </c>
      <c r="I45" s="911" t="e">
        <f>2-(H45/G45)</f>
        <v>#DIV/0!</v>
      </c>
      <c r="J45" s="1259"/>
      <c r="K45" s="912" t="e">
        <f t="shared" si="12"/>
        <v>#DIV/0!</v>
      </c>
      <c r="L45" s="1112" t="e">
        <f t="shared" si="13"/>
        <v>#DIV/0!</v>
      </c>
      <c r="M45" s="1380">
        <v>1265</v>
      </c>
      <c r="N45" s="1359">
        <v>811</v>
      </c>
      <c r="O45" s="1356">
        <f t="shared" si="100"/>
        <v>1.3588932806324112</v>
      </c>
      <c r="P45" s="1360"/>
      <c r="Q45" s="1358" t="e">
        <f t="shared" si="14"/>
        <v>#DIV/0!</v>
      </c>
      <c r="R45" s="1446" t="str">
        <f t="shared" si="15"/>
        <v>◎</v>
      </c>
      <c r="S45" s="1472">
        <v>2069</v>
      </c>
      <c r="T45" s="930"/>
      <c r="U45" s="911">
        <f>2-(T45/S45)</f>
        <v>2</v>
      </c>
      <c r="V45" s="912"/>
      <c r="W45" s="911" t="e">
        <f t="shared" si="23"/>
        <v>#DIV/0!</v>
      </c>
      <c r="X45" s="1327" t="str">
        <f t="shared" si="2"/>
        <v>◎</v>
      </c>
      <c r="Y45" s="1456">
        <v>1870</v>
      </c>
      <c r="Z45" s="1439"/>
      <c r="AA45" s="855">
        <f>2-(Z45/Y45)</f>
        <v>2</v>
      </c>
      <c r="AB45" s="1150"/>
      <c r="AC45" s="855" t="e">
        <f t="shared" si="17"/>
        <v>#DIV/0!</v>
      </c>
      <c r="AD45" s="1164" t="str">
        <f t="shared" si="3"/>
        <v>◎</v>
      </c>
      <c r="AE45" s="932">
        <v>1594</v>
      </c>
      <c r="AF45" s="932"/>
      <c r="AG45" s="911">
        <f>2-(AF45/AE45)</f>
        <v>2</v>
      </c>
      <c r="AH45" s="1123"/>
      <c r="AI45" s="911" t="e">
        <f t="shared" si="101"/>
        <v>#DIV/0!</v>
      </c>
      <c r="AJ45" s="1124" t="str">
        <f t="shared" si="4"/>
        <v>◎</v>
      </c>
      <c r="AK45" s="932">
        <v>2688</v>
      </c>
      <c r="AL45" s="932"/>
      <c r="AM45" s="911">
        <f>2-(AL45/AK45)</f>
        <v>2</v>
      </c>
      <c r="AN45" s="1123"/>
      <c r="AO45" s="911" t="e">
        <f t="shared" si="102"/>
        <v>#DIV/0!</v>
      </c>
      <c r="AP45" s="913" t="str">
        <f t="shared" si="6"/>
        <v>◎</v>
      </c>
      <c r="AQ45" s="71">
        <f>(H45+N45+T45+Z45+AF45+AL45)/6</f>
        <v>272.16666666666669</v>
      </c>
      <c r="AR45" s="7">
        <f t="shared" si="111"/>
        <v>1.8281776094276094</v>
      </c>
      <c r="AS45" s="1102" t="str">
        <f t="shared" si="7"/>
        <v>◎</v>
      </c>
      <c r="AT45" s="7">
        <f t="shared" si="104"/>
        <v>0.17182239057239057</v>
      </c>
      <c r="AU45" s="33" t="str">
        <f t="shared" si="105"/>
        <v>××</v>
      </c>
      <c r="AV45" s="23"/>
      <c r="AW45" s="854"/>
      <c r="AX45" s="855" t="e">
        <f t="shared" si="112"/>
        <v>#DIV/0!</v>
      </c>
      <c r="AY45" s="856" t="e">
        <f t="shared" si="113"/>
        <v>#DIV/0!</v>
      </c>
    </row>
    <row r="46" spans="1:51" ht="14.25" customHeight="1" thickBot="1">
      <c r="A46" s="23"/>
      <c r="B46" s="834"/>
      <c r="C46" s="18"/>
      <c r="D46" s="19" t="s">
        <v>9</v>
      </c>
      <c r="E46" s="44">
        <f>9636+166</f>
        <v>9802</v>
      </c>
      <c r="F46" s="44">
        <f>9636+166</f>
        <v>9802</v>
      </c>
      <c r="G46" s="1250">
        <v>0</v>
      </c>
      <c r="H46" s="931">
        <v>7932</v>
      </c>
      <c r="I46" s="923" t="e">
        <f t="shared" si="82"/>
        <v>#DIV/0!</v>
      </c>
      <c r="J46" s="1244"/>
      <c r="K46" s="924" t="e">
        <f t="shared" si="12"/>
        <v>#DIV/0!</v>
      </c>
      <c r="L46" s="1115" t="e">
        <f t="shared" si="13"/>
        <v>#DIV/0!</v>
      </c>
      <c r="M46" s="1381">
        <v>9195</v>
      </c>
      <c r="N46" s="1361">
        <v>8710</v>
      </c>
      <c r="O46" s="1362">
        <f t="shared" si="100"/>
        <v>1.0527460576400216</v>
      </c>
      <c r="P46" s="1363"/>
      <c r="Q46" s="1364" t="e">
        <f t="shared" si="14"/>
        <v>#DIV/0!</v>
      </c>
      <c r="R46" s="1447" t="str">
        <f t="shared" si="15"/>
        <v>○</v>
      </c>
      <c r="S46" s="1338">
        <v>13020</v>
      </c>
      <c r="T46" s="931">
        <v>3857</v>
      </c>
      <c r="U46" s="923">
        <f t="shared" si="106"/>
        <v>1.7037634408602149</v>
      </c>
      <c r="V46" s="924"/>
      <c r="W46" s="923" t="e">
        <f t="shared" si="23"/>
        <v>#DIV/0!</v>
      </c>
      <c r="X46" s="1331" t="str">
        <f t="shared" si="2"/>
        <v>◎</v>
      </c>
      <c r="Y46" s="1457">
        <v>9475</v>
      </c>
      <c r="Z46" s="1440">
        <v>-1368</v>
      </c>
      <c r="AA46" s="869">
        <f t="shared" si="107"/>
        <v>2.1443799472295515</v>
      </c>
      <c r="AB46" s="1155"/>
      <c r="AC46" s="869" t="e">
        <f t="shared" si="17"/>
        <v>#DIV/0!</v>
      </c>
      <c r="AD46" s="1170" t="str">
        <f t="shared" si="3"/>
        <v>◎</v>
      </c>
      <c r="AE46" s="922">
        <v>7475</v>
      </c>
      <c r="AF46" s="922">
        <v>-1814</v>
      </c>
      <c r="AG46" s="923">
        <f t="shared" si="108"/>
        <v>2.2426755852842808</v>
      </c>
      <c r="AH46" s="1129"/>
      <c r="AI46" s="923" t="e">
        <f t="shared" si="101"/>
        <v>#DIV/0!</v>
      </c>
      <c r="AJ46" s="1130" t="str">
        <f t="shared" si="4"/>
        <v>◎</v>
      </c>
      <c r="AK46" s="922">
        <v>10600</v>
      </c>
      <c r="AL46" s="922">
        <v>1267</v>
      </c>
      <c r="AM46" s="923">
        <f t="shared" si="109"/>
        <v>1.8804716981132075</v>
      </c>
      <c r="AN46" s="1129"/>
      <c r="AO46" s="923" t="e">
        <f t="shared" si="102"/>
        <v>#DIV/0!</v>
      </c>
      <c r="AP46" s="925" t="str">
        <f t="shared" si="6"/>
        <v>◎</v>
      </c>
      <c r="AQ46" s="1388">
        <f t="shared" si="103"/>
        <v>3097.3333333333335</v>
      </c>
      <c r="AR46" s="8">
        <f t="shared" si="111"/>
        <v>1.6840100659729307</v>
      </c>
      <c r="AS46" s="1106" t="str">
        <f t="shared" si="7"/>
        <v>◎</v>
      </c>
      <c r="AT46" s="8">
        <f t="shared" si="104"/>
        <v>0.31598993402706932</v>
      </c>
      <c r="AU46" s="36" t="str">
        <f t="shared" si="105"/>
        <v>××</v>
      </c>
      <c r="AV46" s="23"/>
      <c r="AW46" s="1389"/>
      <c r="AX46" s="869" t="e">
        <f t="shared" ref="AX46:AX55" si="114">AQ46/AW46</f>
        <v>#DIV/0!</v>
      </c>
      <c r="AY46" s="870" t="e">
        <f t="shared" ref="AY46:AY55" si="115">VLOOKUP(AX46,$E$63:$G$67,2,TRUE)</f>
        <v>#DIV/0!</v>
      </c>
    </row>
    <row r="47" spans="1:51" ht="14.25" customHeight="1">
      <c r="A47" s="23"/>
      <c r="B47" s="1508" t="s">
        <v>269</v>
      </c>
      <c r="C47" s="14" t="s">
        <v>17</v>
      </c>
      <c r="D47" s="24"/>
      <c r="E47" s="40">
        <f>SUM(E48:E55)</f>
        <v>34153</v>
      </c>
      <c r="F47" s="40">
        <f>SUM(F48:F55)</f>
        <v>34153</v>
      </c>
      <c r="G47" s="1249">
        <f>SUM(G48:G55)</f>
        <v>53412.094027977197</v>
      </c>
      <c r="H47" s="902">
        <f>SUM(H48:H55)</f>
        <v>41861.869409999992</v>
      </c>
      <c r="I47" s="903">
        <f>H47/G47</f>
        <v>0.78375263452641997</v>
      </c>
      <c r="J47" s="1247"/>
      <c r="K47" s="904" t="e">
        <f t="shared" si="12"/>
        <v>#DIV/0!</v>
      </c>
      <c r="L47" s="1110" t="str">
        <f t="shared" ref="L47:L55" si="116">VLOOKUP(I47,$E$63:$G$67,2,TRUE)</f>
        <v>××</v>
      </c>
      <c r="M47" s="914">
        <f>SUM(M48:M55)</f>
        <v>31517.561012592596</v>
      </c>
      <c r="N47" s="902">
        <f>SUM(N48:N55)</f>
        <v>27780.135470000001</v>
      </c>
      <c r="O47" s="1349">
        <f>N47/M47</f>
        <v>0.88141767882675515</v>
      </c>
      <c r="P47" s="1365"/>
      <c r="Q47" s="1350" t="e">
        <f t="shared" si="14"/>
        <v>#DIV/0!</v>
      </c>
      <c r="R47" s="1390" t="str">
        <f t="shared" ref="R47:R55" si="117">VLOOKUP(O47,$E$63:$G$67,2,TRUE)</f>
        <v>××</v>
      </c>
      <c r="S47" s="1473">
        <f>SUM(S48:S55)+1</f>
        <v>21952.25949692593</v>
      </c>
      <c r="T47" s="902">
        <f>SUM(T48:T55)</f>
        <v>25489</v>
      </c>
      <c r="U47" s="903">
        <f>T47/S47</f>
        <v>1.1611105455258186</v>
      </c>
      <c r="V47" s="904"/>
      <c r="W47" s="903" t="e">
        <f t="shared" si="23"/>
        <v>#DIV/0!</v>
      </c>
      <c r="X47" s="1325" t="str">
        <f t="shared" ref="X47:X55" si="118">VLOOKUP(U47,$E$63:$G$67,2,TRUE)</f>
        <v>◎</v>
      </c>
      <c r="Y47" s="1458">
        <f>SUM(Y48:Y55)</f>
        <v>47037.805245925927</v>
      </c>
      <c r="Z47" s="1145">
        <f>SUM(Z48:Z55)</f>
        <v>44239</v>
      </c>
      <c r="AA47" s="849">
        <f>Z47/Y47</f>
        <v>0.94049881300173244</v>
      </c>
      <c r="AB47" s="1146"/>
      <c r="AC47" s="849" t="e">
        <f t="shared" si="17"/>
        <v>#DIV/0!</v>
      </c>
      <c r="AD47" s="1160" t="str">
        <f t="shared" ref="AD47:AD52" si="119">VLOOKUP(AA47,$E$63:$G$67,2,TRUE)</f>
        <v>×</v>
      </c>
      <c r="AE47" s="914">
        <f>SUM(AE48:AE55)</f>
        <v>54713.449885925926</v>
      </c>
      <c r="AF47" s="902">
        <f>SUM(AF48:AF55)</f>
        <v>54296</v>
      </c>
      <c r="AG47" s="903">
        <f>AF47/AE47</f>
        <v>0.99237025106630483</v>
      </c>
      <c r="AH47" s="1119"/>
      <c r="AI47" s="903" t="e">
        <f t="shared" si="101"/>
        <v>#DIV/0!</v>
      </c>
      <c r="AJ47" s="1110" t="str">
        <f t="shared" ref="AJ47:AJ52" si="120">VLOOKUP(AG47,$E$63:$G$67,2,TRUE)</f>
        <v>△</v>
      </c>
      <c r="AK47" s="914">
        <f>SUM(AK48:AK55)</f>
        <v>29055.407456925925</v>
      </c>
      <c r="AL47" s="902">
        <f>SUM(AL48:AL55)</f>
        <v>25583</v>
      </c>
      <c r="AM47" s="903">
        <f>2-(AL47/AK47)</f>
        <v>1.119509852411249</v>
      </c>
      <c r="AN47" s="1119"/>
      <c r="AO47" s="903" t="e">
        <f t="shared" si="102"/>
        <v>#DIV/0!</v>
      </c>
      <c r="AP47" s="905" t="str">
        <f t="shared" ref="AP47:AP55" si="121">VLOOKUP(AM47,$E$63:$G$67,2,TRUE)</f>
        <v>◎</v>
      </c>
      <c r="AQ47" s="76">
        <f t="shared" si="103"/>
        <v>36541.500813333332</v>
      </c>
      <c r="AR47" s="5">
        <f>AQ47/E47</f>
        <v>1.0699353150040503</v>
      </c>
      <c r="AS47" s="1100" t="str">
        <f t="shared" si="7"/>
        <v>○</v>
      </c>
      <c r="AT47" s="5">
        <f t="shared" si="104"/>
        <v>1.0699353150040503</v>
      </c>
      <c r="AU47" s="31" t="str">
        <f t="shared" si="105"/>
        <v>○</v>
      </c>
      <c r="AV47" s="23"/>
      <c r="AW47" s="867"/>
      <c r="AX47" s="849" t="e">
        <f t="shared" si="114"/>
        <v>#DIV/0!</v>
      </c>
      <c r="AY47" s="850" t="e">
        <f t="shared" si="115"/>
        <v>#DIV/0!</v>
      </c>
    </row>
    <row r="48" spans="1:51" ht="14.25" customHeight="1">
      <c r="A48" s="23"/>
      <c r="B48" s="1508"/>
      <c r="C48" s="14"/>
      <c r="D48" s="15" t="s">
        <v>0</v>
      </c>
      <c r="E48" s="41">
        <v>4315</v>
      </c>
      <c r="F48" s="41">
        <v>4315</v>
      </c>
      <c r="G48" s="1239">
        <v>5753.0599999999995</v>
      </c>
      <c r="H48" s="928">
        <v>5558.0190999999995</v>
      </c>
      <c r="I48" s="907">
        <f>H48/G48</f>
        <v>0.96609788529930163</v>
      </c>
      <c r="J48" s="1240"/>
      <c r="K48" s="908" t="e">
        <f t="shared" si="12"/>
        <v>#DIV/0!</v>
      </c>
      <c r="L48" s="1111" t="str">
        <f t="shared" si="116"/>
        <v>△</v>
      </c>
      <c r="M48" s="1378">
        <v>5793.2467999999999</v>
      </c>
      <c r="N48" s="1351">
        <v>5662.5939600000002</v>
      </c>
      <c r="O48" s="1352">
        <f>N48/M48</f>
        <v>0.9774473892601987</v>
      </c>
      <c r="P48" s="1353"/>
      <c r="Q48" s="1354" t="e">
        <f t="shared" si="14"/>
        <v>#DIV/0!</v>
      </c>
      <c r="R48" s="1445" t="str">
        <f t="shared" si="117"/>
        <v>△</v>
      </c>
      <c r="S48" s="1336">
        <v>3182.5161599999992</v>
      </c>
      <c r="T48" s="928">
        <v>3210</v>
      </c>
      <c r="U48" s="907">
        <f>T48/S48</f>
        <v>1.0086358838787486</v>
      </c>
      <c r="V48" s="908"/>
      <c r="W48" s="907" t="e">
        <f t="shared" si="23"/>
        <v>#DIV/0!</v>
      </c>
      <c r="X48" s="1326" t="str">
        <f t="shared" si="118"/>
        <v>○</v>
      </c>
      <c r="Y48" s="1161">
        <v>5351.9508800000012</v>
      </c>
      <c r="Z48" s="1437">
        <v>4735</v>
      </c>
      <c r="AA48" s="852">
        <f>Z48/Y48</f>
        <v>0.88472411391040251</v>
      </c>
      <c r="AB48" s="1148"/>
      <c r="AC48" s="852" t="e">
        <f t="shared" si="17"/>
        <v>#DIV/0!</v>
      </c>
      <c r="AD48" s="1162" t="str">
        <f t="shared" si="119"/>
        <v>××</v>
      </c>
      <c r="AE48" s="906">
        <v>4533.1538799999998</v>
      </c>
      <c r="AF48" s="906">
        <v>4163</v>
      </c>
      <c r="AG48" s="907">
        <f>AF48/AE48</f>
        <v>0.91834517649332481</v>
      </c>
      <c r="AH48" s="1121"/>
      <c r="AI48" s="907" t="e">
        <f t="shared" si="101"/>
        <v>#DIV/0!</v>
      </c>
      <c r="AJ48" s="1122" t="str">
        <f t="shared" si="120"/>
        <v>×</v>
      </c>
      <c r="AK48" s="906">
        <v>-1347.1856000000007</v>
      </c>
      <c r="AL48" s="906">
        <v>-1090</v>
      </c>
      <c r="AM48" s="907">
        <f>2-(AL48/AK48)</f>
        <v>1.190905841036306</v>
      </c>
      <c r="AN48" s="1121"/>
      <c r="AO48" s="907" t="e">
        <f t="shared" si="102"/>
        <v>#DIV/0!</v>
      </c>
      <c r="AP48" s="909" t="str">
        <f t="shared" si="121"/>
        <v>◎</v>
      </c>
      <c r="AQ48" s="70">
        <f>(H48+N48+T48+Z48+AF48+AL48)/6</f>
        <v>3706.4355099999998</v>
      </c>
      <c r="AR48" s="7">
        <f>AQ48/E48</f>
        <v>0.85896535573580524</v>
      </c>
      <c r="AS48" s="1102" t="str">
        <f t="shared" ref="AS48:AS55" si="122">VLOOKUP(AR48,$E$63:$G$67,2,TRUE)</f>
        <v>××</v>
      </c>
      <c r="AT48" s="7">
        <f t="shared" si="104"/>
        <v>0.85896535573580524</v>
      </c>
      <c r="AU48" s="33" t="str">
        <f t="shared" si="105"/>
        <v>××</v>
      </c>
      <c r="AV48" s="23"/>
      <c r="AW48" s="851"/>
      <c r="AX48" s="855" t="e">
        <f t="shared" si="114"/>
        <v>#DIV/0!</v>
      </c>
      <c r="AY48" s="856" t="e">
        <f t="shared" si="115"/>
        <v>#DIV/0!</v>
      </c>
    </row>
    <row r="49" spans="1:51" ht="14.25" customHeight="1">
      <c r="A49" s="23"/>
      <c r="B49" s="1508"/>
      <c r="C49" s="14"/>
      <c r="D49" s="16" t="s">
        <v>1</v>
      </c>
      <c r="E49" s="42">
        <v>25980</v>
      </c>
      <c r="F49" s="42">
        <v>25980</v>
      </c>
      <c r="G49" s="1241">
        <v>40208.199999999997</v>
      </c>
      <c r="H49" s="910">
        <v>27959.011039999998</v>
      </c>
      <c r="I49" s="911">
        <f>H49/G49</f>
        <v>0.69535594828915492</v>
      </c>
      <c r="J49" s="1242"/>
      <c r="K49" s="912" t="e">
        <f t="shared" si="12"/>
        <v>#DIV/0!</v>
      </c>
      <c r="L49" s="1112" t="str">
        <f t="shared" si="116"/>
        <v>××</v>
      </c>
      <c r="M49" s="1379">
        <v>14852.5378</v>
      </c>
      <c r="N49" s="1366">
        <v>16091.305489999999</v>
      </c>
      <c r="O49" s="1356">
        <f>N49/M49</f>
        <v>1.0834044462085126</v>
      </c>
      <c r="P49" s="1357"/>
      <c r="Q49" s="1358" t="e">
        <f t="shared" si="14"/>
        <v>#DIV/0!</v>
      </c>
      <c r="R49" s="1446" t="str">
        <f t="shared" si="117"/>
        <v>○</v>
      </c>
      <c r="S49" s="1337">
        <v>24030.91491</v>
      </c>
      <c r="T49" s="910">
        <v>22954</v>
      </c>
      <c r="U49" s="911">
        <f>T49/S49</f>
        <v>0.95518627093336916</v>
      </c>
      <c r="V49" s="912"/>
      <c r="W49" s="911" t="e">
        <f t="shared" si="23"/>
        <v>#DIV/0!</v>
      </c>
      <c r="X49" s="1327" t="str">
        <f t="shared" si="118"/>
        <v>△</v>
      </c>
      <c r="Y49" s="1163">
        <v>33569.710500000001</v>
      </c>
      <c r="Z49" s="1149">
        <v>32553</v>
      </c>
      <c r="AA49" s="855">
        <f>Z49/Y49</f>
        <v>0.96971345642078144</v>
      </c>
      <c r="AB49" s="1150"/>
      <c r="AC49" s="855" t="e">
        <f t="shared" si="17"/>
        <v>#DIV/0!</v>
      </c>
      <c r="AD49" s="1164" t="str">
        <f t="shared" si="119"/>
        <v>△</v>
      </c>
      <c r="AE49" s="910">
        <v>34171.383099999999</v>
      </c>
      <c r="AF49" s="910">
        <v>33679</v>
      </c>
      <c r="AG49" s="911">
        <f>AF49/AE49</f>
        <v>0.98559077639441528</v>
      </c>
      <c r="AH49" s="1123"/>
      <c r="AI49" s="911" t="e">
        <f t="shared" si="101"/>
        <v>#DIV/0!</v>
      </c>
      <c r="AJ49" s="1124" t="str">
        <f t="shared" si="120"/>
        <v>△</v>
      </c>
      <c r="AK49" s="910">
        <v>20449.398800000003</v>
      </c>
      <c r="AL49" s="910">
        <v>20271</v>
      </c>
      <c r="AM49" s="911">
        <f>AL49/AK49</f>
        <v>0.99127608582800963</v>
      </c>
      <c r="AN49" s="1123"/>
      <c r="AO49" s="911" t="e">
        <f t="shared" si="102"/>
        <v>#DIV/0!</v>
      </c>
      <c r="AP49" s="913" t="str">
        <f t="shared" si="121"/>
        <v>△</v>
      </c>
      <c r="AQ49" s="71">
        <f t="shared" si="103"/>
        <v>25584.552755000001</v>
      </c>
      <c r="AR49" s="7">
        <f>AQ49/E49</f>
        <v>0.98477878194765212</v>
      </c>
      <c r="AS49" s="1102" t="str">
        <f t="shared" si="122"/>
        <v>△</v>
      </c>
      <c r="AT49" s="7">
        <f t="shared" si="104"/>
        <v>0.98477878194765212</v>
      </c>
      <c r="AU49" s="33" t="str">
        <f t="shared" si="105"/>
        <v>△</v>
      </c>
      <c r="AV49" s="23"/>
      <c r="AW49" s="854"/>
      <c r="AX49" s="855" t="e">
        <f t="shared" si="114"/>
        <v>#DIV/0!</v>
      </c>
      <c r="AY49" s="856" t="e">
        <f t="shared" si="115"/>
        <v>#DIV/0!</v>
      </c>
    </row>
    <row r="50" spans="1:51" ht="14.25" customHeight="1">
      <c r="A50" s="23"/>
      <c r="B50" s="1508"/>
      <c r="C50" s="14"/>
      <c r="D50" s="16" t="s">
        <v>2</v>
      </c>
      <c r="E50" s="42">
        <v>9828</v>
      </c>
      <c r="F50" s="42">
        <v>9828</v>
      </c>
      <c r="G50" s="1241">
        <v>8196.7556153846162</v>
      </c>
      <c r="H50" s="910">
        <v>7635.4805799999995</v>
      </c>
      <c r="I50" s="911">
        <f>(H50/G50)</f>
        <v>0.93152473225733956</v>
      </c>
      <c r="J50" s="1242"/>
      <c r="K50" s="912" t="e">
        <f t="shared" si="12"/>
        <v>#DIV/0!</v>
      </c>
      <c r="L50" s="1112" t="str">
        <f t="shared" si="116"/>
        <v>×</v>
      </c>
      <c r="M50" s="1379">
        <v>11712.733</v>
      </c>
      <c r="N50" s="1366">
        <v>6463.6268199999995</v>
      </c>
      <c r="O50" s="1356">
        <f>N50/M50</f>
        <v>0.5518461677560651</v>
      </c>
      <c r="P50" s="1357"/>
      <c r="Q50" s="1358" t="e">
        <f t="shared" si="14"/>
        <v>#DIV/0!</v>
      </c>
      <c r="R50" s="1446" t="str">
        <f t="shared" si="117"/>
        <v>××</v>
      </c>
      <c r="S50" s="1337">
        <v>540.52403000000049</v>
      </c>
      <c r="T50" s="910">
        <v>5451</v>
      </c>
      <c r="U50" s="911">
        <f>(T50/S50)</f>
        <v>10.084658030837213</v>
      </c>
      <c r="V50" s="912"/>
      <c r="W50" s="911" t="e">
        <f t="shared" si="23"/>
        <v>#DIV/0!</v>
      </c>
      <c r="X50" s="1327" t="str">
        <f t="shared" si="118"/>
        <v>◎</v>
      </c>
      <c r="Y50" s="1163">
        <v>9739.4013200000009</v>
      </c>
      <c r="Z50" s="1149">
        <v>6794</v>
      </c>
      <c r="AA50" s="855">
        <f>Z50/Y50</f>
        <v>0.69757881175390346</v>
      </c>
      <c r="AB50" s="1150"/>
      <c r="AC50" s="855" t="e">
        <f t="shared" si="17"/>
        <v>#DIV/0!</v>
      </c>
      <c r="AD50" s="1164" t="str">
        <f t="shared" si="119"/>
        <v>××</v>
      </c>
      <c r="AE50" s="910">
        <v>14841.298360000001</v>
      </c>
      <c r="AF50" s="910">
        <v>15089</v>
      </c>
      <c r="AG50" s="911">
        <f>AF50/AE50</f>
        <v>1.0166900249554716</v>
      </c>
      <c r="AH50" s="1123"/>
      <c r="AI50" s="911" t="e">
        <f t="shared" si="101"/>
        <v>#DIV/0!</v>
      </c>
      <c r="AJ50" s="1124" t="str">
        <f t="shared" si="120"/>
        <v>○</v>
      </c>
      <c r="AK50" s="910">
        <v>12585.186669999999</v>
      </c>
      <c r="AL50" s="910">
        <v>8718</v>
      </c>
      <c r="AM50" s="911">
        <f>2-(AL50/AK50)</f>
        <v>1.3072808351121581</v>
      </c>
      <c r="AN50" s="1123"/>
      <c r="AO50" s="911" t="e">
        <f t="shared" si="102"/>
        <v>#DIV/0!</v>
      </c>
      <c r="AP50" s="913" t="str">
        <f t="shared" si="121"/>
        <v>◎</v>
      </c>
      <c r="AQ50" s="71">
        <f t="shared" si="103"/>
        <v>8358.5179000000007</v>
      </c>
      <c r="AR50" s="7">
        <f>AQ50/E50</f>
        <v>0.85048004680504685</v>
      </c>
      <c r="AS50" s="1102" t="str">
        <f t="shared" si="122"/>
        <v>××</v>
      </c>
      <c r="AT50" s="7">
        <f t="shared" si="104"/>
        <v>0.85048004680504685</v>
      </c>
      <c r="AU50" s="33" t="str">
        <f t="shared" si="105"/>
        <v>××</v>
      </c>
      <c r="AV50" s="23"/>
      <c r="AW50" s="854"/>
      <c r="AX50" s="855" t="e">
        <f t="shared" si="114"/>
        <v>#DIV/0!</v>
      </c>
      <c r="AY50" s="856" t="e">
        <f t="shared" si="115"/>
        <v>#DIV/0!</v>
      </c>
    </row>
    <row r="51" spans="1:51" ht="14.25" customHeight="1">
      <c r="A51" s="23"/>
      <c r="B51" s="1508"/>
      <c r="C51" s="14"/>
      <c r="D51" s="16" t="s">
        <v>3</v>
      </c>
      <c r="E51" s="42">
        <v>-138</v>
      </c>
      <c r="F51" s="42">
        <v>-138</v>
      </c>
      <c r="G51" s="1241">
        <v>-192.17200000000003</v>
      </c>
      <c r="H51" s="910">
        <v>-216.95489000000003</v>
      </c>
      <c r="I51" s="911">
        <f>2-(H51/G51)</f>
        <v>0.87103797639614511</v>
      </c>
      <c r="J51" s="1242"/>
      <c r="K51" s="912" t="e">
        <f t="shared" si="12"/>
        <v>#DIV/0!</v>
      </c>
      <c r="L51" s="1112" t="str">
        <f t="shared" si="116"/>
        <v>××</v>
      </c>
      <c r="M51" s="1379">
        <v>-262.65999999999997</v>
      </c>
      <c r="N51" s="1366">
        <v>-116.09884999999997</v>
      </c>
      <c r="O51" s="1356">
        <f>2-(N51/M51)</f>
        <v>1.5579880834538948</v>
      </c>
      <c r="P51" s="1357"/>
      <c r="Q51" s="1358" t="e">
        <f t="shared" si="14"/>
        <v>#DIV/0!</v>
      </c>
      <c r="R51" s="1446" t="str">
        <f t="shared" si="117"/>
        <v>◎</v>
      </c>
      <c r="S51" s="1337">
        <v>-164</v>
      </c>
      <c r="T51" s="910">
        <v>-715</v>
      </c>
      <c r="U51" s="911">
        <f>2-(T51/S51)</f>
        <v>-2.3597560975609753</v>
      </c>
      <c r="V51" s="912"/>
      <c r="W51" s="911" t="e">
        <f t="shared" si="23"/>
        <v>#DIV/0!</v>
      </c>
      <c r="X51" s="1327" t="e">
        <f t="shared" si="118"/>
        <v>#N/A</v>
      </c>
      <c r="Y51" s="1163">
        <v>-128</v>
      </c>
      <c r="Z51" s="1149">
        <v>-444</v>
      </c>
      <c r="AA51" s="855">
        <f>2-(Z51/Y51)</f>
        <v>-1.46875</v>
      </c>
      <c r="AB51" s="1150"/>
      <c r="AC51" s="855" t="e">
        <f t="shared" si="17"/>
        <v>#DIV/0!</v>
      </c>
      <c r="AD51" s="1164" t="e">
        <f t="shared" si="119"/>
        <v>#N/A</v>
      </c>
      <c r="AE51" s="910">
        <v>-164</v>
      </c>
      <c r="AF51" s="910">
        <v>-193</v>
      </c>
      <c r="AG51" s="911">
        <f>2-(AF51/AE51)</f>
        <v>0.82317073170731714</v>
      </c>
      <c r="AH51" s="1123"/>
      <c r="AI51" s="911" t="e">
        <f t="shared" si="101"/>
        <v>#DIV/0!</v>
      </c>
      <c r="AJ51" s="1124" t="str">
        <f t="shared" si="120"/>
        <v>××</v>
      </c>
      <c r="AK51" s="910">
        <v>460</v>
      </c>
      <c r="AL51" s="910">
        <v>419</v>
      </c>
      <c r="AM51" s="911">
        <f>2-(AL51/AK51)</f>
        <v>1.0891304347826087</v>
      </c>
      <c r="AN51" s="1123"/>
      <c r="AO51" s="911" t="e">
        <f t="shared" si="102"/>
        <v>#DIV/0!</v>
      </c>
      <c r="AP51" s="913" t="str">
        <f t="shared" si="121"/>
        <v>○</v>
      </c>
      <c r="AQ51" s="71">
        <f t="shared" si="103"/>
        <v>-211.00895666666668</v>
      </c>
      <c r="AR51" s="7">
        <f>2-(AQ51/E51)</f>
        <v>0.47094958937198061</v>
      </c>
      <c r="AS51" s="1102" t="str">
        <f t="shared" si="122"/>
        <v>××</v>
      </c>
      <c r="AT51" s="7">
        <f t="shared" si="104"/>
        <v>1.5290504106280194</v>
      </c>
      <c r="AU51" s="33" t="str">
        <f t="shared" si="105"/>
        <v>◎</v>
      </c>
      <c r="AV51" s="23"/>
      <c r="AW51" s="854"/>
      <c r="AX51" s="855" t="e">
        <f t="shared" si="114"/>
        <v>#DIV/0!</v>
      </c>
      <c r="AY51" s="856" t="e">
        <f t="shared" si="115"/>
        <v>#DIV/0!</v>
      </c>
    </row>
    <row r="52" spans="1:51" ht="14.25" customHeight="1">
      <c r="A52" s="23"/>
      <c r="B52" s="1508"/>
      <c r="C52" s="14"/>
      <c r="D52" s="51" t="s">
        <v>119</v>
      </c>
      <c r="E52" s="61">
        <v>-463</v>
      </c>
      <c r="F52" s="61">
        <v>-463</v>
      </c>
      <c r="G52" s="1260">
        <v>8</v>
      </c>
      <c r="H52" s="932">
        <v>15.47905999999989</v>
      </c>
      <c r="I52" s="926">
        <f>(H52/G52)</f>
        <v>1.9348824999999863</v>
      </c>
      <c r="J52" s="1259"/>
      <c r="K52" s="927" t="e">
        <f t="shared" si="12"/>
        <v>#DIV/0!</v>
      </c>
      <c r="L52" s="1116" t="str">
        <f t="shared" si="116"/>
        <v>◎</v>
      </c>
      <c r="M52" s="1380">
        <v>-192</v>
      </c>
      <c r="N52" s="1367">
        <v>-398.99609999999984</v>
      </c>
      <c r="O52" s="1368">
        <f>N52/M52</f>
        <v>2.0781046874999993</v>
      </c>
      <c r="P52" s="1360"/>
      <c r="Q52" s="1369" t="e">
        <f t="shared" si="14"/>
        <v>#DIV/0!</v>
      </c>
      <c r="R52" s="1448" t="str">
        <f t="shared" si="117"/>
        <v>◎</v>
      </c>
      <c r="S52" s="1472">
        <v>-687.90773999999965</v>
      </c>
      <c r="T52" s="932">
        <v>-895</v>
      </c>
      <c r="U52" s="926">
        <f>2-(T52/S52)</f>
        <v>0.6989534381456437</v>
      </c>
      <c r="V52" s="927"/>
      <c r="W52" s="926" t="e">
        <f t="shared" si="23"/>
        <v>#DIV/0!</v>
      </c>
      <c r="X52" s="1332" t="str">
        <f t="shared" si="118"/>
        <v>××</v>
      </c>
      <c r="Y52" s="1456">
        <v>-687.39616000000024</v>
      </c>
      <c r="Z52" s="1441">
        <v>-343</v>
      </c>
      <c r="AA52" s="875">
        <f>(Z52/Y52)</f>
        <v>0.49898445752155479</v>
      </c>
      <c r="AB52" s="1156"/>
      <c r="AC52" s="875" t="e">
        <f t="shared" si="17"/>
        <v>#DIV/0!</v>
      </c>
      <c r="AD52" s="1171" t="str">
        <f t="shared" si="119"/>
        <v>××</v>
      </c>
      <c r="AE52" s="932">
        <v>-50.051600000000008</v>
      </c>
      <c r="AF52" s="932">
        <v>-17</v>
      </c>
      <c r="AG52" s="926">
        <f>(AF52/AE52)</f>
        <v>0.3396494817348496</v>
      </c>
      <c r="AH52" s="1131"/>
      <c r="AI52" s="926" t="e">
        <f t="shared" si="101"/>
        <v>#DIV/0!</v>
      </c>
      <c r="AJ52" s="1132" t="str">
        <f t="shared" si="120"/>
        <v>××</v>
      </c>
      <c r="AK52" s="932">
        <v>-1091.0138999999999</v>
      </c>
      <c r="AL52" s="932">
        <v>-1033</v>
      </c>
      <c r="AM52" s="926">
        <f>2-(AL52/AK52)</f>
        <v>1.053174299612498</v>
      </c>
      <c r="AN52" s="1131"/>
      <c r="AO52" s="926" t="e">
        <f t="shared" si="102"/>
        <v>#DIV/0!</v>
      </c>
      <c r="AP52" s="933" t="str">
        <f t="shared" si="121"/>
        <v>○</v>
      </c>
      <c r="AQ52" s="82">
        <f t="shared" si="103"/>
        <v>-445.25283999999994</v>
      </c>
      <c r="AR52" s="7">
        <f>2-(AQ52/E52)</f>
        <v>1.0383307991360693</v>
      </c>
      <c r="AS52" s="1107" t="str">
        <f t="shared" si="122"/>
        <v>○</v>
      </c>
      <c r="AT52" s="7">
        <f t="shared" si="104"/>
        <v>0.96166920086393071</v>
      </c>
      <c r="AU52" s="50" t="str">
        <f t="shared" si="105"/>
        <v>△</v>
      </c>
      <c r="AV52" s="23"/>
      <c r="AW52" s="877"/>
      <c r="AX52" s="855" t="e">
        <f t="shared" si="114"/>
        <v>#DIV/0!</v>
      </c>
      <c r="AY52" s="876" t="e">
        <f t="shared" si="115"/>
        <v>#DIV/0!</v>
      </c>
    </row>
    <row r="53" spans="1:51" ht="14.25" customHeight="1">
      <c r="A53" s="23"/>
      <c r="B53" s="1508"/>
      <c r="C53" s="13"/>
      <c r="D53" s="16" t="s">
        <v>118</v>
      </c>
      <c r="E53" s="42">
        <v>0</v>
      </c>
      <c r="F53" s="42">
        <v>0</v>
      </c>
      <c r="G53" s="1241">
        <v>-294.39999999999998</v>
      </c>
      <c r="H53" s="910">
        <v>-278.68288999999999</v>
      </c>
      <c r="I53" s="911">
        <f>2-(H53/G53)</f>
        <v>1.0533869225543477</v>
      </c>
      <c r="J53" s="910"/>
      <c r="K53" s="912" t="e">
        <f t="shared" si="12"/>
        <v>#DIV/0!</v>
      </c>
      <c r="L53" s="1112" t="str">
        <f t="shared" si="116"/>
        <v>○</v>
      </c>
      <c r="M53" s="1379">
        <v>-321.39999999999998</v>
      </c>
      <c r="N53" s="1366">
        <v>-342.63360999999998</v>
      </c>
      <c r="O53" s="1356">
        <f>2-(N53/M53)</f>
        <v>0.93393400746733035</v>
      </c>
      <c r="P53" s="1366"/>
      <c r="Q53" s="1358" t="e">
        <f t="shared" si="14"/>
        <v>#DIV/0!</v>
      </c>
      <c r="R53" s="1446" t="str">
        <f t="shared" si="117"/>
        <v>×</v>
      </c>
      <c r="S53" s="1337">
        <v>0</v>
      </c>
      <c r="T53" s="910">
        <v>-659</v>
      </c>
      <c r="U53" s="911" t="e">
        <f>2-(T53/S53)</f>
        <v>#DIV/0!</v>
      </c>
      <c r="V53" s="912"/>
      <c r="W53" s="911" t="e">
        <f t="shared" si="23"/>
        <v>#DIV/0!</v>
      </c>
      <c r="X53" s="1327" t="e">
        <f t="shared" si="118"/>
        <v>#DIV/0!</v>
      </c>
      <c r="Y53" s="1163">
        <v>0</v>
      </c>
      <c r="Z53" s="1149">
        <v>-424</v>
      </c>
      <c r="AA53" s="855" t="e">
        <f>(Z53/Y53)</f>
        <v>#DIV/0!</v>
      </c>
      <c r="AB53" s="1150"/>
      <c r="AC53" s="855" t="e">
        <f t="shared" si="17"/>
        <v>#DIV/0!</v>
      </c>
      <c r="AD53" s="1164" t="e">
        <f>VLOOKUP(AA53,$E$63:$G$67,2,TRUE)</f>
        <v>#DIV/0!</v>
      </c>
      <c r="AE53" s="910">
        <v>0</v>
      </c>
      <c r="AF53" s="910">
        <v>-239</v>
      </c>
      <c r="AG53" s="911" t="e">
        <f>(AF53/AE53)</f>
        <v>#DIV/0!</v>
      </c>
      <c r="AH53" s="1123"/>
      <c r="AI53" s="911" t="e">
        <f t="shared" si="101"/>
        <v>#DIV/0!</v>
      </c>
      <c r="AJ53" s="1124" t="e">
        <f>VLOOKUP(AG53,$E$63:$G$67,2,TRUE)</f>
        <v>#DIV/0!</v>
      </c>
      <c r="AK53" s="910">
        <v>0</v>
      </c>
      <c r="AL53" s="910">
        <v>-435</v>
      </c>
      <c r="AM53" s="911" t="e">
        <f>2-(AL53/AK53)</f>
        <v>#DIV/0!</v>
      </c>
      <c r="AN53" s="1123"/>
      <c r="AO53" s="911" t="e">
        <f t="shared" si="102"/>
        <v>#DIV/0!</v>
      </c>
      <c r="AP53" s="913" t="e">
        <f t="shared" si="121"/>
        <v>#DIV/0!</v>
      </c>
      <c r="AQ53" s="72">
        <f t="shared" si="103"/>
        <v>-396.38608333333332</v>
      </c>
      <c r="AR53" s="7" t="e">
        <f>2-(AQ53/E53)</f>
        <v>#DIV/0!</v>
      </c>
      <c r="AS53" s="1102" t="e">
        <f t="shared" si="122"/>
        <v>#DIV/0!</v>
      </c>
      <c r="AT53" s="7" t="e">
        <f t="shared" si="104"/>
        <v>#DIV/0!</v>
      </c>
      <c r="AU53" s="33" t="e">
        <f t="shared" si="105"/>
        <v>#DIV/0!</v>
      </c>
      <c r="AV53" s="23"/>
      <c r="AW53" s="857"/>
      <c r="AX53" s="855" t="e">
        <f t="shared" si="114"/>
        <v>#DIV/0!</v>
      </c>
      <c r="AY53" s="856" t="e">
        <f t="shared" si="115"/>
        <v>#DIV/0!</v>
      </c>
    </row>
    <row r="54" spans="1:51" ht="14.25" hidden="1" customHeight="1">
      <c r="A54" s="23"/>
      <c r="B54" s="1508"/>
      <c r="C54" s="14"/>
      <c r="D54" s="64" t="s">
        <v>122</v>
      </c>
      <c r="E54" s="65"/>
      <c r="F54" s="65"/>
      <c r="G54" s="1261"/>
      <c r="H54" s="934"/>
      <c r="I54" s="935" t="e">
        <f>(H54/G54)</f>
        <v>#DIV/0!</v>
      </c>
      <c r="J54" s="1242"/>
      <c r="K54" s="936" t="e">
        <f t="shared" si="12"/>
        <v>#DIV/0!</v>
      </c>
      <c r="L54" s="1117" t="e">
        <f t="shared" si="116"/>
        <v>#DIV/0!</v>
      </c>
      <c r="M54" s="1382"/>
      <c r="N54" s="1370"/>
      <c r="O54" s="1371" t="e">
        <f>N54/M54</f>
        <v>#DIV/0!</v>
      </c>
      <c r="P54" s="1357"/>
      <c r="Q54" s="1372" t="e">
        <f t="shared" si="14"/>
        <v>#DIV/0!</v>
      </c>
      <c r="R54" s="1449" t="e">
        <f t="shared" si="117"/>
        <v>#DIV/0!</v>
      </c>
      <c r="S54" s="1474"/>
      <c r="T54" s="934"/>
      <c r="U54" s="935" t="e">
        <f>T54/S54</f>
        <v>#DIV/0!</v>
      </c>
      <c r="V54" s="936"/>
      <c r="W54" s="935" t="e">
        <f t="shared" si="23"/>
        <v>#DIV/0!</v>
      </c>
      <c r="X54" s="1470" t="e">
        <f t="shared" si="118"/>
        <v>#DIV/0!</v>
      </c>
      <c r="Y54" s="1459"/>
      <c r="Z54" s="1442"/>
      <c r="AA54" s="879" t="e">
        <f>(Z54/Y54)</f>
        <v>#DIV/0!</v>
      </c>
      <c r="AB54" s="1443"/>
      <c r="AC54" s="879" t="e">
        <f t="shared" si="17"/>
        <v>#DIV/0!</v>
      </c>
      <c r="AD54" s="1460" t="e">
        <f>VLOOKUP(AA54,$E$63:$G$67,2,TRUE)</f>
        <v>#DIV/0!</v>
      </c>
      <c r="AE54" s="934"/>
      <c r="AF54" s="934"/>
      <c r="AG54" s="935" t="e">
        <f>(AF54/AE54)</f>
        <v>#DIV/0!</v>
      </c>
      <c r="AH54" s="1133"/>
      <c r="AI54" s="935" t="e">
        <f t="shared" si="101"/>
        <v>#DIV/0!</v>
      </c>
      <c r="AJ54" s="1134" t="e">
        <f>VLOOKUP(AG54,$E$63:$G$67,2,TRUE)</f>
        <v>#DIV/0!</v>
      </c>
      <c r="AK54" s="934"/>
      <c r="AL54" s="934"/>
      <c r="AM54" s="935" t="e">
        <f>(AL54/AK54)</f>
        <v>#DIV/0!</v>
      </c>
      <c r="AN54" s="1133"/>
      <c r="AO54" s="935" t="e">
        <f t="shared" si="102"/>
        <v>#DIV/0!</v>
      </c>
      <c r="AP54" s="937" t="e">
        <f t="shared" si="121"/>
        <v>#DIV/0!</v>
      </c>
      <c r="AQ54" s="83">
        <f t="shared" si="103"/>
        <v>0</v>
      </c>
      <c r="AR54" s="66" t="e">
        <f>2-AQ54/E54</f>
        <v>#DIV/0!</v>
      </c>
      <c r="AS54" s="1108" t="e">
        <f t="shared" si="122"/>
        <v>#DIV/0!</v>
      </c>
      <c r="AT54" s="66" t="e">
        <f t="shared" si="104"/>
        <v>#DIV/0!</v>
      </c>
      <c r="AU54" s="67" t="e">
        <f t="shared" si="105"/>
        <v>#DIV/0!</v>
      </c>
      <c r="AV54" s="23"/>
      <c r="AW54" s="878"/>
      <c r="AX54" s="879" t="e">
        <f t="shared" si="114"/>
        <v>#DIV/0!</v>
      </c>
      <c r="AY54" s="880" t="e">
        <f t="shared" si="115"/>
        <v>#DIV/0!</v>
      </c>
    </row>
    <row r="55" spans="1:51" ht="14.25" customHeight="1" thickBot="1">
      <c r="A55" s="23"/>
      <c r="B55" s="1509"/>
      <c r="C55" s="18"/>
      <c r="D55" s="18" t="s">
        <v>121</v>
      </c>
      <c r="E55" s="62">
        <v>-5369</v>
      </c>
      <c r="F55" s="62">
        <v>-5369</v>
      </c>
      <c r="G55" s="1263">
        <v>-267.34958740741422</v>
      </c>
      <c r="H55" s="1264">
        <v>1189.5174099999992</v>
      </c>
      <c r="I55" s="1265">
        <f>(H55/G55)</f>
        <v>-4.4492958509312857</v>
      </c>
      <c r="J55" s="1266"/>
      <c r="K55" s="1267" t="e">
        <f t="shared" si="12"/>
        <v>#DIV/0!</v>
      </c>
      <c r="L55" s="1268" t="e">
        <f t="shared" si="116"/>
        <v>#N/A</v>
      </c>
      <c r="M55" s="1383">
        <v>-64.896587407401967</v>
      </c>
      <c r="N55" s="1384">
        <v>420.33776000000444</v>
      </c>
      <c r="O55" s="1385">
        <f>N55/M55</f>
        <v>-6.4770394991842295</v>
      </c>
      <c r="P55" s="1386"/>
      <c r="Q55" s="1387" t="e">
        <f t="shared" si="14"/>
        <v>#DIV/0!</v>
      </c>
      <c r="R55" s="1450" t="e">
        <f t="shared" si="117"/>
        <v>#N/A</v>
      </c>
      <c r="S55" s="1475">
        <v>-4950.7878630740688</v>
      </c>
      <c r="T55" s="1264">
        <v>-3857</v>
      </c>
      <c r="U55" s="1265">
        <f>T55/S55</f>
        <v>0.77906791942506937</v>
      </c>
      <c r="V55" s="1267"/>
      <c r="W55" s="1265" t="e">
        <f t="shared" si="23"/>
        <v>#DIV/0!</v>
      </c>
      <c r="X55" s="1476" t="str">
        <f t="shared" si="118"/>
        <v>××</v>
      </c>
      <c r="Y55" s="1461">
        <v>-807.86129407407952</v>
      </c>
      <c r="Z55" s="1462">
        <v>1368</v>
      </c>
      <c r="AA55" s="1463">
        <f>(Z55/Y55)</f>
        <v>-1.6933599988447481</v>
      </c>
      <c r="AB55" s="1464"/>
      <c r="AC55" s="1463" t="e">
        <f t="shared" si="17"/>
        <v>#DIV/0!</v>
      </c>
      <c r="AD55" s="1465" t="e">
        <f>VLOOKUP(AA55,$E$63:$G$67,2,TRUE)</f>
        <v>#N/A</v>
      </c>
      <c r="AE55" s="943">
        <v>1381.6661459259285</v>
      </c>
      <c r="AF55" s="943">
        <v>1814</v>
      </c>
      <c r="AG55" s="944">
        <f>(AF55/AE55)</f>
        <v>1.3129076118343634</v>
      </c>
      <c r="AH55" s="1135"/>
      <c r="AI55" s="944" t="e">
        <f t="shared" si="101"/>
        <v>#DIV/0!</v>
      </c>
      <c r="AJ55" s="1136" t="str">
        <f>VLOOKUP(AG55,$E$63:$G$67,2,TRUE)</f>
        <v>◎</v>
      </c>
      <c r="AK55" s="943">
        <v>-2000.978513074077</v>
      </c>
      <c r="AL55" s="943">
        <v>-1267</v>
      </c>
      <c r="AM55" s="944">
        <f>(AL55/AK55)</f>
        <v>0.63319020755176658</v>
      </c>
      <c r="AN55" s="1135"/>
      <c r="AO55" s="944" t="e">
        <f t="shared" si="102"/>
        <v>#DIV/0!</v>
      </c>
      <c r="AP55" s="945" t="str">
        <f t="shared" si="121"/>
        <v>××</v>
      </c>
      <c r="AQ55" s="84">
        <f t="shared" si="103"/>
        <v>-55.357471666666093</v>
      </c>
      <c r="AR55" s="52">
        <f>AQ55/E55</f>
        <v>1.0310573974048444E-2</v>
      </c>
      <c r="AS55" s="1109" t="str">
        <f t="shared" si="122"/>
        <v>××</v>
      </c>
      <c r="AT55" s="52">
        <f t="shared" si="104"/>
        <v>1.0310573974048444E-2</v>
      </c>
      <c r="AU55" s="53" t="str">
        <f t="shared" si="105"/>
        <v>××</v>
      </c>
      <c r="AV55" s="23"/>
      <c r="AW55" s="881"/>
      <c r="AX55" s="882" t="e">
        <f t="shared" si="114"/>
        <v>#DIV/0!</v>
      </c>
      <c r="AY55" s="883" t="e">
        <f t="shared" si="115"/>
        <v>#DIV/0!</v>
      </c>
    </row>
    <row r="56" spans="1:51" s="896" customFormat="1" ht="14.25" customHeight="1">
      <c r="B56" s="1410"/>
      <c r="C56" s="941"/>
      <c r="D56" s="941"/>
      <c r="E56" s="938"/>
      <c r="F56" s="938"/>
      <c r="G56" s="938"/>
      <c r="H56" s="938"/>
      <c r="I56" s="939"/>
      <c r="J56" s="1411"/>
      <c r="K56" s="939"/>
      <c r="L56" s="940"/>
      <c r="M56" s="938"/>
      <c r="N56" s="938"/>
      <c r="O56" s="939"/>
      <c r="P56" s="1413"/>
      <c r="Q56" s="939"/>
      <c r="R56" s="940"/>
      <c r="S56" s="938"/>
      <c r="T56" s="938"/>
      <c r="U56" s="939"/>
      <c r="V56" s="939"/>
      <c r="W56" s="939"/>
      <c r="X56" s="940"/>
      <c r="Y56" s="938"/>
      <c r="Z56" s="938"/>
      <c r="AA56" s="939"/>
      <c r="AB56" s="1007"/>
      <c r="AC56" s="939"/>
      <c r="AD56" s="940"/>
      <c r="AE56" s="938"/>
      <c r="AF56" s="938"/>
      <c r="AG56" s="939"/>
      <c r="AH56" s="1007"/>
      <c r="AI56" s="939"/>
      <c r="AJ56" s="940"/>
      <c r="AK56" s="938"/>
      <c r="AL56" s="938"/>
      <c r="AM56" s="939"/>
      <c r="AN56" s="1007"/>
      <c r="AO56" s="939"/>
      <c r="AP56" s="940"/>
      <c r="AQ56" s="938"/>
      <c r="AR56" s="939"/>
      <c r="AS56" s="940"/>
      <c r="AT56" s="939"/>
      <c r="AU56" s="940"/>
      <c r="AW56" s="938"/>
      <c r="AX56" s="939"/>
      <c r="AY56" s="940"/>
    </row>
    <row r="57" spans="1:51" s="896" customFormat="1">
      <c r="B57" s="941"/>
      <c r="C57" s="941"/>
      <c r="D57" s="941"/>
      <c r="E57" s="938"/>
      <c r="F57" s="938"/>
      <c r="G57" s="938"/>
      <c r="H57" s="939"/>
      <c r="I57" s="939"/>
      <c r="J57" s="939"/>
      <c r="K57" s="939"/>
      <c r="L57" s="940"/>
      <c r="M57" s="938"/>
      <c r="N57" s="939"/>
      <c r="O57" s="939"/>
      <c r="P57" s="939"/>
      <c r="Q57" s="939"/>
      <c r="R57" s="940"/>
      <c r="T57" s="939">
        <f>T30-S30</f>
        <v>4.0482816029122903E-3</v>
      </c>
      <c r="U57" s="939"/>
      <c r="V57" s="939"/>
      <c r="W57" s="939"/>
      <c r="X57" s="940"/>
      <c r="Y57" s="938"/>
      <c r="Z57" s="938"/>
      <c r="AA57" s="939"/>
      <c r="AB57" s="1007"/>
      <c r="AC57" s="939"/>
      <c r="AD57" s="940"/>
      <c r="AE57" s="938"/>
      <c r="AF57" s="938"/>
      <c r="AG57" s="939"/>
      <c r="AH57" s="1007"/>
      <c r="AI57" s="939"/>
      <c r="AJ57" s="940"/>
      <c r="AK57" s="938"/>
      <c r="AL57" s="938"/>
      <c r="AM57" s="939"/>
      <c r="AN57" s="1007"/>
      <c r="AO57" s="939"/>
      <c r="AP57" s="940"/>
      <c r="AQ57" s="938"/>
      <c r="AR57" s="1414"/>
      <c r="AS57" s="940"/>
      <c r="AT57" s="940"/>
      <c r="AU57" s="940"/>
      <c r="AW57" s="938"/>
      <c r="AX57" s="939"/>
      <c r="AY57" s="940"/>
    </row>
    <row r="58" spans="1:51" s="941" customFormat="1" ht="13.5" customHeight="1">
      <c r="E58" s="941" t="s">
        <v>11</v>
      </c>
      <c r="H58" s="939"/>
      <c r="L58" s="942"/>
      <c r="N58" s="939"/>
      <c r="R58" s="942"/>
      <c r="S58" s="938" t="s">
        <v>347</v>
      </c>
      <c r="T58" s="939">
        <f t="shared" ref="T58:T60" si="123">T31-S31</f>
        <v>5.9688025402271361E-4</v>
      </c>
      <c r="X58" s="942"/>
      <c r="AB58" s="1007"/>
      <c r="AD58" s="942"/>
      <c r="AH58" s="1007"/>
      <c r="AJ58" s="942"/>
      <c r="AN58" s="1007"/>
      <c r="AP58" s="942"/>
      <c r="AS58" s="942"/>
      <c r="AT58" s="942"/>
      <c r="AU58" s="942"/>
      <c r="AY58" s="942"/>
    </row>
    <row r="59" spans="1:51" s="941" customFormat="1" ht="19.5" customHeight="1">
      <c r="H59" s="939"/>
      <c r="L59" s="942"/>
      <c r="N59" s="939"/>
      <c r="R59" s="942"/>
      <c r="S59" s="941" t="s">
        <v>348</v>
      </c>
      <c r="T59" s="939">
        <f t="shared" si="123"/>
        <v>-5.5674681524691405E-3</v>
      </c>
      <c r="X59" s="942"/>
      <c r="AB59" s="1007"/>
      <c r="AD59" s="942"/>
      <c r="AH59" s="1007"/>
      <c r="AJ59" s="942"/>
      <c r="AN59" s="1007"/>
      <c r="AP59" s="942"/>
      <c r="AS59" s="942"/>
      <c r="AT59" s="942"/>
      <c r="AU59" s="942"/>
      <c r="AY59" s="942"/>
    </row>
    <row r="60" spans="1:51" s="941" customFormat="1" ht="13.5" customHeight="1">
      <c r="H60" s="939"/>
      <c r="L60" s="942"/>
      <c r="N60" s="939"/>
      <c r="R60" s="942"/>
      <c r="S60" s="941" t="s">
        <v>349</v>
      </c>
      <c r="T60" s="939">
        <f t="shared" si="123"/>
        <v>1.2698273251548375E-2</v>
      </c>
      <c r="X60" s="942"/>
      <c r="AB60" s="1007"/>
      <c r="AD60" s="942"/>
      <c r="AH60" s="1007"/>
      <c r="AJ60" s="942"/>
      <c r="AN60" s="1007"/>
      <c r="AP60" s="942"/>
      <c r="AS60" s="942"/>
      <c r="AT60" s="942"/>
      <c r="AU60" s="942"/>
      <c r="AY60" s="942"/>
    </row>
    <row r="61" spans="1:51" s="896" customFormat="1">
      <c r="H61" s="939"/>
      <c r="L61" s="897"/>
      <c r="N61" s="939"/>
      <c r="R61" s="897"/>
      <c r="S61" s="941" t="s">
        <v>350</v>
      </c>
      <c r="T61" s="939" t="e">
        <f>T34-S34</f>
        <v>#DIV/0!</v>
      </c>
      <c r="X61" s="897"/>
      <c r="AB61" s="1006"/>
      <c r="AD61" s="897"/>
      <c r="AH61" s="1006"/>
      <c r="AJ61" s="897"/>
      <c r="AN61" s="1006"/>
      <c r="AP61" s="897"/>
      <c r="AS61" s="897"/>
      <c r="AT61" s="897"/>
      <c r="AU61" s="897"/>
      <c r="AY61" s="897"/>
    </row>
    <row r="62" spans="1:51" s="896" customFormat="1">
      <c r="H62" s="939"/>
      <c r="L62" s="897"/>
      <c r="N62" s="939"/>
      <c r="R62" s="897"/>
      <c r="S62" s="896" t="s">
        <v>119</v>
      </c>
      <c r="T62" s="939">
        <f>T35-S35</f>
        <v>1.0920702456429177E-2</v>
      </c>
      <c r="X62" s="897"/>
      <c r="AB62" s="1006"/>
      <c r="AD62" s="897"/>
      <c r="AH62" s="1006"/>
      <c r="AJ62" s="897"/>
      <c r="AN62" s="1006"/>
      <c r="AP62" s="897"/>
      <c r="AS62" s="897"/>
      <c r="AT62" s="897"/>
      <c r="AU62" s="897"/>
      <c r="AY62" s="897"/>
    </row>
    <row r="63" spans="1:51" s="896" customFormat="1">
      <c r="E63" s="1412">
        <v>0</v>
      </c>
      <c r="F63" s="896" t="s">
        <v>12</v>
      </c>
      <c r="H63" s="939"/>
      <c r="L63" s="897"/>
      <c r="N63" s="939"/>
      <c r="R63" s="897"/>
      <c r="S63" s="896" t="s">
        <v>118</v>
      </c>
      <c r="T63" s="939" t="e">
        <f t="shared" ref="T63" si="124">T36-S36</f>
        <v>#DIV/0!</v>
      </c>
      <c r="X63" s="897"/>
      <c r="AB63" s="1006"/>
      <c r="AD63" s="897"/>
      <c r="AH63" s="1006"/>
      <c r="AJ63" s="897"/>
      <c r="AN63" s="1006"/>
      <c r="AP63" s="897"/>
      <c r="AS63" s="897"/>
      <c r="AT63" s="897"/>
      <c r="AU63" s="897"/>
      <c r="AY63" s="897"/>
    </row>
    <row r="64" spans="1:51" s="896" customFormat="1">
      <c r="E64" s="1412">
        <v>0.9</v>
      </c>
      <c r="F64" s="896" t="s">
        <v>13</v>
      </c>
      <c r="H64" s="939"/>
      <c r="L64" s="897"/>
      <c r="N64" s="939"/>
      <c r="R64" s="897"/>
      <c r="S64" s="896" t="s">
        <v>122</v>
      </c>
      <c r="T64" s="939">
        <f>T37-S37</f>
        <v>4.0134688602205815E-3</v>
      </c>
      <c r="X64" s="897"/>
      <c r="AB64" s="1006"/>
      <c r="AD64" s="897"/>
      <c r="AH64" s="1006"/>
      <c r="AJ64" s="897"/>
      <c r="AN64" s="1006"/>
      <c r="AP64" s="897"/>
      <c r="AS64" s="897"/>
      <c r="AT64" s="897"/>
      <c r="AU64" s="897"/>
      <c r="AY64" s="897"/>
    </row>
    <row r="65" spans="5:51" s="896" customFormat="1">
      <c r="E65" s="1412">
        <v>0.95</v>
      </c>
      <c r="F65" s="896" t="s">
        <v>14</v>
      </c>
      <c r="L65" s="897"/>
      <c r="R65" s="897"/>
      <c r="X65" s="897"/>
      <c r="AB65" s="1006"/>
      <c r="AD65" s="897"/>
      <c r="AH65" s="1006"/>
      <c r="AJ65" s="897"/>
      <c r="AN65" s="1006"/>
      <c r="AP65" s="897"/>
      <c r="AS65" s="897"/>
      <c r="AT65" s="897"/>
      <c r="AU65" s="897"/>
      <c r="AY65" s="897"/>
    </row>
    <row r="66" spans="5:51" s="896" customFormat="1">
      <c r="E66" s="1412">
        <v>1</v>
      </c>
      <c r="F66" s="896" t="s">
        <v>15</v>
      </c>
      <c r="L66" s="897"/>
      <c r="R66" s="897"/>
      <c r="X66" s="897"/>
      <c r="AB66" s="1006"/>
      <c r="AD66" s="897"/>
      <c r="AH66" s="1006"/>
      <c r="AJ66" s="897"/>
      <c r="AN66" s="1006"/>
      <c r="AP66" s="897"/>
      <c r="AS66" s="897"/>
      <c r="AT66" s="897"/>
      <c r="AU66" s="897"/>
      <c r="AY66" s="897"/>
    </row>
    <row r="67" spans="5:51" s="896" customFormat="1">
      <c r="E67" s="1412">
        <v>1.1000000000000001</v>
      </c>
      <c r="F67" s="896" t="s">
        <v>16</v>
      </c>
      <c r="L67" s="897"/>
      <c r="R67" s="897"/>
      <c r="X67" s="897"/>
      <c r="AB67" s="1006"/>
      <c r="AD67" s="897"/>
      <c r="AH67" s="1006"/>
      <c r="AJ67" s="897"/>
      <c r="AN67" s="1006"/>
      <c r="AP67" s="897"/>
      <c r="AS67" s="897"/>
      <c r="AT67" s="897"/>
      <c r="AU67" s="897"/>
      <c r="AY67" s="897"/>
    </row>
  </sheetData>
  <mergeCells count="11">
    <mergeCell ref="B47:B55"/>
    <mergeCell ref="AE4:AJ4"/>
    <mergeCell ref="AK4:AP4"/>
    <mergeCell ref="AW4:AY4"/>
    <mergeCell ref="B4:B5"/>
    <mergeCell ref="C4:D5"/>
    <mergeCell ref="G4:L4"/>
    <mergeCell ref="M4:R4"/>
    <mergeCell ref="S4:X4"/>
    <mergeCell ref="Y4:AD4"/>
    <mergeCell ref="AQ4:AU4"/>
  </mergeCells>
  <phoneticPr fontId="24" type="noConversion"/>
  <printOptions horizontalCentered="1" verticalCentered="1"/>
  <pageMargins left="0.15748031496062992" right="0.15748031496062992" top="0.35433070866141736" bottom="0.35433070866141736" header="0.31496062992125984" footer="0.31496062992125984"/>
  <pageSetup paperSize="8" scale="45" orientation="landscape" r:id="rId1"/>
  <ignoredErrors>
    <ignoredError sqref="I6:I3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  <pageSetUpPr fitToPage="1"/>
  </sheetPr>
  <dimension ref="A1:W38"/>
  <sheetViews>
    <sheetView zoomScaleNormal="100" workbookViewId="0">
      <selection activeCell="E22" sqref="E21:E22"/>
    </sheetView>
  </sheetViews>
  <sheetFormatPr defaultColWidth="9" defaultRowHeight="15.75"/>
  <cols>
    <col min="1" max="1" width="2.625" style="89" customWidth="1"/>
    <col min="2" max="2" width="3.875" style="89" customWidth="1"/>
    <col min="3" max="3" width="16.625" style="89" customWidth="1"/>
    <col min="4" max="4" width="14.75" style="89" hidden="1" customWidth="1"/>
    <col min="5" max="5" width="17.625" style="89" customWidth="1"/>
    <col min="6" max="6" width="12.625" style="89" customWidth="1"/>
    <col min="7" max="7" width="7.625" style="89" hidden="1" customWidth="1"/>
    <col min="8" max="8" width="17.625" style="89" customWidth="1"/>
    <col min="9" max="9" width="12.625" style="89" customWidth="1"/>
    <col min="10" max="10" width="14.625" style="89" hidden="1" customWidth="1"/>
    <col min="11" max="11" width="17.625" style="89" customWidth="1"/>
    <col min="12" max="12" width="12.625" style="89" customWidth="1"/>
    <col min="13" max="13" width="7.625" style="89" hidden="1" customWidth="1"/>
    <col min="14" max="14" width="17.625" style="89" customWidth="1"/>
    <col min="15" max="15" width="12.625" style="89" customWidth="1"/>
    <col min="16" max="16" width="7.625" style="89" hidden="1" customWidth="1"/>
    <col min="17" max="18" width="14.625" style="89" hidden="1" customWidth="1"/>
    <col min="19" max="19" width="9" style="89" hidden="1" customWidth="1"/>
    <col min="20" max="21" width="14.625" style="89" hidden="1" customWidth="1"/>
    <col min="22" max="22" width="0" style="89" hidden="1" customWidth="1"/>
    <col min="23" max="16384" width="9" style="89"/>
  </cols>
  <sheetData>
    <row r="1" spans="1:23">
      <c r="A1" s="88"/>
      <c r="B1" s="88"/>
      <c r="C1" s="88"/>
      <c r="D1" s="88"/>
      <c r="E1" s="88"/>
      <c r="F1" s="88"/>
      <c r="G1" s="88"/>
      <c r="H1" s="88"/>
      <c r="I1" s="88"/>
      <c r="L1" s="88"/>
      <c r="M1" s="88"/>
      <c r="O1" s="88"/>
      <c r="P1" s="88"/>
      <c r="Q1" s="88"/>
    </row>
    <row r="2" spans="1:23" ht="19.5">
      <c r="A2" s="88"/>
      <c r="B2" s="90" t="s">
        <v>309</v>
      </c>
      <c r="C2" s="88"/>
      <c r="D2" s="88"/>
      <c r="E2" s="88"/>
      <c r="F2" s="88"/>
      <c r="G2" s="88"/>
      <c r="H2" s="88"/>
      <c r="I2" s="88"/>
      <c r="L2" s="88"/>
      <c r="M2" s="88"/>
      <c r="O2" s="88"/>
      <c r="P2" s="88"/>
      <c r="Q2" s="88"/>
    </row>
    <row r="3" spans="1:23" ht="16.5">
      <c r="A3" s="88"/>
      <c r="B3" s="91"/>
      <c r="C3" s="88"/>
      <c r="D3" s="88"/>
      <c r="E3" s="88"/>
      <c r="F3" s="88"/>
      <c r="G3" s="88"/>
      <c r="H3" s="88"/>
      <c r="I3" s="88"/>
      <c r="L3" s="88"/>
      <c r="M3" s="88"/>
      <c r="O3" s="88"/>
      <c r="P3" s="88"/>
      <c r="Q3" s="88"/>
    </row>
    <row r="4" spans="1:23" ht="16.5" thickBot="1">
      <c r="A4" s="88"/>
      <c r="B4" s="88"/>
      <c r="C4" s="88"/>
      <c r="D4" s="88"/>
      <c r="E4" s="88" t="s">
        <v>111</v>
      </c>
      <c r="F4" s="88"/>
      <c r="G4" s="88" t="s">
        <v>98</v>
      </c>
      <c r="H4" s="88"/>
      <c r="I4" s="88"/>
      <c r="J4" s="89" t="s">
        <v>115</v>
      </c>
      <c r="L4" s="88"/>
      <c r="M4" s="88" t="s">
        <v>98</v>
      </c>
      <c r="O4" s="88"/>
      <c r="P4" s="88" t="s">
        <v>98</v>
      </c>
      <c r="Q4" s="88"/>
    </row>
    <row r="5" spans="1:23" ht="27.75" customHeight="1">
      <c r="A5" s="88"/>
      <c r="B5" s="362"/>
      <c r="C5" s="363"/>
      <c r="D5" s="364"/>
      <c r="E5" s="1543" t="s">
        <v>162</v>
      </c>
      <c r="F5" s="1544"/>
      <c r="G5" s="1544"/>
      <c r="H5" s="1545" t="s">
        <v>163</v>
      </c>
      <c r="I5" s="1546"/>
      <c r="J5" s="1541" t="s">
        <v>164</v>
      </c>
      <c r="K5" s="1541"/>
      <c r="L5" s="1541"/>
      <c r="M5" s="1546"/>
      <c r="N5" s="1545" t="s">
        <v>165</v>
      </c>
      <c r="O5" s="1541"/>
      <c r="P5" s="1542"/>
      <c r="Q5" s="1540" t="s">
        <v>177</v>
      </c>
      <c r="R5" s="1541"/>
      <c r="S5" s="1542"/>
      <c r="T5" s="1540" t="s">
        <v>161</v>
      </c>
      <c r="U5" s="1541"/>
      <c r="V5" s="1542"/>
      <c r="W5" s="95"/>
    </row>
    <row r="6" spans="1:23" ht="36.75" customHeight="1">
      <c r="A6" s="88"/>
      <c r="B6" s="365"/>
      <c r="C6" s="366"/>
      <c r="D6" s="367"/>
      <c r="E6" s="1139" t="s">
        <v>332</v>
      </c>
      <c r="F6" s="368" t="s">
        <v>166</v>
      </c>
      <c r="G6" s="369" t="s">
        <v>167</v>
      </c>
      <c r="H6" s="1228" t="str">
        <f xml:space="preserve"> E6</f>
        <v>遂行率
        前年同期比</v>
      </c>
      <c r="I6" s="410" t="str">
        <f>F6</f>
        <v>達成率</v>
      </c>
      <c r="J6" s="372" t="str">
        <f>E6</f>
        <v>遂行率
        前年同期比</v>
      </c>
      <c r="K6" s="1436" t="str">
        <f>E6</f>
        <v>遂行率
        前年同期比</v>
      </c>
      <c r="L6" s="1138" t="str">
        <f>F6</f>
        <v>達成率</v>
      </c>
      <c r="M6" s="1209" t="s">
        <v>20</v>
      </c>
      <c r="N6" s="1228" t="str">
        <f>E6</f>
        <v>遂行率
        前年同期比</v>
      </c>
      <c r="O6" s="1138" t="str">
        <f>F6</f>
        <v>達成率</v>
      </c>
      <c r="P6" s="374" t="s">
        <v>20</v>
      </c>
      <c r="Q6" s="370" t="str">
        <f>L6</f>
        <v>達成率</v>
      </c>
      <c r="R6" s="373" t="s">
        <v>19</v>
      </c>
      <c r="S6" s="374" t="s">
        <v>20</v>
      </c>
      <c r="T6" s="370" t="str">
        <f>O6</f>
        <v>達成率</v>
      </c>
      <c r="U6" s="373" t="s">
        <v>19</v>
      </c>
      <c r="V6" s="374" t="s">
        <v>20</v>
      </c>
      <c r="W6" s="95"/>
    </row>
    <row r="7" spans="1:23" ht="35.25" hidden="1" customHeight="1">
      <c r="A7" s="88"/>
      <c r="B7" s="375"/>
      <c r="C7" s="1547" t="s">
        <v>276</v>
      </c>
      <c r="D7" s="376" t="s">
        <v>169</v>
      </c>
      <c r="E7" s="377">
        <f>'PL項目 17下'!I8+0.005</f>
        <v>0.65093528333333328</v>
      </c>
      <c r="F7" s="1138" t="str">
        <f t="shared" ref="F7:F24" si="0">VLOOKUP(E7,$D$32:$E$36,2,TRUE)</f>
        <v>××</v>
      </c>
      <c r="G7" s="366"/>
      <c r="H7" s="412">
        <f>'PL項目 17下'!I16</f>
        <v>0.73206630400000006</v>
      </c>
      <c r="I7" s="1219" t="str">
        <f t="shared" ref="I7:I24" si="1">VLOOKUP(H7,$D$32:$E$36,2,TRUE)</f>
        <v>××</v>
      </c>
      <c r="J7" s="379">
        <f>'PL項目 17下'!I32</f>
        <v>1.006110826205783</v>
      </c>
      <c r="K7" s="1434" t="s">
        <v>112</v>
      </c>
      <c r="L7" s="380" t="str">
        <f>VLOOKUP(J7,$D$32:$E$36,2,TRUE)</f>
        <v>○</v>
      </c>
      <c r="M7" s="1209"/>
      <c r="N7" s="1233">
        <f>'PL項目 17下'!I24</f>
        <v>0.73653983395485401</v>
      </c>
      <c r="O7" s="382" t="str">
        <f t="shared" ref="O7:O24" si="2">VLOOKUP(N7,$D$32:$E$36,2,TRUE)</f>
        <v>××</v>
      </c>
      <c r="P7" s="374"/>
      <c r="Q7" s="381">
        <f>'PL項目 17下'!T24</f>
        <v>31952.751260000019</v>
      </c>
      <c r="R7" s="382" t="str">
        <f>VLOOKUP(Q7,$D$32:$E$36,2,TRUE)</f>
        <v>◎</v>
      </c>
      <c r="S7" s="374"/>
      <c r="T7" s="381">
        <f>'PL項目 17下'!Y24</f>
        <v>42724.888888888898</v>
      </c>
      <c r="U7" s="382" t="str">
        <f>VLOOKUP(T7,$D$32:$E$36,2,TRUE)</f>
        <v>◎</v>
      </c>
      <c r="V7" s="374"/>
      <c r="W7" s="95"/>
    </row>
    <row r="8" spans="1:23" s="88" customFormat="1" ht="21.95" customHeight="1">
      <c r="B8" s="375"/>
      <c r="C8" s="1534"/>
      <c r="D8" s="383" t="s">
        <v>170</v>
      </c>
      <c r="E8" s="1140">
        <f>'PL項目 17下'!AR8</f>
        <v>0.8714130714285715</v>
      </c>
      <c r="F8" s="1008" t="str">
        <f t="shared" si="0"/>
        <v>××</v>
      </c>
      <c r="G8" s="1227"/>
      <c r="H8" s="1172">
        <f>'PL項目 17下'!AR16</f>
        <v>0.86556961509433972</v>
      </c>
      <c r="I8" s="1011" t="str">
        <f t="shared" si="1"/>
        <v>××</v>
      </c>
      <c r="J8" s="845">
        <f>'PL項目 17下'!AR32-0.002</f>
        <v>0.97959957415293075</v>
      </c>
      <c r="K8" s="1485" t="s">
        <v>407</v>
      </c>
      <c r="L8" s="1137" t="s">
        <v>13</v>
      </c>
      <c r="M8" s="1210"/>
      <c r="N8" s="1172">
        <f>'PL項目 17下'!AR24</f>
        <v>0.84964276557632012</v>
      </c>
      <c r="O8" s="1008" t="str">
        <f t="shared" si="2"/>
        <v>××</v>
      </c>
      <c r="P8" s="846"/>
      <c r="Q8" s="844"/>
      <c r="R8" s="842" t="str">
        <f>VLOOKUP(Q8,$D$32:$E$36,2,TRUE)</f>
        <v>××</v>
      </c>
      <c r="S8" s="846"/>
      <c r="T8" s="844"/>
      <c r="U8" s="842" t="str">
        <f>VLOOKUP(T8,$D$32:$E$36,2,TRUE)</f>
        <v>××</v>
      </c>
      <c r="V8" s="374"/>
      <c r="W8" s="150"/>
    </row>
    <row r="9" spans="1:23" ht="21.95" customHeight="1">
      <c r="A9" s="88"/>
      <c r="B9" s="375"/>
      <c r="C9" s="1535"/>
      <c r="D9" s="376"/>
      <c r="E9" s="1142">
        <f>'PL項目 17下'!AX8</f>
        <v>1.1216036901260162</v>
      </c>
      <c r="F9" s="994"/>
      <c r="G9" s="995"/>
      <c r="H9" s="1229">
        <f>'PL項目 17下'!AX16</f>
        <v>1.143949741527027</v>
      </c>
      <c r="I9" s="1220"/>
      <c r="J9" s="996"/>
      <c r="K9" s="1488" t="s">
        <v>412</v>
      </c>
      <c r="L9" s="997"/>
      <c r="M9" s="1211"/>
      <c r="N9" s="1229">
        <f>'PL項目 17下'!AX24</f>
        <v>1.2124050322876652</v>
      </c>
      <c r="O9" s="998"/>
      <c r="P9" s="374"/>
      <c r="Q9" s="378"/>
      <c r="R9" s="843"/>
      <c r="S9" s="374"/>
      <c r="T9" s="378"/>
      <c r="U9" s="843"/>
      <c r="V9" s="374"/>
      <c r="W9" s="95"/>
    </row>
    <row r="10" spans="1:23" ht="9.9499999999999993" hidden="1" customHeight="1">
      <c r="A10" s="88"/>
      <c r="B10" s="375"/>
      <c r="C10" s="1533" t="s">
        <v>171</v>
      </c>
      <c r="D10" s="376" t="s">
        <v>101</v>
      </c>
      <c r="E10" s="377">
        <f>'PL項目 17下'!I9</f>
        <v>1.0169191052</v>
      </c>
      <c r="F10" s="384" t="str">
        <f t="shared" si="0"/>
        <v>○</v>
      </c>
      <c r="G10" s="385"/>
      <c r="H10" s="412">
        <f>'PL項目 17下'!I17</f>
        <v>1.0056881553846153</v>
      </c>
      <c r="I10" s="1219" t="str">
        <f t="shared" si="1"/>
        <v>○</v>
      </c>
      <c r="J10" s="386">
        <f>'PL項目 17下'!I33</f>
        <v>0.97977164150026286</v>
      </c>
      <c r="K10" s="1478"/>
      <c r="L10" s="380" t="s">
        <v>172</v>
      </c>
      <c r="M10" s="1212"/>
      <c r="N10" s="412">
        <f>'PL項目 17下'!I25</f>
        <v>0.98338519155555559</v>
      </c>
      <c r="O10" s="382" t="str">
        <f t="shared" si="2"/>
        <v>△</v>
      </c>
      <c r="P10" s="387"/>
      <c r="Q10" s="378"/>
      <c r="R10" s="382" t="str">
        <f>VLOOKUP(Q10,$D$32:$E$36,2,TRUE)</f>
        <v>××</v>
      </c>
      <c r="S10" s="387"/>
      <c r="T10" s="378"/>
      <c r="U10" s="382" t="str">
        <f>VLOOKUP(T10,$D$32:$E$36,2,TRUE)</f>
        <v>××</v>
      </c>
      <c r="V10" s="387"/>
      <c r="W10" s="95"/>
    </row>
    <row r="11" spans="1:23" s="88" customFormat="1" ht="21.95" customHeight="1">
      <c r="B11" s="375"/>
      <c r="C11" s="1534"/>
      <c r="D11" s="383" t="s">
        <v>109</v>
      </c>
      <c r="E11" s="1140">
        <f>'PL項目 17下'!AR9</f>
        <v>0.89122904537682923</v>
      </c>
      <c r="F11" s="1008" t="str">
        <f t="shared" si="0"/>
        <v>××</v>
      </c>
      <c r="G11" s="1227"/>
      <c r="H11" s="1172">
        <f>'PL項目 17下'!AR17</f>
        <v>0.84142555962932442</v>
      </c>
      <c r="I11" s="1012" t="str">
        <f t="shared" si="1"/>
        <v>××</v>
      </c>
      <c r="J11" s="1208">
        <f>'PL項目 17下'!AR33+0.003</f>
        <v>0.91456415473856068</v>
      </c>
      <c r="K11" s="1485" t="s">
        <v>408</v>
      </c>
      <c r="L11" s="1137" t="s">
        <v>13</v>
      </c>
      <c r="M11" s="1210"/>
      <c r="N11" s="1172">
        <f>'PL項目 17下'!AR25</f>
        <v>0.76617195347929623</v>
      </c>
      <c r="O11" s="1008" t="str">
        <f t="shared" si="2"/>
        <v>××</v>
      </c>
      <c r="P11" s="374"/>
      <c r="Q11" s="381"/>
      <c r="R11" s="373" t="str">
        <f>VLOOKUP(Q11,$D$32:$E$36,2,TRUE)</f>
        <v>××</v>
      </c>
      <c r="S11" s="374"/>
      <c r="T11" s="381"/>
      <c r="U11" s="373" t="str">
        <f>VLOOKUP(T11,$D$32:$E$36,2,TRUE)</f>
        <v>××</v>
      </c>
      <c r="V11" s="374"/>
      <c r="W11" s="150"/>
    </row>
    <row r="12" spans="1:23" s="88" customFormat="1" ht="21.95" customHeight="1">
      <c r="B12" s="375"/>
      <c r="C12" s="1535"/>
      <c r="D12" s="376"/>
      <c r="E12" s="1142">
        <f>'PL項目 17下'!AX9</f>
        <v>1.2672891789108893</v>
      </c>
      <c r="F12" s="999"/>
      <c r="G12" s="995"/>
      <c r="H12" s="1229">
        <f>'PL項目 17下'!AX17</f>
        <v>1.4095747493928354</v>
      </c>
      <c r="I12" s="1211"/>
      <c r="J12" s="996"/>
      <c r="K12" s="1488" t="s">
        <v>413</v>
      </c>
      <c r="L12" s="1000"/>
      <c r="M12" s="1211"/>
      <c r="N12" s="1229">
        <f>'PL項目 17下'!AX25</f>
        <v>1.5904288136215616</v>
      </c>
      <c r="O12" s="995"/>
      <c r="P12" s="374"/>
      <c r="Q12" s="378"/>
      <c r="R12" s="366"/>
      <c r="S12" s="374"/>
      <c r="T12" s="378"/>
      <c r="U12" s="366"/>
      <c r="V12" s="374"/>
      <c r="W12" s="150"/>
    </row>
    <row r="13" spans="1:23" ht="9.9499999999999993" hidden="1" customHeight="1">
      <c r="A13" s="88"/>
      <c r="B13" s="375"/>
      <c r="C13" s="1533" t="s">
        <v>173</v>
      </c>
      <c r="D13" s="376" t="s">
        <v>101</v>
      </c>
      <c r="E13" s="377">
        <f>'PL項目 17下'!I7</f>
        <v>1.0014542924050631</v>
      </c>
      <c r="F13" s="384" t="str">
        <f t="shared" si="0"/>
        <v>○</v>
      </c>
      <c r="G13" s="385"/>
      <c r="H13" s="412">
        <f>'PL項目 17下'!I15</f>
        <v>1.0002855854291417</v>
      </c>
      <c r="I13" s="1219" t="str">
        <f t="shared" si="1"/>
        <v>○</v>
      </c>
      <c r="J13" s="386">
        <f>'PL項目 17下'!I31</f>
        <v>0.95322198361294563</v>
      </c>
      <c r="K13" s="1479"/>
      <c r="L13" s="380" t="s">
        <v>113</v>
      </c>
      <c r="M13" s="1212"/>
      <c r="N13" s="412">
        <f>'PL項目 17下'!I23</f>
        <v>0.95349420992220291</v>
      </c>
      <c r="O13" s="382" t="str">
        <f t="shared" si="2"/>
        <v>△</v>
      </c>
      <c r="P13" s="387"/>
      <c r="Q13" s="378"/>
      <c r="R13" s="382" t="str">
        <f>VLOOKUP(Q13,$D$32:$E$36,2,TRUE)</f>
        <v>××</v>
      </c>
      <c r="S13" s="387"/>
      <c r="T13" s="378"/>
      <c r="U13" s="382" t="str">
        <f>VLOOKUP(T13,$D$32:$E$36,2,TRUE)</f>
        <v>××</v>
      </c>
      <c r="V13" s="387"/>
      <c r="W13" s="95"/>
    </row>
    <row r="14" spans="1:23" s="88" customFormat="1" ht="21.95" customHeight="1">
      <c r="B14" s="375"/>
      <c r="C14" s="1534"/>
      <c r="D14" s="383" t="s">
        <v>102</v>
      </c>
      <c r="E14" s="1140">
        <f>'PL項目 17下'!AR7</f>
        <v>0.96894640006199628</v>
      </c>
      <c r="F14" s="1008" t="str">
        <f t="shared" si="0"/>
        <v>△</v>
      </c>
      <c r="G14" s="1227"/>
      <c r="H14" s="1172">
        <f>'PL項目 17下'!AR15</f>
        <v>1.0028314081807155</v>
      </c>
      <c r="I14" s="1012" t="str">
        <f t="shared" si="1"/>
        <v>○</v>
      </c>
      <c r="J14" s="1208">
        <f>'PL項目 17下'!AR31-0.006</f>
        <v>0.89691636648990758</v>
      </c>
      <c r="K14" s="1140" t="s">
        <v>409</v>
      </c>
      <c r="L14" s="1137" t="s">
        <v>13</v>
      </c>
      <c r="M14" s="1225"/>
      <c r="N14" s="1172">
        <f>'PL項目 17下'!AR23</f>
        <v>0.90246439705194714</v>
      </c>
      <c r="O14" s="1137" t="str">
        <f t="shared" si="2"/>
        <v>×</v>
      </c>
      <c r="P14" s="374"/>
      <c r="Q14" s="381"/>
      <c r="R14" s="373" t="str">
        <f>VLOOKUP(Q14,$D$32:$E$36,2,TRUE)</f>
        <v>××</v>
      </c>
      <c r="S14" s="374"/>
      <c r="T14" s="381"/>
      <c r="U14" s="373" t="str">
        <f>VLOOKUP(T14,$D$32:$E$36,2,TRUE)</f>
        <v>××</v>
      </c>
      <c r="V14" s="374"/>
      <c r="W14" s="150"/>
    </row>
    <row r="15" spans="1:23" s="88" customFormat="1" ht="21.95" customHeight="1">
      <c r="B15" s="375"/>
      <c r="C15" s="1535"/>
      <c r="D15" s="376"/>
      <c r="E15" s="1143">
        <f>'PL項目 17下'!AX7</f>
        <v>1.0564025125974592</v>
      </c>
      <c r="F15" s="999"/>
      <c r="G15" s="995"/>
      <c r="H15" s="1229">
        <f>'PL項目 17下'!AX15</f>
        <v>1.1321700317209908</v>
      </c>
      <c r="I15" s="1211"/>
      <c r="J15" s="996"/>
      <c r="K15" s="1487" t="s">
        <v>352</v>
      </c>
      <c r="L15" s="1000"/>
      <c r="M15" s="1226"/>
      <c r="N15" s="1229">
        <f>'PL項目 17下'!AX23</f>
        <v>1.3656468675538804</v>
      </c>
      <c r="O15" s="995"/>
      <c r="P15" s="374"/>
      <c r="Q15" s="378"/>
      <c r="R15" s="366"/>
      <c r="S15" s="374"/>
      <c r="T15" s="378"/>
      <c r="U15" s="366"/>
      <c r="V15" s="374"/>
      <c r="W15" s="150"/>
    </row>
    <row r="16" spans="1:23" ht="9.9499999999999993" hidden="1" customHeight="1">
      <c r="A16" s="88"/>
      <c r="B16" s="375"/>
      <c r="C16" s="1533" t="s">
        <v>174</v>
      </c>
      <c r="D16" s="376" t="s">
        <v>101</v>
      </c>
      <c r="E16" s="377">
        <f>'PL項目 17下'!I10</f>
        <v>0</v>
      </c>
      <c r="F16" s="384" t="str">
        <f t="shared" si="0"/>
        <v>××</v>
      </c>
      <c r="G16" s="385"/>
      <c r="H16" s="412">
        <f>'PL項目 17下'!I18</f>
        <v>0</v>
      </c>
      <c r="I16" s="1219" t="str">
        <f t="shared" si="1"/>
        <v>××</v>
      </c>
      <c r="J16" s="386" t="e">
        <f>'PL項目 17下'!I34</f>
        <v>#DIV/0!</v>
      </c>
      <c r="K16" s="1479" t="s">
        <v>149</v>
      </c>
      <c r="L16" s="388" t="s">
        <v>172</v>
      </c>
      <c r="M16" s="1212"/>
      <c r="N16" s="412">
        <f>'PL項目 17下'!I26+0.001</f>
        <v>0</v>
      </c>
      <c r="O16" s="382" t="str">
        <f t="shared" si="2"/>
        <v>××</v>
      </c>
      <c r="P16" s="387"/>
      <c r="Q16" s="378"/>
      <c r="R16" s="382" t="str">
        <f>VLOOKUP(Q16,$D$32:$E$36,2,TRUE)</f>
        <v>××</v>
      </c>
      <c r="S16" s="387"/>
      <c r="T16" s="378"/>
      <c r="U16" s="382" t="str">
        <f>VLOOKUP(T16,$D$32:$E$36,2,TRUE)</f>
        <v>××</v>
      </c>
      <c r="V16" s="387"/>
      <c r="W16" s="95"/>
    </row>
    <row r="17" spans="1:23" s="123" customFormat="1" ht="9.9499999999999993" hidden="1" customHeight="1">
      <c r="B17" s="375"/>
      <c r="C17" s="1535"/>
      <c r="D17" s="389" t="s">
        <v>109</v>
      </c>
      <c r="E17" s="390" t="e">
        <f>'PL項目 17下'!AR10</f>
        <v>#DIV/0!</v>
      </c>
      <c r="F17" s="388" t="e">
        <f t="shared" si="0"/>
        <v>#DIV/0!</v>
      </c>
      <c r="G17" s="391"/>
      <c r="H17" s="1230">
        <f>'PL項目 17下'!AR18</f>
        <v>0.67465561929041851</v>
      </c>
      <c r="I17" s="1221" t="str">
        <f t="shared" si="1"/>
        <v>××</v>
      </c>
      <c r="J17" s="392">
        <f>'PL項目 17下'!AR34+0.003</f>
        <v>3.8280126425979488</v>
      </c>
      <c r="K17" s="1479" t="s">
        <v>156</v>
      </c>
      <c r="L17" s="388" t="s">
        <v>172</v>
      </c>
      <c r="M17" s="1213"/>
      <c r="N17" s="1234">
        <f>'PL項目 17下'!AR26</f>
        <v>2.5839395512820511</v>
      </c>
      <c r="O17" s="388" t="str">
        <f t="shared" si="2"/>
        <v>◎</v>
      </c>
      <c r="P17" s="394"/>
      <c r="Q17" s="393"/>
      <c r="R17" s="388" t="str">
        <f>VLOOKUP(Q17,$D$32:$E$36,2,TRUE)</f>
        <v>××</v>
      </c>
      <c r="S17" s="394"/>
      <c r="T17" s="393"/>
      <c r="U17" s="388" t="str">
        <f>VLOOKUP(T17,$D$32:$E$36,2,TRUE)</f>
        <v>××</v>
      </c>
      <c r="V17" s="394"/>
      <c r="W17" s="137"/>
    </row>
    <row r="18" spans="1:23" ht="9.9499999999999993" hidden="1" customHeight="1">
      <c r="A18" s="88"/>
      <c r="B18" s="375"/>
      <c r="C18" s="1533" t="s">
        <v>175</v>
      </c>
      <c r="D18" s="376" t="s">
        <v>101</v>
      </c>
      <c r="E18" s="377">
        <f>'PL項目 17下'!I11</f>
        <v>1.6966287694300517</v>
      </c>
      <c r="F18" s="384" t="str">
        <f t="shared" si="0"/>
        <v>◎</v>
      </c>
      <c r="G18" s="385"/>
      <c r="H18" s="412">
        <f>'PL項目 17下'!I19+0.018</f>
        <v>1.3372144064665126</v>
      </c>
      <c r="I18" s="1219" t="str">
        <f t="shared" si="1"/>
        <v>◎</v>
      </c>
      <c r="J18" s="386">
        <f>'PL項目 17下'!I35</f>
        <v>1.1689191539616417</v>
      </c>
      <c r="K18" s="1479" t="s">
        <v>157</v>
      </c>
      <c r="L18" s="388" t="s">
        <v>172</v>
      </c>
      <c r="M18" s="1212"/>
      <c r="N18" s="412">
        <f>'PL項目 17下'!I27</f>
        <v>1.5327036346691518</v>
      </c>
      <c r="O18" s="382" t="str">
        <f t="shared" si="2"/>
        <v>◎</v>
      </c>
      <c r="P18" s="387"/>
      <c r="Q18" s="378"/>
      <c r="R18" s="382" t="str">
        <f>VLOOKUP(Q18,$D$32:$E$36,2,TRUE)</f>
        <v>××</v>
      </c>
      <c r="S18" s="387"/>
      <c r="T18" s="378"/>
      <c r="U18" s="382" t="str">
        <f>VLOOKUP(T18,$D$32:$E$36,2,TRUE)</f>
        <v>××</v>
      </c>
      <c r="V18" s="387"/>
      <c r="W18" s="95"/>
    </row>
    <row r="19" spans="1:23" s="88" customFormat="1" ht="21.95" customHeight="1">
      <c r="B19" s="375"/>
      <c r="C19" s="1534"/>
      <c r="D19" s="383" t="s">
        <v>109</v>
      </c>
      <c r="E19" s="1140">
        <f>'PL項目 17下'!AR11</f>
        <v>1.577581646231518</v>
      </c>
      <c r="F19" s="1008" t="str">
        <f t="shared" si="0"/>
        <v>◎</v>
      </c>
      <c r="G19" s="1227"/>
      <c r="H19" s="1172">
        <f>'PL項目 17下'!AR19</f>
        <v>1.2825085457987737</v>
      </c>
      <c r="I19" s="1011" t="str">
        <f t="shared" si="1"/>
        <v>◎</v>
      </c>
      <c r="J19" s="1208">
        <f>'PL項目 17下'!AR35-0.002</f>
        <v>0.99076643334822057</v>
      </c>
      <c r="K19" s="1486" t="s">
        <v>401</v>
      </c>
      <c r="L19" s="1137" t="s">
        <v>13</v>
      </c>
      <c r="M19" s="1210"/>
      <c r="N19" s="1172">
        <f>'PL項目 17下'!AR27</f>
        <v>1.2732314347512617</v>
      </c>
      <c r="O19" s="1008" t="str">
        <f t="shared" si="2"/>
        <v>◎</v>
      </c>
      <c r="P19" s="374"/>
      <c r="Q19" s="381"/>
      <c r="R19" s="373" t="str">
        <f>VLOOKUP(Q19,$D$32:$E$36,2,TRUE)</f>
        <v>××</v>
      </c>
      <c r="S19" s="374"/>
      <c r="T19" s="381"/>
      <c r="U19" s="373" t="str">
        <f>VLOOKUP(T19,$D$32:$E$36,2,TRUE)</f>
        <v>××</v>
      </c>
      <c r="V19" s="374"/>
      <c r="W19" s="150"/>
    </row>
    <row r="20" spans="1:23" s="88" customFormat="1" ht="21.95" customHeight="1">
      <c r="B20" s="395"/>
      <c r="C20" s="1535"/>
      <c r="D20" s="376"/>
      <c r="E20" s="1143">
        <f>'PL項目 17下'!AX11</f>
        <v>1.8274698619779266</v>
      </c>
      <c r="F20" s="999"/>
      <c r="G20" s="995"/>
      <c r="H20" s="1229">
        <f>'PL項目 17下'!AX19</f>
        <v>1.4791507881548029</v>
      </c>
      <c r="I20" s="1211"/>
      <c r="J20" s="996"/>
      <c r="K20" s="1487" t="s">
        <v>414</v>
      </c>
      <c r="L20" s="1000"/>
      <c r="M20" s="1211"/>
      <c r="N20" s="1229">
        <f>'PL項目 17下'!AX27</f>
        <v>1.7212202729044834</v>
      </c>
      <c r="O20" s="995"/>
      <c r="P20" s="396"/>
      <c r="Q20" s="378"/>
      <c r="R20" s="366"/>
      <c r="S20" s="396"/>
      <c r="T20" s="378"/>
      <c r="U20" s="366"/>
      <c r="V20" s="396"/>
      <c r="W20" s="150"/>
    </row>
    <row r="21" spans="1:23" ht="21.95" customHeight="1">
      <c r="A21" s="88"/>
      <c r="B21" s="395"/>
      <c r="C21" s="1533" t="s">
        <v>330</v>
      </c>
      <c r="D21" s="376" t="s">
        <v>101</v>
      </c>
      <c r="E21" s="1140">
        <f>'PL項目 17下'!AR13</f>
        <v>1.1004842102105261</v>
      </c>
      <c r="F21" s="1008" t="str">
        <f t="shared" ref="F21" si="3">VLOOKUP(E21,$D$32:$E$36,2,TRUE)</f>
        <v>◎</v>
      </c>
      <c r="G21" s="1227"/>
      <c r="H21" s="1172">
        <f>'PL項目 17下'!AR21</f>
        <v>0.41119755528846158</v>
      </c>
      <c r="I21" s="1011" t="str">
        <f t="shared" ref="I21" si="4">VLOOKUP(H21,$D$32:$E$36,2,TRUE)</f>
        <v>××</v>
      </c>
      <c r="J21" s="1208">
        <f>'PL項目 17下'!AR37-0.002</f>
        <v>1.3440486319950169</v>
      </c>
      <c r="K21" s="1486" t="s">
        <v>410</v>
      </c>
      <c r="L21" s="1137" t="s">
        <v>15</v>
      </c>
      <c r="M21" s="1210"/>
      <c r="N21" s="1172">
        <f>'PL項目 17下'!AR29</f>
        <v>0.55349190677572901</v>
      </c>
      <c r="O21" s="1008" t="str">
        <f t="shared" ref="O21" si="5">VLOOKUP(N21,$D$32:$E$36,2,TRUE)</f>
        <v>××</v>
      </c>
      <c r="P21" s="396"/>
      <c r="Q21" s="378"/>
      <c r="R21" s="382" t="str">
        <f>VLOOKUP(Q21,$D$32:$E$36,2,TRUE)</f>
        <v>××</v>
      </c>
      <c r="S21" s="396"/>
      <c r="T21" s="378"/>
      <c r="U21" s="382" t="str">
        <f>VLOOKUP(T21,$D$32:$E$36,2,TRUE)</f>
        <v>××</v>
      </c>
      <c r="V21" s="396"/>
      <c r="W21" s="95"/>
    </row>
    <row r="22" spans="1:23" s="123" customFormat="1" ht="21.95" customHeight="1">
      <c r="B22" s="395"/>
      <c r="C22" s="1535"/>
      <c r="D22" s="389" t="s">
        <v>109</v>
      </c>
      <c r="E22" s="1318" t="s">
        <v>331</v>
      </c>
      <c r="F22" s="999"/>
      <c r="G22" s="995"/>
      <c r="H22" s="1319" t="s">
        <v>353</v>
      </c>
      <c r="I22" s="1211"/>
      <c r="J22" s="996"/>
      <c r="K22" s="1484" t="s">
        <v>329</v>
      </c>
      <c r="L22" s="1000"/>
      <c r="M22" s="1211"/>
      <c r="N22" s="1319" t="s">
        <v>331</v>
      </c>
      <c r="O22" s="995"/>
      <c r="P22" s="397"/>
      <c r="Q22" s="393"/>
      <c r="R22" s="388" t="str">
        <f>VLOOKUP(Q22,$D$32:$E$36,2,TRUE)</f>
        <v>××</v>
      </c>
      <c r="S22" s="397"/>
      <c r="T22" s="393"/>
      <c r="U22" s="388" t="str">
        <f>VLOOKUP(T22,$D$32:$E$36,2,TRUE)</f>
        <v>××</v>
      </c>
      <c r="V22" s="397"/>
      <c r="W22" s="137"/>
    </row>
    <row r="23" spans="1:23" ht="22.15" hidden="1" customHeight="1">
      <c r="A23" s="88"/>
      <c r="B23" s="1536" t="s">
        <v>176</v>
      </c>
      <c r="C23" s="1537"/>
      <c r="D23" s="886" t="s">
        <v>101</v>
      </c>
      <c r="E23" s="887">
        <f>'PL項目 17下'!I6+0.002</f>
        <v>0.8279460884439086</v>
      </c>
      <c r="F23" s="888" t="str">
        <f t="shared" si="0"/>
        <v>××</v>
      </c>
      <c r="G23" s="398"/>
      <c r="H23" s="1231">
        <f>'PL項目 17下'!I14</f>
        <v>0.8509444576175984</v>
      </c>
      <c r="I23" s="1222" t="str">
        <f t="shared" si="1"/>
        <v>××</v>
      </c>
      <c r="J23" s="889">
        <f>'PL項目 17下'!I30</f>
        <v>0.97226842030093319</v>
      </c>
      <c r="K23" s="1435"/>
      <c r="L23" s="890"/>
      <c r="M23" s="1214"/>
      <c r="N23" s="1231">
        <f>'PL項目 17下'!I22</f>
        <v>0.82637415515139589</v>
      </c>
      <c r="O23" s="891" t="str">
        <f t="shared" si="2"/>
        <v>××</v>
      </c>
      <c r="P23" s="396"/>
      <c r="Q23" s="378"/>
      <c r="R23" s="382" t="str">
        <f>VLOOKUP(Q23,$D$32:$E$36,2,TRUE)</f>
        <v>××</v>
      </c>
      <c r="S23" s="396"/>
      <c r="T23" s="378"/>
      <c r="U23" s="382" t="str">
        <f>VLOOKUP(T23,$D$32:$E$36,2,TRUE)</f>
        <v>××</v>
      </c>
      <c r="V23" s="396"/>
      <c r="W23" s="95"/>
    </row>
    <row r="24" spans="1:23" ht="21.95" customHeight="1" thickBot="1">
      <c r="A24" s="88"/>
      <c r="B24" s="1536"/>
      <c r="C24" s="1537"/>
      <c r="D24" s="892" t="s">
        <v>109</v>
      </c>
      <c r="E24" s="1141">
        <f>'PL項目 17下'!AR6</f>
        <v>0.91024538091996432</v>
      </c>
      <c r="F24" s="1009" t="str">
        <f t="shared" si="0"/>
        <v>×</v>
      </c>
      <c r="G24" s="884"/>
      <c r="H24" s="1232">
        <f>'PL項目 17下'!AR14</f>
        <v>0.86750156540269807</v>
      </c>
      <c r="I24" s="1223" t="str">
        <f t="shared" si="1"/>
        <v>××</v>
      </c>
      <c r="J24" s="885">
        <f>'PL項目 17下'!AR30-0.002</f>
        <v>0.95629806996456324</v>
      </c>
      <c r="K24" s="1417" t="s">
        <v>411</v>
      </c>
      <c r="L24" s="893" t="s">
        <v>13</v>
      </c>
      <c r="M24" s="1215"/>
      <c r="N24" s="1232">
        <f>'PL項目 17下'!AR22</f>
        <v>0.83132507581664272</v>
      </c>
      <c r="O24" s="1010" t="str">
        <f t="shared" si="2"/>
        <v>××</v>
      </c>
      <c r="P24" s="402"/>
      <c r="Q24" s="400"/>
      <c r="R24" s="401" t="str">
        <f>VLOOKUP(Q24,$D$32:$E$36,2,TRUE)</f>
        <v>××</v>
      </c>
      <c r="S24" s="402"/>
      <c r="T24" s="400"/>
      <c r="U24" s="401" t="str">
        <f>VLOOKUP(T24,$D$32:$E$36,2,TRUE)</f>
        <v>××</v>
      </c>
      <c r="V24" s="402"/>
      <c r="W24" s="95"/>
    </row>
    <row r="25" spans="1:23" ht="21.95" customHeight="1" thickBot="1">
      <c r="A25" s="88"/>
      <c r="B25" s="1538"/>
      <c r="C25" s="1539"/>
      <c r="D25" s="894"/>
      <c r="E25" s="1216">
        <f>'PL項目 17下'!AX6</f>
        <v>1.2136278180091342</v>
      </c>
      <c r="F25" s="1217"/>
      <c r="G25" s="1001"/>
      <c r="H25" s="1201">
        <f>'PL項目 17下'!AX14</f>
        <v>1.2448895456561138</v>
      </c>
      <c r="I25" s="1224"/>
      <c r="J25" s="1002"/>
      <c r="K25" s="1418" t="s">
        <v>415</v>
      </c>
      <c r="L25" s="1003"/>
      <c r="M25" s="1218"/>
      <c r="N25" s="1201">
        <f>'PL項目 17下'!AX22</f>
        <v>1.3508974740230542</v>
      </c>
      <c r="O25" s="1004"/>
      <c r="P25" s="402"/>
      <c r="Q25" s="400"/>
      <c r="R25" s="401"/>
      <c r="S25" s="402"/>
      <c r="T25" s="400"/>
      <c r="U25" s="401"/>
      <c r="V25" s="402"/>
      <c r="W25" s="95"/>
    </row>
    <row r="26" spans="1:23" s="180" customFormat="1" ht="5.25" customHeight="1">
      <c r="A26" s="177"/>
      <c r="B26" s="177"/>
      <c r="C26" s="162"/>
      <c r="D26" s="162"/>
      <c r="E26" s="178"/>
      <c r="F26" s="162"/>
      <c r="G26" s="162"/>
      <c r="H26" s="1323"/>
      <c r="I26" s="162"/>
      <c r="J26" s="179"/>
      <c r="K26" s="179"/>
      <c r="L26" s="162"/>
      <c r="M26" s="162"/>
      <c r="N26" s="179"/>
      <c r="O26" s="162"/>
      <c r="P26" s="162"/>
      <c r="Q26" s="177"/>
    </row>
    <row r="27" spans="1:23" ht="11.25" customHeight="1">
      <c r="A27" s="88"/>
      <c r="B27" s="88"/>
      <c r="C27" s="88"/>
      <c r="D27" s="88"/>
      <c r="E27" s="88"/>
      <c r="F27" s="88"/>
      <c r="G27" s="88"/>
      <c r="H27" s="88"/>
      <c r="I27" s="88"/>
      <c r="L27" s="88"/>
      <c r="M27" s="88"/>
      <c r="O27" s="88"/>
      <c r="P27" s="88"/>
      <c r="Q27" s="88"/>
    </row>
    <row r="28" spans="1:23">
      <c r="A28" s="88"/>
      <c r="B28" s="88" t="s">
        <v>322</v>
      </c>
      <c r="C28" s="88"/>
      <c r="D28" s="88"/>
      <c r="E28" s="88"/>
      <c r="F28" s="88"/>
      <c r="G28" s="88"/>
      <c r="H28" s="88"/>
      <c r="I28" s="88"/>
      <c r="L28" s="88"/>
      <c r="M28" s="88"/>
      <c r="O28" s="88"/>
      <c r="P28" s="88"/>
      <c r="Q28" s="88"/>
    </row>
    <row r="29" spans="1:23">
      <c r="A29" s="88"/>
      <c r="B29" s="88" t="s">
        <v>83</v>
      </c>
      <c r="C29" s="88"/>
      <c r="D29" s="88"/>
      <c r="E29" s="88"/>
      <c r="F29" s="88"/>
      <c r="G29" s="88"/>
      <c r="H29" s="88"/>
      <c r="I29" s="88"/>
      <c r="L29" s="88"/>
      <c r="M29" s="88"/>
      <c r="O29" s="88"/>
      <c r="P29" s="88"/>
      <c r="Q29" s="88"/>
    </row>
    <row r="30" spans="1:23">
      <c r="A30" s="88"/>
      <c r="B30" s="88"/>
      <c r="C30" s="88"/>
      <c r="D30" s="88"/>
      <c r="E30" s="88"/>
      <c r="F30" s="88"/>
      <c r="G30" s="88"/>
      <c r="H30" s="88"/>
      <c r="I30" s="88"/>
      <c r="L30" s="88"/>
      <c r="M30" s="88"/>
      <c r="O30" s="88"/>
      <c r="P30" s="88"/>
      <c r="Q30" s="88"/>
    </row>
    <row r="31" spans="1:23">
      <c r="A31" s="88"/>
      <c r="B31" s="88"/>
      <c r="C31" s="88"/>
      <c r="D31" s="88"/>
      <c r="E31" s="88"/>
      <c r="F31" s="88"/>
      <c r="G31" s="88"/>
      <c r="H31" s="88"/>
      <c r="I31" s="88"/>
      <c r="L31" s="88"/>
      <c r="M31" s="88"/>
      <c r="O31" s="88"/>
      <c r="P31" s="88"/>
      <c r="Q31" s="88"/>
    </row>
    <row r="32" spans="1:23">
      <c r="D32" s="181">
        <v>0</v>
      </c>
      <c r="E32" s="89" t="s">
        <v>103</v>
      </c>
    </row>
    <row r="33" spans="3:5">
      <c r="D33" s="181">
        <v>0.9</v>
      </c>
      <c r="E33" s="89" t="s">
        <v>104</v>
      </c>
    </row>
    <row r="34" spans="3:5">
      <c r="D34" s="181">
        <v>0.95</v>
      </c>
      <c r="E34" s="89" t="s">
        <v>105</v>
      </c>
    </row>
    <row r="35" spans="3:5">
      <c r="D35" s="181">
        <v>1</v>
      </c>
      <c r="E35" s="89" t="s">
        <v>106</v>
      </c>
    </row>
    <row r="36" spans="3:5">
      <c r="D36" s="181">
        <v>1.1000000000000001</v>
      </c>
      <c r="E36" s="89" t="s">
        <v>107</v>
      </c>
    </row>
    <row r="37" spans="3:5">
      <c r="C37" s="181"/>
      <c r="D37" s="181"/>
    </row>
    <row r="38" spans="3:5">
      <c r="C38" s="181"/>
      <c r="D38" s="181"/>
    </row>
  </sheetData>
  <mergeCells count="13">
    <mergeCell ref="C18:C20"/>
    <mergeCell ref="B23:C25"/>
    <mergeCell ref="C16:C17"/>
    <mergeCell ref="T5:V5"/>
    <mergeCell ref="Q5:S5"/>
    <mergeCell ref="E5:G5"/>
    <mergeCell ref="H5:I5"/>
    <mergeCell ref="J5:M5"/>
    <mergeCell ref="N5:P5"/>
    <mergeCell ref="C21:C22"/>
    <mergeCell ref="C7:C9"/>
    <mergeCell ref="C10:C12"/>
    <mergeCell ref="C13:C15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  <pageSetUpPr fitToPage="1"/>
  </sheetPr>
  <dimension ref="A1:M53"/>
  <sheetViews>
    <sheetView zoomScaleNormal="100" workbookViewId="0">
      <selection activeCell="J18" sqref="J18"/>
    </sheetView>
  </sheetViews>
  <sheetFormatPr defaultColWidth="9" defaultRowHeight="15.75"/>
  <cols>
    <col min="1" max="1" width="2.625" style="89" customWidth="1"/>
    <col min="2" max="2" width="5.5" style="89" customWidth="1"/>
    <col min="3" max="3" width="23.375" style="89" customWidth="1"/>
    <col min="4" max="4" width="15.375" style="89" hidden="1" customWidth="1"/>
    <col min="5" max="5" width="17.875" style="89" customWidth="1"/>
    <col min="6" max="6" width="14.375" style="89" customWidth="1"/>
    <col min="7" max="7" width="17.875" style="89" customWidth="1"/>
    <col min="8" max="8" width="14.375" style="89" customWidth="1"/>
    <col min="9" max="9" width="17.875" style="184" customWidth="1"/>
    <col min="10" max="10" width="14.375" style="89" customWidth="1"/>
    <col min="11" max="11" width="17.875" style="89" customWidth="1"/>
    <col min="12" max="12" width="14.375" style="89" customWidth="1"/>
    <col min="13" max="13" width="3.625" style="89" customWidth="1"/>
    <col min="14" max="16384" width="9" style="89"/>
  </cols>
  <sheetData>
    <row r="1" spans="1:13" ht="19.5" customHeight="1">
      <c r="A1" s="88"/>
      <c r="B1" s="182" t="s">
        <v>378</v>
      </c>
      <c r="C1" s="88"/>
      <c r="D1" s="88"/>
      <c r="E1" s="88"/>
      <c r="F1" s="183"/>
      <c r="G1" s="183"/>
      <c r="H1" s="88"/>
      <c r="J1" s="88"/>
      <c r="L1" s="88"/>
      <c r="M1" s="88"/>
    </row>
    <row r="2" spans="1:13" ht="15.95" customHeight="1">
      <c r="A2" s="88"/>
      <c r="B2" s="182"/>
      <c r="C2" s="88"/>
      <c r="D2" s="88"/>
      <c r="E2" s="88"/>
      <c r="F2" s="183"/>
      <c r="G2" s="183"/>
      <c r="H2" s="88"/>
      <c r="J2" s="88"/>
      <c r="L2" s="88"/>
      <c r="M2" s="88"/>
    </row>
    <row r="3" spans="1:13" ht="15.95" customHeight="1" thickBot="1">
      <c r="A3" s="88"/>
      <c r="B3" s="88"/>
      <c r="C3" s="88"/>
      <c r="D3" s="88"/>
      <c r="E3" s="183" t="s">
        <v>89</v>
      </c>
      <c r="F3" s="183"/>
      <c r="G3" s="183"/>
      <c r="H3" s="88"/>
      <c r="J3" s="88"/>
      <c r="L3" s="88"/>
      <c r="M3" s="88"/>
    </row>
    <row r="4" spans="1:13" ht="38.1" customHeight="1">
      <c r="A4" s="88"/>
      <c r="B4" s="1549" t="s">
        <v>178</v>
      </c>
      <c r="C4" s="1550"/>
      <c r="D4" s="364"/>
      <c r="E4" s="1543" t="s">
        <v>162</v>
      </c>
      <c r="F4" s="1544"/>
      <c r="G4" s="1545" t="s">
        <v>163</v>
      </c>
      <c r="H4" s="1546"/>
      <c r="I4" s="1541" t="s">
        <v>164</v>
      </c>
      <c r="J4" s="1541"/>
      <c r="K4" s="1545" t="s">
        <v>165</v>
      </c>
      <c r="L4" s="1542"/>
      <c r="M4" s="150"/>
    </row>
    <row r="5" spans="1:13" ht="38.1" customHeight="1" thickBot="1">
      <c r="A5" s="88"/>
      <c r="B5" s="1551"/>
      <c r="C5" s="1552"/>
      <c r="D5" s="403"/>
      <c r="E5" s="1206" t="s">
        <v>333</v>
      </c>
      <c r="F5" s="404" t="s">
        <v>179</v>
      </c>
      <c r="G5" s="1207" t="str">
        <f>E5</f>
        <v>遂行率
        前年同月比</v>
      </c>
      <c r="H5" s="405" t="str">
        <f>F5</f>
        <v>遂行状況</v>
      </c>
      <c r="I5" s="1206" t="str">
        <f>E5</f>
        <v>遂行率
        前年同月比</v>
      </c>
      <c r="J5" s="406" t="str">
        <f>F5</f>
        <v>遂行状況</v>
      </c>
      <c r="K5" s="1207" t="str">
        <f>E5</f>
        <v>遂行率
        前年同月比</v>
      </c>
      <c r="L5" s="407" t="str">
        <f>F5</f>
        <v>遂行状況</v>
      </c>
      <c r="M5" s="150"/>
    </row>
    <row r="6" spans="1:13" ht="20.100000000000001" hidden="1" customHeight="1">
      <c r="A6" s="88"/>
      <c r="B6" s="375"/>
      <c r="C6" s="1553" t="s">
        <v>168</v>
      </c>
      <c r="D6" s="372" t="s">
        <v>180</v>
      </c>
      <c r="E6" s="384">
        <v>0.74</v>
      </c>
      <c r="F6" s="408" t="str">
        <f t="shared" ref="F6:F15" si="0">VLOOKUP(E6,$D$35:$E$39,2,TRUE)</f>
        <v>××</v>
      </c>
      <c r="G6" s="409">
        <v>0.74</v>
      </c>
      <c r="H6" s="410" t="str">
        <f t="shared" ref="H6:H13" si="1">VLOOKUP(G6,$D$35:$E$39,2,TRUE)</f>
        <v>××</v>
      </c>
      <c r="I6" s="384">
        <v>1.1000000000000001</v>
      </c>
      <c r="J6" s="408" t="str">
        <f>VLOOKUP(I6,$D$35:$E$39,2,TRUE)</f>
        <v>◎</v>
      </c>
      <c r="K6" s="409">
        <v>0.81</v>
      </c>
      <c r="L6" s="371" t="str">
        <f t="shared" ref="L6:L13" si="2">VLOOKUP(K6,$D$35:$E$39,2,TRUE)</f>
        <v>××</v>
      </c>
      <c r="M6" s="150"/>
    </row>
    <row r="7" spans="1:13" ht="21.95" customHeight="1">
      <c r="A7" s="88"/>
      <c r="B7" s="375"/>
      <c r="C7" s="1534"/>
      <c r="D7" s="411" t="s">
        <v>181</v>
      </c>
      <c r="E7" s="1140">
        <f>'PL項目 17下'!AA8</f>
        <v>1.0010042714285714</v>
      </c>
      <c r="F7" s="953" t="str">
        <f>VLOOKUP(E7,$D$35:$E$39,2,TRUE)</f>
        <v>○</v>
      </c>
      <c r="G7" s="1172">
        <f>'PL項目 17下'!AA16</f>
        <v>0.92467629493087578</v>
      </c>
      <c r="H7" s="1013" t="str">
        <f t="shared" si="1"/>
        <v>×</v>
      </c>
      <c r="I7" s="1480" t="s">
        <v>400</v>
      </c>
      <c r="J7" s="953" t="s">
        <v>13</v>
      </c>
      <c r="K7" s="1172">
        <f>'PL項目 17下'!AA24</f>
        <v>0.89737160954842843</v>
      </c>
      <c r="L7" s="1173" t="str">
        <f t="shared" si="2"/>
        <v>××</v>
      </c>
      <c r="M7" s="150"/>
    </row>
    <row r="8" spans="1:13" ht="21.95" customHeight="1">
      <c r="A8" s="88"/>
      <c r="B8" s="375"/>
      <c r="C8" s="1535"/>
      <c r="D8" s="413"/>
      <c r="E8" s="1174">
        <f>'PL項目 17下'!AC8</f>
        <v>1.1158612299779458</v>
      </c>
      <c r="F8" s="1175"/>
      <c r="G8" s="1176">
        <f>'PL項目 17下'!AC16</f>
        <v>1.0647575029407768</v>
      </c>
      <c r="H8" s="1177"/>
      <c r="I8" s="1483" t="s">
        <v>351</v>
      </c>
      <c r="J8" s="1175"/>
      <c r="K8" s="1176">
        <f>'PL項目 17下'!AC24</f>
        <v>1.2762932853904103</v>
      </c>
      <c r="L8" s="1178"/>
      <c r="M8" s="150"/>
    </row>
    <row r="9" spans="1:13" ht="20.100000000000001" hidden="1" customHeight="1">
      <c r="A9" s="88"/>
      <c r="B9" s="375"/>
      <c r="C9" s="1533" t="s">
        <v>171</v>
      </c>
      <c r="D9" s="372" t="s">
        <v>180</v>
      </c>
      <c r="E9" s="1179"/>
      <c r="F9" s="1180" t="str">
        <f t="shared" si="0"/>
        <v>××</v>
      </c>
      <c r="G9" s="1181"/>
      <c r="H9" s="1182" t="str">
        <f t="shared" si="1"/>
        <v>××</v>
      </c>
      <c r="I9" s="1204"/>
      <c r="J9" s="1180"/>
      <c r="K9" s="1181"/>
      <c r="L9" s="1183" t="str">
        <f t="shared" si="2"/>
        <v>××</v>
      </c>
      <c r="M9" s="150"/>
    </row>
    <row r="10" spans="1:13" ht="21.95" customHeight="1">
      <c r="A10" s="88"/>
      <c r="B10" s="375"/>
      <c r="C10" s="1534"/>
      <c r="D10" s="413" t="s">
        <v>181</v>
      </c>
      <c r="E10" s="1140">
        <f>'PL項目 17下'!AA9</f>
        <v>1.0289830502654866</v>
      </c>
      <c r="F10" s="953" t="str">
        <f t="shared" si="0"/>
        <v>○</v>
      </c>
      <c r="G10" s="1172">
        <f>'PL項目 17下'!AA17</f>
        <v>1.1384832328434782</v>
      </c>
      <c r="H10" s="1184" t="str">
        <f t="shared" si="1"/>
        <v>◎</v>
      </c>
      <c r="I10" s="1481" t="s">
        <v>397</v>
      </c>
      <c r="J10" s="953" t="s">
        <v>13</v>
      </c>
      <c r="K10" s="1172">
        <f>'PL項目 17下'!AA25</f>
        <v>1.0181564402810306</v>
      </c>
      <c r="L10" s="1185" t="str">
        <f t="shared" si="2"/>
        <v>○</v>
      </c>
      <c r="M10" s="150"/>
    </row>
    <row r="11" spans="1:13" ht="21.95" customHeight="1">
      <c r="A11" s="88"/>
      <c r="B11" s="375"/>
      <c r="C11" s="1535"/>
      <c r="D11" s="413"/>
      <c r="E11" s="1174">
        <f>'PL項目 17下'!AC9</f>
        <v>1.2779855234653468</v>
      </c>
      <c r="F11" s="1175"/>
      <c r="G11" s="1176">
        <f>'PL項目 17下'!AC17</f>
        <v>1.2206761334687097</v>
      </c>
      <c r="H11" s="1177"/>
      <c r="I11" s="1483" t="s">
        <v>403</v>
      </c>
      <c r="J11" s="1175"/>
      <c r="K11" s="1176">
        <f>'PL項目 17下'!AC25</f>
        <v>1.3199325996204934</v>
      </c>
      <c r="L11" s="1178"/>
      <c r="M11" s="150"/>
    </row>
    <row r="12" spans="1:13" ht="20.100000000000001" hidden="1" customHeight="1">
      <c r="A12" s="88"/>
      <c r="B12" s="375"/>
      <c r="C12" s="1533" t="s">
        <v>173</v>
      </c>
      <c r="D12" s="372" t="s">
        <v>180</v>
      </c>
      <c r="E12" s="1179"/>
      <c r="F12" s="1180" t="str">
        <f t="shared" si="0"/>
        <v>××</v>
      </c>
      <c r="G12" s="1181"/>
      <c r="H12" s="1182" t="str">
        <f t="shared" si="1"/>
        <v>××</v>
      </c>
      <c r="I12" s="1204"/>
      <c r="J12" s="1180" t="s">
        <v>172</v>
      </c>
      <c r="K12" s="1181"/>
      <c r="L12" s="1183" t="str">
        <f t="shared" si="2"/>
        <v>××</v>
      </c>
      <c r="M12" s="150"/>
    </row>
    <row r="13" spans="1:13" ht="21.95" customHeight="1">
      <c r="A13" s="88"/>
      <c r="B13" s="375"/>
      <c r="C13" s="1534"/>
      <c r="D13" s="411" t="s">
        <v>181</v>
      </c>
      <c r="E13" s="1140">
        <f>'PL項目 17下'!AA7</f>
        <v>1.0120130086631014</v>
      </c>
      <c r="F13" s="953" t="str">
        <f t="shared" si="0"/>
        <v>○</v>
      </c>
      <c r="G13" s="1172">
        <f>'PL項目 17下'!AA15</f>
        <v>1.0019559285106383</v>
      </c>
      <c r="H13" s="1184" t="str">
        <f t="shared" si="1"/>
        <v>○</v>
      </c>
      <c r="I13" s="1481" t="s">
        <v>398</v>
      </c>
      <c r="J13" s="953" t="s">
        <v>13</v>
      </c>
      <c r="K13" s="1172">
        <f>'PL項目 17下'!AA23</f>
        <v>0.98776791414721155</v>
      </c>
      <c r="L13" s="1173" t="str">
        <f t="shared" si="2"/>
        <v>△</v>
      </c>
      <c r="M13" s="150"/>
    </row>
    <row r="14" spans="1:13" ht="21.95" customHeight="1">
      <c r="A14" s="88"/>
      <c r="B14" s="375"/>
      <c r="C14" s="1535"/>
      <c r="D14" s="413"/>
      <c r="E14" s="1174">
        <f>'PL項目 17下'!AC7</f>
        <v>0.96066483991708984</v>
      </c>
      <c r="F14" s="1175"/>
      <c r="G14" s="1176">
        <f>'PL項目 17下'!AC15</f>
        <v>0.95327792840101622</v>
      </c>
      <c r="H14" s="1177"/>
      <c r="I14" s="1483" t="s">
        <v>404</v>
      </c>
      <c r="J14" s="1175"/>
      <c r="K14" s="1176">
        <f>'PL項目 17下'!AC23</f>
        <v>1.3628480046050948</v>
      </c>
      <c r="L14" s="1178"/>
      <c r="M14" s="150"/>
    </row>
    <row r="15" spans="1:13" ht="20.100000000000001" hidden="1" customHeight="1">
      <c r="A15" s="88"/>
      <c r="B15" s="375"/>
      <c r="C15" s="1547" t="s">
        <v>174</v>
      </c>
      <c r="D15" s="372" t="s">
        <v>180</v>
      </c>
      <c r="E15" s="1179">
        <v>0.67200000000000004</v>
      </c>
      <c r="F15" s="1180" t="str">
        <f t="shared" si="0"/>
        <v>××</v>
      </c>
      <c r="G15" s="1186"/>
      <c r="H15" s="1187"/>
      <c r="I15" s="1204"/>
      <c r="J15" s="1188"/>
      <c r="K15" s="1186"/>
      <c r="L15" s="1189"/>
      <c r="M15" s="150"/>
    </row>
    <row r="16" spans="1:13" ht="20.100000000000001" hidden="1" customHeight="1">
      <c r="A16" s="88"/>
      <c r="B16" s="375"/>
      <c r="C16" s="1556"/>
      <c r="D16" s="413" t="s">
        <v>181</v>
      </c>
      <c r="E16" s="1190" t="s">
        <v>137</v>
      </c>
      <c r="F16" s="1180" t="s">
        <v>12</v>
      </c>
      <c r="G16" s="1191">
        <f>'PL項目 17下'!AM18</f>
        <v>1.0727768069896744</v>
      </c>
      <c r="H16" s="1182" t="str">
        <f t="shared" ref="H16:H22" si="3">VLOOKUP(G16,$D$35:$E$39,2,TRUE)</f>
        <v>○</v>
      </c>
      <c r="I16" s="1205" t="s">
        <v>182</v>
      </c>
      <c r="J16" s="1180" t="s">
        <v>13</v>
      </c>
      <c r="K16" s="1191">
        <f>'PL項目 17下'!AM26</f>
        <v>8.1558170713540903E-3</v>
      </c>
      <c r="L16" s="1183" t="str">
        <f t="shared" ref="L16:L22" si="4">VLOOKUP(K16,$D$35:$E$39,2,TRUE)</f>
        <v>××</v>
      </c>
      <c r="M16" s="150"/>
    </row>
    <row r="17" spans="1:13" ht="20.100000000000001" hidden="1" customHeight="1">
      <c r="A17" s="88"/>
      <c r="B17" s="395"/>
      <c r="C17" s="1533" t="s">
        <v>175</v>
      </c>
      <c r="D17" s="372" t="s">
        <v>180</v>
      </c>
      <c r="E17" s="1179"/>
      <c r="F17" s="1180" t="str">
        <f>VLOOKUP(E17,$D$35:$E$39,2,TRUE)</f>
        <v>××</v>
      </c>
      <c r="G17" s="1181" t="e">
        <f>#REF!</f>
        <v>#REF!</v>
      </c>
      <c r="H17" s="1182" t="e">
        <f t="shared" si="3"/>
        <v>#REF!</v>
      </c>
      <c r="I17" s="1204"/>
      <c r="J17" s="1180"/>
      <c r="K17" s="1181" t="e">
        <f>#REF!</f>
        <v>#REF!</v>
      </c>
      <c r="L17" s="1183" t="e">
        <f t="shared" si="4"/>
        <v>#REF!</v>
      </c>
      <c r="M17" s="150"/>
    </row>
    <row r="18" spans="1:13" ht="21.95" customHeight="1">
      <c r="A18" s="88"/>
      <c r="B18" s="395"/>
      <c r="C18" s="1534"/>
      <c r="D18" s="413" t="s">
        <v>181</v>
      </c>
      <c r="E18" s="1140">
        <f>'PL項目 17下'!AA11</f>
        <v>1.3907255108359131</v>
      </c>
      <c r="F18" s="1192" t="str">
        <f>VLOOKUP(E18,$D$35:$E$39,2,TRUE)</f>
        <v>◎</v>
      </c>
      <c r="G18" s="1172">
        <f>'PL項目 17下'!AA19</f>
        <v>1.1032465714285715</v>
      </c>
      <c r="H18" s="1193" t="str">
        <f t="shared" si="3"/>
        <v>◎</v>
      </c>
      <c r="I18" s="1482" t="s">
        <v>399</v>
      </c>
      <c r="J18" s="953" t="s">
        <v>15</v>
      </c>
      <c r="K18" s="1172">
        <f>'PL項目 17下'!AA27</f>
        <v>1.1565836606441475</v>
      </c>
      <c r="L18" s="1185" t="str">
        <f t="shared" si="4"/>
        <v>◎</v>
      </c>
      <c r="M18" s="150"/>
    </row>
    <row r="19" spans="1:13" ht="21.95" customHeight="1">
      <c r="A19" s="88"/>
      <c r="B19" s="395"/>
      <c r="C19" s="1535"/>
      <c r="D19" s="413"/>
      <c r="E19" s="1174">
        <f>'PL項目 17下'!AC11</f>
        <v>1.1985494276795006</v>
      </c>
      <c r="F19" s="1175"/>
      <c r="G19" s="1176">
        <f>'PL項目 17下'!AC19</f>
        <v>1.3147303370786518</v>
      </c>
      <c r="H19" s="1182"/>
      <c r="I19" s="1483" t="s">
        <v>405</v>
      </c>
      <c r="J19" s="1175"/>
      <c r="K19" s="1176">
        <f>'PL項目 17下'!AC27</f>
        <v>5.5982167300380228</v>
      </c>
      <c r="L19" s="1178"/>
      <c r="M19" s="150"/>
    </row>
    <row r="20" spans="1:13" ht="21.95" customHeight="1">
      <c r="A20" s="88"/>
      <c r="B20" s="414"/>
      <c r="C20" s="1533" t="s">
        <v>328</v>
      </c>
      <c r="D20" s="372" t="s">
        <v>180</v>
      </c>
      <c r="E20" s="1140">
        <f>'PL項目 17下'!AA13</f>
        <v>0.78870617814000865</v>
      </c>
      <c r="F20" s="1192" t="str">
        <f>VLOOKUP(E20,$D$35:$E$39,2,TRUE)</f>
        <v>××</v>
      </c>
      <c r="G20" s="1172">
        <f>'PL項目 17下'!AA21</f>
        <v>0.65555759018494775</v>
      </c>
      <c r="H20" s="1193" t="str">
        <f t="shared" ref="H20" si="5">VLOOKUP(G20,$D$35:$E$39,2,TRUE)</f>
        <v>××</v>
      </c>
      <c r="I20" s="1482" t="s">
        <v>401</v>
      </c>
      <c r="J20" s="953" t="s">
        <v>13</v>
      </c>
      <c r="K20" s="1172">
        <f>'PL項目 17下'!AA29</f>
        <v>0.63797990600012211</v>
      </c>
      <c r="L20" s="1185" t="str">
        <f t="shared" ref="L20" si="6">VLOOKUP(K20,$D$35:$E$39,2,TRUE)</f>
        <v>××</v>
      </c>
      <c r="M20" s="150"/>
    </row>
    <row r="21" spans="1:13" ht="21.95" customHeight="1">
      <c r="A21" s="88"/>
      <c r="B21" s="414"/>
      <c r="C21" s="1535"/>
      <c r="D21" s="415"/>
      <c r="E21" s="1317" t="s">
        <v>331</v>
      </c>
      <c r="F21" s="1175"/>
      <c r="G21" s="1316" t="s">
        <v>331</v>
      </c>
      <c r="H21" s="1182"/>
      <c r="I21" s="1484" t="s">
        <v>329</v>
      </c>
      <c r="J21" s="1175"/>
      <c r="K21" s="1316" t="s">
        <v>331</v>
      </c>
      <c r="L21" s="1178"/>
      <c r="M21" s="150"/>
    </row>
    <row r="22" spans="1:13" ht="21.95" customHeight="1" thickBot="1">
      <c r="A22" s="88"/>
      <c r="B22" s="1536" t="s">
        <v>79</v>
      </c>
      <c r="C22" s="1537"/>
      <c r="D22" s="399" t="s">
        <v>181</v>
      </c>
      <c r="E22" s="1194">
        <f>'PL項目 17下'!AA6</f>
        <v>1.0122455900989811</v>
      </c>
      <c r="F22" s="1195" t="str">
        <f>VLOOKUP(E22,$D$35:$E$39,2,TRUE)</f>
        <v>○</v>
      </c>
      <c r="G22" s="1196">
        <f>'PL項目 17下'!AA14</f>
        <v>1.0060349544825193</v>
      </c>
      <c r="H22" s="1197" t="str">
        <f t="shared" si="3"/>
        <v>○</v>
      </c>
      <c r="I22" s="1415" t="s">
        <v>402</v>
      </c>
      <c r="J22" s="1195" t="s">
        <v>13</v>
      </c>
      <c r="K22" s="1196">
        <f>'PL項目 17下'!AA22</f>
        <v>0.93903719320037782</v>
      </c>
      <c r="L22" s="1198" t="str">
        <f t="shared" si="4"/>
        <v>×</v>
      </c>
      <c r="M22" s="150"/>
    </row>
    <row r="23" spans="1:13" ht="21.95" customHeight="1" thickBot="1">
      <c r="A23" s="88"/>
      <c r="B23" s="1554"/>
      <c r="C23" s="1555"/>
      <c r="D23" s="399"/>
      <c r="E23" s="1199">
        <f>'PL項目 17下'!AC6</f>
        <v>1.1430503688661264</v>
      </c>
      <c r="F23" s="1200"/>
      <c r="G23" s="1201">
        <f>'PL項目 17下'!AC14</f>
        <v>1.0969018220049671</v>
      </c>
      <c r="H23" s="1202"/>
      <c r="I23" s="1416" t="s">
        <v>406</v>
      </c>
      <c r="J23" s="1200"/>
      <c r="K23" s="1201">
        <f>'PL項目 17下'!AC22</f>
        <v>1.3195637364401309</v>
      </c>
      <c r="L23" s="1203"/>
      <c r="M23" s="177"/>
    </row>
    <row r="24" spans="1:13" s="123" customFormat="1" ht="15" customHeight="1">
      <c r="A24" s="88"/>
      <c r="B24" s="194"/>
      <c r="C24" s="194"/>
      <c r="D24" s="194"/>
      <c r="E24" s="195"/>
      <c r="F24" s="194"/>
      <c r="G24" s="195"/>
      <c r="H24" s="194"/>
      <c r="I24" s="195"/>
      <c r="J24" s="194"/>
      <c r="K24" s="195"/>
      <c r="L24" s="194"/>
      <c r="M24" s="196"/>
    </row>
    <row r="25" spans="1:13" s="123" customFormat="1" ht="17.25" hidden="1" customHeight="1" thickBot="1">
      <c r="A25" s="88"/>
      <c r="B25" s="1548" t="s">
        <v>93</v>
      </c>
      <c r="C25" s="1548"/>
      <c r="D25" s="194"/>
      <c r="E25" s="195"/>
      <c r="F25" s="194"/>
      <c r="G25" s="195"/>
      <c r="H25" s="194"/>
      <c r="I25" s="195"/>
      <c r="J25" s="194"/>
      <c r="K25" s="195"/>
      <c r="L25" s="194"/>
      <c r="M25" s="196"/>
    </row>
    <row r="26" spans="1:13" s="123" customFormat="1" ht="38.1" hidden="1" customHeight="1">
      <c r="A26" s="88"/>
      <c r="B26" s="197"/>
      <c r="C26" s="198"/>
      <c r="D26" s="185"/>
      <c r="E26" s="1548" t="s">
        <v>5</v>
      </c>
      <c r="F26" s="1548"/>
      <c r="G26" s="1548" t="s">
        <v>4</v>
      </c>
      <c r="H26" s="1548"/>
      <c r="I26" s="1548" t="s">
        <v>7</v>
      </c>
      <c r="J26" s="1548"/>
      <c r="K26" s="1548" t="s">
        <v>18</v>
      </c>
      <c r="L26" s="1548"/>
      <c r="M26" s="196"/>
    </row>
    <row r="27" spans="1:13" s="123" customFormat="1" ht="38.1" hidden="1" customHeight="1" thickBot="1">
      <c r="A27" s="88"/>
      <c r="B27" s="1548" t="s">
        <v>96</v>
      </c>
      <c r="C27" s="1548"/>
      <c r="D27" s="186"/>
      <c r="E27" s="187" t="s">
        <v>32</v>
      </c>
      <c r="F27" s="188" t="s">
        <v>31</v>
      </c>
      <c r="G27" s="189" t="s">
        <v>19</v>
      </c>
      <c r="H27" s="190" t="s">
        <v>30</v>
      </c>
      <c r="I27" s="191" t="s">
        <v>84</v>
      </c>
      <c r="J27" s="192" t="s">
        <v>30</v>
      </c>
      <c r="K27" s="189" t="s">
        <v>19</v>
      </c>
      <c r="L27" s="193" t="s">
        <v>30</v>
      </c>
      <c r="M27" s="196"/>
    </row>
    <row r="28" spans="1:13" s="123" customFormat="1" ht="38.1" hidden="1" customHeight="1">
      <c r="A28" s="88"/>
      <c r="B28" s="1548" t="s">
        <v>91</v>
      </c>
      <c r="C28" s="1548"/>
      <c r="D28" s="199"/>
      <c r="E28" s="200">
        <v>1.0269999999999999</v>
      </c>
      <c r="F28" s="201" t="str">
        <f>VLOOKUP(E28,$D$35:$E$39,2,TRUE)</f>
        <v>○</v>
      </c>
      <c r="G28" s="202">
        <v>1.0129999999999999</v>
      </c>
      <c r="H28" s="203" t="str">
        <f>VLOOKUP(G28,$D$35:$E$39,2,TRUE)</f>
        <v>○</v>
      </c>
      <c r="I28" s="204" t="s">
        <v>94</v>
      </c>
      <c r="J28" s="201" t="s">
        <v>90</v>
      </c>
      <c r="K28" s="202">
        <v>1.0249999999999999</v>
      </c>
      <c r="L28" s="205" t="str">
        <f>VLOOKUP(K28,$D$35:$E$39,2,TRUE)</f>
        <v>○</v>
      </c>
      <c r="M28" s="196"/>
    </row>
    <row r="29" spans="1:13" s="123" customFormat="1" ht="38.1" hidden="1" customHeight="1" thickBot="1">
      <c r="A29" s="88"/>
      <c r="B29" s="1548" t="s">
        <v>92</v>
      </c>
      <c r="C29" s="1548"/>
      <c r="D29" s="206"/>
      <c r="E29" s="207">
        <v>1.0149999999999999</v>
      </c>
      <c r="F29" s="208" t="str">
        <f>VLOOKUP(E29,$D$35:$E$39,2,TRUE)</f>
        <v>○</v>
      </c>
      <c r="G29" s="209">
        <v>1.0269999999999999</v>
      </c>
      <c r="H29" s="210" t="str">
        <f>VLOOKUP(G29,$D$35:$E$39,2,TRUE)</f>
        <v>○</v>
      </c>
      <c r="I29" s="211" t="s">
        <v>95</v>
      </c>
      <c r="J29" s="212" t="s">
        <v>85</v>
      </c>
      <c r="K29" s="209">
        <v>0.68100000000000005</v>
      </c>
      <c r="L29" s="213" t="str">
        <f>VLOOKUP(K29,$D$35:$E$39,2,TRUE)</f>
        <v>××</v>
      </c>
      <c r="M29" s="196"/>
    </row>
    <row r="30" spans="1:13" hidden="1">
      <c r="A30" s="88"/>
      <c r="B30" s="88"/>
      <c r="C30" s="88"/>
      <c r="D30" s="88"/>
      <c r="E30" s="88"/>
      <c r="F30" s="88"/>
      <c r="G30" s="88"/>
      <c r="H30" s="88"/>
      <c r="I30" s="214"/>
      <c r="J30" s="88"/>
      <c r="K30" s="88"/>
      <c r="L30" s="88"/>
      <c r="M30" s="88"/>
    </row>
    <row r="31" spans="1:13">
      <c r="A31" s="88"/>
      <c r="B31" s="88" t="s">
        <v>33</v>
      </c>
      <c r="C31" s="88"/>
      <c r="D31" s="88"/>
      <c r="E31" s="88"/>
      <c r="F31" s="88"/>
      <c r="G31" s="88"/>
      <c r="H31" s="88"/>
      <c r="J31" s="88"/>
      <c r="L31" s="88"/>
      <c r="M31" s="88"/>
    </row>
    <row r="32" spans="1:13">
      <c r="A32" s="88"/>
      <c r="B32" s="88" t="s">
        <v>83</v>
      </c>
      <c r="C32" s="88"/>
      <c r="D32" s="88"/>
      <c r="E32" s="88"/>
      <c r="F32" s="88"/>
      <c r="G32" s="88"/>
      <c r="H32" s="88"/>
      <c r="J32" s="88"/>
      <c r="L32" s="88"/>
      <c r="M32" s="88"/>
    </row>
    <row r="33" spans="1:13">
      <c r="A33" s="88"/>
      <c r="B33" s="88"/>
      <c r="C33" s="88"/>
      <c r="D33" s="88"/>
      <c r="E33" s="88"/>
      <c r="F33" s="88"/>
      <c r="G33" s="88"/>
      <c r="H33" s="88"/>
      <c r="J33" s="88"/>
      <c r="L33" s="88"/>
      <c r="M33" s="88"/>
    </row>
    <row r="35" spans="1:13">
      <c r="D35" s="181">
        <v>0</v>
      </c>
      <c r="E35" s="89" t="s">
        <v>24</v>
      </c>
    </row>
    <row r="36" spans="1:13">
      <c r="D36" s="181">
        <v>0.9</v>
      </c>
      <c r="E36" s="89" t="s">
        <v>25</v>
      </c>
    </row>
    <row r="37" spans="1:13">
      <c r="D37" s="181">
        <v>0.95</v>
      </c>
      <c r="E37" s="89" t="s">
        <v>26</v>
      </c>
    </row>
    <row r="38" spans="1:13">
      <c r="D38" s="181">
        <v>1</v>
      </c>
      <c r="E38" s="89" t="s">
        <v>27</v>
      </c>
    </row>
    <row r="39" spans="1:13">
      <c r="D39" s="181">
        <v>1.1000000000000001</v>
      </c>
      <c r="E39" s="89" t="s">
        <v>28</v>
      </c>
    </row>
    <row r="40" spans="1:13">
      <c r="C40" s="181"/>
      <c r="D40" s="181"/>
    </row>
    <row r="41" spans="1:13">
      <c r="C41" s="181"/>
      <c r="D41" s="181"/>
    </row>
    <row r="53" ht="13.5" customHeight="1"/>
  </sheetData>
  <mergeCells count="20">
    <mergeCell ref="B27:C27"/>
    <mergeCell ref="B28:C28"/>
    <mergeCell ref="B29:C29"/>
    <mergeCell ref="B25:C25"/>
    <mergeCell ref="E4:F4"/>
    <mergeCell ref="B4:C5"/>
    <mergeCell ref="C6:C8"/>
    <mergeCell ref="C9:C11"/>
    <mergeCell ref="C12:C14"/>
    <mergeCell ref="C17:C19"/>
    <mergeCell ref="B22:C23"/>
    <mergeCell ref="C15:C16"/>
    <mergeCell ref="C20:C21"/>
    <mergeCell ref="K4:L4"/>
    <mergeCell ref="I26:J26"/>
    <mergeCell ref="K26:L26"/>
    <mergeCell ref="G4:H4"/>
    <mergeCell ref="E26:F26"/>
    <mergeCell ref="G26:H26"/>
    <mergeCell ref="I4:J4"/>
  </mergeCells>
  <phoneticPr fontId="1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80" orientation="landscape" r:id="rId1"/>
  <ignoredErrors>
    <ignoredError sqref="H12:I12 H17:I17 K17:L17 K12:L12 G16 G9 G12 G17 G15 G7 G18 G13 G10 G20:G2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1" tint="0.249977111117893"/>
  </sheetPr>
  <dimension ref="A1:BE318"/>
  <sheetViews>
    <sheetView tabSelected="1" view="pageBreakPreview" zoomScale="90" zoomScaleNormal="80" zoomScaleSheetLayoutView="90" workbookViewId="0">
      <pane xSplit="4" ySplit="4" topLeftCell="T74" activePane="bottomRight" state="frozen"/>
      <selection activeCell="D10" sqref="D10"/>
      <selection pane="topRight" activeCell="D10" sqref="D10"/>
      <selection pane="bottomLeft" activeCell="D10" sqref="D10"/>
      <selection pane="bottomRight" activeCell="M29" sqref="M29"/>
    </sheetView>
  </sheetViews>
  <sheetFormatPr defaultRowHeight="9.75" customHeight="1"/>
  <cols>
    <col min="1" max="1" width="5.25" customWidth="1"/>
    <col min="2" max="2" width="4.125" customWidth="1"/>
    <col min="3" max="3" width="6.25" customWidth="1"/>
    <col min="4" max="4" width="11" customWidth="1"/>
    <col min="5" max="5" width="11" style="1489" hidden="1" customWidth="1"/>
    <col min="6" max="6" width="9" style="416" customWidth="1"/>
    <col min="7" max="8" width="9.25" style="416" customWidth="1"/>
    <col min="9" max="9" width="9" style="417" customWidth="1"/>
    <col min="10" max="10" width="9" style="416" customWidth="1"/>
    <col min="11" max="12" width="9.25" style="416" customWidth="1"/>
    <col min="13" max="13" width="9" style="417" customWidth="1"/>
    <col min="14" max="14" width="9" style="416" customWidth="1"/>
    <col min="15" max="16" width="9.25" style="416" customWidth="1"/>
    <col min="17" max="17" width="8.875" style="417" customWidth="1"/>
    <col min="18" max="18" width="9" style="417" customWidth="1"/>
    <col min="19" max="19" width="9" style="417" hidden="1" customWidth="1"/>
    <col min="20" max="20" width="8.875" style="417" customWidth="1"/>
    <col min="21" max="21" width="9.25" style="417" customWidth="1"/>
    <col min="22" max="22" width="8.5" style="417" customWidth="1"/>
    <col min="23" max="23" width="8.5" style="417" hidden="1" customWidth="1"/>
    <col min="24" max="24" width="8.875" style="416" customWidth="1"/>
    <col min="25" max="25" width="9" style="416" customWidth="1"/>
    <col min="26" max="26" width="9.25" style="416" hidden="1" customWidth="1"/>
    <col min="27" max="27" width="9.25" style="416" customWidth="1"/>
    <col min="28" max="28" width="8.875" style="416" customWidth="1"/>
    <col min="29" max="29" width="9" style="416" customWidth="1"/>
    <col min="30" max="30" width="9.25" style="416" hidden="1" customWidth="1"/>
    <col min="31" max="31" width="9.25" style="416" customWidth="1"/>
    <col min="32" max="32" width="8.875" style="416" customWidth="1"/>
    <col min="33" max="33" width="9" style="416" customWidth="1"/>
    <col min="34" max="34" width="9.25" style="416" hidden="1" customWidth="1"/>
    <col min="35" max="35" width="9.25" style="417" customWidth="1"/>
    <col min="36" max="36" width="8.875" style="416" customWidth="1"/>
    <col min="37" max="37" width="9" style="417" customWidth="1"/>
    <col min="38" max="38" width="9" style="417" hidden="1" customWidth="1"/>
    <col min="39" max="39" width="8.875" style="417" hidden="1" customWidth="1"/>
    <col min="40" max="40" width="9.25" style="417" customWidth="1"/>
    <col min="41" max="41" width="9" style="417" customWidth="1"/>
    <col min="42" max="42" width="9" style="417" hidden="1" customWidth="1"/>
    <col min="43" max="43" width="8.875" style="416" hidden="1" customWidth="1"/>
    <col min="44" max="45" width="9" style="417" customWidth="1"/>
    <col min="46" max="46" width="8.375" style="417" customWidth="1"/>
    <col min="47" max="47" width="9" style="417" customWidth="1"/>
    <col min="48" max="49" width="9.25" style="417" customWidth="1"/>
    <col min="50" max="50" width="9.75" style="416" customWidth="1"/>
    <col min="51" max="52" width="8.75" style="417" customWidth="1"/>
    <col min="53" max="53" width="8.75" style="1419" customWidth="1"/>
    <col min="54" max="54" width="9" style="278" customWidth="1"/>
    <col min="55" max="56" width="10.625" style="278" customWidth="1"/>
    <col min="57" max="57" width="9" style="278" customWidth="1"/>
  </cols>
  <sheetData>
    <row r="1" spans="1:57" ht="9.75" customHeight="1">
      <c r="A1" s="730"/>
      <c r="B1" s="730"/>
      <c r="C1" s="730"/>
      <c r="D1" s="730"/>
      <c r="E1" s="730"/>
      <c r="AY1" s="416"/>
      <c r="AZ1" s="416"/>
    </row>
    <row r="2" spans="1:57" ht="20.25" thickBot="1">
      <c r="A2" s="731" t="s">
        <v>184</v>
      </c>
      <c r="B2" s="730"/>
      <c r="C2" s="730"/>
      <c r="D2" s="730"/>
      <c r="E2" s="730"/>
      <c r="R2" s="418"/>
      <c r="S2" s="418"/>
      <c r="T2" s="279"/>
      <c r="U2" s="325"/>
      <c r="V2" s="325"/>
      <c r="W2" s="325"/>
      <c r="X2" s="419"/>
      <c r="AK2" s="418"/>
      <c r="AL2" s="418"/>
      <c r="AM2" s="279"/>
      <c r="AN2" s="325"/>
      <c r="AO2" s="325"/>
      <c r="AP2" s="325"/>
      <c r="AQ2" s="419"/>
      <c r="AR2" s="418"/>
      <c r="AS2" s="418"/>
      <c r="AU2" s="418"/>
      <c r="AV2" s="420"/>
      <c r="AW2" s="420"/>
      <c r="AX2" s="421" t="s">
        <v>34</v>
      </c>
      <c r="AY2" s="416"/>
      <c r="AZ2" s="416"/>
      <c r="BA2" s="1419">
        <v>43109.44218726852</v>
      </c>
      <c r="BB2" s="1557">
        <f ca="1">NOW()</f>
        <v>43137.457754513889</v>
      </c>
      <c r="BC2" s="1557"/>
      <c r="BD2" s="1557"/>
      <c r="BE2" s="1557"/>
    </row>
    <row r="3" spans="1:57" ht="20.100000000000001" customHeight="1">
      <c r="A3" s="732"/>
      <c r="B3" s="732"/>
      <c r="C3" s="732"/>
      <c r="D3" s="733"/>
      <c r="E3" s="1494"/>
      <c r="F3" s="1558" t="s">
        <v>293</v>
      </c>
      <c r="G3" s="1559"/>
      <c r="H3" s="1559"/>
      <c r="I3" s="1561">
        <v>0</v>
      </c>
      <c r="J3" s="1558" t="s">
        <v>334</v>
      </c>
      <c r="K3" s="1559"/>
      <c r="L3" s="1559"/>
      <c r="M3" s="1561">
        <v>0</v>
      </c>
      <c r="N3" s="1558" t="s">
        <v>342</v>
      </c>
      <c r="O3" s="1559"/>
      <c r="P3" s="1559"/>
      <c r="Q3" s="1561">
        <v>0</v>
      </c>
      <c r="R3" s="1558" t="s">
        <v>354</v>
      </c>
      <c r="S3" s="1559"/>
      <c r="T3" s="1559"/>
      <c r="U3" s="1560"/>
      <c r="V3" s="1559"/>
      <c r="W3" s="1559"/>
      <c r="X3" s="1561"/>
      <c r="Y3" s="1558" t="s">
        <v>379</v>
      </c>
      <c r="Z3" s="1559"/>
      <c r="AA3" s="1559"/>
      <c r="AB3" s="1561">
        <v>0</v>
      </c>
      <c r="AC3" s="1558" t="s">
        <v>343</v>
      </c>
      <c r="AD3" s="1559"/>
      <c r="AE3" s="1559"/>
      <c r="AF3" s="1561">
        <v>0</v>
      </c>
      <c r="AG3" s="1558" t="s">
        <v>380</v>
      </c>
      <c r="AH3" s="1559"/>
      <c r="AI3" s="1559"/>
      <c r="AJ3" s="1561">
        <v>0</v>
      </c>
      <c r="AK3" s="1558" t="s">
        <v>381</v>
      </c>
      <c r="AL3" s="1559"/>
      <c r="AM3" s="1559"/>
      <c r="AN3" s="1560"/>
      <c r="AO3" s="1559"/>
      <c r="AP3" s="1559"/>
      <c r="AQ3" s="1561"/>
      <c r="AR3" s="1562" t="s">
        <v>382</v>
      </c>
      <c r="AS3" s="1563"/>
      <c r="AT3" s="1563"/>
      <c r="AU3" s="1563"/>
      <c r="AV3" s="1563"/>
      <c r="AW3" s="1563"/>
      <c r="AX3" s="1564"/>
      <c r="AY3" s="422"/>
      <c r="AZ3" s="423"/>
      <c r="BA3" s="1420"/>
      <c r="BB3" s="1016"/>
      <c r="BC3" s="280"/>
      <c r="BD3" s="280"/>
      <c r="BE3" s="280"/>
    </row>
    <row r="4" spans="1:57" ht="20.100000000000001" customHeight="1">
      <c r="A4" s="734"/>
      <c r="B4" s="734"/>
      <c r="C4" s="734"/>
      <c r="D4" s="735"/>
      <c r="E4" s="734"/>
      <c r="F4" s="424" t="s">
        <v>294</v>
      </c>
      <c r="G4" s="425" t="s">
        <v>295</v>
      </c>
      <c r="H4" s="426" t="s">
        <v>37</v>
      </c>
      <c r="I4" s="286" t="s">
        <v>40</v>
      </c>
      <c r="J4" s="424" t="s">
        <v>335</v>
      </c>
      <c r="K4" s="425" t="s">
        <v>336</v>
      </c>
      <c r="L4" s="426" t="s">
        <v>37</v>
      </c>
      <c r="M4" s="286" t="s">
        <v>40</v>
      </c>
      <c r="N4" s="424" t="s">
        <v>335</v>
      </c>
      <c r="O4" s="425" t="s">
        <v>344</v>
      </c>
      <c r="P4" s="426" t="s">
        <v>37</v>
      </c>
      <c r="Q4" s="286" t="s">
        <v>40</v>
      </c>
      <c r="R4" s="284" t="s">
        <v>355</v>
      </c>
      <c r="S4" s="285" t="s">
        <v>356</v>
      </c>
      <c r="T4" s="285" t="s">
        <v>357</v>
      </c>
      <c r="U4" s="283" t="s">
        <v>37</v>
      </c>
      <c r="V4" s="282" t="s">
        <v>358</v>
      </c>
      <c r="W4" s="287" t="s">
        <v>359</v>
      </c>
      <c r="X4" s="286" t="s">
        <v>360</v>
      </c>
      <c r="Y4" s="424" t="s">
        <v>355</v>
      </c>
      <c r="Z4" s="425" t="s">
        <v>361</v>
      </c>
      <c r="AA4" s="426" t="s">
        <v>37</v>
      </c>
      <c r="AB4" s="427" t="s">
        <v>40</v>
      </c>
      <c r="AC4" s="424" t="s">
        <v>355</v>
      </c>
      <c r="AD4" s="425" t="s">
        <v>361</v>
      </c>
      <c r="AE4" s="426" t="s">
        <v>296</v>
      </c>
      <c r="AF4" s="427" t="s">
        <v>40</v>
      </c>
      <c r="AG4" s="424" t="s">
        <v>355</v>
      </c>
      <c r="AH4" s="425" t="s">
        <v>361</v>
      </c>
      <c r="AI4" s="426" t="s">
        <v>296</v>
      </c>
      <c r="AJ4" s="427" t="s">
        <v>40</v>
      </c>
      <c r="AK4" s="284" t="s">
        <v>355</v>
      </c>
      <c r="AL4" s="285" t="s">
        <v>383</v>
      </c>
      <c r="AM4" s="285" t="s">
        <v>345</v>
      </c>
      <c r="AN4" s="283" t="s">
        <v>362</v>
      </c>
      <c r="AO4" s="285" t="str">
        <f>AO71</f>
        <v>レビュー差異</v>
      </c>
      <c r="AP4" s="285" t="s">
        <v>363</v>
      </c>
      <c r="AQ4" s="286" t="s">
        <v>360</v>
      </c>
      <c r="AR4" s="281" t="s">
        <v>355</v>
      </c>
      <c r="AS4" s="288" t="s">
        <v>383</v>
      </c>
      <c r="AT4" s="288" t="s">
        <v>345</v>
      </c>
      <c r="AU4" s="283" t="s">
        <v>362</v>
      </c>
      <c r="AV4" s="327" t="s">
        <v>384</v>
      </c>
      <c r="AW4" s="327" t="s">
        <v>385</v>
      </c>
      <c r="AX4" s="286" t="s">
        <v>386</v>
      </c>
      <c r="AY4" s="424" t="str">
        <f>AY71</f>
        <v>予算平均</v>
      </c>
      <c r="AZ4" s="428" t="s">
        <v>297</v>
      </c>
      <c r="BA4" s="1421" t="s">
        <v>321</v>
      </c>
      <c r="BB4" s="1017" t="s">
        <v>298</v>
      </c>
      <c r="BC4" s="278" t="s">
        <v>277</v>
      </c>
      <c r="BD4" s="278" t="s">
        <v>278</v>
      </c>
      <c r="BE4" s="278" t="s">
        <v>279</v>
      </c>
    </row>
    <row r="5" spans="1:57" ht="20.100000000000001" customHeight="1">
      <c r="A5" s="736"/>
      <c r="B5" s="1574" t="s">
        <v>185</v>
      </c>
      <c r="C5" s="1580"/>
      <c r="D5" s="737"/>
      <c r="E5" s="1495"/>
      <c r="F5" s="429">
        <f t="shared" ref="F5:H8" si="0">F72/1.17</f>
        <v>7008.5470085470088</v>
      </c>
      <c r="G5" s="430">
        <f t="shared" si="0"/>
        <v>7008.5470085470088</v>
      </c>
      <c r="H5" s="430">
        <f t="shared" si="0"/>
        <v>7014.1977094017102</v>
      </c>
      <c r="I5" s="291">
        <f>H5-G5</f>
        <v>5.6507008547014266</v>
      </c>
      <c r="J5" s="429">
        <f>J72/1.17</f>
        <v>5555.5555555555557</v>
      </c>
      <c r="K5" s="430">
        <f>K72/1.17</f>
        <v>4700.8547008547012</v>
      </c>
      <c r="L5" s="430">
        <f>L72/1.17</f>
        <v>4423.8640341880337</v>
      </c>
      <c r="M5" s="291">
        <f>L5-K5</f>
        <v>-276.99066666666749</v>
      </c>
      <c r="N5" s="429">
        <f>N72/1.17</f>
        <v>5384.6153846153848</v>
      </c>
      <c r="O5" s="431">
        <f>O72/1.17</f>
        <v>5128.2051282051289</v>
      </c>
      <c r="P5" s="430">
        <f>P72/1.17</f>
        <v>4675.612478632479</v>
      </c>
      <c r="Q5" s="308">
        <f>P5-O5</f>
        <v>-452.59264957264986</v>
      </c>
      <c r="R5" s="294">
        <f>F5+J5+N5</f>
        <v>17948.717948717949</v>
      </c>
      <c r="S5" s="436"/>
      <c r="T5" s="436">
        <f t="shared" ref="T5:U8" si="1">G5+K5+O5</f>
        <v>16837.60683760684</v>
      </c>
      <c r="U5" s="433">
        <f t="shared" si="1"/>
        <v>16113.674222222224</v>
      </c>
      <c r="V5" s="433">
        <f>U5-R5</f>
        <v>-1835.0437264957254</v>
      </c>
      <c r="W5" s="295"/>
      <c r="X5" s="434">
        <f>U5-T5</f>
        <v>-723.93261538461593</v>
      </c>
      <c r="Y5" s="429">
        <f>Y72/1.17</f>
        <v>5384.6153846153848</v>
      </c>
      <c r="Z5" s="431">
        <f>Z72/1.17</f>
        <v>5982.9059829059834</v>
      </c>
      <c r="AA5" s="430">
        <f>AA72/1.17</f>
        <v>4966.0120000000006</v>
      </c>
      <c r="AB5" s="435">
        <f>AA5-Z5</f>
        <v>-1016.8939829059827</v>
      </c>
      <c r="AC5" s="429">
        <f>AC72/1.17</f>
        <v>4700.8547008547012</v>
      </c>
      <c r="AD5" s="431">
        <f>AD72/1.17</f>
        <v>4273.5042735042734</v>
      </c>
      <c r="AE5" s="430">
        <f>AE72/1.17</f>
        <v>4273.5042735042734</v>
      </c>
      <c r="AF5" s="435">
        <f>AE5-AD5</f>
        <v>0</v>
      </c>
      <c r="AG5" s="429">
        <f>AG72/1.17</f>
        <v>2991.4529914529917</v>
      </c>
      <c r="AH5" s="431">
        <f>AH72/1.17</f>
        <v>3418.8034188034189</v>
      </c>
      <c r="AI5" s="430">
        <f>AI72/1.17</f>
        <v>3418.8034188034189</v>
      </c>
      <c r="AJ5" s="435">
        <f>AI5-AH5</f>
        <v>0</v>
      </c>
      <c r="AK5" s="290">
        <f>Y5+AC5+AG5</f>
        <v>13076.923076923078</v>
      </c>
      <c r="AL5" s="436"/>
      <c r="AM5" s="436">
        <f t="shared" ref="AM5:AN8" si="2">Z5+AD5+AH5</f>
        <v>13675.213675213676</v>
      </c>
      <c r="AN5" s="433">
        <f t="shared" si="2"/>
        <v>12658.319692307694</v>
      </c>
      <c r="AO5" s="436">
        <f>AN5-AK5</f>
        <v>-418.60338461538413</v>
      </c>
      <c r="AP5" s="533"/>
      <c r="AQ5" s="292">
        <f>AN5-AM5</f>
        <v>-1016.8939829059818</v>
      </c>
      <c r="AR5" s="281">
        <f>SUM(R5,AK5)</f>
        <v>31025.641025641027</v>
      </c>
      <c r="AS5" s="328"/>
      <c r="AT5" s="1018">
        <f>T5+AM5</f>
        <v>30512.820512820515</v>
      </c>
      <c r="AU5" s="311">
        <f>SUM(U5,AN5)</f>
        <v>28771.993914529918</v>
      </c>
      <c r="AV5" s="308">
        <f>AU5-AR5</f>
        <v>-2253.6471111111096</v>
      </c>
      <c r="AW5" s="1019"/>
      <c r="AX5" s="434">
        <f>AU5-AT5</f>
        <v>-1740.8265982905978</v>
      </c>
      <c r="AY5" s="437"/>
      <c r="AZ5" s="438"/>
      <c r="BA5" s="1422"/>
      <c r="BB5" s="1020"/>
      <c r="BC5" s="293"/>
      <c r="BD5" s="293"/>
      <c r="BE5" s="293"/>
    </row>
    <row r="6" spans="1:57" ht="20.100000000000001" customHeight="1">
      <c r="A6" s="738"/>
      <c r="B6" s="739"/>
      <c r="C6" s="740" t="s">
        <v>186</v>
      </c>
      <c r="D6" s="741"/>
      <c r="E6" s="1491"/>
      <c r="F6" s="439">
        <f t="shared" si="0"/>
        <v>16666.666666666668</v>
      </c>
      <c r="G6" s="430">
        <f t="shared" si="0"/>
        <v>16666.666666666668</v>
      </c>
      <c r="H6" s="430">
        <f t="shared" si="0"/>
        <v>7120.1162393162394</v>
      </c>
      <c r="I6" s="291">
        <f>H6-G6</f>
        <v>-9546.5504273504284</v>
      </c>
      <c r="J6" s="439">
        <f t="shared" ref="J6:L8" si="3">J73/1.17</f>
        <v>17948.717948717949</v>
      </c>
      <c r="K6" s="430">
        <f t="shared" si="3"/>
        <v>10256.410256410258</v>
      </c>
      <c r="L6" s="430">
        <f t="shared" si="3"/>
        <v>8470.8367521367527</v>
      </c>
      <c r="M6" s="291">
        <f>L6-K6</f>
        <v>-1785.573504273505</v>
      </c>
      <c r="N6" s="439">
        <f t="shared" ref="N6:P8" si="4">N73/1.17</f>
        <v>17948.717948717949</v>
      </c>
      <c r="O6" s="430">
        <f t="shared" si="4"/>
        <v>10256.410256410258</v>
      </c>
      <c r="P6" s="430">
        <f t="shared" si="4"/>
        <v>7823.363247863248</v>
      </c>
      <c r="Q6" s="308">
        <f>P6-O6</f>
        <v>-2433.0470085470097</v>
      </c>
      <c r="R6" s="440">
        <f>F6+J6+N6</f>
        <v>52564.102564102563</v>
      </c>
      <c r="S6" s="470"/>
      <c r="T6" s="436">
        <f t="shared" si="1"/>
        <v>37179.487179487187</v>
      </c>
      <c r="U6" s="433">
        <f t="shared" si="1"/>
        <v>23414.316239316242</v>
      </c>
      <c r="V6" s="433">
        <f>U6-R6</f>
        <v>-29149.786324786321</v>
      </c>
      <c r="W6" s="295"/>
      <c r="X6" s="434">
        <f>U6-T6</f>
        <v>-13765.170940170945</v>
      </c>
      <c r="Y6" s="439">
        <f t="shared" ref="Y6:AA8" si="5">Y73/1.17</f>
        <v>19316.239316239316</v>
      </c>
      <c r="Z6" s="430">
        <f t="shared" si="5"/>
        <v>11965.811965811967</v>
      </c>
      <c r="AA6" s="430">
        <f t="shared" si="5"/>
        <v>7944.379487179488</v>
      </c>
      <c r="AB6" s="435">
        <f>AA6-Z6</f>
        <v>-4021.4324786324787</v>
      </c>
      <c r="AC6" s="439">
        <f t="shared" ref="AC6:AE8" si="6">AC73/1.17</f>
        <v>13675.213675213676</v>
      </c>
      <c r="AD6" s="430">
        <f t="shared" si="6"/>
        <v>10256.410256410258</v>
      </c>
      <c r="AE6" s="430">
        <f t="shared" si="6"/>
        <v>10256.410256410258</v>
      </c>
      <c r="AF6" s="435">
        <f>AE6-AD6</f>
        <v>0</v>
      </c>
      <c r="AG6" s="439">
        <f t="shared" ref="AG6:AI8" si="7">AG73/1.17</f>
        <v>8547.0085470085469</v>
      </c>
      <c r="AH6" s="430">
        <f t="shared" si="7"/>
        <v>7692.3076923076924</v>
      </c>
      <c r="AI6" s="430">
        <f t="shared" si="7"/>
        <v>7692.3076923076924</v>
      </c>
      <c r="AJ6" s="435">
        <f>AI6-AH6</f>
        <v>0</v>
      </c>
      <c r="AK6" s="440">
        <f>Y6+AC6+AG6</f>
        <v>41538.461538461539</v>
      </c>
      <c r="AL6" s="470"/>
      <c r="AM6" s="436">
        <f t="shared" si="2"/>
        <v>29914.529914529918</v>
      </c>
      <c r="AN6" s="433">
        <f t="shared" si="2"/>
        <v>25893.097435897438</v>
      </c>
      <c r="AO6" s="436">
        <f>AN6-AK6</f>
        <v>-15645.364102564101</v>
      </c>
      <c r="AP6" s="533"/>
      <c r="AQ6" s="292">
        <f>AN6-AM6</f>
        <v>-4021.4324786324796</v>
      </c>
      <c r="AR6" s="440">
        <f>SUM(R6,AK6)</f>
        <v>94102.564102564094</v>
      </c>
      <c r="AS6" s="633"/>
      <c r="AT6" s="296">
        <f>T6+AM6</f>
        <v>67094.017094017108</v>
      </c>
      <c r="AU6" s="311">
        <f>SUM(U6,AN6)</f>
        <v>49307.413675213684</v>
      </c>
      <c r="AV6" s="308">
        <f>AU6-AR6</f>
        <v>-44795.150427350411</v>
      </c>
      <c r="AW6" s="1019"/>
      <c r="AX6" s="434">
        <f>AU6-AT6</f>
        <v>-17786.603418803425</v>
      </c>
      <c r="AY6" s="444"/>
      <c r="AZ6" s="445"/>
      <c r="BA6" s="1423"/>
      <c r="BB6" s="1017"/>
      <c r="BE6" s="416"/>
    </row>
    <row r="7" spans="1:57" ht="20.100000000000001" customHeight="1">
      <c r="A7" s="738"/>
      <c r="B7" s="739"/>
      <c r="C7" s="742" t="s">
        <v>160</v>
      </c>
      <c r="D7" s="743"/>
      <c r="E7" s="742"/>
      <c r="F7" s="439">
        <f t="shared" si="0"/>
        <v>5982.9059829059834</v>
      </c>
      <c r="G7" s="430">
        <f t="shared" si="0"/>
        <v>5982.9059829059834</v>
      </c>
      <c r="H7" s="430">
        <f t="shared" si="0"/>
        <v>884.41965811965815</v>
      </c>
      <c r="I7" s="291">
        <f>H7-G7</f>
        <v>-5098.486324786325</v>
      </c>
      <c r="J7" s="439">
        <f t="shared" si="3"/>
        <v>7692.3076923076924</v>
      </c>
      <c r="K7" s="430">
        <f t="shared" si="3"/>
        <v>1111.1111111111111</v>
      </c>
      <c r="L7" s="430">
        <f t="shared" si="3"/>
        <v>428.98547008547013</v>
      </c>
      <c r="M7" s="291">
        <f>L7-K7</f>
        <v>-682.12564102564102</v>
      </c>
      <c r="N7" s="439">
        <f t="shared" si="4"/>
        <v>7606.8376068376074</v>
      </c>
      <c r="O7" s="430">
        <f t="shared" si="4"/>
        <v>1623.931623931624</v>
      </c>
      <c r="P7" s="430">
        <f t="shared" si="4"/>
        <v>1092.8256410256411</v>
      </c>
      <c r="Q7" s="308">
        <f>P7-O7</f>
        <v>-531.10598290598296</v>
      </c>
      <c r="R7" s="440">
        <f>F7+J7+N7</f>
        <v>21282.051282051281</v>
      </c>
      <c r="S7" s="470"/>
      <c r="T7" s="436">
        <f t="shared" si="1"/>
        <v>8717.9487179487187</v>
      </c>
      <c r="U7" s="433">
        <f t="shared" si="1"/>
        <v>2406.2307692307695</v>
      </c>
      <c r="V7" s="433">
        <f>U7-R7</f>
        <v>-18875.820512820512</v>
      </c>
      <c r="W7" s="295"/>
      <c r="X7" s="434">
        <f>U7-T7</f>
        <v>-6311.7179487179492</v>
      </c>
      <c r="Y7" s="439">
        <f t="shared" si="5"/>
        <v>7692.3076923076924</v>
      </c>
      <c r="Z7" s="430">
        <f t="shared" si="5"/>
        <v>1709.4017094017095</v>
      </c>
      <c r="AA7" s="430">
        <f t="shared" si="5"/>
        <v>705.09914529914533</v>
      </c>
      <c r="AB7" s="435">
        <f>AA7-Z7</f>
        <v>-1004.3025641025641</v>
      </c>
      <c r="AC7" s="439">
        <f t="shared" si="6"/>
        <v>5982.9059829059834</v>
      </c>
      <c r="AD7" s="430">
        <f t="shared" si="6"/>
        <v>1709.4017094017095</v>
      </c>
      <c r="AE7" s="430">
        <f t="shared" si="6"/>
        <v>1709.4017094017095</v>
      </c>
      <c r="AF7" s="435">
        <f>AE7-AD7</f>
        <v>0</v>
      </c>
      <c r="AG7" s="439">
        <f t="shared" si="7"/>
        <v>3760.6837606837607</v>
      </c>
      <c r="AH7" s="430">
        <f t="shared" si="7"/>
        <v>1196.5811965811968</v>
      </c>
      <c r="AI7" s="430">
        <f t="shared" si="7"/>
        <v>1196.5811965811968</v>
      </c>
      <c r="AJ7" s="435">
        <f>AI7-AH7</f>
        <v>0</v>
      </c>
      <c r="AK7" s="440">
        <f>Y7+AC7+AG7</f>
        <v>17435.897435897437</v>
      </c>
      <c r="AL7" s="470"/>
      <c r="AM7" s="436">
        <f t="shared" si="2"/>
        <v>4615.3846153846152</v>
      </c>
      <c r="AN7" s="433">
        <f t="shared" si="2"/>
        <v>3611.0820512820515</v>
      </c>
      <c r="AO7" s="436">
        <f>AN7-AK7</f>
        <v>-13824.815384615385</v>
      </c>
      <c r="AP7" s="533"/>
      <c r="AQ7" s="292">
        <f>AN7-AM7</f>
        <v>-1004.3025641025638</v>
      </c>
      <c r="AR7" s="440">
        <f>SUM(R7,AK7)</f>
        <v>38717.948717948719</v>
      </c>
      <c r="AS7" s="633"/>
      <c r="AT7" s="296">
        <f>T7+AM7</f>
        <v>13333.333333333334</v>
      </c>
      <c r="AU7" s="311">
        <f>SUM(U7,AN7)</f>
        <v>6017.3128205128214</v>
      </c>
      <c r="AV7" s="308">
        <f>AU7-AR7</f>
        <v>-32700.635897435895</v>
      </c>
      <c r="AW7" s="1019"/>
      <c r="AX7" s="434">
        <f>AU7-AT7</f>
        <v>-7316.0205128205125</v>
      </c>
      <c r="AY7" s="444"/>
      <c r="AZ7" s="445"/>
      <c r="BA7" s="1423"/>
      <c r="BB7" s="1017"/>
      <c r="BE7" s="416"/>
    </row>
    <row r="8" spans="1:57" ht="20.100000000000001" customHeight="1">
      <c r="A8" s="738"/>
      <c r="B8" s="1576" t="s">
        <v>187</v>
      </c>
      <c r="C8" s="1577"/>
      <c r="D8" s="744"/>
      <c r="E8" s="1496"/>
      <c r="F8" s="439">
        <f t="shared" si="0"/>
        <v>74017.094017094016</v>
      </c>
      <c r="G8" s="430">
        <f t="shared" si="0"/>
        <v>74017.094017094016</v>
      </c>
      <c r="H8" s="430">
        <f t="shared" si="0"/>
        <v>74129.278290598289</v>
      </c>
      <c r="I8" s="291">
        <f>H8-G8</f>
        <v>112.18427350427373</v>
      </c>
      <c r="J8" s="439">
        <f t="shared" si="3"/>
        <v>79487.179487179499</v>
      </c>
      <c r="K8" s="430">
        <f t="shared" si="3"/>
        <v>70940.170940170938</v>
      </c>
      <c r="L8" s="430">
        <f t="shared" si="3"/>
        <v>68725.574606837603</v>
      </c>
      <c r="M8" s="291">
        <f>L8-K8</f>
        <v>-2214.5963333333348</v>
      </c>
      <c r="N8" s="439">
        <f t="shared" si="4"/>
        <v>72649.572649572656</v>
      </c>
      <c r="O8" s="430">
        <f t="shared" si="4"/>
        <v>70085.470085470093</v>
      </c>
      <c r="P8" s="430">
        <f t="shared" si="4"/>
        <v>70561.341837606844</v>
      </c>
      <c r="Q8" s="308">
        <f>P8-O8</f>
        <v>475.87175213675073</v>
      </c>
      <c r="R8" s="440">
        <f>F8+J8+N8</f>
        <v>226153.84615384616</v>
      </c>
      <c r="S8" s="470"/>
      <c r="T8" s="436">
        <f t="shared" si="1"/>
        <v>215042.73504273503</v>
      </c>
      <c r="U8" s="433">
        <f t="shared" si="1"/>
        <v>213416.19473504275</v>
      </c>
      <c r="V8" s="433">
        <f>U8-R8</f>
        <v>-12737.651418803405</v>
      </c>
      <c r="W8" s="295"/>
      <c r="X8" s="434">
        <f>U8-T8</f>
        <v>-1626.5403076922812</v>
      </c>
      <c r="Y8" s="439">
        <f t="shared" si="5"/>
        <v>73846.153846153844</v>
      </c>
      <c r="Z8" s="430">
        <f t="shared" si="5"/>
        <v>73931.623931623937</v>
      </c>
      <c r="AA8" s="430">
        <f t="shared" si="5"/>
        <v>75908.53185470085</v>
      </c>
      <c r="AB8" s="435">
        <f>AA8-Z8</f>
        <v>1976.907923076913</v>
      </c>
      <c r="AC8" s="439">
        <f t="shared" si="6"/>
        <v>50683.760683760687</v>
      </c>
      <c r="AD8" s="430">
        <f t="shared" si="6"/>
        <v>50683.760683760687</v>
      </c>
      <c r="AE8" s="430">
        <f t="shared" si="6"/>
        <v>50683.760683760687</v>
      </c>
      <c r="AF8" s="435">
        <f>AE8-AD8</f>
        <v>0</v>
      </c>
      <c r="AG8" s="439">
        <f t="shared" si="7"/>
        <v>31880.341880341883</v>
      </c>
      <c r="AH8" s="430">
        <f t="shared" si="7"/>
        <v>31965.811965811969</v>
      </c>
      <c r="AI8" s="430">
        <f t="shared" si="7"/>
        <v>31965.811965811969</v>
      </c>
      <c r="AJ8" s="435">
        <f>AI8-AH8</f>
        <v>0</v>
      </c>
      <c r="AK8" s="448">
        <f>Y8+AC8+AG8</f>
        <v>156410.25641025641</v>
      </c>
      <c r="AL8" s="470"/>
      <c r="AM8" s="436">
        <f t="shared" si="2"/>
        <v>156581.19658119659</v>
      </c>
      <c r="AN8" s="433">
        <f t="shared" si="2"/>
        <v>158558.10450427351</v>
      </c>
      <c r="AO8" s="436">
        <f>AN8-AK8</f>
        <v>2147.8480940170994</v>
      </c>
      <c r="AP8" s="533"/>
      <c r="AQ8" s="292">
        <f>AN8-AM8</f>
        <v>1976.907923076913</v>
      </c>
      <c r="AR8" s="440">
        <f>SUM(R8,AK8)</f>
        <v>382564.10256410256</v>
      </c>
      <c r="AS8" s="633"/>
      <c r="AT8" s="296">
        <f>T8+AM8</f>
        <v>371623.93162393162</v>
      </c>
      <c r="AU8" s="311">
        <f>SUM(U8,AN8)</f>
        <v>371974.29923931626</v>
      </c>
      <c r="AV8" s="308">
        <f>AU8-AR8</f>
        <v>-10589.803324786306</v>
      </c>
      <c r="AW8" s="1019"/>
      <c r="AX8" s="434">
        <f>AU8-AT8</f>
        <v>350.36761538463179</v>
      </c>
      <c r="AY8" s="444"/>
      <c r="AZ8" s="445"/>
      <c r="BA8" s="1423"/>
      <c r="BB8" s="1017"/>
      <c r="BE8" s="416"/>
    </row>
    <row r="9" spans="1:57" ht="20.100000000000001" customHeight="1">
      <c r="A9" s="745"/>
      <c r="B9" s="732"/>
      <c r="C9" s="732"/>
      <c r="D9" s="746"/>
      <c r="E9" s="1494"/>
      <c r="F9" s="449"/>
      <c r="G9" s="450"/>
      <c r="H9" s="450"/>
      <c r="I9" s="300">
        <f>H10/G10</f>
        <v>1.0014542924050631</v>
      </c>
      <c r="J9" s="449"/>
      <c r="K9" s="450"/>
      <c r="L9" s="450"/>
      <c r="M9" s="300">
        <f>L10/K10</f>
        <v>0.96706037525423727</v>
      </c>
      <c r="N9" s="449"/>
      <c r="O9" s="451"/>
      <c r="P9" s="450"/>
      <c r="Q9" s="300">
        <f>P10/O10</f>
        <v>1.00030950625</v>
      </c>
      <c r="R9" s="299"/>
      <c r="S9" s="1021"/>
      <c r="T9" s="1021"/>
      <c r="U9" s="452"/>
      <c r="V9" s="453">
        <f>U10/R10</f>
        <v>0.94030093375350143</v>
      </c>
      <c r="W9" s="454"/>
      <c r="X9" s="319">
        <f>U10/T10</f>
        <v>0.98986342307408781</v>
      </c>
      <c r="Y9" s="449"/>
      <c r="Z9" s="451"/>
      <c r="AA9" s="450"/>
      <c r="AB9" s="455">
        <f>AA10/Z10</f>
        <v>1.0120130086631014</v>
      </c>
      <c r="AC9" s="449"/>
      <c r="AD9" s="451"/>
      <c r="AE9" s="450"/>
      <c r="AF9" s="456">
        <f>AE10/AD10</f>
        <v>1</v>
      </c>
      <c r="AG9" s="449"/>
      <c r="AH9" s="451"/>
      <c r="AI9" s="450"/>
      <c r="AJ9" s="456">
        <f>AI10/AH10</f>
        <v>1</v>
      </c>
      <c r="AK9" s="299"/>
      <c r="AL9" s="1021"/>
      <c r="AM9" s="1021"/>
      <c r="AN9" s="452"/>
      <c r="AO9" s="966">
        <f>AN10/AK10</f>
        <v>1.0102028053958647</v>
      </c>
      <c r="AP9" s="966"/>
      <c r="AQ9" s="320">
        <f>AN10/AM10</f>
        <v>1.0056386360943774</v>
      </c>
      <c r="AR9" s="297"/>
      <c r="AS9" s="1022"/>
      <c r="AT9" s="1022"/>
      <c r="AU9" s="298"/>
      <c r="AV9" s="350">
        <f>AU10/AR10</f>
        <v>0.96894640006199628</v>
      </c>
      <c r="AW9" s="350"/>
      <c r="AX9" s="320">
        <f>AU10/AT10</f>
        <v>0.99654232303931989</v>
      </c>
      <c r="AY9" s="457"/>
      <c r="AZ9" s="458"/>
      <c r="BA9" s="1424"/>
      <c r="BB9" s="1023"/>
      <c r="BC9" s="302"/>
      <c r="BD9" s="302"/>
      <c r="BE9" s="302"/>
    </row>
    <row r="10" spans="1:57" ht="20.100000000000001" customHeight="1">
      <c r="A10" s="747" t="s">
        <v>188</v>
      </c>
      <c r="B10" s="748"/>
      <c r="C10" s="748"/>
      <c r="D10" s="749"/>
      <c r="E10" s="748"/>
      <c r="F10" s="459">
        <f t="shared" ref="F10:H12" si="8">F77/1.17</f>
        <v>81025.641025641031</v>
      </c>
      <c r="G10" s="460">
        <f t="shared" si="8"/>
        <v>81025.641025641031</v>
      </c>
      <c r="H10" s="460">
        <f t="shared" si="8"/>
        <v>81143.475999999995</v>
      </c>
      <c r="I10" s="307">
        <f>H10-G10</f>
        <v>117.83497435896425</v>
      </c>
      <c r="J10" s="459">
        <f t="shared" ref="J10:L12" si="9">J77/1.17</f>
        <v>85042.735042735047</v>
      </c>
      <c r="K10" s="460">
        <f t="shared" si="9"/>
        <v>75641.025641025641</v>
      </c>
      <c r="L10" s="460">
        <f t="shared" si="9"/>
        <v>73149.438641025641</v>
      </c>
      <c r="M10" s="307">
        <f>L10-K10</f>
        <v>-2491.5869999999995</v>
      </c>
      <c r="N10" s="459">
        <f t="shared" ref="N10:P12" si="10">N77/1.17</f>
        <v>78034.188034188046</v>
      </c>
      <c r="O10" s="461">
        <f t="shared" si="10"/>
        <v>75213.675213675218</v>
      </c>
      <c r="P10" s="460">
        <f t="shared" si="10"/>
        <v>75236.954316239324</v>
      </c>
      <c r="Q10" s="307">
        <f>P10-O10</f>
        <v>23.279102564105415</v>
      </c>
      <c r="R10" s="462">
        <f>F10+J10+N10</f>
        <v>244102.56410256412</v>
      </c>
      <c r="S10" s="463"/>
      <c r="T10" s="463">
        <f t="shared" ref="T10:U12" si="11">G10+K10+O10</f>
        <v>231880.3418803419</v>
      </c>
      <c r="U10" s="306">
        <f t="shared" si="11"/>
        <v>229529.86895726499</v>
      </c>
      <c r="V10" s="304">
        <f>U10-R10</f>
        <v>-14572.695145299134</v>
      </c>
      <c r="W10" s="303"/>
      <c r="X10" s="307">
        <f>U10-T10</f>
        <v>-2350.4729230769153</v>
      </c>
      <c r="Y10" s="459">
        <f t="shared" ref="Y10:AA12" si="12">Y77/1.17</f>
        <v>79230.769230769234</v>
      </c>
      <c r="Z10" s="461">
        <f t="shared" si="12"/>
        <v>79914.529914529921</v>
      </c>
      <c r="AA10" s="460">
        <f t="shared" si="12"/>
        <v>80874.543854700853</v>
      </c>
      <c r="AB10" s="465">
        <f>AA10-Z10</f>
        <v>960.01394017093116</v>
      </c>
      <c r="AC10" s="459">
        <f t="shared" ref="AC10:AE12" si="13">AC77/1.17</f>
        <v>55384.61538461539</v>
      </c>
      <c r="AD10" s="461">
        <f t="shared" si="13"/>
        <v>54957.264957264961</v>
      </c>
      <c r="AE10" s="460">
        <f t="shared" si="13"/>
        <v>54957.264957264961</v>
      </c>
      <c r="AF10" s="465">
        <f>AE10-AD10</f>
        <v>0</v>
      </c>
      <c r="AG10" s="459">
        <f t="shared" ref="AG10:AI12" si="14">AG77/1.17</f>
        <v>34871.794871794875</v>
      </c>
      <c r="AH10" s="461">
        <f t="shared" si="14"/>
        <v>35384.61538461539</v>
      </c>
      <c r="AI10" s="460">
        <f t="shared" si="14"/>
        <v>35384.61538461539</v>
      </c>
      <c r="AJ10" s="465">
        <f>AI10-AH10</f>
        <v>0</v>
      </c>
      <c r="AK10" s="462">
        <f>Y10+AC10+AG10</f>
        <v>169487.1794871795</v>
      </c>
      <c r="AL10" s="463"/>
      <c r="AM10" s="463">
        <f t="shared" ref="AM10:AN12" si="15">Z10+AD10+AH10</f>
        <v>170256.41025641025</v>
      </c>
      <c r="AN10" s="306">
        <f t="shared" si="15"/>
        <v>171216.42419658118</v>
      </c>
      <c r="AO10" s="323">
        <f>AN10-AK10</f>
        <v>1729.2447094016825</v>
      </c>
      <c r="AP10" s="323"/>
      <c r="AQ10" s="307">
        <f>AN10-AM10</f>
        <v>960.01394017093116</v>
      </c>
      <c r="AR10" s="305">
        <f>SUM(R10,AK10)</f>
        <v>413589.74358974362</v>
      </c>
      <c r="AS10" s="1024"/>
      <c r="AT10" s="1024">
        <f>T10+AM10</f>
        <v>402136.75213675213</v>
      </c>
      <c r="AU10" s="306">
        <f>SUM(U10,AN10)</f>
        <v>400746.29315384617</v>
      </c>
      <c r="AV10" s="303">
        <f>AU10-AR10</f>
        <v>-12843.450435897452</v>
      </c>
      <c r="AW10" s="303"/>
      <c r="AX10" s="307">
        <f>AU10-AT10</f>
        <v>-1390.4589829059551</v>
      </c>
      <c r="AY10" s="457">
        <f>AR10/6</f>
        <v>68931.623931623937</v>
      </c>
      <c r="AZ10" s="458">
        <f>AU10/6</f>
        <v>66791.048858974362</v>
      </c>
      <c r="BA10" s="1424">
        <v>66791.048858974362</v>
      </c>
      <c r="BB10" s="1023">
        <f>AZ10-AY10</f>
        <v>-2140.5750726495753</v>
      </c>
      <c r="BC10" s="302">
        <f>BA10-AY10</f>
        <v>-2140.5750726495753</v>
      </c>
      <c r="BD10" s="302">
        <f>BA10-AZ10</f>
        <v>0</v>
      </c>
      <c r="BE10" s="302">
        <f>AX10/6</f>
        <v>-231.74316381765917</v>
      </c>
    </row>
    <row r="11" spans="1:57" ht="20.100000000000001" customHeight="1">
      <c r="A11" s="750"/>
      <c r="B11" s="751"/>
      <c r="C11" s="752" t="s">
        <v>189</v>
      </c>
      <c r="D11" s="753"/>
      <c r="E11" s="759"/>
      <c r="F11" s="448">
        <f t="shared" si="8"/>
        <v>6529.9145299145302</v>
      </c>
      <c r="G11" s="466">
        <f t="shared" si="8"/>
        <v>6529.9145299145302</v>
      </c>
      <c r="H11" s="466">
        <f t="shared" si="8"/>
        <v>11464.528205128205</v>
      </c>
      <c r="I11" s="435">
        <f>H11-G11</f>
        <v>4934.6136752136745</v>
      </c>
      <c r="J11" s="448">
        <f t="shared" si="9"/>
        <v>5076.9230769230771</v>
      </c>
      <c r="K11" s="466">
        <f t="shared" si="9"/>
        <v>4316.2393162393164</v>
      </c>
      <c r="L11" s="466">
        <f t="shared" si="9"/>
        <v>7162.0854700854698</v>
      </c>
      <c r="M11" s="435">
        <f>L11-K11</f>
        <v>2845.8461538461534</v>
      </c>
      <c r="N11" s="448">
        <f t="shared" si="10"/>
        <v>6162.393162393163</v>
      </c>
      <c r="O11" s="446">
        <f t="shared" si="10"/>
        <v>6162.393162393163</v>
      </c>
      <c r="P11" s="466">
        <f t="shared" si="10"/>
        <v>7912.6188034188035</v>
      </c>
      <c r="Q11" s="435">
        <f>P11-O11</f>
        <v>1750.2256410256405</v>
      </c>
      <c r="R11" s="467">
        <f>F11+J11+N11</f>
        <v>17769.23076923077</v>
      </c>
      <c r="S11" s="468"/>
      <c r="T11" s="468">
        <f t="shared" si="11"/>
        <v>17008.547008547012</v>
      </c>
      <c r="U11" s="311">
        <f t="shared" si="11"/>
        <v>26539.232478632475</v>
      </c>
      <c r="V11" s="446">
        <f>U11-R11</f>
        <v>8770.0017094017057</v>
      </c>
      <c r="W11" s="466"/>
      <c r="X11" s="435">
        <f>U11-T11</f>
        <v>9530.6854700854637</v>
      </c>
      <c r="Y11" s="448">
        <f t="shared" si="12"/>
        <v>6615.3846153846162</v>
      </c>
      <c r="Z11" s="446">
        <f t="shared" si="12"/>
        <v>7606.8376068376074</v>
      </c>
      <c r="AA11" s="466">
        <f t="shared" si="12"/>
        <v>7774.0042735042734</v>
      </c>
      <c r="AB11" s="435">
        <f>AA11-Z11</f>
        <v>167.16666666666606</v>
      </c>
      <c r="AC11" s="448">
        <f t="shared" si="13"/>
        <v>5880.3418803418808</v>
      </c>
      <c r="AD11" s="446">
        <f t="shared" si="13"/>
        <v>7692.3076923076924</v>
      </c>
      <c r="AE11" s="466">
        <f t="shared" si="13"/>
        <v>5521.3675213675215</v>
      </c>
      <c r="AF11" s="435">
        <f>AE11-AD11</f>
        <v>-2170.9401709401709</v>
      </c>
      <c r="AG11" s="448">
        <f t="shared" si="14"/>
        <v>5521.3675213675215</v>
      </c>
      <c r="AH11" s="446">
        <f t="shared" si="14"/>
        <v>5521.3675213675215</v>
      </c>
      <c r="AI11" s="466">
        <f t="shared" si="14"/>
        <v>0</v>
      </c>
      <c r="AJ11" s="435">
        <f>AI11-AH11</f>
        <v>-5521.3675213675215</v>
      </c>
      <c r="AK11" s="467">
        <f>Y11+AC11+AG11</f>
        <v>18017.094017094016</v>
      </c>
      <c r="AL11" s="468"/>
      <c r="AM11" s="468">
        <f t="shared" si="15"/>
        <v>20820.51282051282</v>
      </c>
      <c r="AN11" s="311">
        <f t="shared" si="15"/>
        <v>13295.371794871795</v>
      </c>
      <c r="AO11" s="470">
        <f>AN11-AK11</f>
        <v>-4721.7222222222208</v>
      </c>
      <c r="AP11" s="470"/>
      <c r="AQ11" s="435">
        <f>AN11-AM11</f>
        <v>-7525.1410256410254</v>
      </c>
      <c r="AR11" s="310">
        <f>SUM(R11,AK11)</f>
        <v>35786.324786324782</v>
      </c>
      <c r="AS11" s="564"/>
      <c r="AT11" s="564">
        <f>T11+AM11</f>
        <v>37829.059829059828</v>
      </c>
      <c r="AU11" s="311">
        <f>SUM(U11,AN11)</f>
        <v>39834.604273504272</v>
      </c>
      <c r="AV11" s="308">
        <f>AU11-AR11</f>
        <v>4048.2794871794904</v>
      </c>
      <c r="AW11" s="308"/>
      <c r="AX11" s="291">
        <f>AU11-AT11</f>
        <v>2005.5444444444438</v>
      </c>
      <c r="AY11" s="471"/>
      <c r="AZ11" s="472"/>
      <c r="BA11" s="1425"/>
      <c r="BB11" s="1017"/>
    </row>
    <row r="12" spans="1:57" ht="20.100000000000001" customHeight="1">
      <c r="A12" s="750"/>
      <c r="B12" s="751"/>
      <c r="C12" s="752" t="s">
        <v>190</v>
      </c>
      <c r="D12" s="754"/>
      <c r="E12" s="1497"/>
      <c r="F12" s="440">
        <f t="shared" si="8"/>
        <v>135393.16239316241</v>
      </c>
      <c r="G12" s="473">
        <f t="shared" si="8"/>
        <v>135393.16239316241</v>
      </c>
      <c r="H12" s="473">
        <f t="shared" si="8"/>
        <v>73433.021367521374</v>
      </c>
      <c r="I12" s="442">
        <f>H12-G12</f>
        <v>-61960.141025641031</v>
      </c>
      <c r="J12" s="440">
        <f t="shared" si="9"/>
        <v>105307.69230769231</v>
      </c>
      <c r="K12" s="473">
        <f t="shared" si="9"/>
        <v>89512.820512820515</v>
      </c>
      <c r="L12" s="473">
        <f t="shared" si="9"/>
        <v>85742.417094017102</v>
      </c>
      <c r="M12" s="442">
        <f>L12-K12</f>
        <v>-3770.4034188034129</v>
      </c>
      <c r="N12" s="440">
        <f t="shared" si="10"/>
        <v>127871.79487179487</v>
      </c>
      <c r="O12" s="430">
        <f t="shared" si="10"/>
        <v>127871.79487179487</v>
      </c>
      <c r="P12" s="473">
        <f t="shared" si="10"/>
        <v>116530.68547008547</v>
      </c>
      <c r="Q12" s="442">
        <f>P12-O12</f>
        <v>-11341.1094017094</v>
      </c>
      <c r="R12" s="474">
        <f>F12+J12+N12</f>
        <v>368572.64957264962</v>
      </c>
      <c r="S12" s="475"/>
      <c r="T12" s="475">
        <f t="shared" si="11"/>
        <v>352777.77777777781</v>
      </c>
      <c r="U12" s="476">
        <f t="shared" si="11"/>
        <v>275706.12393162394</v>
      </c>
      <c r="V12" s="430">
        <f>U12-R12</f>
        <v>-92866.525641025684</v>
      </c>
      <c r="W12" s="473"/>
      <c r="X12" s="442">
        <f>U12-T12</f>
        <v>-77071.653846153873</v>
      </c>
      <c r="Y12" s="440">
        <f t="shared" si="12"/>
        <v>135299.14529914531</v>
      </c>
      <c r="Z12" s="430">
        <f t="shared" si="12"/>
        <v>155598.29059829059</v>
      </c>
      <c r="AA12" s="473">
        <f t="shared" si="12"/>
        <v>159151.21282051282</v>
      </c>
      <c r="AB12" s="442">
        <f>AA12-Z12</f>
        <v>3552.9222222222306</v>
      </c>
      <c r="AC12" s="440">
        <f t="shared" si="13"/>
        <v>120264.95726495727</v>
      </c>
      <c r="AD12" s="430">
        <f t="shared" si="13"/>
        <v>158119.65811965812</v>
      </c>
      <c r="AE12" s="473">
        <f t="shared" si="13"/>
        <v>112752.13675213676</v>
      </c>
      <c r="AF12" s="442">
        <f>AE12-AD12</f>
        <v>-45367.52136752136</v>
      </c>
      <c r="AG12" s="440">
        <f t="shared" si="14"/>
        <v>112752.13675213676</v>
      </c>
      <c r="AH12" s="430">
        <f t="shared" si="14"/>
        <v>112752.13675213676</v>
      </c>
      <c r="AI12" s="473">
        <f t="shared" si="14"/>
        <v>81196.581196581203</v>
      </c>
      <c r="AJ12" s="442">
        <f>AI12-AH12</f>
        <v>-31555.555555555562</v>
      </c>
      <c r="AK12" s="474">
        <f>Y12+AC12+AG12</f>
        <v>368316.23931623931</v>
      </c>
      <c r="AL12" s="475"/>
      <c r="AM12" s="475">
        <f t="shared" si="15"/>
        <v>426470.0854700855</v>
      </c>
      <c r="AN12" s="476">
        <f t="shared" si="15"/>
        <v>353099.93076923076</v>
      </c>
      <c r="AO12" s="441">
        <f>AN12-AK12</f>
        <v>-15216.30854700855</v>
      </c>
      <c r="AP12" s="441"/>
      <c r="AQ12" s="442">
        <f>AN12-AM12</f>
        <v>-73370.154700854735</v>
      </c>
      <c r="AR12" s="314">
        <f>SUM(R12,AK12)</f>
        <v>736888.88888888899</v>
      </c>
      <c r="AS12" s="354"/>
      <c r="AT12" s="1025">
        <f>T12+AM12</f>
        <v>779247.86324786325</v>
      </c>
      <c r="AU12" s="476">
        <f>SUM(U12,AN12)</f>
        <v>628806.0547008547</v>
      </c>
      <c r="AV12" s="443">
        <f>AU12-AR12</f>
        <v>-108082.83418803429</v>
      </c>
      <c r="AW12" s="443"/>
      <c r="AX12" s="313">
        <f>AU12-AT12</f>
        <v>-150441.80854700855</v>
      </c>
      <c r="AY12" s="471"/>
      <c r="AZ12" s="472">
        <f>AU12/6</f>
        <v>104801.00911680912</v>
      </c>
      <c r="BA12" s="1425">
        <v>104801.00911680912</v>
      </c>
      <c r="BB12" s="1017"/>
    </row>
    <row r="13" spans="1:57" ht="20.100000000000001" customHeight="1">
      <c r="A13" s="750"/>
      <c r="B13" s="751"/>
      <c r="C13" s="751"/>
      <c r="D13" s="755"/>
      <c r="E13" s="751"/>
      <c r="F13" s="477"/>
      <c r="G13" s="478"/>
      <c r="H13" s="478"/>
      <c r="I13" s="300">
        <f>H14/G14</f>
        <v>0.64593528333333328</v>
      </c>
      <c r="J13" s="477"/>
      <c r="K13" s="478"/>
      <c r="L13" s="478"/>
      <c r="M13" s="300">
        <f>L14/K14</f>
        <v>0.97874935833333321</v>
      </c>
      <c r="N13" s="477"/>
      <c r="O13" s="479"/>
      <c r="P13" s="478"/>
      <c r="Q13" s="300">
        <f>P14/O14</f>
        <v>0.94150375882352932</v>
      </c>
      <c r="R13" s="321"/>
      <c r="S13" s="1026"/>
      <c r="T13" s="480"/>
      <c r="U13" s="298"/>
      <c r="V13" s="349">
        <f>U14/R14</f>
        <v>0.80362023061224497</v>
      </c>
      <c r="W13" s="350"/>
      <c r="X13" s="300">
        <f>U14/T14</f>
        <v>0.83781683617021274</v>
      </c>
      <c r="Y13" s="477"/>
      <c r="Z13" s="479"/>
      <c r="AA13" s="478"/>
      <c r="AB13" s="455">
        <f>AA14/Z14</f>
        <v>1.0010042714285714</v>
      </c>
      <c r="AC13" s="477"/>
      <c r="AD13" s="479"/>
      <c r="AE13" s="478"/>
      <c r="AF13" s="456">
        <f>AE14/AD14</f>
        <v>0.70093457943925241</v>
      </c>
      <c r="AG13" s="477"/>
      <c r="AH13" s="479"/>
      <c r="AI13" s="478"/>
      <c r="AJ13" s="456">
        <f>AI14/AH14</f>
        <v>0.65573770491803274</v>
      </c>
      <c r="AK13" s="321"/>
      <c r="AL13" s="1026"/>
      <c r="AM13" s="480"/>
      <c r="AN13" s="298"/>
      <c r="AO13" s="966">
        <f>AN14/AK14</f>
        <v>0.93920591224489802</v>
      </c>
      <c r="AP13" s="352"/>
      <c r="AQ13" s="301">
        <f>AN14/AM14</f>
        <v>0.79828429661751965</v>
      </c>
      <c r="AR13" s="321"/>
      <c r="AS13" s="1027"/>
      <c r="AT13" s="1027"/>
      <c r="AU13" s="316"/>
      <c r="AV13" s="350">
        <f>AU14/AR14</f>
        <v>0.87141307142857138</v>
      </c>
      <c r="AW13" s="350"/>
      <c r="AX13" s="301">
        <f>AU14/AT14</f>
        <v>0.81603899665551849</v>
      </c>
      <c r="AY13" s="457"/>
      <c r="AZ13" s="458"/>
      <c r="BA13" s="1424"/>
      <c r="BB13" s="1023"/>
      <c r="BC13" s="302"/>
      <c r="BD13" s="302"/>
      <c r="BE13" s="302"/>
    </row>
    <row r="14" spans="1:57" ht="20.100000000000001" customHeight="1">
      <c r="A14" s="747" t="s">
        <v>191</v>
      </c>
      <c r="B14" s="748"/>
      <c r="C14" s="748"/>
      <c r="D14" s="749"/>
      <c r="E14" s="748"/>
      <c r="F14" s="459">
        <f>F81/1.17</f>
        <v>153846.15384615384</v>
      </c>
      <c r="G14" s="460">
        <f>G81/1.17</f>
        <v>153846.15384615384</v>
      </c>
      <c r="H14" s="460">
        <f>H81/1.17</f>
        <v>99374.658974358972</v>
      </c>
      <c r="I14" s="307">
        <f>H14-G14</f>
        <v>-54471.494871794872</v>
      </c>
      <c r="J14" s="459">
        <f>J81/1.17</f>
        <v>119658.11965811967</v>
      </c>
      <c r="K14" s="460">
        <f>K81/1.17</f>
        <v>102564.10256410258</v>
      </c>
      <c r="L14" s="460">
        <f>L81/1.17</f>
        <v>100384.54957264957</v>
      </c>
      <c r="M14" s="307">
        <f>L14-K14</f>
        <v>-2179.5529914530052</v>
      </c>
      <c r="N14" s="459">
        <f>N81/1.17</f>
        <v>145299.14529914531</v>
      </c>
      <c r="O14" s="461">
        <f>O81/1.17</f>
        <v>145299.14529914531</v>
      </c>
      <c r="P14" s="460">
        <f>P81/1.17</f>
        <v>136799.69145299145</v>
      </c>
      <c r="Q14" s="307">
        <f>P14-O14</f>
        <v>-8499.4538461538614</v>
      </c>
      <c r="R14" s="462">
        <f>F14+J14+N14</f>
        <v>418803.41880341881</v>
      </c>
      <c r="S14" s="463"/>
      <c r="T14" s="463">
        <f t="shared" ref="T14:U17" si="16">G14+K14+O14</f>
        <v>401709.40170940175</v>
      </c>
      <c r="U14" s="306">
        <f t="shared" si="16"/>
        <v>336558.9</v>
      </c>
      <c r="V14" s="304">
        <f>U14-R14</f>
        <v>-82244.518803418789</v>
      </c>
      <c r="W14" s="303"/>
      <c r="X14" s="307">
        <f>U14-T14</f>
        <v>-65150.501709401724</v>
      </c>
      <c r="Y14" s="459">
        <f>Y81/1.17</f>
        <v>153846.15384615384</v>
      </c>
      <c r="Z14" s="461">
        <f>Z81/1.17</f>
        <v>179487.1794871795</v>
      </c>
      <c r="AA14" s="460">
        <f>AA81/1.17</f>
        <v>179667.43333333335</v>
      </c>
      <c r="AB14" s="465">
        <f>AA14-Z14</f>
        <v>180.25384615384974</v>
      </c>
      <c r="AC14" s="459">
        <f>AC81/1.17</f>
        <v>136752.13675213675</v>
      </c>
      <c r="AD14" s="461">
        <f>AD81/1.17</f>
        <v>182905.98290598291</v>
      </c>
      <c r="AE14" s="460">
        <f>AE81/1.17</f>
        <v>128205.12820512822</v>
      </c>
      <c r="AF14" s="465">
        <f>AE14-AD14</f>
        <v>-54700.854700854688</v>
      </c>
      <c r="AG14" s="459">
        <f>AG81/1.17</f>
        <v>128205.12820512822</v>
      </c>
      <c r="AH14" s="461">
        <f>AH81/1.17</f>
        <v>130341.88034188034</v>
      </c>
      <c r="AI14" s="460">
        <f>AI81/1.17</f>
        <v>85470.085470085469</v>
      </c>
      <c r="AJ14" s="465">
        <f>AI14-AH14</f>
        <v>-44871.794871794875</v>
      </c>
      <c r="AK14" s="462">
        <f>Y14+AC14+AG14</f>
        <v>418803.41880341887</v>
      </c>
      <c r="AL14" s="463"/>
      <c r="AM14" s="463">
        <f t="shared" ref="AM14:AN17" si="17">Z14+AD14+AH14</f>
        <v>492735.04273504275</v>
      </c>
      <c r="AN14" s="306">
        <f t="shared" si="17"/>
        <v>393342.64700854709</v>
      </c>
      <c r="AO14" s="323">
        <f>AN14-AK14</f>
        <v>-25460.771794871776</v>
      </c>
      <c r="AP14" s="323"/>
      <c r="AQ14" s="307">
        <f>AN14-AM14</f>
        <v>-99392.395726495655</v>
      </c>
      <c r="AR14" s="305">
        <f>SUM(R14,AK14)</f>
        <v>837606.83760683774</v>
      </c>
      <c r="AS14" s="1024"/>
      <c r="AT14" s="1024">
        <f>T14+AM14</f>
        <v>894444.4444444445</v>
      </c>
      <c r="AU14" s="306">
        <f>SUM(U14,AN14)</f>
        <v>729901.54700854712</v>
      </c>
      <c r="AV14" s="303">
        <f>AU14-AR14</f>
        <v>-107705.29059829062</v>
      </c>
      <c r="AW14" s="303"/>
      <c r="AX14" s="307">
        <f>AU14-AT14</f>
        <v>-164542.89743589738</v>
      </c>
      <c r="AY14" s="457">
        <f>AR14/6</f>
        <v>139601.13960113961</v>
      </c>
      <c r="AZ14" s="458">
        <f>AU14/6</f>
        <v>121650.25783475785</v>
      </c>
      <c r="BA14" s="1424">
        <v>121650.25783475785</v>
      </c>
      <c r="BB14" s="1023">
        <f>AZ14-AY14</f>
        <v>-17950.881766381761</v>
      </c>
      <c r="BC14" s="302">
        <f>BA14-AY14</f>
        <v>-17950.881766381761</v>
      </c>
      <c r="BD14" s="302">
        <f>BA14-AZ14</f>
        <v>0</v>
      </c>
      <c r="BE14" s="302">
        <f>AX14/6</f>
        <v>-27423.816239316231</v>
      </c>
    </row>
    <row r="15" spans="1:57" ht="20.100000000000001" customHeight="1">
      <c r="A15" s="750"/>
      <c r="B15" s="756"/>
      <c r="C15" s="757" t="s">
        <v>192</v>
      </c>
      <c r="D15" s="758"/>
      <c r="E15" s="807"/>
      <c r="F15" s="448">
        <f>F84/1.17</f>
        <v>47961.538461538461</v>
      </c>
      <c r="G15" s="466">
        <f>G84/1.17</f>
        <v>48717.948717948719</v>
      </c>
      <c r="H15" s="466">
        <f>H84/1.17</f>
        <v>37575.570940170939</v>
      </c>
      <c r="I15" s="291">
        <f>H15-G15</f>
        <v>-11142.37777777778</v>
      </c>
      <c r="J15" s="448">
        <f>J84/1.17</f>
        <v>47961.538461538461</v>
      </c>
      <c r="K15" s="466">
        <f>K84/1.17</f>
        <v>42735.042735042734</v>
      </c>
      <c r="L15" s="466">
        <f>L84/1.17</f>
        <v>45775.405982905984</v>
      </c>
      <c r="M15" s="291">
        <f>L15-K15</f>
        <v>3040.3632478632499</v>
      </c>
      <c r="N15" s="448">
        <f>N84/1.17</f>
        <v>47961.538461538461</v>
      </c>
      <c r="O15" s="446">
        <f>O84/1.17</f>
        <v>34188.034188034188</v>
      </c>
      <c r="P15" s="466">
        <f>P84/1.17</f>
        <v>35682.64444444445</v>
      </c>
      <c r="Q15" s="291">
        <f>P15-O15</f>
        <v>1494.6102564102621</v>
      </c>
      <c r="R15" s="467">
        <f>F15+J15+N15</f>
        <v>143884.61538461538</v>
      </c>
      <c r="S15" s="468"/>
      <c r="T15" s="468">
        <f t="shared" si="16"/>
        <v>125641.02564102564</v>
      </c>
      <c r="U15" s="311">
        <f t="shared" si="16"/>
        <v>119033.62136752138</v>
      </c>
      <c r="V15" s="309">
        <f>U15-R15</f>
        <v>-24850.994017093995</v>
      </c>
      <c r="W15" s="308"/>
      <c r="X15" s="291">
        <f>U15-T15</f>
        <v>-6607.4042735042603</v>
      </c>
      <c r="Y15" s="448">
        <f>Y84/1.17</f>
        <v>48141.025641025641</v>
      </c>
      <c r="Z15" s="446">
        <f>Z84/1.17</f>
        <v>35042.735042735047</v>
      </c>
      <c r="AA15" s="466">
        <f>AA84/1.17</f>
        <v>24075.141880341882</v>
      </c>
      <c r="AB15" s="435">
        <f>AA15-Z15</f>
        <v>-10967.593162393165</v>
      </c>
      <c r="AC15" s="448">
        <f>AC84/1.17</f>
        <v>48141.025641025641</v>
      </c>
      <c r="AD15" s="446">
        <f>AD84/1.17</f>
        <v>51282.051282051289</v>
      </c>
      <c r="AE15" s="466">
        <f>AE84/1.17</f>
        <v>32478.63247863248</v>
      </c>
      <c r="AF15" s="435">
        <f>AE15-AD15</f>
        <v>-18803.418803418808</v>
      </c>
      <c r="AG15" s="448">
        <f>AG84/1.17</f>
        <v>48141.025641025641</v>
      </c>
      <c r="AH15" s="446">
        <f>AH84/1.17</f>
        <v>41880.341880341883</v>
      </c>
      <c r="AI15" s="466">
        <f>AI84/1.17</f>
        <v>24786.324786324789</v>
      </c>
      <c r="AJ15" s="435">
        <f>AI15-AH15</f>
        <v>-17094.017094017094</v>
      </c>
      <c r="AK15" s="467">
        <f>Y15+AC15+AG15</f>
        <v>144423.07692307694</v>
      </c>
      <c r="AL15" s="468"/>
      <c r="AM15" s="468">
        <f t="shared" si="17"/>
        <v>128205.12820512822</v>
      </c>
      <c r="AN15" s="311">
        <f t="shared" si="17"/>
        <v>81340.099145299144</v>
      </c>
      <c r="AO15" s="312">
        <f>AN15-AK15</f>
        <v>-63082.977777777793</v>
      </c>
      <c r="AP15" s="312"/>
      <c r="AQ15" s="291">
        <f>AN15-AM15</f>
        <v>-46865.029059829074</v>
      </c>
      <c r="AR15" s="467">
        <f>SUM(R15,AK15)</f>
        <v>288307.69230769231</v>
      </c>
      <c r="AS15" s="647"/>
      <c r="AT15" s="647">
        <f>T15+AM15</f>
        <v>253846.15384615387</v>
      </c>
      <c r="AU15" s="469">
        <f>SUM(U15,AN15)</f>
        <v>200373.72051282052</v>
      </c>
      <c r="AV15" s="466">
        <f>AU15-AR15</f>
        <v>-87933.971794871788</v>
      </c>
      <c r="AW15" s="466"/>
      <c r="AX15" s="291">
        <f>AU15-AT15</f>
        <v>-53472.433333333349</v>
      </c>
      <c r="AY15" s="471"/>
      <c r="AZ15" s="472"/>
      <c r="BA15" s="1425"/>
      <c r="BB15" s="1017"/>
    </row>
    <row r="16" spans="1:57" ht="20.100000000000001" customHeight="1">
      <c r="A16" s="750"/>
      <c r="B16" s="756"/>
      <c r="C16" s="757" t="s">
        <v>193</v>
      </c>
      <c r="D16" s="758"/>
      <c r="E16" s="807"/>
      <c r="F16" s="448">
        <f>F87/1.17</f>
        <v>76923.076923076922</v>
      </c>
      <c r="G16" s="466">
        <f>G19-G15</f>
        <v>79487.179487179499</v>
      </c>
      <c r="H16" s="839">
        <f>H19-H15</f>
        <v>92542.263059829071</v>
      </c>
      <c r="I16" s="291">
        <f>H16-G16</f>
        <v>13055.083572649572</v>
      </c>
      <c r="J16" s="448">
        <f>J87/1.17</f>
        <v>76923.076923076922</v>
      </c>
      <c r="K16" s="466">
        <f>K87/1.17</f>
        <v>78632.47863247864</v>
      </c>
      <c r="L16" s="839">
        <f>L19-L15</f>
        <v>69449.050017094021</v>
      </c>
      <c r="M16" s="291">
        <f>L16-K16</f>
        <v>-9183.4286153846188</v>
      </c>
      <c r="N16" s="448">
        <f>N87/1.17</f>
        <v>76923.076923076922</v>
      </c>
      <c r="O16" s="446">
        <f>O19-O15</f>
        <v>90598.290598290609</v>
      </c>
      <c r="P16" s="839">
        <f>P19-P15</f>
        <v>58701.936555555556</v>
      </c>
      <c r="Q16" s="291">
        <f>P16-O16</f>
        <v>-31896.354042735053</v>
      </c>
      <c r="R16" s="467">
        <f>F16+J16+N16</f>
        <v>230769.23076923075</v>
      </c>
      <c r="S16" s="468"/>
      <c r="T16" s="468">
        <f t="shared" si="16"/>
        <v>248717.94871794875</v>
      </c>
      <c r="U16" s="311">
        <f t="shared" si="16"/>
        <v>220693.24963247863</v>
      </c>
      <c r="V16" s="309">
        <f>U16-R16</f>
        <v>-10075.981136752118</v>
      </c>
      <c r="W16" s="308"/>
      <c r="X16" s="291">
        <f>U16-T16</f>
        <v>-28024.699085470114</v>
      </c>
      <c r="Y16" s="448">
        <f>Y87/1.17</f>
        <v>76923.076923076922</v>
      </c>
      <c r="Z16" s="446">
        <f>Z19-Z15</f>
        <v>109829.05982905983</v>
      </c>
      <c r="AA16" s="466">
        <f>AA19-AA15</f>
        <v>124995.47950427349</v>
      </c>
      <c r="AB16" s="435">
        <f>AA16-Z16</f>
        <v>15166.419675213663</v>
      </c>
      <c r="AC16" s="448">
        <f>AC87/1.17</f>
        <v>76923.076923076922</v>
      </c>
      <c r="AD16" s="446">
        <f>AD19-AD15</f>
        <v>94017.09401709403</v>
      </c>
      <c r="AE16" s="466">
        <f>AE19-AE15</f>
        <v>64957.264957264953</v>
      </c>
      <c r="AF16" s="435">
        <f>AE16-AD16</f>
        <v>-29059.829059829077</v>
      </c>
      <c r="AG16" s="448">
        <f>AG87/1.17</f>
        <v>76923.076923076922</v>
      </c>
      <c r="AH16" s="446">
        <f>AH19-AH15</f>
        <v>88888.888888888905</v>
      </c>
      <c r="AI16" s="466">
        <f>AI19-AI15</f>
        <v>57264.957264957273</v>
      </c>
      <c r="AJ16" s="435">
        <f>AI16-AH16</f>
        <v>-31623.931623931632</v>
      </c>
      <c r="AK16" s="467">
        <f>Y16+AC16+AG16</f>
        <v>230769.23076923075</v>
      </c>
      <c r="AL16" s="468"/>
      <c r="AM16" s="468">
        <f t="shared" si="17"/>
        <v>292735.04273504275</v>
      </c>
      <c r="AN16" s="311">
        <f t="shared" si="17"/>
        <v>247217.70172649572</v>
      </c>
      <c r="AO16" s="312">
        <f>AN16-AK16</f>
        <v>16448.470957264974</v>
      </c>
      <c r="AP16" s="312"/>
      <c r="AQ16" s="291">
        <f>AN16-AM16</f>
        <v>-45517.341008547024</v>
      </c>
      <c r="AR16" s="467">
        <f>SUM(R16,AK16)</f>
        <v>461538.4615384615</v>
      </c>
      <c r="AS16" s="647"/>
      <c r="AT16" s="647">
        <f>T16+AM16</f>
        <v>541452.9914529915</v>
      </c>
      <c r="AU16" s="469">
        <f>SUM(U16,AN16)</f>
        <v>467910.95135897433</v>
      </c>
      <c r="AV16" s="466">
        <f>AU16-AR16</f>
        <v>6372.4898205128266</v>
      </c>
      <c r="AW16" s="466"/>
      <c r="AX16" s="291">
        <f>AU16-AT16</f>
        <v>-73542.040094017168</v>
      </c>
      <c r="AY16" s="471"/>
      <c r="AZ16" s="472"/>
      <c r="BA16" s="1425"/>
      <c r="BB16" s="1017"/>
    </row>
    <row r="17" spans="1:57" ht="20.100000000000001" customHeight="1">
      <c r="A17" s="750"/>
      <c r="B17" s="756"/>
      <c r="C17" s="757" t="s">
        <v>194</v>
      </c>
      <c r="D17" s="758"/>
      <c r="E17" s="807"/>
      <c r="F17" s="448">
        <f>F89/1.17</f>
        <v>0</v>
      </c>
      <c r="G17" s="466">
        <f>G89/1.17</f>
        <v>13076.923076923078</v>
      </c>
      <c r="H17" s="466">
        <f>H89/1.17</f>
        <v>3095.4700854700855</v>
      </c>
      <c r="I17" s="291">
        <f>H17-G17</f>
        <v>-9981.4529914529921</v>
      </c>
      <c r="J17" s="448">
        <f>J89/1.17</f>
        <v>0</v>
      </c>
      <c r="K17" s="466">
        <f>K89/1.17</f>
        <v>15769.23076923077</v>
      </c>
      <c r="L17" s="466">
        <f>L89/1.17</f>
        <v>3957.2649572649575</v>
      </c>
      <c r="M17" s="291">
        <f>L17-K17</f>
        <v>-11811.965811965812</v>
      </c>
      <c r="N17" s="448">
        <f>N89/1.17</f>
        <v>0</v>
      </c>
      <c r="O17" s="446">
        <f>O89/1.17</f>
        <v>12307.692307692309</v>
      </c>
      <c r="P17" s="466">
        <f>P89/1.17</f>
        <v>328.71794871794873</v>
      </c>
      <c r="Q17" s="291">
        <f>P17-O17</f>
        <v>-11978.974358974359</v>
      </c>
      <c r="R17" s="467">
        <f>F17+J17+N17</f>
        <v>0</v>
      </c>
      <c r="S17" s="468"/>
      <c r="T17" s="468">
        <f t="shared" si="16"/>
        <v>41153.846153846156</v>
      </c>
      <c r="U17" s="311">
        <f t="shared" si="16"/>
        <v>7381.4529914529921</v>
      </c>
      <c r="V17" s="309">
        <f>U17-R17</f>
        <v>7381.4529914529921</v>
      </c>
      <c r="W17" s="308"/>
      <c r="X17" s="291">
        <f>U17-T17</f>
        <v>-33772.393162393164</v>
      </c>
      <c r="Y17" s="448">
        <f>Y89/1.17</f>
        <v>0</v>
      </c>
      <c r="Z17" s="446">
        <f>Z89/1.17</f>
        <v>5324.7863247863252</v>
      </c>
      <c r="AA17" s="466">
        <f>AA89/1.17</f>
        <v>13106.410256410258</v>
      </c>
      <c r="AB17" s="435">
        <f>AA17-Z17</f>
        <v>7781.6239316239325</v>
      </c>
      <c r="AC17" s="448">
        <f>AC89/1.17</f>
        <v>0</v>
      </c>
      <c r="AD17" s="446">
        <f>AD89/1.17</f>
        <v>11410.25641025641</v>
      </c>
      <c r="AE17" s="466">
        <f>AE89/1.17</f>
        <v>5324.7863247863252</v>
      </c>
      <c r="AF17" s="435">
        <f>AE17-AD17</f>
        <v>-6085.470085470085</v>
      </c>
      <c r="AG17" s="448">
        <f>AG89/1.17</f>
        <v>0</v>
      </c>
      <c r="AH17" s="446">
        <f>AH89/1.17</f>
        <v>11410.25641025641</v>
      </c>
      <c r="AI17" s="466">
        <f>AI89/1.17</f>
        <v>5324.7863247863252</v>
      </c>
      <c r="AJ17" s="435">
        <f>AI17-AH17</f>
        <v>-6085.470085470085</v>
      </c>
      <c r="AK17" s="467">
        <f>Y17+AC17+AG17</f>
        <v>0</v>
      </c>
      <c r="AL17" s="468"/>
      <c r="AM17" s="468">
        <f t="shared" si="17"/>
        <v>28145.299145299145</v>
      </c>
      <c r="AN17" s="311">
        <f t="shared" si="17"/>
        <v>23755.982905982906</v>
      </c>
      <c r="AO17" s="312">
        <f>AN17-AK17</f>
        <v>23755.982905982906</v>
      </c>
      <c r="AP17" s="312"/>
      <c r="AQ17" s="291">
        <f>AN17-AM17</f>
        <v>-4389.3162393162384</v>
      </c>
      <c r="AR17" s="467">
        <f>SUM(R17,AK17)</f>
        <v>0</v>
      </c>
      <c r="AS17" s="647"/>
      <c r="AT17" s="647">
        <f>T17+AM17</f>
        <v>69299.145299145297</v>
      </c>
      <c r="AU17" s="469">
        <f>SUM(U17,AN17)</f>
        <v>31137.435897435898</v>
      </c>
      <c r="AV17" s="466">
        <f>AU17-AR17</f>
        <v>31137.435897435898</v>
      </c>
      <c r="AW17" s="466"/>
      <c r="AX17" s="291">
        <f>AU17-AT17</f>
        <v>-38161.709401709399</v>
      </c>
      <c r="AY17" s="471"/>
      <c r="AZ17" s="472"/>
      <c r="BA17" s="1425"/>
      <c r="BB17" s="1017"/>
    </row>
    <row r="18" spans="1:57" ht="20.100000000000001" customHeight="1">
      <c r="A18" s="750"/>
      <c r="B18" s="751"/>
      <c r="C18" s="751"/>
      <c r="D18" s="755"/>
      <c r="E18" s="751"/>
      <c r="F18" s="482"/>
      <c r="G18" s="483"/>
      <c r="H18" s="483"/>
      <c r="I18" s="300">
        <f>H19/G19</f>
        <v>1.0149191051999999</v>
      </c>
      <c r="J18" s="482"/>
      <c r="K18" s="483"/>
      <c r="L18" s="483"/>
      <c r="M18" s="300">
        <f>L19/K19</f>
        <v>0.94938460225352117</v>
      </c>
      <c r="N18" s="482"/>
      <c r="O18" s="484"/>
      <c r="P18" s="483"/>
      <c r="Q18" s="319">
        <f>P19/O19</f>
        <v>0.75636958746575345</v>
      </c>
      <c r="R18" s="317"/>
      <c r="S18" s="1028"/>
      <c r="T18" s="967"/>
      <c r="U18" s="452"/>
      <c r="V18" s="453">
        <f>U19/R19</f>
        <v>0.90677534606303256</v>
      </c>
      <c r="W18" s="454"/>
      <c r="X18" s="319">
        <f>U19/T19</f>
        <v>0.90748958691780834</v>
      </c>
      <c r="Y18" s="482"/>
      <c r="Z18" s="484"/>
      <c r="AA18" s="483"/>
      <c r="AB18" s="486">
        <f>AA19/Z19</f>
        <v>1.0289830502654866</v>
      </c>
      <c r="AC18" s="482"/>
      <c r="AD18" s="484"/>
      <c r="AE18" s="483"/>
      <c r="AF18" s="487">
        <f>AE19/AD19</f>
        <v>0.6705882352941176</v>
      </c>
      <c r="AG18" s="482"/>
      <c r="AH18" s="484"/>
      <c r="AI18" s="483"/>
      <c r="AJ18" s="487">
        <f>AI19/AH19</f>
        <v>0.62745098039215685</v>
      </c>
      <c r="AK18" s="317"/>
      <c r="AL18" s="1028"/>
      <c r="AM18" s="967"/>
      <c r="AN18" s="452"/>
      <c r="AO18" s="966">
        <f>AN19/AK19</f>
        <v>0.87570505614214922</v>
      </c>
      <c r="AP18" s="966"/>
      <c r="AQ18" s="320">
        <f>AN19/AM19</f>
        <v>0.7805332528324872</v>
      </c>
      <c r="AR18" s="488"/>
      <c r="AS18" s="1029"/>
      <c r="AT18" s="1029"/>
      <c r="AU18" s="481"/>
      <c r="AV18" s="350">
        <f>AU19/AR19</f>
        <v>0.89122904537682923</v>
      </c>
      <c r="AW18" s="350"/>
      <c r="AX18" s="322">
        <f>AU19/AT19</f>
        <v>0.84029346167651786</v>
      </c>
      <c r="AY18" s="457"/>
      <c r="AZ18" s="458"/>
      <c r="BA18" s="1424"/>
      <c r="BB18" s="1023"/>
      <c r="BC18" s="302"/>
      <c r="BD18" s="302"/>
      <c r="BE18" s="302"/>
    </row>
    <row r="19" spans="1:57" ht="20.100000000000001" customHeight="1">
      <c r="A19" s="747" t="s">
        <v>41</v>
      </c>
      <c r="B19" s="748"/>
      <c r="C19" s="759"/>
      <c r="D19" s="753"/>
      <c r="E19" s="759"/>
      <c r="F19" s="459">
        <f>F93/1.17</f>
        <v>124884.61538461539</v>
      </c>
      <c r="G19" s="460">
        <f>G93/1.17</f>
        <v>128205.12820512822</v>
      </c>
      <c r="H19" s="838">
        <v>130117.834</v>
      </c>
      <c r="I19" s="307">
        <f>H19-G19</f>
        <v>1912.7057948717847</v>
      </c>
      <c r="J19" s="459">
        <f>J93/1.17</f>
        <v>124884.61538461539</v>
      </c>
      <c r="K19" s="460">
        <f>K93/1.17</f>
        <v>121367.52136752137</v>
      </c>
      <c r="L19" s="838">
        <v>115224.45600000001</v>
      </c>
      <c r="M19" s="307">
        <f>L19-K19</f>
        <v>-6143.0653675213689</v>
      </c>
      <c r="N19" s="459">
        <f>N93/1.17</f>
        <v>124884.61538461539</v>
      </c>
      <c r="O19" s="461">
        <f>O93/1.17</f>
        <v>124786.3247863248</v>
      </c>
      <c r="P19" s="838">
        <v>94384.581000000006</v>
      </c>
      <c r="Q19" s="307">
        <f>P19-O19</f>
        <v>-30401.743786324791</v>
      </c>
      <c r="R19" s="462">
        <f>F19+J19+N19</f>
        <v>374653.84615384619</v>
      </c>
      <c r="S19" s="463"/>
      <c r="T19" s="463">
        <f t="shared" ref="T19:U21" si="18">G19+K19+O19</f>
        <v>374358.97435897437</v>
      </c>
      <c r="U19" s="306">
        <f t="shared" si="18"/>
        <v>339726.87100000004</v>
      </c>
      <c r="V19" s="461">
        <f>U19-R19</f>
        <v>-34926.975153846142</v>
      </c>
      <c r="W19" s="460"/>
      <c r="X19" s="307">
        <f>U19-T19</f>
        <v>-34632.103358974331</v>
      </c>
      <c r="Y19" s="459">
        <f>Y93/1.17</f>
        <v>125064.10256410258</v>
      </c>
      <c r="Z19" s="461">
        <f>Z93/1.17</f>
        <v>144871.79487179487</v>
      </c>
      <c r="AA19" s="460">
        <f>AA93/1.17</f>
        <v>149070.62138461537</v>
      </c>
      <c r="AB19" s="465">
        <f>AA19-Z19</f>
        <v>4198.8265128204948</v>
      </c>
      <c r="AC19" s="459">
        <f>AC93/1.17</f>
        <v>125064.10256410258</v>
      </c>
      <c r="AD19" s="461">
        <f>AD93/1.17</f>
        <v>145299.14529914531</v>
      </c>
      <c r="AE19" s="460">
        <f>AE93/1.17</f>
        <v>97435.897435897437</v>
      </c>
      <c r="AF19" s="465">
        <f>AE19-AD19</f>
        <v>-47863.247863247874</v>
      </c>
      <c r="AG19" s="459">
        <f>AG93/1.17</f>
        <v>125064.10256410258</v>
      </c>
      <c r="AH19" s="461">
        <f>AH93/1.17</f>
        <v>130769.23076923078</v>
      </c>
      <c r="AI19" s="460">
        <f>AI93/1.17</f>
        <v>82051.282051282062</v>
      </c>
      <c r="AJ19" s="465">
        <f>AI19-AH19</f>
        <v>-48717.948717948719</v>
      </c>
      <c r="AK19" s="462">
        <f>Y19+AC19+AG19</f>
        <v>375192.30769230775</v>
      </c>
      <c r="AL19" s="463"/>
      <c r="AM19" s="463">
        <f t="shared" ref="AM19:AN21" si="19">Z19+AD19+AH19</f>
        <v>420940.170940171</v>
      </c>
      <c r="AN19" s="306">
        <f t="shared" si="19"/>
        <v>328557.80087179487</v>
      </c>
      <c r="AO19" s="489">
        <f>AN19-AK19</f>
        <v>-46634.506820512877</v>
      </c>
      <c r="AP19" s="489"/>
      <c r="AQ19" s="307">
        <f>AN19-AM19</f>
        <v>-92382.370068376127</v>
      </c>
      <c r="AR19" s="462">
        <f>SUM(R19,AK19)</f>
        <v>749846.15384615399</v>
      </c>
      <c r="AS19" s="1030"/>
      <c r="AT19" s="1030">
        <f>T19+AM19</f>
        <v>795299.14529914537</v>
      </c>
      <c r="AU19" s="464">
        <f>SUM(U19,AN19)</f>
        <v>668284.67187179485</v>
      </c>
      <c r="AV19" s="460">
        <f>AU19-AR19</f>
        <v>-81561.481974359136</v>
      </c>
      <c r="AW19" s="460"/>
      <c r="AX19" s="307">
        <f>AU19-AT19</f>
        <v>-127014.47342735052</v>
      </c>
      <c r="AY19" s="457">
        <f>AR19/6</f>
        <v>124974.358974359</v>
      </c>
      <c r="AZ19" s="458">
        <f>AU19/6</f>
        <v>111380.77864529914</v>
      </c>
      <c r="BA19" s="1424">
        <v>111380.77864529914</v>
      </c>
      <c r="BB19" s="1023">
        <f>AZ19-AY19</f>
        <v>-13593.580329059856</v>
      </c>
      <c r="BC19" s="302">
        <f>BA19-AY19</f>
        <v>-13593.580329059856</v>
      </c>
      <c r="BD19" s="302">
        <f>BA19-AZ19</f>
        <v>0</v>
      </c>
      <c r="BE19" s="302">
        <f>AX19/6</f>
        <v>-21169.078904558421</v>
      </c>
    </row>
    <row r="20" spans="1:57" ht="20.100000000000001" customHeight="1">
      <c r="A20" s="760"/>
      <c r="B20" s="761"/>
      <c r="C20" s="762" t="s">
        <v>195</v>
      </c>
      <c r="D20" s="763"/>
      <c r="E20" s="820"/>
      <c r="F20" s="448">
        <f>F95/1.17</f>
        <v>0</v>
      </c>
      <c r="G20" s="466">
        <f>G95/1.17</f>
        <v>0</v>
      </c>
      <c r="H20" s="466">
        <f>H95/1.17</f>
        <v>0</v>
      </c>
      <c r="I20" s="291">
        <f>H20-G20</f>
        <v>0</v>
      </c>
      <c r="J20" s="448">
        <f>J95/1.17</f>
        <v>0</v>
      </c>
      <c r="K20" s="466">
        <f>K95/1.17</f>
        <v>0</v>
      </c>
      <c r="L20" s="466">
        <f>L95/1.17</f>
        <v>0</v>
      </c>
      <c r="M20" s="291">
        <f>L20-K20</f>
        <v>0</v>
      </c>
      <c r="N20" s="448">
        <f>N95/1.17</f>
        <v>0</v>
      </c>
      <c r="O20" s="446">
        <f>O95/1.17</f>
        <v>0</v>
      </c>
      <c r="P20" s="466">
        <f>P95/1.17</f>
        <v>0</v>
      </c>
      <c r="Q20" s="291">
        <f>P20-O20</f>
        <v>0</v>
      </c>
      <c r="R20" s="467">
        <f>F20+J20+N20</f>
        <v>0</v>
      </c>
      <c r="S20" s="468"/>
      <c r="T20" s="468">
        <f t="shared" si="18"/>
        <v>0</v>
      </c>
      <c r="U20" s="311">
        <f t="shared" si="18"/>
        <v>0</v>
      </c>
      <c r="V20" s="446">
        <f>U20-R20</f>
        <v>0</v>
      </c>
      <c r="W20" s="466"/>
      <c r="X20" s="291">
        <f>U20-T20</f>
        <v>0</v>
      </c>
      <c r="Y20" s="448">
        <f>Y95/1.17</f>
        <v>0</v>
      </c>
      <c r="Z20" s="446">
        <f>Z95/1.17</f>
        <v>0</v>
      </c>
      <c r="AA20" s="466">
        <f>AA95/1.17</f>
        <v>0</v>
      </c>
      <c r="AB20" s="435">
        <f>AA20-Z20</f>
        <v>0</v>
      </c>
      <c r="AC20" s="448">
        <f>AC95/1.17</f>
        <v>0</v>
      </c>
      <c r="AD20" s="446">
        <f>AD95/1.17</f>
        <v>0</v>
      </c>
      <c r="AE20" s="466">
        <f>AE95/1.17</f>
        <v>0</v>
      </c>
      <c r="AF20" s="435">
        <f>AE20-AD20</f>
        <v>0</v>
      </c>
      <c r="AG20" s="448">
        <f>AG95/1.17</f>
        <v>0</v>
      </c>
      <c r="AH20" s="446">
        <f>AH95/1.17</f>
        <v>0</v>
      </c>
      <c r="AI20" s="466">
        <f>AI95/1.17</f>
        <v>0</v>
      </c>
      <c r="AJ20" s="435">
        <f>AI20-AH20</f>
        <v>0</v>
      </c>
      <c r="AK20" s="467">
        <f>Y20+AC20+AG20</f>
        <v>0</v>
      </c>
      <c r="AL20" s="468"/>
      <c r="AM20" s="468">
        <f t="shared" si="19"/>
        <v>0</v>
      </c>
      <c r="AN20" s="311">
        <f t="shared" si="19"/>
        <v>0</v>
      </c>
      <c r="AO20" s="470">
        <f>AN20-AK20</f>
        <v>0</v>
      </c>
      <c r="AP20" s="470"/>
      <c r="AQ20" s="291">
        <f>AN20-AM20</f>
        <v>0</v>
      </c>
      <c r="AR20" s="467">
        <f>SUM(R20,AK20)</f>
        <v>0</v>
      </c>
      <c r="AS20" s="647"/>
      <c r="AT20" s="647">
        <f>T20+AM20</f>
        <v>0</v>
      </c>
      <c r="AU20" s="469">
        <f>SUM(U20,AN20)</f>
        <v>0</v>
      </c>
      <c r="AV20" s="466">
        <f>AU20-AR20</f>
        <v>0</v>
      </c>
      <c r="AW20" s="466"/>
      <c r="AX20" s="291">
        <f>AU20-AT20</f>
        <v>0</v>
      </c>
      <c r="AY20" s="471"/>
      <c r="AZ20" s="472"/>
      <c r="BA20" s="1425"/>
      <c r="BB20" s="1017"/>
    </row>
    <row r="21" spans="1:57" ht="20.100000000000001" customHeight="1">
      <c r="A21" s="760"/>
      <c r="B21" s="761"/>
      <c r="C21" s="762" t="s">
        <v>196</v>
      </c>
      <c r="D21" s="764"/>
      <c r="E21" s="1498"/>
      <c r="F21" s="440">
        <f>F97/1.17</f>
        <v>0</v>
      </c>
      <c r="G21" s="473">
        <f>G97/1.17</f>
        <v>0</v>
      </c>
      <c r="H21" s="473">
        <f>H97/1.17</f>
        <v>0</v>
      </c>
      <c r="I21" s="313">
        <f>H21-G21</f>
        <v>0</v>
      </c>
      <c r="J21" s="440">
        <f>J97/1.17</f>
        <v>0</v>
      </c>
      <c r="K21" s="473">
        <f>K97/1.17</f>
        <v>0</v>
      </c>
      <c r="L21" s="473">
        <f>L97/1.17</f>
        <v>0</v>
      </c>
      <c r="M21" s="313">
        <f>L21-K21</f>
        <v>0</v>
      </c>
      <c r="N21" s="440">
        <f>N97/1.17</f>
        <v>0</v>
      </c>
      <c r="O21" s="430">
        <f>O23-O20</f>
        <v>0</v>
      </c>
      <c r="P21" s="473">
        <f>P23-P20</f>
        <v>0</v>
      </c>
      <c r="Q21" s="313">
        <f>P21-O21</f>
        <v>0</v>
      </c>
      <c r="R21" s="474">
        <f>F21+J21+N21</f>
        <v>0</v>
      </c>
      <c r="S21" s="475"/>
      <c r="T21" s="475">
        <f t="shared" si="18"/>
        <v>0</v>
      </c>
      <c r="U21" s="315">
        <f t="shared" si="18"/>
        <v>0</v>
      </c>
      <c r="V21" s="430">
        <f>U21-R21</f>
        <v>0</v>
      </c>
      <c r="W21" s="473"/>
      <c r="X21" s="313">
        <f>U21-T21</f>
        <v>0</v>
      </c>
      <c r="Y21" s="440">
        <f>Y97/1.17</f>
        <v>0</v>
      </c>
      <c r="Z21" s="430">
        <f>Z97/1.17</f>
        <v>0</v>
      </c>
      <c r="AA21" s="473">
        <f>AA97/1.17</f>
        <v>0</v>
      </c>
      <c r="AB21" s="442">
        <f>AA21-Z21</f>
        <v>0</v>
      </c>
      <c r="AC21" s="440">
        <f>AC97/1.17</f>
        <v>0</v>
      </c>
      <c r="AD21" s="430">
        <f>AD97/1.17</f>
        <v>0</v>
      </c>
      <c r="AE21" s="473">
        <f>AE97/1.17</f>
        <v>0</v>
      </c>
      <c r="AF21" s="442">
        <f>AE21-AD21</f>
        <v>0</v>
      </c>
      <c r="AG21" s="440">
        <f>AG97/1.17</f>
        <v>0</v>
      </c>
      <c r="AH21" s="430">
        <f>AH97/1.17</f>
        <v>0</v>
      </c>
      <c r="AI21" s="473">
        <f>AI97/1.17</f>
        <v>0</v>
      </c>
      <c r="AJ21" s="442">
        <f>AI21-AH21</f>
        <v>0</v>
      </c>
      <c r="AK21" s="474">
        <f>Y21+AC21+AG21</f>
        <v>0</v>
      </c>
      <c r="AL21" s="475"/>
      <c r="AM21" s="475">
        <f t="shared" si="19"/>
        <v>0</v>
      </c>
      <c r="AN21" s="315">
        <f t="shared" si="19"/>
        <v>0</v>
      </c>
      <c r="AO21" s="441">
        <f>AN21-AK21</f>
        <v>0</v>
      </c>
      <c r="AP21" s="441"/>
      <c r="AQ21" s="313">
        <f>AN21-AM21</f>
        <v>0</v>
      </c>
      <c r="AR21" s="474">
        <f>SUM(R21,AK21)</f>
        <v>0</v>
      </c>
      <c r="AS21" s="1025"/>
      <c r="AT21" s="1025">
        <f>T21+AM21</f>
        <v>0</v>
      </c>
      <c r="AU21" s="476">
        <f>SUM(U21,AN21)</f>
        <v>0</v>
      </c>
      <c r="AV21" s="473">
        <f>AU21-AR21</f>
        <v>0</v>
      </c>
      <c r="AW21" s="473"/>
      <c r="AX21" s="313">
        <f>AU21-AT21</f>
        <v>0</v>
      </c>
      <c r="AY21" s="471"/>
      <c r="AZ21" s="472"/>
      <c r="BA21" s="1425"/>
      <c r="BB21" s="1017"/>
    </row>
    <row r="22" spans="1:57" ht="20.100000000000001" customHeight="1">
      <c r="A22" s="750"/>
      <c r="B22" s="751"/>
      <c r="C22" s="751"/>
      <c r="D22" s="755"/>
      <c r="E22" s="751"/>
      <c r="F22" s="477"/>
      <c r="G22" s="478"/>
      <c r="H22" s="478"/>
      <c r="I22" s="300">
        <f>H23/G23</f>
        <v>0</v>
      </c>
      <c r="J22" s="477"/>
      <c r="K22" s="478"/>
      <c r="L22" s="478"/>
      <c r="M22" s="300">
        <f>L23/K23</f>
        <v>2.4848484848484849</v>
      </c>
      <c r="N22" s="477"/>
      <c r="O22" s="479"/>
      <c r="P22" s="478"/>
      <c r="Q22" s="300" t="e">
        <f>P23/O23</f>
        <v>#DIV/0!</v>
      </c>
      <c r="R22" s="321"/>
      <c r="S22" s="1026"/>
      <c r="T22" s="1026"/>
      <c r="U22" s="316"/>
      <c r="V22" s="349" t="e">
        <f>U23/R23</f>
        <v>#DIV/0!</v>
      </c>
      <c r="W22" s="350"/>
      <c r="X22" s="300">
        <f>U23/T23</f>
        <v>0.71304347826086956</v>
      </c>
      <c r="Y22" s="477"/>
      <c r="Z22" s="479"/>
      <c r="AA22" s="478"/>
      <c r="AB22" s="455" t="e">
        <f>AA23/Z23</f>
        <v>#DIV/0!</v>
      </c>
      <c r="AC22" s="477"/>
      <c r="AD22" s="479"/>
      <c r="AE22" s="478"/>
      <c r="AF22" s="456" t="e">
        <f>AE23/AD23</f>
        <v>#DIV/0!</v>
      </c>
      <c r="AG22" s="477"/>
      <c r="AH22" s="479"/>
      <c r="AI22" s="478"/>
      <c r="AJ22" s="456" t="e">
        <f>AI23/AH23</f>
        <v>#DIV/0!</v>
      </c>
      <c r="AK22" s="321"/>
      <c r="AL22" s="1026"/>
      <c r="AM22" s="1026"/>
      <c r="AN22" s="316"/>
      <c r="AO22" s="966" t="e">
        <f>AN23/AK23</f>
        <v>#DIV/0!</v>
      </c>
      <c r="AP22" s="352"/>
      <c r="AQ22" s="301" t="e">
        <f>AN23/AM23</f>
        <v>#DIV/0!</v>
      </c>
      <c r="AR22" s="488"/>
      <c r="AS22" s="1029"/>
      <c r="AT22" s="1029"/>
      <c r="AU22" s="481"/>
      <c r="AV22" s="350" t="e">
        <f>AU23/AR23</f>
        <v>#DIV/0!</v>
      </c>
      <c r="AW22" s="350"/>
      <c r="AX22" s="301">
        <f>AU23/AT23</f>
        <v>1.2788405797101448</v>
      </c>
      <c r="AY22" s="457"/>
      <c r="AZ22" s="458"/>
      <c r="BA22" s="1424"/>
      <c r="BB22" s="1023"/>
      <c r="BC22" s="302"/>
      <c r="BD22" s="302"/>
      <c r="BE22" s="302"/>
    </row>
    <row r="23" spans="1:57" ht="20.100000000000001" customHeight="1">
      <c r="A23" s="747" t="s">
        <v>197</v>
      </c>
      <c r="B23" s="748"/>
      <c r="C23" s="748"/>
      <c r="D23" s="749"/>
      <c r="E23" s="748"/>
      <c r="F23" s="459">
        <f>F100/1.17</f>
        <v>0</v>
      </c>
      <c r="G23" s="460">
        <f>G100/1.17</f>
        <v>210.25641025641028</v>
      </c>
      <c r="H23" s="460">
        <f>H100/1.17</f>
        <v>0</v>
      </c>
      <c r="I23" s="307">
        <f>H23-G23</f>
        <v>-210.25641025641028</v>
      </c>
      <c r="J23" s="459">
        <f>J100/1.17</f>
        <v>0</v>
      </c>
      <c r="K23" s="460">
        <f>K100/1.17</f>
        <v>84.615384615384627</v>
      </c>
      <c r="L23" s="460">
        <f>L100/1.17</f>
        <v>210.25641025641028</v>
      </c>
      <c r="M23" s="307">
        <f>L23-K23</f>
        <v>125.64102564102565</v>
      </c>
      <c r="N23" s="459">
        <f>N100/1.17</f>
        <v>0</v>
      </c>
      <c r="O23" s="461">
        <f>O100/1.17</f>
        <v>0</v>
      </c>
      <c r="P23" s="460">
        <f>P100/1.17</f>
        <v>0</v>
      </c>
      <c r="Q23" s="307">
        <f>P23-O23</f>
        <v>0</v>
      </c>
      <c r="R23" s="462">
        <f>F23+J23+N23</f>
        <v>0</v>
      </c>
      <c r="S23" s="463"/>
      <c r="T23" s="463">
        <f>G23+K23+O23</f>
        <v>294.87179487179492</v>
      </c>
      <c r="U23" s="306">
        <f>H23+L23+P23</f>
        <v>210.25641025641028</v>
      </c>
      <c r="V23" s="304">
        <f>U23-R23</f>
        <v>210.25641025641028</v>
      </c>
      <c r="W23" s="303"/>
      <c r="X23" s="307">
        <f>U23-T23</f>
        <v>-84.615384615384642</v>
      </c>
      <c r="Y23" s="459">
        <f>Y100/1.17</f>
        <v>0</v>
      </c>
      <c r="Z23" s="461">
        <f>Z100/1.17</f>
        <v>0</v>
      </c>
      <c r="AA23" s="460">
        <f>AA100/1.17</f>
        <v>166.83760683760684</v>
      </c>
      <c r="AB23" s="465">
        <f>AA23-Z23</f>
        <v>166.83760683760684</v>
      </c>
      <c r="AC23" s="459">
        <f>AC100/1.17</f>
        <v>0</v>
      </c>
      <c r="AD23" s="461">
        <f>AD100/1.17</f>
        <v>0</v>
      </c>
      <c r="AE23" s="460">
        <f>AE100/1.17</f>
        <v>0</v>
      </c>
      <c r="AF23" s="465">
        <f>AE23-AD23</f>
        <v>0</v>
      </c>
      <c r="AG23" s="459">
        <f>AG100/1.17</f>
        <v>0</v>
      </c>
      <c r="AH23" s="461">
        <f>AH100/1.17</f>
        <v>0</v>
      </c>
      <c r="AI23" s="460">
        <f>AI100/1.17</f>
        <v>0</v>
      </c>
      <c r="AJ23" s="465">
        <f>AI23-AH23</f>
        <v>0</v>
      </c>
      <c r="AK23" s="462">
        <f>Y23+AC23+AG23</f>
        <v>0</v>
      </c>
      <c r="AL23" s="463"/>
      <c r="AM23" s="463">
        <f>Z23+AD23+AH23</f>
        <v>0</v>
      </c>
      <c r="AN23" s="306">
        <f>AA23+AE23+AI23</f>
        <v>166.83760683760684</v>
      </c>
      <c r="AO23" s="323">
        <f>AN23-AK23</f>
        <v>166.83760683760684</v>
      </c>
      <c r="AP23" s="323"/>
      <c r="AQ23" s="307">
        <f>AN23-AM23</f>
        <v>166.83760683760684</v>
      </c>
      <c r="AR23" s="305">
        <f>SUM(R23,AK23)</f>
        <v>0</v>
      </c>
      <c r="AS23" s="1024"/>
      <c r="AT23" s="1024">
        <f>T23+AM23</f>
        <v>294.87179487179492</v>
      </c>
      <c r="AU23" s="306">
        <f>SUM(U23,AN23)</f>
        <v>377.09401709401709</v>
      </c>
      <c r="AV23" s="303">
        <f>AU23-AR23</f>
        <v>377.09401709401709</v>
      </c>
      <c r="AW23" s="303"/>
      <c r="AX23" s="307">
        <f>AU23-AT23</f>
        <v>82.222222222222172</v>
      </c>
      <c r="AY23" s="457">
        <f>AR23/6</f>
        <v>0</v>
      </c>
      <c r="AZ23" s="458">
        <f>AU23/6</f>
        <v>62.849002849002851</v>
      </c>
      <c r="BA23" s="1424">
        <v>62.849002849002851</v>
      </c>
      <c r="BB23" s="1023">
        <f>AZ23-AY23</f>
        <v>62.849002849002851</v>
      </c>
      <c r="BC23" s="302">
        <f>BA23-AY23</f>
        <v>62.849002849002851</v>
      </c>
      <c r="BD23" s="302">
        <f>BA23-AZ23</f>
        <v>0</v>
      </c>
      <c r="BE23" s="302">
        <f>AX23/6</f>
        <v>13.703703703703695</v>
      </c>
    </row>
    <row r="24" spans="1:57" ht="20.100000000000001" customHeight="1">
      <c r="A24" s="750"/>
      <c r="B24" s="751"/>
      <c r="C24" s="751"/>
      <c r="D24" s="755"/>
      <c r="E24" s="751"/>
      <c r="F24" s="482"/>
      <c r="G24" s="483"/>
      <c r="H24" s="483"/>
      <c r="I24" s="300">
        <f>H25/G25</f>
        <v>1.6886287694300517</v>
      </c>
      <c r="J24" s="482"/>
      <c r="K24" s="483"/>
      <c r="L24" s="483"/>
      <c r="M24" s="300">
        <f>L25/K25</f>
        <v>1.588427936694021</v>
      </c>
      <c r="N24" s="482"/>
      <c r="O24" s="484"/>
      <c r="P24" s="483"/>
      <c r="Q24" s="319">
        <f>P25/O25</f>
        <v>1.3988693406593407</v>
      </c>
      <c r="R24" s="317"/>
      <c r="S24" s="1028"/>
      <c r="T24" s="967"/>
      <c r="U24" s="452"/>
      <c r="V24" s="453">
        <f>U25/R25</f>
        <v>2.1175853737890691</v>
      </c>
      <c r="W24" s="454"/>
      <c r="X24" s="319">
        <f>U25/T25</f>
        <v>1.5302218438779551</v>
      </c>
      <c r="Y24" s="482"/>
      <c r="Z24" s="484"/>
      <c r="AA24" s="483"/>
      <c r="AB24" s="486">
        <f>AA25/Z25</f>
        <v>1.3907255108359131</v>
      </c>
      <c r="AC24" s="482"/>
      <c r="AD24" s="484"/>
      <c r="AE24" s="483"/>
      <c r="AF24" s="487">
        <f>AE25/AD25</f>
        <v>1</v>
      </c>
      <c r="AG24" s="482"/>
      <c r="AH24" s="484"/>
      <c r="AI24" s="483"/>
      <c r="AJ24" s="487">
        <f>AI25/AH25</f>
        <v>1</v>
      </c>
      <c r="AK24" s="317"/>
      <c r="AL24" s="1028"/>
      <c r="AM24" s="967"/>
      <c r="AN24" s="452"/>
      <c r="AO24" s="966">
        <f>AN25/AK25</f>
        <v>1.0519882654331969</v>
      </c>
      <c r="AP24" s="966"/>
      <c r="AQ24" s="320">
        <f>AN25/AM25</f>
        <v>1.1468630799069044</v>
      </c>
      <c r="AR24" s="321"/>
      <c r="AS24" s="1027"/>
      <c r="AT24" s="1027"/>
      <c r="AU24" s="316"/>
      <c r="AV24" s="350">
        <f>AU25/AR25</f>
        <v>1.577581646231518</v>
      </c>
      <c r="AW24" s="350"/>
      <c r="AX24" s="320">
        <f>AU25/AT25</f>
        <v>1.3749144040229433</v>
      </c>
      <c r="AY24" s="457"/>
      <c r="AZ24" s="458"/>
      <c r="BA24" s="1424"/>
      <c r="BB24" s="1023"/>
      <c r="BC24" s="302"/>
      <c r="BD24" s="302"/>
      <c r="BE24" s="302"/>
    </row>
    <row r="25" spans="1:57" ht="20.100000000000001" customHeight="1">
      <c r="A25" s="747" t="s">
        <v>198</v>
      </c>
      <c r="B25" s="748"/>
      <c r="C25" s="748"/>
      <c r="D25" s="749"/>
      <c r="E25" s="748"/>
      <c r="F25" s="459">
        <f>F102/1.17</f>
        <v>1637.6068376068376</v>
      </c>
      <c r="G25" s="460">
        <f>G102/1.17</f>
        <v>1979.4871794871797</v>
      </c>
      <c r="H25" s="838">
        <v>3342.6190000000001</v>
      </c>
      <c r="I25" s="307">
        <f>H25-G25</f>
        <v>1363.1318205128205</v>
      </c>
      <c r="J25" s="459">
        <f>J102/1.17</f>
        <v>1458.1196581196582</v>
      </c>
      <c r="K25" s="460">
        <f>K102/1.17</f>
        <v>1458.1196581196582</v>
      </c>
      <c r="L25" s="838">
        <v>2316.1179999999999</v>
      </c>
      <c r="M25" s="307">
        <f>L25-K25</f>
        <v>857.99834188034174</v>
      </c>
      <c r="N25" s="459">
        <f>N102/1.17</f>
        <v>1580.3418803418804</v>
      </c>
      <c r="O25" s="461">
        <f>O102/1.17</f>
        <v>3033.3333333333335</v>
      </c>
      <c r="P25" s="838">
        <v>4243.2370000000001</v>
      </c>
      <c r="Q25" s="307">
        <f>P25-O25</f>
        <v>1209.9036666666666</v>
      </c>
      <c r="R25" s="462">
        <f>F25+J25+N25</f>
        <v>4676.0683760683769</v>
      </c>
      <c r="S25" s="463"/>
      <c r="T25" s="463">
        <f>G25+K25+O25</f>
        <v>6470.9401709401718</v>
      </c>
      <c r="U25" s="306">
        <f>H25+L25+P25</f>
        <v>9901.9740000000002</v>
      </c>
      <c r="V25" s="304">
        <f>U25-R25</f>
        <v>5225.9056239316233</v>
      </c>
      <c r="W25" s="303"/>
      <c r="X25" s="307">
        <f>U25-T25</f>
        <v>3431.0338290598283</v>
      </c>
      <c r="Y25" s="459">
        <f>Y102/1.17</f>
        <v>1656.4102564102566</v>
      </c>
      <c r="Z25" s="461">
        <f>Z102/1.17</f>
        <v>1656.4102564102566</v>
      </c>
      <c r="AA25" s="838">
        <v>2303.6120000000001</v>
      </c>
      <c r="AB25" s="465">
        <f>AA25-Z25</f>
        <v>647.2017435897435</v>
      </c>
      <c r="AC25" s="459">
        <f>AC102/1.17</f>
        <v>1810.2564102564104</v>
      </c>
      <c r="AD25" s="461">
        <f>AD102/1.17</f>
        <v>1810.2564102564104</v>
      </c>
      <c r="AE25" s="460">
        <f>AE102/1.17</f>
        <v>1810.2564102564104</v>
      </c>
      <c r="AF25" s="465">
        <f>AE25-AD25</f>
        <v>0</v>
      </c>
      <c r="AG25" s="459">
        <f>AG102/1.17</f>
        <v>1337.6068376068376</v>
      </c>
      <c r="AH25" s="461">
        <f>AH102/1.17</f>
        <v>940.17094017094018</v>
      </c>
      <c r="AI25" s="460">
        <f>AI102/1.17</f>
        <v>940.17094017094018</v>
      </c>
      <c r="AJ25" s="465">
        <f>AI25-AH25</f>
        <v>0</v>
      </c>
      <c r="AK25" s="462">
        <f>Y25+AC25+AG25</f>
        <v>4804.2735042735048</v>
      </c>
      <c r="AL25" s="463"/>
      <c r="AM25" s="463">
        <f>Z25+AD25+AH25</f>
        <v>4406.8376068376074</v>
      </c>
      <c r="AN25" s="306">
        <f>AA25+AE25+AI25</f>
        <v>5054.0393504273507</v>
      </c>
      <c r="AO25" s="323">
        <f>AN25-AK25</f>
        <v>249.76584615384581</v>
      </c>
      <c r="AP25" s="323"/>
      <c r="AQ25" s="307">
        <f>AN25-AM25</f>
        <v>647.20174358974327</v>
      </c>
      <c r="AR25" s="305">
        <f>SUM(R25,AK25)</f>
        <v>9480.3418803418826</v>
      </c>
      <c r="AS25" s="1024"/>
      <c r="AT25" s="1024">
        <f>T25+AM25</f>
        <v>10877.777777777779</v>
      </c>
      <c r="AU25" s="306">
        <f>SUM(U25,AN25)</f>
        <v>14956.013350427351</v>
      </c>
      <c r="AV25" s="303">
        <f>AU25-AR25</f>
        <v>5475.6714700854682</v>
      </c>
      <c r="AW25" s="303"/>
      <c r="AX25" s="307">
        <f>AU25-AT25</f>
        <v>4078.2355726495716</v>
      </c>
      <c r="AY25" s="457">
        <f>AR25/6</f>
        <v>1580.0569800569804</v>
      </c>
      <c r="AZ25" s="458">
        <f>AU25/6</f>
        <v>2492.668891737892</v>
      </c>
      <c r="BA25" s="1424">
        <v>2492.668891737892</v>
      </c>
      <c r="BB25" s="1023">
        <f>AZ25-AY25</f>
        <v>912.61191168091159</v>
      </c>
      <c r="BC25" s="302">
        <f>BA25-AY25</f>
        <v>912.61191168091159</v>
      </c>
      <c r="BD25" s="302">
        <f>BA25-AZ25</f>
        <v>0</v>
      </c>
      <c r="BE25" s="302">
        <f>AX25/6</f>
        <v>679.70592877492857</v>
      </c>
    </row>
    <row r="26" spans="1:57" ht="20.100000000000001" customHeight="1">
      <c r="A26" s="750"/>
      <c r="B26" s="751"/>
      <c r="C26" s="751"/>
      <c r="D26" s="755"/>
      <c r="E26" s="751"/>
      <c r="F26" s="482"/>
      <c r="G26" s="483"/>
      <c r="H26" s="483"/>
      <c r="I26" s="300" t="e">
        <f>H27/G27</f>
        <v>#DIV/0!</v>
      </c>
      <c r="J26" s="482"/>
      <c r="K26" s="483"/>
      <c r="L26" s="483"/>
      <c r="M26" s="300" t="e">
        <f>L27/K27</f>
        <v>#DIV/0!</v>
      </c>
      <c r="N26" s="482"/>
      <c r="O26" s="484"/>
      <c r="P26" s="483"/>
      <c r="Q26" s="319" t="e">
        <f>P27/O27</f>
        <v>#DIV/0!</v>
      </c>
      <c r="R26" s="317"/>
      <c r="S26" s="1028"/>
      <c r="T26" s="967"/>
      <c r="U26" s="452"/>
      <c r="V26" s="453" t="e">
        <f>U27/R27</f>
        <v>#DIV/0!</v>
      </c>
      <c r="W26" s="454"/>
      <c r="X26" s="319" t="e">
        <f>U27/T27</f>
        <v>#DIV/0!</v>
      </c>
      <c r="Y26" s="482"/>
      <c r="Z26" s="484"/>
      <c r="AA26" s="483"/>
      <c r="AB26" s="486" t="e">
        <f>AA27/Z27</f>
        <v>#DIV/0!</v>
      </c>
      <c r="AC26" s="482"/>
      <c r="AD26" s="484"/>
      <c r="AE26" s="483"/>
      <c r="AF26" s="487" t="e">
        <f>AE27/AD27</f>
        <v>#DIV/0!</v>
      </c>
      <c r="AG26" s="482"/>
      <c r="AH26" s="484"/>
      <c r="AI26" s="483"/>
      <c r="AJ26" s="487" t="e">
        <f>AI27/AH27</f>
        <v>#DIV/0!</v>
      </c>
      <c r="AK26" s="317"/>
      <c r="AL26" s="1028"/>
      <c r="AM26" s="967"/>
      <c r="AN26" s="452"/>
      <c r="AO26" s="966" t="e">
        <f>AN27/AK27</f>
        <v>#DIV/0!</v>
      </c>
      <c r="AP26" s="966"/>
      <c r="AQ26" s="320" t="e">
        <f>AN27/AM27</f>
        <v>#DIV/0!</v>
      </c>
      <c r="AR26" s="321"/>
      <c r="AS26" s="1027"/>
      <c r="AT26" s="1027"/>
      <c r="AU26" s="316"/>
      <c r="AV26" s="350" t="e">
        <f>AU27/AR27</f>
        <v>#DIV/0!</v>
      </c>
      <c r="AW26" s="350"/>
      <c r="AX26" s="320" t="e">
        <f>AU27/AT27</f>
        <v>#DIV/0!</v>
      </c>
      <c r="AY26" s="457"/>
      <c r="AZ26" s="458"/>
      <c r="BA26" s="1424"/>
      <c r="BB26" s="1023"/>
      <c r="BC26" s="302"/>
      <c r="BD26" s="302"/>
      <c r="BE26" s="302"/>
    </row>
    <row r="27" spans="1:57" ht="20.100000000000001" customHeight="1">
      <c r="A27" s="747" t="s">
        <v>199</v>
      </c>
      <c r="B27" s="748"/>
      <c r="C27" s="748"/>
      <c r="D27" s="749"/>
      <c r="E27" s="748"/>
      <c r="F27" s="459">
        <f>F105/1.17</f>
        <v>0</v>
      </c>
      <c r="G27" s="460">
        <f>G105/1.17</f>
        <v>0</v>
      </c>
      <c r="H27" s="460">
        <f>H105/1.17</f>
        <v>141.02564102564102</v>
      </c>
      <c r="I27" s="307">
        <f>H27-G27</f>
        <v>141.02564102564102</v>
      </c>
      <c r="J27" s="459">
        <f>J105/1.17</f>
        <v>0</v>
      </c>
      <c r="K27" s="460">
        <f>K105/1.17</f>
        <v>0</v>
      </c>
      <c r="L27" s="460">
        <f>L105/1.17</f>
        <v>0</v>
      </c>
      <c r="M27" s="307">
        <f>L27-K27</f>
        <v>0</v>
      </c>
      <c r="N27" s="459">
        <f>N105/1.17</f>
        <v>0</v>
      </c>
      <c r="O27" s="461">
        <f>O105/1.17</f>
        <v>0</v>
      </c>
      <c r="P27" s="460">
        <f>P105/1.17</f>
        <v>0</v>
      </c>
      <c r="Q27" s="307">
        <f>P27-O27</f>
        <v>0</v>
      </c>
      <c r="R27" s="462">
        <f>F27+J27+N27</f>
        <v>0</v>
      </c>
      <c r="S27" s="463"/>
      <c r="T27" s="463">
        <f>G27+K27+O27</f>
        <v>0</v>
      </c>
      <c r="U27" s="306">
        <f>H27+L27+P27</f>
        <v>141.02564102564102</v>
      </c>
      <c r="V27" s="304">
        <f>U27-R27</f>
        <v>141.02564102564102</v>
      </c>
      <c r="W27" s="303"/>
      <c r="X27" s="307">
        <f>U27-T27</f>
        <v>141.02564102564102</v>
      </c>
      <c r="Y27" s="459">
        <f>Y105/1.17</f>
        <v>0</v>
      </c>
      <c r="Z27" s="461">
        <f>Z105/1.17</f>
        <v>0</v>
      </c>
      <c r="AA27" s="460">
        <f>AA105/1.17</f>
        <v>130.48632478632481</v>
      </c>
      <c r="AB27" s="465">
        <f>AA27-Z27</f>
        <v>130.48632478632481</v>
      </c>
      <c r="AC27" s="459">
        <f>AC105/1.17</f>
        <v>0</v>
      </c>
      <c r="AD27" s="461">
        <f>AD105/1.17</f>
        <v>0</v>
      </c>
      <c r="AE27" s="460">
        <f>AE105/1.17</f>
        <v>85.470085470085479</v>
      </c>
      <c r="AF27" s="465">
        <f>AE27-AD27</f>
        <v>85.470085470085479</v>
      </c>
      <c r="AG27" s="459">
        <f>AG105/1.17</f>
        <v>0</v>
      </c>
      <c r="AH27" s="461">
        <f>AH105/1.17</f>
        <v>0</v>
      </c>
      <c r="AI27" s="460">
        <f>AI105/1.17</f>
        <v>0</v>
      </c>
      <c r="AJ27" s="465">
        <f>AI27-AH27</f>
        <v>0</v>
      </c>
      <c r="AK27" s="462">
        <f>Y27+AC27+AG27</f>
        <v>0</v>
      </c>
      <c r="AL27" s="463"/>
      <c r="AM27" s="463">
        <f>Z27+AD27+AH27</f>
        <v>0</v>
      </c>
      <c r="AN27" s="306">
        <f>AA27+AE27+AI27</f>
        <v>215.95641025641029</v>
      </c>
      <c r="AO27" s="323">
        <f>AN27-AK27</f>
        <v>215.95641025641029</v>
      </c>
      <c r="AP27" s="323"/>
      <c r="AQ27" s="307">
        <f>AN27-AM27</f>
        <v>215.95641025641029</v>
      </c>
      <c r="AR27" s="305">
        <f>SUM(R27,AK27)</f>
        <v>0</v>
      </c>
      <c r="AS27" s="1024"/>
      <c r="AT27" s="1024">
        <f>T27+AM27</f>
        <v>0</v>
      </c>
      <c r="AU27" s="306">
        <f>SUM(U27,AN27)</f>
        <v>356.98205128205132</v>
      </c>
      <c r="AV27" s="303">
        <f>AU27-AR27</f>
        <v>356.98205128205132</v>
      </c>
      <c r="AW27" s="303"/>
      <c r="AX27" s="307">
        <f>AU27-AT27</f>
        <v>356.98205128205132</v>
      </c>
      <c r="AY27" s="457">
        <f>AR27/6</f>
        <v>0</v>
      </c>
      <c r="AZ27" s="458">
        <f>AU27/6</f>
        <v>59.497008547008555</v>
      </c>
      <c r="BA27" s="1424">
        <v>59.497008547008555</v>
      </c>
      <c r="BB27" s="1023">
        <f>AZ27-AY27</f>
        <v>59.497008547008555</v>
      </c>
      <c r="BC27" s="302">
        <f>BA27-AY27</f>
        <v>59.497008547008555</v>
      </c>
      <c r="BD27" s="302">
        <f>BA27-AZ27</f>
        <v>0</v>
      </c>
      <c r="BE27" s="302">
        <f>AX27/6</f>
        <v>59.497008547008555</v>
      </c>
    </row>
    <row r="28" spans="1:57" ht="20.100000000000001" customHeight="1">
      <c r="A28" s="750"/>
      <c r="B28" s="751"/>
      <c r="C28" s="751"/>
      <c r="D28" s="755"/>
      <c r="E28" s="751"/>
      <c r="F28" s="482"/>
      <c r="G28" s="483"/>
      <c r="H28" s="483"/>
      <c r="I28" s="300">
        <f>H29/G29</f>
        <v>6.0578947368421052E-2</v>
      </c>
      <c r="J28" s="482"/>
      <c r="K28" s="483"/>
      <c r="L28" s="483"/>
      <c r="M28" s="300">
        <f>L29/K29</f>
        <v>0.43357894736842106</v>
      </c>
      <c r="N28" s="482"/>
      <c r="O28" s="484"/>
      <c r="P28" s="483"/>
      <c r="Q28" s="320">
        <f>P29/O29</f>
        <v>1.7658978336079074</v>
      </c>
      <c r="R28" s="317"/>
      <c r="S28" s="1028"/>
      <c r="T28" s="967"/>
      <c r="U28" s="452"/>
      <c r="V28" s="453">
        <f>U29/R29</f>
        <v>0.39038245298245616</v>
      </c>
      <c r="W28" s="454"/>
      <c r="X28" s="319">
        <f>U29/T29</f>
        <v>0.49138326605423549</v>
      </c>
      <c r="Y28" s="482"/>
      <c r="Z28" s="484"/>
      <c r="AA28" s="483"/>
      <c r="AB28" s="487">
        <f>AA29/Z29</f>
        <v>0.78870617814000865</v>
      </c>
      <c r="AC28" s="482"/>
      <c r="AD28" s="484"/>
      <c r="AE28" s="483"/>
      <c r="AF28" s="487">
        <f>AE29/AD29</f>
        <v>0.56640820410205106</v>
      </c>
      <c r="AG28" s="482"/>
      <c r="AH28" s="484"/>
      <c r="AI28" s="483"/>
      <c r="AJ28" s="487">
        <f>AI29/AH29</f>
        <v>2.1692</v>
      </c>
      <c r="AK28" s="317"/>
      <c r="AL28" s="1028"/>
      <c r="AM28" s="967"/>
      <c r="AN28" s="452"/>
      <c r="AO28" s="966">
        <f>AN29/AK29</f>
        <v>2.1656368460526312</v>
      </c>
      <c r="AP28" s="966"/>
      <c r="AQ28" s="320">
        <f>AN29/AM29</f>
        <v>1.1453452304073708</v>
      </c>
      <c r="AR28" s="321"/>
      <c r="AS28" s="1027"/>
      <c r="AT28" s="1027"/>
      <c r="AU28" s="316"/>
      <c r="AV28" s="350">
        <f>AU29/AR29</f>
        <v>1.1004842102105263</v>
      </c>
      <c r="AW28" s="350"/>
      <c r="AX28" s="320">
        <f>AU29/AT29</f>
        <v>0.89252571793230029</v>
      </c>
      <c r="AY28" s="457"/>
      <c r="AZ28" s="458"/>
      <c r="BA28" s="1424"/>
      <c r="BB28" s="1023"/>
      <c r="BC28" s="302"/>
      <c r="BD28" s="302"/>
      <c r="BE28" s="302"/>
    </row>
    <row r="29" spans="1:57" ht="20.100000000000001" customHeight="1">
      <c r="A29" s="747" t="s">
        <v>200</v>
      </c>
      <c r="B29" s="748"/>
      <c r="C29" s="748"/>
      <c r="D29" s="749"/>
      <c r="E29" s="748"/>
      <c r="F29" s="459">
        <f>F108/1.17</f>
        <v>16239.31623931624</v>
      </c>
      <c r="G29" s="460">
        <f>G108/1.17</f>
        <v>16239.31623931624</v>
      </c>
      <c r="H29" s="460">
        <f>H108/1.17</f>
        <v>983.76068376068383</v>
      </c>
      <c r="I29" s="307">
        <f>H29-G29</f>
        <v>-15255.555555555557</v>
      </c>
      <c r="J29" s="459">
        <f>J108/1.17</f>
        <v>16239.31623931624</v>
      </c>
      <c r="K29" s="460">
        <f>K108/1.17</f>
        <v>16239.31623931624</v>
      </c>
      <c r="L29" s="460">
        <f>L108/1.17</f>
        <v>7041.0256410256416</v>
      </c>
      <c r="M29" s="307">
        <f>L29-K29</f>
        <v>-9198.2905982905977</v>
      </c>
      <c r="N29" s="459">
        <f>N108/1.17</f>
        <v>16239.31623931624</v>
      </c>
      <c r="O29" s="461">
        <f>O108/1.17</f>
        <v>6225.6410256410263</v>
      </c>
      <c r="P29" s="838">
        <v>10993.846</v>
      </c>
      <c r="Q29" s="307">
        <f>P29-O29</f>
        <v>4768.2049743589732</v>
      </c>
      <c r="R29" s="462">
        <f>F29+J29+N29</f>
        <v>48717.948717948719</v>
      </c>
      <c r="S29" s="463"/>
      <c r="T29" s="463">
        <f>G29+K29+O29</f>
        <v>38704.273504273508</v>
      </c>
      <c r="U29" s="306">
        <f>H29+L29+P29</f>
        <v>19018.632324786326</v>
      </c>
      <c r="V29" s="304">
        <f>U29-R29</f>
        <v>-29699.316393162393</v>
      </c>
      <c r="W29" s="303"/>
      <c r="X29" s="307">
        <f>U29-T29</f>
        <v>-19685.641179487182</v>
      </c>
      <c r="Y29" s="459">
        <f>Y108/1.17</f>
        <v>16239.31623931624</v>
      </c>
      <c r="Z29" s="461">
        <f>Z108/1.17</f>
        <v>5872.6495726495732</v>
      </c>
      <c r="AA29" s="838">
        <v>4631.7950000000001</v>
      </c>
      <c r="AB29" s="465">
        <f>AA29-Z29</f>
        <v>-1240.8545726495731</v>
      </c>
      <c r="AC29" s="459">
        <f>AC108/1.17</f>
        <v>9743.5897435897441</v>
      </c>
      <c r="AD29" s="461">
        <f>AD108/1.17</f>
        <v>34170.940170940172</v>
      </c>
      <c r="AE29" s="460">
        <f>AE108/1.17</f>
        <v>19354.700854700855</v>
      </c>
      <c r="AF29" s="465">
        <f>AE29-AD29</f>
        <v>-14816.239316239316</v>
      </c>
      <c r="AG29" s="459">
        <f>AG108/1.17</f>
        <v>6495.7264957264961</v>
      </c>
      <c r="AH29" s="461">
        <f>AH108/1.17</f>
        <v>21367.521367521367</v>
      </c>
      <c r="AI29" s="460">
        <f>AI108/1.17</f>
        <v>46350.427350427351</v>
      </c>
      <c r="AJ29" s="465">
        <f>AI29-AH29</f>
        <v>24982.905982905984</v>
      </c>
      <c r="AK29" s="462">
        <f>Y29+AC29+AG29</f>
        <v>32478.63247863248</v>
      </c>
      <c r="AL29" s="463"/>
      <c r="AM29" s="463">
        <f>Z29+AD29+AH29</f>
        <v>61411.111111111109</v>
      </c>
      <c r="AN29" s="306">
        <f>AA29+AE29+AI29</f>
        <v>70336.923205128202</v>
      </c>
      <c r="AO29" s="323">
        <f>AN29-AK29</f>
        <v>37858.290726495718</v>
      </c>
      <c r="AP29" s="323"/>
      <c r="AQ29" s="307">
        <f>AN29-AM29</f>
        <v>8925.812094017092</v>
      </c>
      <c r="AR29" s="305">
        <f>SUM(R29,AK29)</f>
        <v>81196.581196581203</v>
      </c>
      <c r="AS29" s="1024"/>
      <c r="AT29" s="1024">
        <f>T29+AM29</f>
        <v>100115.38461538462</v>
      </c>
      <c r="AU29" s="306">
        <f>SUM(U29,AN29)</f>
        <v>89355.555529914534</v>
      </c>
      <c r="AV29" s="303">
        <f>AU29-AR29</f>
        <v>8158.9743333333317</v>
      </c>
      <c r="AW29" s="303"/>
      <c r="AX29" s="307">
        <f>AU29-AT29</f>
        <v>-10759.82908547009</v>
      </c>
      <c r="AY29" s="457">
        <f>AR29/6</f>
        <v>13532.763532763534</v>
      </c>
      <c r="AZ29" s="458">
        <f>AU29/6</f>
        <v>14892.592588319088</v>
      </c>
      <c r="BA29" s="1424">
        <v>14892.592588319088</v>
      </c>
      <c r="BB29" s="1023">
        <f>AZ29-AY29</f>
        <v>1359.8290555555541</v>
      </c>
      <c r="BC29" s="302">
        <f>BA29-AY29</f>
        <v>1359.8290555555541</v>
      </c>
      <c r="BD29" s="302">
        <f>BA29-AZ29</f>
        <v>0</v>
      </c>
      <c r="BE29" s="302">
        <f>AX29/6</f>
        <v>-1793.3048475783482</v>
      </c>
    </row>
    <row r="30" spans="1:57" ht="20.100000000000001" customHeight="1">
      <c r="A30" s="761"/>
      <c r="B30" s="761"/>
      <c r="C30" s="761"/>
      <c r="D30" s="765"/>
      <c r="E30" s="761"/>
      <c r="F30" s="447"/>
      <c r="G30" s="483"/>
      <c r="H30" s="483"/>
      <c r="I30" s="300">
        <f>H31/G31</f>
        <v>0.8259460884439086</v>
      </c>
      <c r="J30" s="447"/>
      <c r="K30" s="483"/>
      <c r="L30" s="483"/>
      <c r="M30" s="300">
        <f>L31/K31</f>
        <v>0.94003915322982456</v>
      </c>
      <c r="N30" s="447"/>
      <c r="O30" s="490"/>
      <c r="P30" s="483"/>
      <c r="Q30" s="319">
        <f>P31/O31</f>
        <v>0.90720897910725518</v>
      </c>
      <c r="R30" s="491"/>
      <c r="S30" s="970"/>
      <c r="T30" s="968"/>
      <c r="U30" s="318"/>
      <c r="V30" s="453">
        <f>U31/R31</f>
        <v>0.85712840339669816</v>
      </c>
      <c r="W30" s="454"/>
      <c r="X30" s="319">
        <f>U31/T31</f>
        <v>0.88766929667342787</v>
      </c>
      <c r="Y30" s="447"/>
      <c r="Z30" s="490"/>
      <c r="AA30" s="483"/>
      <c r="AB30" s="486">
        <f>AA31/Z31</f>
        <v>1.0122455900989811</v>
      </c>
      <c r="AC30" s="447"/>
      <c r="AD30" s="490"/>
      <c r="AE30" s="483"/>
      <c r="AF30" s="492">
        <f>AE31/AD31</f>
        <v>0.72015587339263198</v>
      </c>
      <c r="AG30" s="447"/>
      <c r="AH30" s="490"/>
      <c r="AI30" s="483"/>
      <c r="AJ30" s="492">
        <f>AI31/AH31</f>
        <v>0.78479892761394088</v>
      </c>
      <c r="AK30" s="491"/>
      <c r="AL30" s="970"/>
      <c r="AM30" s="968"/>
      <c r="AN30" s="318"/>
      <c r="AO30" s="966">
        <f>AN31/AK31</f>
        <v>0.96814920840108765</v>
      </c>
      <c r="AP30" s="966"/>
      <c r="AQ30" s="324">
        <f>AN31/AM31</f>
        <v>0.84269709830531669</v>
      </c>
      <c r="AR30" s="344"/>
      <c r="AS30" s="574"/>
      <c r="AT30" s="574"/>
      <c r="AU30" s="316"/>
      <c r="AV30" s="350">
        <f>AU31/AR31</f>
        <v>0.91024538091996421</v>
      </c>
      <c r="AW30" s="350"/>
      <c r="AX30" s="324">
        <f>AU31/AT31</f>
        <v>0.86420002105359528</v>
      </c>
      <c r="AY30" s="471"/>
      <c r="AZ30" s="472"/>
      <c r="BA30" s="1425"/>
      <c r="BB30" s="1017"/>
    </row>
    <row r="31" spans="1:57" ht="20.100000000000001" customHeight="1" thickBot="1">
      <c r="A31" s="748" t="s">
        <v>201</v>
      </c>
      <c r="B31" s="748"/>
      <c r="C31" s="759"/>
      <c r="D31" s="753"/>
      <c r="E31" s="789"/>
      <c r="F31" s="958">
        <f>F10+F14+F25+F19+F23+F27+F29</f>
        <v>377633.33333333337</v>
      </c>
      <c r="G31" s="1005">
        <f>G10+G14+G25+G19+G23+G27+G29</f>
        <v>381505.98290598294</v>
      </c>
      <c r="H31" s="1005">
        <f>H10+H14+H25+H19+H23+H27+H29</f>
        <v>315103.37429914525</v>
      </c>
      <c r="I31" s="959">
        <f>H31-G31</f>
        <v>-66402.60860683769</v>
      </c>
      <c r="J31" s="958">
        <f>J10+J14+J25+J19+J23+J27+J29</f>
        <v>347282.905982906</v>
      </c>
      <c r="K31" s="1290">
        <f>K10+K14+K25+K19+K23+K27+K29</f>
        <v>317354.70085470087</v>
      </c>
      <c r="L31" s="1290">
        <f>L10+L14+L25+L19+L23+L27+L29</f>
        <v>298325.8442649573</v>
      </c>
      <c r="M31" s="959">
        <f>L31-K31</f>
        <v>-19028.856589743576</v>
      </c>
      <c r="N31" s="958">
        <f>N10+N14+N25+N19+N23+N27+N29</f>
        <v>366037.60683760687</v>
      </c>
      <c r="O31" s="1391">
        <f>O10+O14+O25+O19+O23+O27+O29</f>
        <v>354558.11965811969</v>
      </c>
      <c r="P31" s="1392">
        <f>P10+P14+P25+P19+P23+P27+P29</f>
        <v>321658.30976923078</v>
      </c>
      <c r="Q31" s="1393">
        <f>P31-O31</f>
        <v>-32899.809888888907</v>
      </c>
      <c r="R31" s="969">
        <f>R10+R14+R25+R19+R23+R27+R29</f>
        <v>1090953.8461538462</v>
      </c>
      <c r="S31" s="1291"/>
      <c r="T31" s="1292">
        <f>T10+T14+T25+T19+T23+T27+T29</f>
        <v>1053418.8034188035</v>
      </c>
      <c r="U31" s="1391">
        <f>U10+U14+U25+U19+U23+U27+U29</f>
        <v>935087.52833333332</v>
      </c>
      <c r="V31" s="1391">
        <f>U31-R31</f>
        <v>-155866.31782051292</v>
      </c>
      <c r="W31" s="1394"/>
      <c r="X31" s="1395">
        <f>U31-T31</f>
        <v>-118331.27508547017</v>
      </c>
      <c r="Y31" s="958">
        <f t="shared" ref="Y31:AK31" si="20">Y10+Y14+Y25+Y19+Y23+Y27+Y29</f>
        <v>376036.75213675213</v>
      </c>
      <c r="Z31" s="1391">
        <f t="shared" si="20"/>
        <v>411802.56410256412</v>
      </c>
      <c r="AA31" s="1394">
        <f t="shared" si="20"/>
        <v>416845.32950427354</v>
      </c>
      <c r="AB31" s="1395">
        <f t="shared" si="20"/>
        <v>5042.7654017093773</v>
      </c>
      <c r="AC31" s="958">
        <f t="shared" si="20"/>
        <v>328754.70085470087</v>
      </c>
      <c r="AD31" s="1391">
        <f t="shared" si="20"/>
        <v>419143.58974358981</v>
      </c>
      <c r="AE31" s="1394">
        <f t="shared" si="20"/>
        <v>301848.71794871794</v>
      </c>
      <c r="AF31" s="1395">
        <f t="shared" si="20"/>
        <v>-117294.8717948718</v>
      </c>
      <c r="AG31" s="958">
        <f t="shared" si="20"/>
        <v>295974.358974359</v>
      </c>
      <c r="AH31" s="1391">
        <f t="shared" si="20"/>
        <v>318803.41880341887</v>
      </c>
      <c r="AI31" s="1394">
        <f t="shared" si="20"/>
        <v>250196.58119658122</v>
      </c>
      <c r="AJ31" s="1395">
        <f t="shared" si="20"/>
        <v>-68606.837606837609</v>
      </c>
      <c r="AK31" s="969">
        <f t="shared" si="20"/>
        <v>1000765.8119658121</v>
      </c>
      <c r="AL31" s="1291"/>
      <c r="AM31" s="1292">
        <f>AM10+AM14+AM25+AM19+AM23+AM27+AM29</f>
        <v>1149749.5726495725</v>
      </c>
      <c r="AN31" s="1391">
        <f>AN10+AN14+AN25+AN19+AN23+AN27+AN29</f>
        <v>968890.62864957273</v>
      </c>
      <c r="AO31" s="1292">
        <f>AO10+AO14+AO25+AO19+AO23+AO27+AO29</f>
        <v>-31875.183316239403</v>
      </c>
      <c r="AP31" s="1292"/>
      <c r="AQ31" s="1395">
        <f>AQ10+AQ14+AQ25+AQ19+AQ23+AQ27+AQ29</f>
        <v>-180858.94400000002</v>
      </c>
      <c r="AR31" s="969">
        <f>AR10+AR14+AR25+AR19+AR23+AR27+AR29</f>
        <v>2091719.6581196587</v>
      </c>
      <c r="AS31" s="1291"/>
      <c r="AT31" s="1292">
        <f>AT10+AT14+AT25+AT19+AT23+AT27+AT29</f>
        <v>2203168.376068376</v>
      </c>
      <c r="AU31" s="1391">
        <f>AU10+AU14+AU25+AU19+AU23+AU27+AU29</f>
        <v>1903978.1569829059</v>
      </c>
      <c r="AV31" s="1396">
        <f>AV10+AV14+AV25+AV19+AV23+AV27+AV29</f>
        <v>-187741.50113675237</v>
      </c>
      <c r="AW31" s="1396"/>
      <c r="AX31" s="1395">
        <f>AU31-AT31</f>
        <v>-299190.21908547007</v>
      </c>
      <c r="AY31" s="457">
        <f>AY10+AY14+AY25+AY19+AY23+AY27+AY29</f>
        <v>348619.94301994302</v>
      </c>
      <c r="AZ31" s="458">
        <f>AZ10+AZ14+AZ25+AZ19+AZ23+AZ27+AZ29</f>
        <v>317329.69283048436</v>
      </c>
      <c r="BA31" s="1424">
        <v>317329.69283048436</v>
      </c>
      <c r="BB31" s="1023">
        <f>AZ31-AY31</f>
        <v>-31290.25018945866</v>
      </c>
      <c r="BC31" s="302">
        <f>BA31-AY31</f>
        <v>-31290.25018945866</v>
      </c>
      <c r="BD31" s="302">
        <f>BA31-AZ31</f>
        <v>0</v>
      </c>
      <c r="BE31" s="302">
        <f>AX31/6</f>
        <v>-49865.03651424501</v>
      </c>
    </row>
    <row r="32" spans="1:57" ht="12.75" customHeight="1">
      <c r="A32" s="730"/>
      <c r="B32" s="730"/>
      <c r="C32" s="730"/>
      <c r="D32" s="730"/>
      <c r="E32" s="730"/>
      <c r="R32" s="325"/>
      <c r="S32" s="325"/>
      <c r="T32" s="325"/>
      <c r="U32" s="325"/>
      <c r="V32" s="325"/>
      <c r="W32" s="325"/>
      <c r="AI32" s="416"/>
      <c r="AK32" s="325"/>
      <c r="AL32" s="325"/>
      <c r="AM32" s="325"/>
      <c r="AN32" s="325"/>
      <c r="AO32" s="325"/>
      <c r="AP32" s="325"/>
      <c r="AY32" s="416"/>
      <c r="AZ32" s="416"/>
    </row>
    <row r="33" spans="1:57" ht="20.25" thickBot="1">
      <c r="A33" s="731" t="s">
        <v>202</v>
      </c>
      <c r="B33" s="730"/>
      <c r="C33" s="730"/>
      <c r="D33" s="730"/>
      <c r="E33" s="730"/>
      <c r="R33" s="279"/>
      <c r="S33" s="279"/>
      <c r="T33" s="279"/>
      <c r="AI33" s="416"/>
      <c r="AK33" s="279"/>
      <c r="AL33" s="279"/>
      <c r="AM33" s="279"/>
      <c r="AR33" s="418"/>
      <c r="AS33" s="418"/>
      <c r="AT33" s="326"/>
      <c r="AU33" s="418"/>
      <c r="AX33" s="421" t="s">
        <v>34</v>
      </c>
      <c r="AY33" s="416"/>
    </row>
    <row r="34" spans="1:57" ht="20.100000000000001" customHeight="1">
      <c r="A34" s="732"/>
      <c r="B34" s="732"/>
      <c r="C34" s="732"/>
      <c r="D34" s="733"/>
      <c r="E34" s="1494"/>
      <c r="F34" s="1558" t="str">
        <f>F3</f>
        <v>17/9</v>
      </c>
      <c r="G34" s="1559"/>
      <c r="H34" s="1559"/>
      <c r="I34" s="1561">
        <v>0</v>
      </c>
      <c r="J34" s="1558" t="str">
        <f>J3</f>
        <v>17/10</v>
      </c>
      <c r="K34" s="1559"/>
      <c r="L34" s="1559"/>
      <c r="M34" s="1561">
        <v>0</v>
      </c>
      <c r="N34" s="1558" t="str">
        <f>N3</f>
        <v>17/11</v>
      </c>
      <c r="O34" s="1559"/>
      <c r="P34" s="1559"/>
      <c r="Q34" s="1561">
        <v>0</v>
      </c>
      <c r="R34" s="1558" t="str">
        <f>R3</f>
        <v>17/9-17/11累計</v>
      </c>
      <c r="S34" s="1559"/>
      <c r="T34" s="1559"/>
      <c r="U34" s="1560"/>
      <c r="V34" s="1559"/>
      <c r="W34" s="1559"/>
      <c r="X34" s="1561"/>
      <c r="Y34" s="1558" t="str">
        <f>Y3</f>
        <v>17/12</v>
      </c>
      <c r="Z34" s="1559"/>
      <c r="AA34" s="1559"/>
      <c r="AB34" s="1561">
        <v>0</v>
      </c>
      <c r="AC34" s="1558" t="str">
        <f>AC3</f>
        <v>18/1</v>
      </c>
      <c r="AD34" s="1559"/>
      <c r="AE34" s="1559"/>
      <c r="AF34" s="1561">
        <v>0</v>
      </c>
      <c r="AG34" s="1558" t="str">
        <f>AG3</f>
        <v>18/2</v>
      </c>
      <c r="AH34" s="1559"/>
      <c r="AI34" s="1559"/>
      <c r="AJ34" s="1561">
        <v>0</v>
      </c>
      <c r="AK34" s="1558" t="str">
        <f>AK3</f>
        <v>17/12-18/2累計</v>
      </c>
      <c r="AL34" s="1559"/>
      <c r="AM34" s="1559"/>
      <c r="AN34" s="1560"/>
      <c r="AO34" s="1559"/>
      <c r="AP34" s="1559"/>
      <c r="AQ34" s="1561"/>
      <c r="AR34" s="1562" t="str">
        <f>AR3</f>
        <v>17/下(17/12-18/2)累計</v>
      </c>
      <c r="AS34" s="1563"/>
      <c r="AT34" s="1563"/>
      <c r="AU34" s="1563"/>
      <c r="AV34" s="1563"/>
      <c r="AW34" s="1563"/>
      <c r="AX34" s="1564"/>
      <c r="AY34" s="422"/>
      <c r="AZ34" s="423"/>
      <c r="BA34" s="1420"/>
      <c r="BB34" s="1016"/>
      <c r="BC34" s="280"/>
      <c r="BD34" s="280"/>
      <c r="BE34" s="280"/>
    </row>
    <row r="35" spans="1:57" ht="20.100000000000001" customHeight="1">
      <c r="A35" s="734"/>
      <c r="B35" s="734"/>
      <c r="C35" s="734"/>
      <c r="D35" s="735"/>
      <c r="E35" s="734"/>
      <c r="F35" s="424" t="str">
        <f t="shared" ref="F35:R35" si="21">F114</f>
        <v>予算</v>
      </c>
      <c r="G35" s="493" t="str">
        <f t="shared" si="21"/>
        <v>前回計画</v>
      </c>
      <c r="H35" s="493" t="str">
        <f t="shared" si="21"/>
        <v>実績</v>
      </c>
      <c r="I35" s="427" t="str">
        <f t="shared" si="21"/>
        <v>計画差異</v>
      </c>
      <c r="J35" s="424" t="str">
        <f t="shared" si="21"/>
        <v>レビュー</v>
      </c>
      <c r="K35" s="493" t="str">
        <f t="shared" si="21"/>
        <v>前回計画</v>
      </c>
      <c r="L35" s="493" t="str">
        <f t="shared" si="21"/>
        <v>実績</v>
      </c>
      <c r="M35" s="427" t="str">
        <f t="shared" si="21"/>
        <v>計画差異</v>
      </c>
      <c r="N35" s="424" t="str">
        <f t="shared" si="21"/>
        <v>レビュー</v>
      </c>
      <c r="O35" s="494" t="str">
        <f t="shared" si="21"/>
        <v>計画</v>
      </c>
      <c r="P35" s="493" t="str">
        <f t="shared" si="21"/>
        <v>実績</v>
      </c>
      <c r="Q35" s="427" t="str">
        <f t="shared" si="21"/>
        <v>計画差異</v>
      </c>
      <c r="R35" s="284" t="str">
        <f t="shared" si="21"/>
        <v>レビュー</v>
      </c>
      <c r="S35" s="285"/>
      <c r="T35" s="285" t="s">
        <v>357</v>
      </c>
      <c r="U35" s="283" t="str">
        <f>U4</f>
        <v>実績</v>
      </c>
      <c r="V35" s="282" t="s">
        <v>364</v>
      </c>
      <c r="W35" s="287"/>
      <c r="X35" s="286" t="str">
        <f t="shared" ref="X35:AK35" si="22">X114</f>
        <v>計画差異</v>
      </c>
      <c r="Y35" s="424" t="str">
        <f t="shared" si="22"/>
        <v>レビュー</v>
      </c>
      <c r="Z35" s="494" t="str">
        <f t="shared" si="22"/>
        <v>前回計画</v>
      </c>
      <c r="AA35" s="493" t="str">
        <f t="shared" si="22"/>
        <v>実績</v>
      </c>
      <c r="AB35" s="427" t="str">
        <f t="shared" si="22"/>
        <v>計画差異</v>
      </c>
      <c r="AC35" s="424" t="str">
        <f t="shared" si="22"/>
        <v>レビュー</v>
      </c>
      <c r="AD35" s="494" t="str">
        <f t="shared" si="22"/>
        <v>前回計画</v>
      </c>
      <c r="AE35" s="493" t="str">
        <f t="shared" si="22"/>
        <v>今回計画</v>
      </c>
      <c r="AF35" s="427" t="str">
        <f t="shared" si="22"/>
        <v>計画差異</v>
      </c>
      <c r="AG35" s="424" t="str">
        <f t="shared" si="22"/>
        <v>レビュー</v>
      </c>
      <c r="AH35" s="494" t="str">
        <f t="shared" si="22"/>
        <v>前回計画</v>
      </c>
      <c r="AI35" s="493" t="str">
        <f t="shared" si="22"/>
        <v>今回計画</v>
      </c>
      <c r="AJ35" s="427" t="str">
        <f t="shared" si="22"/>
        <v>計画差異</v>
      </c>
      <c r="AK35" s="284" t="str">
        <f t="shared" si="22"/>
        <v>レビュー</v>
      </c>
      <c r="AL35" s="285"/>
      <c r="AM35" s="285" t="s">
        <v>387</v>
      </c>
      <c r="AN35" s="283" t="str">
        <f>AN4</f>
        <v>今回見通</v>
      </c>
      <c r="AO35" s="285" t="str">
        <f>AO4</f>
        <v>レビュー差異</v>
      </c>
      <c r="AP35" s="285"/>
      <c r="AQ35" s="286" t="str">
        <f>AQ114</f>
        <v>計画差異</v>
      </c>
      <c r="AR35" s="281" t="str">
        <f>AR114</f>
        <v>レビュー</v>
      </c>
      <c r="AS35" s="328"/>
      <c r="AT35" s="328" t="str">
        <f>AT4</f>
        <v>前回見通</v>
      </c>
      <c r="AU35" s="283" t="str">
        <f>AU4</f>
        <v>今回見通</v>
      </c>
      <c r="AV35" s="327" t="str">
        <f>AV4</f>
        <v>レビュー差異</v>
      </c>
      <c r="AW35" s="327"/>
      <c r="AX35" s="286" t="str">
        <f>AX114</f>
        <v>計画差異</v>
      </c>
      <c r="AY35" s="424" t="str">
        <f>AY114</f>
        <v>予算平均</v>
      </c>
      <c r="AZ35" s="428" t="str">
        <f>AZ4</f>
        <v>見通し平均</v>
      </c>
      <c r="BA35" s="1421" t="s">
        <v>321</v>
      </c>
      <c r="BB35" s="278" t="s">
        <v>299</v>
      </c>
      <c r="BC35" s="278" t="s">
        <v>280</v>
      </c>
      <c r="BD35" s="278" t="s">
        <v>281</v>
      </c>
      <c r="BE35" s="278" t="s">
        <v>282</v>
      </c>
    </row>
    <row r="36" spans="1:57" ht="20.100000000000001" customHeight="1">
      <c r="A36" s="736"/>
      <c r="B36" s="1570" t="s">
        <v>203</v>
      </c>
      <c r="C36" s="1571"/>
      <c r="D36" s="741"/>
      <c r="E36" s="1491"/>
      <c r="F36" s="439">
        <f t="shared" ref="F36:H41" si="23">F115/1.17</f>
        <v>7008.5470085470088</v>
      </c>
      <c r="G36" s="495">
        <f t="shared" si="23"/>
        <v>7008.5470085470088</v>
      </c>
      <c r="H36" s="495">
        <f t="shared" si="23"/>
        <v>5470.5776752136762</v>
      </c>
      <c r="I36" s="331">
        <f t="shared" ref="I36:I41" si="24">H36-G36</f>
        <v>-1537.9693333333325</v>
      </c>
      <c r="J36" s="439">
        <f t="shared" ref="J36:L41" si="25">J115/1.17</f>
        <v>5555.5555555555557</v>
      </c>
      <c r="K36" s="495">
        <f t="shared" si="25"/>
        <v>4700.8547008547012</v>
      </c>
      <c r="L36" s="495">
        <f t="shared" si="25"/>
        <v>4521.5470769230769</v>
      </c>
      <c r="M36" s="331">
        <f t="shared" ref="M36:M41" si="26">L36-K36</f>
        <v>-179.30762393162422</v>
      </c>
      <c r="N36" s="439">
        <f t="shared" ref="N36:P41" si="27">N115/1.17</f>
        <v>5384.6153846153848</v>
      </c>
      <c r="O36" s="495">
        <f t="shared" si="27"/>
        <v>6410.2564102564111</v>
      </c>
      <c r="P36" s="495">
        <f t="shared" si="27"/>
        <v>6358.4774358974346</v>
      </c>
      <c r="Q36" s="331">
        <f t="shared" ref="Q36:Q41" si="28">P36-O36</f>
        <v>-51.778974358976484</v>
      </c>
      <c r="R36" s="496">
        <f t="shared" ref="R36:R41" si="29">F36+J36+N36</f>
        <v>17948.717948717949</v>
      </c>
      <c r="S36" s="497"/>
      <c r="T36" s="473">
        <f t="shared" ref="T36:U38" si="30">G36+K36+O36</f>
        <v>18119.658119658121</v>
      </c>
      <c r="U36" s="430">
        <f t="shared" si="30"/>
        <v>16350.602188034187</v>
      </c>
      <c r="V36" s="498">
        <f t="shared" ref="V36:V41" si="31">U36-R36</f>
        <v>-1598.1157606837623</v>
      </c>
      <c r="W36" s="499"/>
      <c r="X36" s="331">
        <f t="shared" ref="X36:X41" si="32">U36-T36</f>
        <v>-1769.0559316239342</v>
      </c>
      <c r="Y36" s="439">
        <f t="shared" ref="Y36:AA41" si="33">Y115/1.17</f>
        <v>5384.6153846153848</v>
      </c>
      <c r="Z36" s="495">
        <f t="shared" si="33"/>
        <v>5982.9059829059834</v>
      </c>
      <c r="AA36" s="495">
        <f t="shared" si="33"/>
        <v>5488.6737435897421</v>
      </c>
      <c r="AB36" s="500">
        <f t="shared" ref="AB36:AB41" si="34">AA36-Z36</f>
        <v>-494.23223931624125</v>
      </c>
      <c r="AC36" s="439">
        <f t="shared" ref="AC36:AE41" si="35">AC115/1.17</f>
        <v>4700.8547008547012</v>
      </c>
      <c r="AD36" s="495">
        <f t="shared" si="35"/>
        <v>4273.5042735042734</v>
      </c>
      <c r="AE36" s="495">
        <f t="shared" si="35"/>
        <v>4273.5042735042734</v>
      </c>
      <c r="AF36" s="500">
        <f t="shared" ref="AF36:AF41" si="36">AE36-AD36</f>
        <v>0</v>
      </c>
      <c r="AG36" s="439">
        <f t="shared" ref="AG36:AI41" si="37">AG115/1.17</f>
        <v>2991.4529914529917</v>
      </c>
      <c r="AH36" s="495">
        <f t="shared" si="37"/>
        <v>3418.8034188034189</v>
      </c>
      <c r="AI36" s="495">
        <f t="shared" si="37"/>
        <v>3418.8034188034189</v>
      </c>
      <c r="AJ36" s="500">
        <f t="shared" ref="AJ36:AJ41" si="38">AI36-AH36</f>
        <v>0</v>
      </c>
      <c r="AK36" s="496">
        <f t="shared" ref="AK36:AK41" si="39">Y36+AC36+AG36</f>
        <v>13076.923076923078</v>
      </c>
      <c r="AL36" s="497"/>
      <c r="AM36" s="473">
        <f t="shared" ref="AM36:AN38" si="40">Z36+AD36+AH36</f>
        <v>13675.213675213676</v>
      </c>
      <c r="AN36" s="430">
        <f t="shared" si="40"/>
        <v>13180.981435897433</v>
      </c>
      <c r="AO36" s="501">
        <f t="shared" ref="AO36:AO41" si="41">AN36-AK36</f>
        <v>104.05835897435463</v>
      </c>
      <c r="AP36" s="501"/>
      <c r="AQ36" s="500">
        <f t="shared" ref="AQ36:AQ41" si="42">AN36-AM36</f>
        <v>-494.23223931624307</v>
      </c>
      <c r="AR36" s="496">
        <f t="shared" ref="AR36:AR41" si="43">SUM(R36,AK36)</f>
        <v>31025.641025641027</v>
      </c>
      <c r="AS36" s="1031"/>
      <c r="AT36" s="564">
        <f t="shared" ref="AT36:AU41" si="44">T36+AM36</f>
        <v>31794.871794871797</v>
      </c>
      <c r="AU36" s="502">
        <f t="shared" si="44"/>
        <v>29531.58362393162</v>
      </c>
      <c r="AV36" s="443">
        <f t="shared" ref="AV36:AV41" si="45">AU36-AR36</f>
        <v>-1494.0574017094077</v>
      </c>
      <c r="AW36" s="517"/>
      <c r="AX36" s="503">
        <f t="shared" ref="AX36:AX41" si="46">AU36-AT36</f>
        <v>-2263.2881709401772</v>
      </c>
      <c r="AY36" s="437"/>
      <c r="AZ36" s="438"/>
      <c r="BA36" s="1422"/>
      <c r="BB36" s="293"/>
      <c r="BC36" s="293"/>
      <c r="BD36" s="293"/>
      <c r="BE36" s="293"/>
    </row>
    <row r="37" spans="1:57" ht="20.100000000000001" customHeight="1">
      <c r="A37" s="766"/>
      <c r="B37" s="736"/>
      <c r="C37" s="767" t="s">
        <v>42</v>
      </c>
      <c r="D37" s="765"/>
      <c r="E37" s="761"/>
      <c r="F37" s="504">
        <f t="shared" si="23"/>
        <v>213.67521367521368</v>
      </c>
      <c r="G37" s="495">
        <f t="shared" si="23"/>
        <v>213.67521367521368</v>
      </c>
      <c r="H37" s="495">
        <f t="shared" si="23"/>
        <v>192.27018803418804</v>
      </c>
      <c r="I37" s="331">
        <f t="shared" si="24"/>
        <v>-21.405025641025645</v>
      </c>
      <c r="J37" s="504">
        <f t="shared" si="25"/>
        <v>213.67521367521368</v>
      </c>
      <c r="K37" s="495">
        <f t="shared" si="25"/>
        <v>213.67521367521368</v>
      </c>
      <c r="L37" s="495">
        <f t="shared" si="25"/>
        <v>77.458222222222233</v>
      </c>
      <c r="M37" s="331">
        <f t="shared" si="26"/>
        <v>-136.21699145299146</v>
      </c>
      <c r="N37" s="504">
        <f t="shared" si="27"/>
        <v>213.67521367521368</v>
      </c>
      <c r="O37" s="495">
        <f t="shared" si="27"/>
        <v>213.67521367521368</v>
      </c>
      <c r="P37" s="495">
        <f t="shared" si="27"/>
        <v>443.22343589743593</v>
      </c>
      <c r="Q37" s="331">
        <f t="shared" si="28"/>
        <v>229.54822222222225</v>
      </c>
      <c r="R37" s="505">
        <f t="shared" si="29"/>
        <v>641.02564102564111</v>
      </c>
      <c r="S37" s="506"/>
      <c r="T37" s="445">
        <f t="shared" si="30"/>
        <v>641.02564102564111</v>
      </c>
      <c r="U37" s="507">
        <f t="shared" si="30"/>
        <v>712.95184615384619</v>
      </c>
      <c r="V37" s="507">
        <f t="shared" si="31"/>
        <v>71.926205128205083</v>
      </c>
      <c r="W37" s="508"/>
      <c r="X37" s="509">
        <f t="shared" si="32"/>
        <v>71.926205128205083</v>
      </c>
      <c r="Y37" s="504">
        <f t="shared" si="33"/>
        <v>205.12820512820514</v>
      </c>
      <c r="Z37" s="495">
        <f t="shared" si="33"/>
        <v>213.67521367521368</v>
      </c>
      <c r="AA37" s="495">
        <f t="shared" si="33"/>
        <v>632.48119658119663</v>
      </c>
      <c r="AB37" s="500">
        <f t="shared" si="34"/>
        <v>418.80598290598294</v>
      </c>
      <c r="AC37" s="504">
        <f t="shared" si="35"/>
        <v>128.2051282051282</v>
      </c>
      <c r="AD37" s="495">
        <f t="shared" si="35"/>
        <v>128.2051282051282</v>
      </c>
      <c r="AE37" s="495">
        <f t="shared" si="35"/>
        <v>128.2051282051282</v>
      </c>
      <c r="AF37" s="500">
        <f t="shared" si="36"/>
        <v>0</v>
      </c>
      <c r="AG37" s="504">
        <f t="shared" si="37"/>
        <v>128.2051282051282</v>
      </c>
      <c r="AH37" s="495">
        <f t="shared" si="37"/>
        <v>128.2051282051282</v>
      </c>
      <c r="AI37" s="495">
        <f t="shared" si="37"/>
        <v>128.2051282051282</v>
      </c>
      <c r="AJ37" s="500">
        <f t="shared" si="38"/>
        <v>0</v>
      </c>
      <c r="AK37" s="505">
        <f t="shared" si="39"/>
        <v>461.53846153846155</v>
      </c>
      <c r="AL37" s="506"/>
      <c r="AM37" s="445">
        <f t="shared" si="40"/>
        <v>470.08547008547009</v>
      </c>
      <c r="AN37" s="507">
        <f t="shared" si="40"/>
        <v>888.89145299145298</v>
      </c>
      <c r="AO37" s="445">
        <f t="shared" si="41"/>
        <v>427.35299145299143</v>
      </c>
      <c r="AP37" s="445"/>
      <c r="AQ37" s="509">
        <f t="shared" si="42"/>
        <v>418.80598290598289</v>
      </c>
      <c r="AR37" s="496">
        <f t="shared" si="43"/>
        <v>1102.5641025641025</v>
      </c>
      <c r="AS37" s="1031"/>
      <c r="AT37" s="564">
        <f t="shared" si="44"/>
        <v>1111.1111111111113</v>
      </c>
      <c r="AU37" s="502">
        <f t="shared" si="44"/>
        <v>1601.8432991452992</v>
      </c>
      <c r="AV37" s="443">
        <f t="shared" si="45"/>
        <v>499.27919658119663</v>
      </c>
      <c r="AW37" s="517"/>
      <c r="AX37" s="503">
        <f t="shared" si="46"/>
        <v>490.73218803418786</v>
      </c>
      <c r="AY37" s="437"/>
      <c r="AZ37" s="438"/>
      <c r="BA37" s="1422"/>
      <c r="BB37" s="293"/>
      <c r="BC37" s="293"/>
      <c r="BD37" s="293"/>
      <c r="BE37" s="293"/>
    </row>
    <row r="38" spans="1:57" ht="20.100000000000001" customHeight="1">
      <c r="A38" s="766"/>
      <c r="B38" s="760"/>
      <c r="C38" s="768"/>
      <c r="D38" s="769" t="s">
        <v>186</v>
      </c>
      <c r="E38" s="1499"/>
      <c r="F38" s="439">
        <f t="shared" si="23"/>
        <v>15384.615384615385</v>
      </c>
      <c r="G38" s="498">
        <f t="shared" si="23"/>
        <v>15384.615384615385</v>
      </c>
      <c r="H38" s="498">
        <f t="shared" si="23"/>
        <v>7610.5897435897432</v>
      </c>
      <c r="I38" s="333">
        <f t="shared" si="24"/>
        <v>-7774.0256410256416</v>
      </c>
      <c r="J38" s="439">
        <f t="shared" si="25"/>
        <v>17094.017094017094</v>
      </c>
      <c r="K38" s="498">
        <f t="shared" si="25"/>
        <v>10256.410256410258</v>
      </c>
      <c r="L38" s="498">
        <f t="shared" si="25"/>
        <v>7994.7666666666673</v>
      </c>
      <c r="M38" s="333">
        <f t="shared" si="26"/>
        <v>-2261.6435897435904</v>
      </c>
      <c r="N38" s="439">
        <f t="shared" si="27"/>
        <v>18803.418803418805</v>
      </c>
      <c r="O38" s="499">
        <f t="shared" si="27"/>
        <v>10256.410256410258</v>
      </c>
      <c r="P38" s="498">
        <f t="shared" si="27"/>
        <v>8415.3435897435902</v>
      </c>
      <c r="Q38" s="333">
        <f t="shared" si="28"/>
        <v>-1841.0666666666675</v>
      </c>
      <c r="R38" s="496">
        <f t="shared" si="29"/>
        <v>51282.051282051281</v>
      </c>
      <c r="S38" s="497"/>
      <c r="T38" s="497">
        <f t="shared" si="30"/>
        <v>35897.435897435898</v>
      </c>
      <c r="U38" s="430">
        <f t="shared" si="30"/>
        <v>24020.7</v>
      </c>
      <c r="V38" s="430">
        <f t="shared" si="31"/>
        <v>-27261.351282051281</v>
      </c>
      <c r="W38" s="473"/>
      <c r="X38" s="442">
        <f t="shared" si="32"/>
        <v>-11876.735897435898</v>
      </c>
      <c r="Y38" s="439">
        <f t="shared" si="33"/>
        <v>18803.418803418805</v>
      </c>
      <c r="Z38" s="499">
        <f t="shared" si="33"/>
        <v>11965.811965811967</v>
      </c>
      <c r="AA38" s="498">
        <f t="shared" si="33"/>
        <v>9313.3128205128196</v>
      </c>
      <c r="AB38" s="510">
        <f t="shared" si="34"/>
        <v>-2652.4991452991471</v>
      </c>
      <c r="AC38" s="439">
        <f t="shared" si="35"/>
        <v>13675.213675213676</v>
      </c>
      <c r="AD38" s="499">
        <f t="shared" si="35"/>
        <v>10256.410256410258</v>
      </c>
      <c r="AE38" s="498">
        <f t="shared" si="35"/>
        <v>10256.410256410258</v>
      </c>
      <c r="AF38" s="510">
        <f t="shared" si="36"/>
        <v>0</v>
      </c>
      <c r="AG38" s="439">
        <f t="shared" si="37"/>
        <v>8547.0085470085469</v>
      </c>
      <c r="AH38" s="499">
        <f t="shared" si="37"/>
        <v>7692.3076923076924</v>
      </c>
      <c r="AI38" s="498">
        <f t="shared" si="37"/>
        <v>7692.3076923076924</v>
      </c>
      <c r="AJ38" s="510">
        <f t="shared" si="38"/>
        <v>0</v>
      </c>
      <c r="AK38" s="496">
        <f t="shared" si="39"/>
        <v>41025.641025641031</v>
      </c>
      <c r="AL38" s="497"/>
      <c r="AM38" s="497">
        <f t="shared" si="40"/>
        <v>29914.529914529918</v>
      </c>
      <c r="AN38" s="430">
        <f t="shared" si="40"/>
        <v>27262.030769230769</v>
      </c>
      <c r="AO38" s="441">
        <f t="shared" si="41"/>
        <v>-13763.610256410262</v>
      </c>
      <c r="AP38" s="441"/>
      <c r="AQ38" s="442">
        <f t="shared" si="42"/>
        <v>-2652.4991452991489</v>
      </c>
      <c r="AR38" s="496">
        <f t="shared" si="43"/>
        <v>92307.692307692312</v>
      </c>
      <c r="AS38" s="1031"/>
      <c r="AT38" s="564">
        <f t="shared" si="44"/>
        <v>65811.965811965812</v>
      </c>
      <c r="AU38" s="502">
        <f t="shared" si="44"/>
        <v>51282.730769230766</v>
      </c>
      <c r="AV38" s="443">
        <f t="shared" si="45"/>
        <v>-41024.961538461546</v>
      </c>
      <c r="AW38" s="517"/>
      <c r="AX38" s="503">
        <f t="shared" si="46"/>
        <v>-14529.235042735047</v>
      </c>
      <c r="AY38" s="437"/>
      <c r="AZ38" s="438"/>
      <c r="BA38" s="1422"/>
      <c r="BB38" s="293"/>
      <c r="BC38" s="293"/>
      <c r="BD38" s="293"/>
      <c r="BE38" s="293"/>
    </row>
    <row r="39" spans="1:57" ht="20.100000000000001" customHeight="1">
      <c r="A39" s="766"/>
      <c r="B39" s="760"/>
      <c r="C39" s="768"/>
      <c r="D39" s="769" t="s">
        <v>160</v>
      </c>
      <c r="E39" s="1499"/>
      <c r="F39" s="439">
        <f t="shared" si="23"/>
        <v>5982.9059829059834</v>
      </c>
      <c r="G39" s="498">
        <f t="shared" si="23"/>
        <v>5982.9059829059834</v>
      </c>
      <c r="H39" s="498">
        <f t="shared" si="23"/>
        <v>598.31367521367531</v>
      </c>
      <c r="I39" s="333">
        <f t="shared" si="24"/>
        <v>-5384.5923076923082</v>
      </c>
      <c r="J39" s="439">
        <f t="shared" si="25"/>
        <v>7777.7777777777783</v>
      </c>
      <c r="K39" s="498">
        <f t="shared" si="25"/>
        <v>1111.1111111111111</v>
      </c>
      <c r="L39" s="498">
        <f t="shared" si="25"/>
        <v>660.47606837606838</v>
      </c>
      <c r="M39" s="333">
        <f t="shared" si="26"/>
        <v>-450.6350427350427</v>
      </c>
      <c r="N39" s="439">
        <f t="shared" si="27"/>
        <v>7777.7777777777783</v>
      </c>
      <c r="O39" s="499">
        <f t="shared" si="27"/>
        <v>1623.931623931624</v>
      </c>
      <c r="P39" s="498">
        <f t="shared" si="27"/>
        <v>858.71452991452998</v>
      </c>
      <c r="Q39" s="333">
        <f t="shared" si="28"/>
        <v>-765.21709401709404</v>
      </c>
      <c r="R39" s="496">
        <f t="shared" si="29"/>
        <v>21538.461538461539</v>
      </c>
      <c r="S39" s="497"/>
      <c r="T39" s="497">
        <f>G39+K39+O39</f>
        <v>8717.9487179487187</v>
      </c>
      <c r="U39" s="430">
        <f>H39+L39+P39</f>
        <v>2117.5042735042734</v>
      </c>
      <c r="V39" s="430">
        <f t="shared" si="31"/>
        <v>-19420.957264957266</v>
      </c>
      <c r="W39" s="473"/>
      <c r="X39" s="442">
        <f t="shared" si="32"/>
        <v>-6600.4444444444453</v>
      </c>
      <c r="Y39" s="439">
        <f t="shared" si="33"/>
        <v>7692.3076923076924</v>
      </c>
      <c r="Z39" s="499">
        <f t="shared" si="33"/>
        <v>1709.4017094017095</v>
      </c>
      <c r="AA39" s="498">
        <f t="shared" si="33"/>
        <v>844.87008547008554</v>
      </c>
      <c r="AB39" s="510">
        <f t="shared" si="34"/>
        <v>-864.53162393162393</v>
      </c>
      <c r="AC39" s="439">
        <f t="shared" si="35"/>
        <v>5982.9059829059834</v>
      </c>
      <c r="AD39" s="499">
        <f t="shared" si="35"/>
        <v>1709.4017094017095</v>
      </c>
      <c r="AE39" s="498">
        <f t="shared" si="35"/>
        <v>1709.4017094017095</v>
      </c>
      <c r="AF39" s="510">
        <f t="shared" si="36"/>
        <v>0</v>
      </c>
      <c r="AG39" s="439">
        <f t="shared" si="37"/>
        <v>3760.6837606837607</v>
      </c>
      <c r="AH39" s="499">
        <f t="shared" si="37"/>
        <v>1196.5811965811968</v>
      </c>
      <c r="AI39" s="498">
        <f t="shared" si="37"/>
        <v>1196.5811965811968</v>
      </c>
      <c r="AJ39" s="510">
        <f t="shared" si="38"/>
        <v>0</v>
      </c>
      <c r="AK39" s="496">
        <f t="shared" si="39"/>
        <v>17435.897435897437</v>
      </c>
      <c r="AL39" s="497"/>
      <c r="AM39" s="497">
        <f>Z39+AD39+AH39</f>
        <v>4615.3846153846152</v>
      </c>
      <c r="AN39" s="430">
        <f>AA39+AE39+AI39</f>
        <v>3750.8529914529918</v>
      </c>
      <c r="AO39" s="441">
        <f t="shared" si="41"/>
        <v>-13685.044444444446</v>
      </c>
      <c r="AP39" s="441"/>
      <c r="AQ39" s="442">
        <f t="shared" si="42"/>
        <v>-864.53162393162347</v>
      </c>
      <c r="AR39" s="496">
        <f t="shared" si="43"/>
        <v>38974.358974358976</v>
      </c>
      <c r="AS39" s="1031"/>
      <c r="AT39" s="564">
        <f t="shared" si="44"/>
        <v>13333.333333333334</v>
      </c>
      <c r="AU39" s="502">
        <f t="shared" si="44"/>
        <v>5868.3572649572652</v>
      </c>
      <c r="AV39" s="443">
        <f t="shared" si="45"/>
        <v>-33106.001709401709</v>
      </c>
      <c r="AW39" s="517"/>
      <c r="AX39" s="503">
        <f t="shared" si="46"/>
        <v>-7464.9760683760687</v>
      </c>
      <c r="AY39" s="437"/>
      <c r="AZ39" s="438"/>
      <c r="BA39" s="1422"/>
      <c r="BB39" s="293"/>
      <c r="BC39" s="293"/>
      <c r="BD39" s="293"/>
      <c r="BE39" s="293"/>
    </row>
    <row r="40" spans="1:57" ht="20.100000000000001" customHeight="1">
      <c r="A40" s="766"/>
      <c r="B40" s="739"/>
      <c r="C40" s="757" t="s">
        <v>204</v>
      </c>
      <c r="D40" s="770"/>
      <c r="E40" s="776"/>
      <c r="F40" s="439">
        <f t="shared" si="23"/>
        <v>78461.538461538468</v>
      </c>
      <c r="G40" s="498">
        <f t="shared" si="23"/>
        <v>78418.803418803422</v>
      </c>
      <c r="H40" s="498">
        <f t="shared" si="23"/>
        <v>80002.635606837604</v>
      </c>
      <c r="I40" s="333">
        <f t="shared" si="24"/>
        <v>1583.8321880341828</v>
      </c>
      <c r="J40" s="439">
        <f t="shared" si="25"/>
        <v>76794.871794871797</v>
      </c>
      <c r="K40" s="498">
        <f t="shared" si="25"/>
        <v>76709.401709401718</v>
      </c>
      <c r="L40" s="498">
        <f t="shared" si="25"/>
        <v>77162.8738974359</v>
      </c>
      <c r="M40" s="333">
        <f t="shared" si="26"/>
        <v>453.47218803418218</v>
      </c>
      <c r="N40" s="439">
        <f t="shared" si="27"/>
        <v>74230.769230769234</v>
      </c>
      <c r="O40" s="499">
        <f t="shared" si="27"/>
        <v>74145.299145299155</v>
      </c>
      <c r="P40" s="498">
        <f t="shared" si="27"/>
        <v>74258.141230769252</v>
      </c>
      <c r="Q40" s="333">
        <f t="shared" si="28"/>
        <v>112.84208547009621</v>
      </c>
      <c r="R40" s="496">
        <f t="shared" si="29"/>
        <v>229487.1794871795</v>
      </c>
      <c r="S40" s="497"/>
      <c r="T40" s="497">
        <f>G40+K40+O40</f>
        <v>229273.50427350428</v>
      </c>
      <c r="U40" s="430">
        <f>H40+L40+P40</f>
        <v>231423.65073504276</v>
      </c>
      <c r="V40" s="430">
        <f t="shared" si="31"/>
        <v>1936.4712478632573</v>
      </c>
      <c r="W40" s="473"/>
      <c r="X40" s="442">
        <f t="shared" si="32"/>
        <v>2150.1464615384757</v>
      </c>
      <c r="Y40" s="439">
        <f t="shared" si="33"/>
        <v>74017.094017094016</v>
      </c>
      <c r="Z40" s="499">
        <f t="shared" si="33"/>
        <v>74145.299145299155</v>
      </c>
      <c r="AA40" s="498">
        <f t="shared" si="33"/>
        <v>74377.868376068393</v>
      </c>
      <c r="AB40" s="510">
        <f t="shared" si="34"/>
        <v>232.56923076923704</v>
      </c>
      <c r="AC40" s="439">
        <f t="shared" si="35"/>
        <v>62222.222222222226</v>
      </c>
      <c r="AD40" s="499">
        <f t="shared" si="35"/>
        <v>62264.957264957266</v>
      </c>
      <c r="AE40" s="498">
        <f t="shared" si="35"/>
        <v>62264.957264957266</v>
      </c>
      <c r="AF40" s="510">
        <f t="shared" si="36"/>
        <v>0</v>
      </c>
      <c r="AG40" s="439">
        <f t="shared" si="37"/>
        <v>31965.811965811969</v>
      </c>
      <c r="AH40" s="499">
        <f t="shared" si="37"/>
        <v>31837.60683760684</v>
      </c>
      <c r="AI40" s="498">
        <f t="shared" si="37"/>
        <v>31837.60683760684</v>
      </c>
      <c r="AJ40" s="510">
        <f t="shared" si="38"/>
        <v>0</v>
      </c>
      <c r="AK40" s="496">
        <f t="shared" si="39"/>
        <v>168205.12820512822</v>
      </c>
      <c r="AL40" s="497"/>
      <c r="AM40" s="497">
        <f>Z40+AD40+AH40</f>
        <v>168247.86324786328</v>
      </c>
      <c r="AN40" s="430">
        <f>AA40+AE40+AI40</f>
        <v>168480.43247863252</v>
      </c>
      <c r="AO40" s="441">
        <f t="shared" si="41"/>
        <v>275.30427350429818</v>
      </c>
      <c r="AP40" s="441"/>
      <c r="AQ40" s="442">
        <f t="shared" si="42"/>
        <v>232.56923076923704</v>
      </c>
      <c r="AR40" s="496">
        <f t="shared" si="43"/>
        <v>397692.30769230775</v>
      </c>
      <c r="AS40" s="1031"/>
      <c r="AT40" s="564">
        <f t="shared" si="44"/>
        <v>397521.36752136756</v>
      </c>
      <c r="AU40" s="502">
        <f t="shared" si="44"/>
        <v>399904.0832136753</v>
      </c>
      <c r="AV40" s="443">
        <f t="shared" si="45"/>
        <v>2211.7755213675555</v>
      </c>
      <c r="AW40" s="517"/>
      <c r="AX40" s="503">
        <f t="shared" si="46"/>
        <v>2382.7156923077418</v>
      </c>
      <c r="AY40" s="437"/>
      <c r="AZ40" s="438"/>
      <c r="BA40" s="1422"/>
      <c r="BB40" s="293"/>
      <c r="BC40" s="293"/>
      <c r="BD40" s="293"/>
      <c r="BE40" s="293"/>
    </row>
    <row r="41" spans="1:57" ht="20.100000000000001" customHeight="1">
      <c r="A41" s="760"/>
      <c r="B41" s="1567" t="s">
        <v>187</v>
      </c>
      <c r="C41" s="1568"/>
      <c r="D41" s="771"/>
      <c r="E41" s="1490"/>
      <c r="F41" s="439">
        <f t="shared" si="23"/>
        <v>78675.213675213687</v>
      </c>
      <c r="G41" s="498">
        <f t="shared" si="23"/>
        <v>78632.47863247864</v>
      </c>
      <c r="H41" s="498">
        <f t="shared" si="23"/>
        <v>80194.905794871796</v>
      </c>
      <c r="I41" s="333">
        <f t="shared" si="24"/>
        <v>1562.4271623931563</v>
      </c>
      <c r="J41" s="439">
        <f t="shared" si="25"/>
        <v>77008.547008547015</v>
      </c>
      <c r="K41" s="498">
        <f t="shared" si="25"/>
        <v>76923.076923076922</v>
      </c>
      <c r="L41" s="498">
        <f t="shared" si="25"/>
        <v>77240.332119658124</v>
      </c>
      <c r="M41" s="333">
        <f t="shared" si="26"/>
        <v>317.25519658120174</v>
      </c>
      <c r="N41" s="439">
        <f t="shared" si="27"/>
        <v>74444.444444444453</v>
      </c>
      <c r="O41" s="499">
        <f t="shared" si="27"/>
        <v>74358.974358974359</v>
      </c>
      <c r="P41" s="498">
        <f t="shared" si="27"/>
        <v>74701.364666666675</v>
      </c>
      <c r="Q41" s="333">
        <f t="shared" si="28"/>
        <v>342.39030769231613</v>
      </c>
      <c r="R41" s="496">
        <f t="shared" si="29"/>
        <v>230128.20512820513</v>
      </c>
      <c r="S41" s="312"/>
      <c r="T41" s="470">
        <f>G41+K41+O41</f>
        <v>229914.52991452994</v>
      </c>
      <c r="U41" s="446">
        <f>U37+U40</f>
        <v>232136.60258119661</v>
      </c>
      <c r="V41" s="430">
        <f t="shared" si="31"/>
        <v>2008.3974529914849</v>
      </c>
      <c r="W41" s="473"/>
      <c r="X41" s="442">
        <f t="shared" si="32"/>
        <v>2222.0726666666742</v>
      </c>
      <c r="Y41" s="439">
        <f t="shared" si="33"/>
        <v>74222.222222222234</v>
      </c>
      <c r="Z41" s="499">
        <f t="shared" si="33"/>
        <v>74358.974358974359</v>
      </c>
      <c r="AA41" s="498">
        <f t="shared" si="33"/>
        <v>75010.349572649575</v>
      </c>
      <c r="AB41" s="510">
        <f t="shared" si="34"/>
        <v>651.37521367521549</v>
      </c>
      <c r="AC41" s="439">
        <f t="shared" si="35"/>
        <v>62350.427350427351</v>
      </c>
      <c r="AD41" s="499">
        <f t="shared" si="35"/>
        <v>62393.162393162398</v>
      </c>
      <c r="AE41" s="498">
        <f t="shared" si="35"/>
        <v>62393.162393162398</v>
      </c>
      <c r="AF41" s="510">
        <f t="shared" si="36"/>
        <v>0</v>
      </c>
      <c r="AG41" s="439">
        <f t="shared" si="37"/>
        <v>32094.017094017097</v>
      </c>
      <c r="AH41" s="499">
        <f t="shared" si="37"/>
        <v>31965.811965811969</v>
      </c>
      <c r="AI41" s="498">
        <f t="shared" si="37"/>
        <v>31965.811965811969</v>
      </c>
      <c r="AJ41" s="510">
        <f t="shared" si="38"/>
        <v>0</v>
      </c>
      <c r="AK41" s="496">
        <f t="shared" si="39"/>
        <v>168666.66666666669</v>
      </c>
      <c r="AL41" s="312"/>
      <c r="AM41" s="470">
        <f>Z41+AD41+AH41</f>
        <v>168717.94871794872</v>
      </c>
      <c r="AN41" s="446">
        <f>AN37+AN40</f>
        <v>169369.32393162398</v>
      </c>
      <c r="AO41" s="441">
        <f t="shared" si="41"/>
        <v>702.65726495729177</v>
      </c>
      <c r="AP41" s="441"/>
      <c r="AQ41" s="442">
        <f t="shared" si="42"/>
        <v>651.37521367525915</v>
      </c>
      <c r="AR41" s="496">
        <f t="shared" si="43"/>
        <v>398794.87179487181</v>
      </c>
      <c r="AS41" s="1032"/>
      <c r="AT41" s="296">
        <f t="shared" si="44"/>
        <v>398632.47863247863</v>
      </c>
      <c r="AU41" s="502">
        <f t="shared" si="44"/>
        <v>401505.92651282059</v>
      </c>
      <c r="AV41" s="443">
        <f t="shared" si="45"/>
        <v>2711.0547179487767</v>
      </c>
      <c r="AW41" s="517"/>
      <c r="AX41" s="503">
        <f t="shared" si="46"/>
        <v>2873.4478803419624</v>
      </c>
      <c r="AY41" s="444"/>
      <c r="AZ41" s="445"/>
      <c r="BA41" s="1423"/>
      <c r="BB41" s="416"/>
      <c r="BC41" s="416"/>
      <c r="BD41" s="416"/>
      <c r="BE41" s="416"/>
    </row>
    <row r="42" spans="1:57" ht="20.100000000000001" customHeight="1">
      <c r="A42" s="766"/>
      <c r="B42" s="772"/>
      <c r="C42" s="773"/>
      <c r="D42" s="774"/>
      <c r="E42" s="772"/>
      <c r="F42" s="511"/>
      <c r="G42" s="512"/>
      <c r="H42" s="512"/>
      <c r="I42" s="300">
        <f>H43/G43</f>
        <v>1.0002855854291417</v>
      </c>
      <c r="J42" s="511"/>
      <c r="K42" s="512"/>
      <c r="L42" s="512"/>
      <c r="M42" s="300">
        <f>L43/K43</f>
        <v>1.0016900383246075</v>
      </c>
      <c r="N42" s="511"/>
      <c r="O42" s="512"/>
      <c r="P42" s="512"/>
      <c r="Q42" s="1033">
        <f>P43/O43</f>
        <v>1.0035980450793651</v>
      </c>
      <c r="R42" s="334"/>
      <c r="S42" s="513"/>
      <c r="T42" s="438"/>
      <c r="U42" s="451"/>
      <c r="V42" s="349">
        <f>U43/R43</f>
        <v>1.0016538486821707</v>
      </c>
      <c r="W42" s="350"/>
      <c r="X42" s="300">
        <f>U43/T43</f>
        <v>1.001826428600965</v>
      </c>
      <c r="Y42" s="511"/>
      <c r="Z42" s="512"/>
      <c r="AA42" s="512"/>
      <c r="AB42" s="514">
        <f>AA43/Z43</f>
        <v>1.0019559285106383</v>
      </c>
      <c r="AC42" s="511"/>
      <c r="AD42" s="512"/>
      <c r="AE42" s="512"/>
      <c r="AF42" s="515">
        <f>AE43/AD43</f>
        <v>1</v>
      </c>
      <c r="AG42" s="511"/>
      <c r="AH42" s="512"/>
      <c r="AI42" s="512"/>
      <c r="AJ42" s="515">
        <f>AI43/AH43</f>
        <v>1</v>
      </c>
      <c r="AK42" s="334"/>
      <c r="AL42" s="513"/>
      <c r="AM42" s="438"/>
      <c r="AN42" s="451"/>
      <c r="AO42" s="352">
        <f>AN43/AK43</f>
        <v>1.0044387569601201</v>
      </c>
      <c r="AP42" s="352"/>
      <c r="AQ42" s="335">
        <f>AN43/AM43</f>
        <v>1.0008615617619494</v>
      </c>
      <c r="AR42" s="334"/>
      <c r="AS42" s="1034"/>
      <c r="AT42" s="1034"/>
      <c r="AU42" s="298"/>
      <c r="AV42" s="350">
        <f>AU43/AR43</f>
        <v>1.0028314081807155</v>
      </c>
      <c r="AW42" s="350"/>
      <c r="AX42" s="339">
        <f>AU43/AT43</f>
        <v>1.0014175672359016</v>
      </c>
      <c r="AY42" s="471"/>
      <c r="AZ42" s="472"/>
      <c r="BA42" s="1425"/>
      <c r="BB42" s="293"/>
      <c r="BC42" s="293"/>
      <c r="BD42" s="293"/>
      <c r="BE42" s="293"/>
    </row>
    <row r="43" spans="1:57" ht="20.100000000000001" customHeight="1">
      <c r="A43" s="747" t="s">
        <v>188</v>
      </c>
      <c r="B43" s="748"/>
      <c r="C43" s="759"/>
      <c r="D43" s="753"/>
      <c r="E43" s="759"/>
      <c r="F43" s="459">
        <f t="shared" ref="F43:H48" si="47">F122/1.17</f>
        <v>85683.760683760687</v>
      </c>
      <c r="G43" s="460">
        <f t="shared" si="47"/>
        <v>85641.025641025641</v>
      </c>
      <c r="H43" s="460">
        <f t="shared" si="47"/>
        <v>85665.48347008547</v>
      </c>
      <c r="I43" s="307">
        <f t="shared" ref="I43:I48" si="48">H43-G43</f>
        <v>24.457829059829237</v>
      </c>
      <c r="J43" s="459">
        <f t="shared" ref="J43:L48" si="49">J122/1.17</f>
        <v>82564.102564102563</v>
      </c>
      <c r="K43" s="460">
        <f t="shared" si="49"/>
        <v>81623.931623931625</v>
      </c>
      <c r="L43" s="460">
        <f t="shared" si="49"/>
        <v>81761.879196581212</v>
      </c>
      <c r="M43" s="307">
        <f t="shared" ref="M43:M48" si="50">L43-K43</f>
        <v>137.94757264958753</v>
      </c>
      <c r="N43" s="459">
        <f t="shared" ref="N43:P48" si="51">N122/1.17</f>
        <v>79829.059829059828</v>
      </c>
      <c r="O43" s="461">
        <f t="shared" si="51"/>
        <v>80769.23076923078</v>
      </c>
      <c r="P43" s="460">
        <f t="shared" si="51"/>
        <v>81059.842102564115</v>
      </c>
      <c r="Q43" s="307">
        <f t="shared" ref="Q43:Q48" si="52">P43-O43</f>
        <v>290.61133333333419</v>
      </c>
      <c r="R43" s="462">
        <f t="shared" ref="R43:R48" si="53">F43+J43+N43</f>
        <v>248076.92307692306</v>
      </c>
      <c r="S43" s="463"/>
      <c r="T43" s="460">
        <f t="shared" ref="T43:U48" si="54">G43+K43+O43</f>
        <v>248034.18803418803</v>
      </c>
      <c r="U43" s="306">
        <f t="shared" si="54"/>
        <v>248487.2047692308</v>
      </c>
      <c r="V43" s="461">
        <f t="shared" ref="V43:V48" si="55">U43-R43</f>
        <v>410.28169230773346</v>
      </c>
      <c r="W43" s="460"/>
      <c r="X43" s="307">
        <f t="shared" ref="X43:X48" si="56">U43-T43</f>
        <v>453.0167350427655</v>
      </c>
      <c r="Y43" s="459">
        <f t="shared" ref="Y43:AA48" si="57">Y122/1.17</f>
        <v>79606.837606837609</v>
      </c>
      <c r="Z43" s="461">
        <f t="shared" si="57"/>
        <v>80341.880341880344</v>
      </c>
      <c r="AA43" s="460">
        <f t="shared" si="57"/>
        <v>80499.023316239312</v>
      </c>
      <c r="AB43" s="465">
        <f t="shared" ref="AB43:AB48" si="58">AA43-Z43</f>
        <v>157.14297435896879</v>
      </c>
      <c r="AC43" s="459">
        <f t="shared" ref="AC43:AE48" si="59">AC122/1.17</f>
        <v>67051.282051282062</v>
      </c>
      <c r="AD43" s="461">
        <f t="shared" si="59"/>
        <v>66666.666666666672</v>
      </c>
      <c r="AE43" s="460">
        <f t="shared" si="59"/>
        <v>66666.666666666672</v>
      </c>
      <c r="AF43" s="465">
        <f t="shared" ref="AF43:AF48" si="60">AE43-AD43</f>
        <v>0</v>
      </c>
      <c r="AG43" s="459">
        <f t="shared" ref="AG43:AI48" si="61">AG122/1.17</f>
        <v>35085.470085470086</v>
      </c>
      <c r="AH43" s="461">
        <f t="shared" si="61"/>
        <v>35384.61538461539</v>
      </c>
      <c r="AI43" s="460">
        <f t="shared" si="61"/>
        <v>35384.61538461539</v>
      </c>
      <c r="AJ43" s="465">
        <f t="shared" ref="AJ43:AJ48" si="62">AI43-AH43</f>
        <v>0</v>
      </c>
      <c r="AK43" s="462">
        <f t="shared" ref="AK43:AK48" si="63">Y43+AC43+AG43</f>
        <v>181743.58974358978</v>
      </c>
      <c r="AL43" s="463"/>
      <c r="AM43" s="460">
        <f t="shared" ref="AM43:AN48" si="64">Z43+AD43+AH43</f>
        <v>182393.16239316238</v>
      </c>
      <c r="AN43" s="306">
        <f t="shared" si="64"/>
        <v>182550.30536752136</v>
      </c>
      <c r="AO43" s="489">
        <f t="shared" ref="AO43:AO48" si="65">AN43-AK43</f>
        <v>806.71562393158092</v>
      </c>
      <c r="AP43" s="489"/>
      <c r="AQ43" s="307">
        <f t="shared" ref="AQ43:AQ48" si="66">AN43-AM43</f>
        <v>157.14297435898334</v>
      </c>
      <c r="AR43" s="462">
        <f t="shared" ref="AR43:AR48" si="67">SUM(R43,AK43)</f>
        <v>429820.51282051287</v>
      </c>
      <c r="AS43" s="1030"/>
      <c r="AT43" s="1024">
        <f t="shared" ref="AT43:AU48" si="68">T43+AM43</f>
        <v>430427.35042735038</v>
      </c>
      <c r="AU43" s="306">
        <f t="shared" si="68"/>
        <v>431037.51013675216</v>
      </c>
      <c r="AV43" s="303">
        <f t="shared" ref="AV43:AV48" si="69">AU43-AR43</f>
        <v>1216.9973162392853</v>
      </c>
      <c r="AW43" s="303"/>
      <c r="AX43" s="307">
        <f t="shared" ref="AX43:AX48" si="70">AU43-AT43</f>
        <v>610.15970940177795</v>
      </c>
      <c r="AY43" s="457">
        <f>AR43/6</f>
        <v>71636.75213675214</v>
      </c>
      <c r="AZ43" s="458">
        <f>AU43/6</f>
        <v>71839.585022792031</v>
      </c>
      <c r="BA43" s="1424">
        <v>71839.585022792031</v>
      </c>
      <c r="BB43" s="302">
        <f>AZ43-AY43</f>
        <v>202.83288603989058</v>
      </c>
      <c r="BC43" s="302">
        <f>BA43-AY43</f>
        <v>202.83288603989058</v>
      </c>
      <c r="BD43" s="302">
        <f>BA43-AZ43</f>
        <v>0</v>
      </c>
      <c r="BE43" s="302">
        <f>AX43/6</f>
        <v>101.69328490029632</v>
      </c>
    </row>
    <row r="44" spans="1:57" ht="20.100000000000001" customHeight="1">
      <c r="A44" s="775"/>
      <c r="B44" s="767" t="s">
        <v>42</v>
      </c>
      <c r="C44" s="776"/>
      <c r="D44" s="758"/>
      <c r="E44" s="807"/>
      <c r="F44" s="516">
        <f t="shared" si="47"/>
        <v>16564.102564102566</v>
      </c>
      <c r="G44" s="430">
        <f t="shared" si="47"/>
        <v>16564.102564102566</v>
      </c>
      <c r="H44" s="430">
        <f t="shared" si="47"/>
        <v>11901.711111111112</v>
      </c>
      <c r="I44" s="313">
        <f t="shared" si="48"/>
        <v>-4662.3914529914546</v>
      </c>
      <c r="J44" s="516">
        <f t="shared" si="49"/>
        <v>9273.5042735042734</v>
      </c>
      <c r="K44" s="430">
        <f t="shared" si="49"/>
        <v>8205.1282051282051</v>
      </c>
      <c r="L44" s="430">
        <f t="shared" si="49"/>
        <v>11009.617948717951</v>
      </c>
      <c r="M44" s="313">
        <f t="shared" si="50"/>
        <v>2804.4897435897456</v>
      </c>
      <c r="N44" s="516">
        <f t="shared" si="51"/>
        <v>11923.076923076924</v>
      </c>
      <c r="O44" s="430">
        <f t="shared" si="51"/>
        <v>11623.931623931625</v>
      </c>
      <c r="P44" s="430">
        <f t="shared" si="51"/>
        <v>12138.362393162393</v>
      </c>
      <c r="Q44" s="313">
        <f t="shared" si="52"/>
        <v>514.43076923076842</v>
      </c>
      <c r="R44" s="310">
        <f t="shared" si="53"/>
        <v>37760.683760683765</v>
      </c>
      <c r="S44" s="1035"/>
      <c r="T44" s="1036">
        <f t="shared" si="54"/>
        <v>36393.162393162398</v>
      </c>
      <c r="U44" s="311">
        <f t="shared" si="54"/>
        <v>35049.691452991457</v>
      </c>
      <c r="V44" s="430">
        <f t="shared" si="55"/>
        <v>-2710.9923076923078</v>
      </c>
      <c r="W44" s="473"/>
      <c r="X44" s="313">
        <f t="shared" si="56"/>
        <v>-1343.4709401709406</v>
      </c>
      <c r="Y44" s="516">
        <f t="shared" si="57"/>
        <v>10017.094017094018</v>
      </c>
      <c r="Z44" s="430">
        <f t="shared" si="57"/>
        <v>14837.606837606838</v>
      </c>
      <c r="AA44" s="430">
        <f t="shared" si="57"/>
        <v>10831.218803418804</v>
      </c>
      <c r="AB44" s="442">
        <f t="shared" si="58"/>
        <v>-4006.388034188034</v>
      </c>
      <c r="AC44" s="516">
        <f t="shared" si="59"/>
        <v>8905.9829059829062</v>
      </c>
      <c r="AD44" s="430">
        <f t="shared" si="59"/>
        <v>15042.735042735043</v>
      </c>
      <c r="AE44" s="430">
        <f t="shared" si="59"/>
        <v>10256.410256410258</v>
      </c>
      <c r="AF44" s="442">
        <f t="shared" si="60"/>
        <v>-4786.3247863247852</v>
      </c>
      <c r="AG44" s="516">
        <f t="shared" si="61"/>
        <v>8350.4273504273515</v>
      </c>
      <c r="AH44" s="430">
        <f t="shared" si="61"/>
        <v>10256.410256410258</v>
      </c>
      <c r="AI44" s="430">
        <f t="shared" si="61"/>
        <v>4273.5042735042734</v>
      </c>
      <c r="AJ44" s="442">
        <f t="shared" si="62"/>
        <v>-5982.9059829059843</v>
      </c>
      <c r="AK44" s="310">
        <f t="shared" si="63"/>
        <v>27273.504273504273</v>
      </c>
      <c r="AL44" s="1035"/>
      <c r="AM44" s="1036">
        <f t="shared" si="64"/>
        <v>40136.75213675214</v>
      </c>
      <c r="AN44" s="311">
        <f t="shared" si="64"/>
        <v>25361.133333333335</v>
      </c>
      <c r="AO44" s="441">
        <f t="shared" si="65"/>
        <v>-1912.3709401709384</v>
      </c>
      <c r="AP44" s="441"/>
      <c r="AQ44" s="313">
        <f t="shared" si="66"/>
        <v>-14775.618803418805</v>
      </c>
      <c r="AR44" s="314">
        <f t="shared" si="67"/>
        <v>65034.188034188039</v>
      </c>
      <c r="AS44" s="564"/>
      <c r="AT44" s="564">
        <f t="shared" si="68"/>
        <v>76529.914529914531</v>
      </c>
      <c r="AU44" s="311">
        <f t="shared" si="68"/>
        <v>60410.824786324796</v>
      </c>
      <c r="AV44" s="443">
        <f t="shared" si="69"/>
        <v>-4623.3632478632426</v>
      </c>
      <c r="AW44" s="443"/>
      <c r="AX44" s="313">
        <f t="shared" si="70"/>
        <v>-16119.089743589735</v>
      </c>
      <c r="AY44" s="471"/>
      <c r="AZ44" s="472"/>
      <c r="BA44" s="1425"/>
      <c r="BB44" s="337"/>
      <c r="BC44" s="337"/>
      <c r="BD44" s="337"/>
      <c r="BE44" s="337"/>
    </row>
    <row r="45" spans="1:57" ht="20.100000000000001" customHeight="1">
      <c r="A45" s="775"/>
      <c r="B45" s="767" t="s">
        <v>43</v>
      </c>
      <c r="C45" s="776"/>
      <c r="D45" s="758"/>
      <c r="E45" s="807"/>
      <c r="F45" s="516">
        <f t="shared" si="47"/>
        <v>197111.11111111112</v>
      </c>
      <c r="G45" s="430">
        <f t="shared" si="47"/>
        <v>197111.11111111112</v>
      </c>
      <c r="H45" s="430">
        <f t="shared" si="47"/>
        <v>144522.71282051282</v>
      </c>
      <c r="I45" s="313">
        <f t="shared" si="48"/>
        <v>-52588.398290598299</v>
      </c>
      <c r="J45" s="516">
        <f t="shared" si="49"/>
        <v>110384.61538461539</v>
      </c>
      <c r="K45" s="430">
        <f t="shared" si="49"/>
        <v>94358.974358974359</v>
      </c>
      <c r="L45" s="430">
        <f t="shared" si="49"/>
        <v>91777.383333333331</v>
      </c>
      <c r="M45" s="313">
        <f t="shared" si="50"/>
        <v>-2581.591025641028</v>
      </c>
      <c r="N45" s="516">
        <f t="shared" si="51"/>
        <v>141923.07692307694</v>
      </c>
      <c r="O45" s="446">
        <f t="shared" si="51"/>
        <v>133675.21367521369</v>
      </c>
      <c r="P45" s="430">
        <f t="shared" si="51"/>
        <v>127666.48247863249</v>
      </c>
      <c r="Q45" s="313">
        <f t="shared" si="52"/>
        <v>-6008.7311965811969</v>
      </c>
      <c r="R45" s="310">
        <f t="shared" si="53"/>
        <v>449418.80341880344</v>
      </c>
      <c r="S45" s="1035"/>
      <c r="T45" s="1036">
        <f t="shared" si="54"/>
        <v>425145.29914529918</v>
      </c>
      <c r="U45" s="311">
        <f t="shared" si="54"/>
        <v>363966.57863247866</v>
      </c>
      <c r="V45" s="430">
        <f t="shared" si="55"/>
        <v>-85452.224786324776</v>
      </c>
      <c r="W45" s="473"/>
      <c r="X45" s="313">
        <f t="shared" si="56"/>
        <v>-61178.720512820524</v>
      </c>
      <c r="Y45" s="516">
        <f t="shared" si="57"/>
        <v>143829.05982905984</v>
      </c>
      <c r="Z45" s="446">
        <f t="shared" si="57"/>
        <v>170632.47863247865</v>
      </c>
      <c r="AA45" s="430">
        <f t="shared" si="57"/>
        <v>160668.57264957266</v>
      </c>
      <c r="AB45" s="442">
        <f t="shared" si="58"/>
        <v>-9963.9059829059988</v>
      </c>
      <c r="AC45" s="516">
        <f t="shared" si="59"/>
        <v>127846.15384615386</v>
      </c>
      <c r="AD45" s="446">
        <f t="shared" si="59"/>
        <v>172991.452991453</v>
      </c>
      <c r="AE45" s="430">
        <f t="shared" si="59"/>
        <v>117948.71794871795</v>
      </c>
      <c r="AF45" s="442">
        <f t="shared" si="60"/>
        <v>-55042.735042735047</v>
      </c>
      <c r="AG45" s="516">
        <f t="shared" si="61"/>
        <v>119854.70085470086</v>
      </c>
      <c r="AH45" s="446">
        <f t="shared" si="61"/>
        <v>117948.71794871795</v>
      </c>
      <c r="AI45" s="430">
        <f t="shared" si="61"/>
        <v>81196.581196581203</v>
      </c>
      <c r="AJ45" s="442">
        <f t="shared" si="62"/>
        <v>-36752.13675213675</v>
      </c>
      <c r="AK45" s="310">
        <f t="shared" si="63"/>
        <v>391529.91452991456</v>
      </c>
      <c r="AL45" s="1035"/>
      <c r="AM45" s="1036">
        <f t="shared" si="64"/>
        <v>461572.64957264956</v>
      </c>
      <c r="AN45" s="311">
        <f t="shared" si="64"/>
        <v>359813.87179487181</v>
      </c>
      <c r="AO45" s="441">
        <f t="shared" si="65"/>
        <v>-31716.042735042749</v>
      </c>
      <c r="AP45" s="441"/>
      <c r="AQ45" s="313">
        <f t="shared" si="66"/>
        <v>-101758.77777777775</v>
      </c>
      <c r="AR45" s="314">
        <f t="shared" si="67"/>
        <v>840948.717948718</v>
      </c>
      <c r="AS45" s="564"/>
      <c r="AT45" s="564">
        <f t="shared" si="68"/>
        <v>886717.94871794875</v>
      </c>
      <c r="AU45" s="311">
        <f t="shared" si="68"/>
        <v>723780.45042735047</v>
      </c>
      <c r="AV45" s="443">
        <f t="shared" si="69"/>
        <v>-117168.26752136752</v>
      </c>
      <c r="AW45" s="443"/>
      <c r="AX45" s="313">
        <f t="shared" si="70"/>
        <v>-162937.49829059828</v>
      </c>
      <c r="AY45" s="471"/>
      <c r="AZ45" s="472"/>
      <c r="BA45" s="1425"/>
      <c r="BB45" s="337"/>
      <c r="BC45" s="337"/>
      <c r="BD45" s="337"/>
      <c r="BE45" s="337"/>
    </row>
    <row r="46" spans="1:57" ht="20.100000000000001" customHeight="1">
      <c r="A46" s="775"/>
      <c r="B46" s="767" t="s">
        <v>44</v>
      </c>
      <c r="C46" s="776"/>
      <c r="D46" s="770"/>
      <c r="E46" s="776"/>
      <c r="F46" s="518">
        <f t="shared" si="47"/>
        <v>0</v>
      </c>
      <c r="G46" s="430">
        <f t="shared" si="47"/>
        <v>0</v>
      </c>
      <c r="H46" s="430">
        <f t="shared" si="47"/>
        <v>0</v>
      </c>
      <c r="I46" s="313">
        <f t="shared" si="48"/>
        <v>0</v>
      </c>
      <c r="J46" s="518">
        <f t="shared" si="49"/>
        <v>0</v>
      </c>
      <c r="K46" s="430">
        <f t="shared" si="49"/>
        <v>0</v>
      </c>
      <c r="L46" s="430">
        <f t="shared" si="49"/>
        <v>0</v>
      </c>
      <c r="M46" s="313">
        <f t="shared" si="50"/>
        <v>0</v>
      </c>
      <c r="N46" s="518">
        <f t="shared" si="51"/>
        <v>0</v>
      </c>
      <c r="O46" s="430">
        <f t="shared" si="51"/>
        <v>0</v>
      </c>
      <c r="P46" s="430">
        <f t="shared" si="51"/>
        <v>0</v>
      </c>
      <c r="Q46" s="313">
        <f t="shared" si="52"/>
        <v>0</v>
      </c>
      <c r="R46" s="314">
        <f t="shared" si="53"/>
        <v>0</v>
      </c>
      <c r="S46" s="970"/>
      <c r="T46" s="1036">
        <f t="shared" si="54"/>
        <v>0</v>
      </c>
      <c r="U46" s="311">
        <f t="shared" si="54"/>
        <v>0</v>
      </c>
      <c r="V46" s="430">
        <f t="shared" si="55"/>
        <v>0</v>
      </c>
      <c r="W46" s="473"/>
      <c r="X46" s="313">
        <f t="shared" si="56"/>
        <v>0</v>
      </c>
      <c r="Y46" s="518">
        <f t="shared" si="57"/>
        <v>0</v>
      </c>
      <c r="Z46" s="430">
        <f t="shared" si="57"/>
        <v>0</v>
      </c>
      <c r="AA46" s="430">
        <f t="shared" si="57"/>
        <v>0</v>
      </c>
      <c r="AB46" s="442">
        <f t="shared" si="58"/>
        <v>0</v>
      </c>
      <c r="AC46" s="518">
        <f t="shared" si="59"/>
        <v>0</v>
      </c>
      <c r="AD46" s="430">
        <f t="shared" si="59"/>
        <v>0</v>
      </c>
      <c r="AE46" s="430">
        <f t="shared" si="59"/>
        <v>0</v>
      </c>
      <c r="AF46" s="442">
        <f t="shared" si="60"/>
        <v>0</v>
      </c>
      <c r="AG46" s="518">
        <f t="shared" si="61"/>
        <v>0</v>
      </c>
      <c r="AH46" s="430">
        <f t="shared" si="61"/>
        <v>0</v>
      </c>
      <c r="AI46" s="430">
        <f t="shared" si="61"/>
        <v>0</v>
      </c>
      <c r="AJ46" s="442">
        <f t="shared" si="62"/>
        <v>0</v>
      </c>
      <c r="AK46" s="314">
        <f t="shared" si="63"/>
        <v>0</v>
      </c>
      <c r="AL46" s="970"/>
      <c r="AM46" s="1036">
        <f t="shared" si="64"/>
        <v>0</v>
      </c>
      <c r="AN46" s="311">
        <f t="shared" si="64"/>
        <v>0</v>
      </c>
      <c r="AO46" s="441">
        <f t="shared" si="65"/>
        <v>0</v>
      </c>
      <c r="AP46" s="441"/>
      <c r="AQ46" s="313">
        <f t="shared" si="66"/>
        <v>0</v>
      </c>
      <c r="AR46" s="314">
        <f t="shared" si="67"/>
        <v>0</v>
      </c>
      <c r="AS46" s="564"/>
      <c r="AT46" s="564">
        <f t="shared" si="68"/>
        <v>0</v>
      </c>
      <c r="AU46" s="311">
        <f t="shared" si="68"/>
        <v>0</v>
      </c>
      <c r="AV46" s="443">
        <f t="shared" si="69"/>
        <v>0</v>
      </c>
      <c r="AW46" s="443"/>
      <c r="AX46" s="313">
        <f t="shared" si="70"/>
        <v>0</v>
      </c>
      <c r="AY46" s="471"/>
      <c r="AZ46" s="472"/>
      <c r="BA46" s="1425"/>
      <c r="BB46" s="337"/>
      <c r="BC46" s="337"/>
      <c r="BD46" s="337"/>
      <c r="BE46" s="337"/>
    </row>
    <row r="47" spans="1:57" ht="20.100000000000001" customHeight="1">
      <c r="A47" s="775"/>
      <c r="B47" s="761"/>
      <c r="C47" s="767" t="s">
        <v>189</v>
      </c>
      <c r="D47" s="777"/>
      <c r="E47" s="1500"/>
      <c r="F47" s="519">
        <f t="shared" si="47"/>
        <v>9068.3760683760684</v>
      </c>
      <c r="G47" s="490">
        <f t="shared" si="47"/>
        <v>9068.3760683760684</v>
      </c>
      <c r="H47" s="490">
        <f t="shared" si="47"/>
        <v>9732.3427350427355</v>
      </c>
      <c r="I47" s="503">
        <f t="shared" si="48"/>
        <v>663.96666666666715</v>
      </c>
      <c r="J47" s="519">
        <f t="shared" si="49"/>
        <v>5076.9230769230771</v>
      </c>
      <c r="K47" s="490">
        <f t="shared" si="49"/>
        <v>4316.2393162393164</v>
      </c>
      <c r="L47" s="490">
        <f t="shared" si="49"/>
        <v>9721.8888888888905</v>
      </c>
      <c r="M47" s="503">
        <f t="shared" si="50"/>
        <v>5405.6495726495741</v>
      </c>
      <c r="N47" s="519">
        <f t="shared" si="51"/>
        <v>6521.3675213675215</v>
      </c>
      <c r="O47" s="490">
        <f t="shared" si="51"/>
        <v>6162.393162393163</v>
      </c>
      <c r="P47" s="490">
        <f t="shared" si="51"/>
        <v>8781.6017094017097</v>
      </c>
      <c r="Q47" s="503">
        <f t="shared" si="52"/>
        <v>2619.2085470085467</v>
      </c>
      <c r="R47" s="491">
        <f t="shared" si="53"/>
        <v>20666.666666666664</v>
      </c>
      <c r="S47" s="970"/>
      <c r="T47" s="443">
        <f t="shared" si="54"/>
        <v>19547.008547008547</v>
      </c>
      <c r="U47" s="315">
        <f t="shared" si="54"/>
        <v>28235.833333333336</v>
      </c>
      <c r="V47" s="430">
        <f t="shared" si="55"/>
        <v>7569.1666666666715</v>
      </c>
      <c r="W47" s="473"/>
      <c r="X47" s="313">
        <f t="shared" si="56"/>
        <v>8688.8247863247889</v>
      </c>
      <c r="Y47" s="519">
        <f t="shared" si="57"/>
        <v>5392.3076923076924</v>
      </c>
      <c r="Z47" s="490">
        <f t="shared" si="57"/>
        <v>7692.3076923076924</v>
      </c>
      <c r="AA47" s="490">
        <f t="shared" si="57"/>
        <v>7465.9145299145312</v>
      </c>
      <c r="AB47" s="503">
        <f t="shared" si="58"/>
        <v>-226.39316239316122</v>
      </c>
      <c r="AC47" s="519">
        <f t="shared" si="59"/>
        <v>5392.3076923076924</v>
      </c>
      <c r="AD47" s="490">
        <f t="shared" si="59"/>
        <v>7692.3076923076924</v>
      </c>
      <c r="AE47" s="490">
        <f t="shared" si="59"/>
        <v>5521.3675213675215</v>
      </c>
      <c r="AF47" s="503">
        <f t="shared" si="60"/>
        <v>-2170.9401709401709</v>
      </c>
      <c r="AG47" s="519">
        <f t="shared" si="61"/>
        <v>5392.3076923076924</v>
      </c>
      <c r="AH47" s="490">
        <f t="shared" si="61"/>
        <v>5521.3675213675215</v>
      </c>
      <c r="AI47" s="490">
        <f t="shared" si="61"/>
        <v>0</v>
      </c>
      <c r="AJ47" s="503">
        <f t="shared" si="62"/>
        <v>-5521.3675213675215</v>
      </c>
      <c r="AK47" s="491">
        <f t="shared" si="63"/>
        <v>16176.923076923078</v>
      </c>
      <c r="AL47" s="970"/>
      <c r="AM47" s="1036">
        <f t="shared" si="64"/>
        <v>20905.982905982906</v>
      </c>
      <c r="AN47" s="315">
        <f t="shared" si="64"/>
        <v>12987.282051282053</v>
      </c>
      <c r="AO47" s="441">
        <f t="shared" si="65"/>
        <v>-3189.6410256410254</v>
      </c>
      <c r="AP47" s="441"/>
      <c r="AQ47" s="313">
        <f t="shared" si="66"/>
        <v>-7918.7008547008536</v>
      </c>
      <c r="AR47" s="314">
        <f t="shared" si="67"/>
        <v>36843.589743589742</v>
      </c>
      <c r="AS47" s="354"/>
      <c r="AT47" s="1025">
        <f t="shared" si="68"/>
        <v>40452.991452991453</v>
      </c>
      <c r="AU47" s="315">
        <f t="shared" si="68"/>
        <v>41223.11538461539</v>
      </c>
      <c r="AV47" s="502">
        <f t="shared" si="69"/>
        <v>4379.5256410256479</v>
      </c>
      <c r="AW47" s="517"/>
      <c r="AX47" s="503">
        <f t="shared" si="70"/>
        <v>770.1239316239371</v>
      </c>
      <c r="AY47" s="471"/>
      <c r="AZ47" s="472"/>
      <c r="BA47" s="1425"/>
      <c r="BB47" s="337"/>
      <c r="BC47" s="337"/>
      <c r="BD47" s="337"/>
      <c r="BE47" s="337"/>
    </row>
    <row r="48" spans="1:57" ht="20.100000000000001" customHeight="1">
      <c r="A48" s="775"/>
      <c r="B48" s="761"/>
      <c r="C48" s="767" t="s">
        <v>205</v>
      </c>
      <c r="D48" s="777"/>
      <c r="E48" s="1500"/>
      <c r="F48" s="519">
        <f t="shared" si="47"/>
        <v>188051.28205128206</v>
      </c>
      <c r="G48" s="490">
        <f t="shared" si="47"/>
        <v>188051.28205128206</v>
      </c>
      <c r="H48" s="490">
        <f t="shared" si="47"/>
        <v>134002.53675213674</v>
      </c>
      <c r="I48" s="442">
        <f t="shared" si="48"/>
        <v>-54048.745299145317</v>
      </c>
      <c r="J48" s="519">
        <f t="shared" si="49"/>
        <v>105307.69230769231</v>
      </c>
      <c r="K48" s="490">
        <f t="shared" si="49"/>
        <v>89512.820512820515</v>
      </c>
      <c r="L48" s="490">
        <f t="shared" si="49"/>
        <v>82644.812820512816</v>
      </c>
      <c r="M48" s="442">
        <f t="shared" si="50"/>
        <v>-6868.0076923076995</v>
      </c>
      <c r="N48" s="519">
        <f t="shared" si="51"/>
        <v>135393.16239316241</v>
      </c>
      <c r="O48" s="490">
        <f t="shared" si="51"/>
        <v>127871.79487179487</v>
      </c>
      <c r="P48" s="490">
        <f t="shared" si="51"/>
        <v>117627.6829059829</v>
      </c>
      <c r="Q48" s="503">
        <f t="shared" si="52"/>
        <v>-10244.111965811971</v>
      </c>
      <c r="R48" s="491">
        <f t="shared" si="53"/>
        <v>428752.13675213675</v>
      </c>
      <c r="S48" s="1035"/>
      <c r="T48" s="445">
        <f t="shared" si="54"/>
        <v>405435.89743589744</v>
      </c>
      <c r="U48" s="355">
        <f t="shared" si="54"/>
        <v>334275.03247863246</v>
      </c>
      <c r="V48" s="430">
        <f t="shared" si="55"/>
        <v>-94477.104273504287</v>
      </c>
      <c r="W48" s="473"/>
      <c r="X48" s="442">
        <f t="shared" si="56"/>
        <v>-71160.864957264974</v>
      </c>
      <c r="Y48" s="519">
        <f t="shared" si="57"/>
        <v>135299.14529914531</v>
      </c>
      <c r="Z48" s="490">
        <f t="shared" si="57"/>
        <v>160683.76068376069</v>
      </c>
      <c r="AA48" s="490">
        <f t="shared" si="57"/>
        <v>152900.76153846155</v>
      </c>
      <c r="AB48" s="503">
        <f t="shared" si="58"/>
        <v>-7782.999145299138</v>
      </c>
      <c r="AC48" s="519">
        <f t="shared" si="59"/>
        <v>127299.14529914531</v>
      </c>
      <c r="AD48" s="490">
        <f t="shared" si="59"/>
        <v>162393.16239316241</v>
      </c>
      <c r="AE48" s="490">
        <f t="shared" si="59"/>
        <v>112752.13675213676</v>
      </c>
      <c r="AF48" s="503">
        <f t="shared" si="60"/>
        <v>-49641.025641025641</v>
      </c>
      <c r="AG48" s="519">
        <f t="shared" si="61"/>
        <v>112752.13675213676</v>
      </c>
      <c r="AH48" s="490">
        <f t="shared" si="61"/>
        <v>112752.13675213676</v>
      </c>
      <c r="AI48" s="490">
        <f t="shared" si="61"/>
        <v>81196.581196581203</v>
      </c>
      <c r="AJ48" s="503">
        <f t="shared" si="62"/>
        <v>-31555.555555555562</v>
      </c>
      <c r="AK48" s="491">
        <f t="shared" si="63"/>
        <v>375350.42735042737</v>
      </c>
      <c r="AL48" s="970"/>
      <c r="AM48" s="1036">
        <f t="shared" si="64"/>
        <v>435829.05982905987</v>
      </c>
      <c r="AN48" s="355">
        <f t="shared" si="64"/>
        <v>346849.47948717949</v>
      </c>
      <c r="AO48" s="430">
        <f t="shared" si="65"/>
        <v>-28500.947863247886</v>
      </c>
      <c r="AP48" s="508"/>
      <c r="AQ48" s="509">
        <f t="shared" si="66"/>
        <v>-88979.580341880384</v>
      </c>
      <c r="AR48" s="314">
        <f t="shared" si="67"/>
        <v>804102.56410256412</v>
      </c>
      <c r="AS48" s="354"/>
      <c r="AT48" s="1025">
        <f t="shared" si="68"/>
        <v>841264.95726495725</v>
      </c>
      <c r="AU48" s="315">
        <f t="shared" si="68"/>
        <v>681124.51196581195</v>
      </c>
      <c r="AV48" s="502">
        <f t="shared" si="69"/>
        <v>-122978.05213675217</v>
      </c>
      <c r="AW48" s="517"/>
      <c r="AX48" s="503">
        <f t="shared" si="70"/>
        <v>-160140.4452991453</v>
      </c>
      <c r="AY48" s="471"/>
      <c r="AZ48" s="472"/>
      <c r="BA48" s="1425"/>
      <c r="BB48" s="337"/>
      <c r="BC48" s="337"/>
      <c r="BD48" s="337"/>
      <c r="BE48" s="337"/>
    </row>
    <row r="49" spans="1:57" ht="20.100000000000001" customHeight="1">
      <c r="A49" s="775"/>
      <c r="B49" s="761"/>
      <c r="C49" s="761"/>
      <c r="D49" s="777"/>
      <c r="E49" s="1500"/>
      <c r="F49" s="429"/>
      <c r="G49" s="490"/>
      <c r="H49" s="490"/>
      <c r="I49" s="300">
        <f>H50/G50</f>
        <v>0.73206630400000006</v>
      </c>
      <c r="J49" s="429"/>
      <c r="K49" s="490"/>
      <c r="L49" s="490"/>
      <c r="M49" s="300">
        <f>L50/K50</f>
        <v>1.0021732624999999</v>
      </c>
      <c r="N49" s="429"/>
      <c r="O49" s="490"/>
      <c r="P49" s="490"/>
      <c r="Q49" s="339">
        <f>P50/O50</f>
        <v>0.96218628529411776</v>
      </c>
      <c r="R49" s="491"/>
      <c r="S49" s="970"/>
      <c r="T49" s="970"/>
      <c r="U49" s="338"/>
      <c r="V49" s="349">
        <f>U50/R50</f>
        <v>0.81903339649122808</v>
      </c>
      <c r="W49" s="350"/>
      <c r="X49" s="300">
        <f>U50/T50</f>
        <v>0.86453525185185198</v>
      </c>
      <c r="Y49" s="429"/>
      <c r="Z49" s="490"/>
      <c r="AA49" s="490"/>
      <c r="AB49" s="520">
        <f>AA50/Z50</f>
        <v>0.92467629493087578</v>
      </c>
      <c r="AC49" s="429"/>
      <c r="AD49" s="490"/>
      <c r="AE49" s="490"/>
      <c r="AF49" s="492">
        <f>AE50/AD50</f>
        <v>0.68181818181818188</v>
      </c>
      <c r="AG49" s="429"/>
      <c r="AH49" s="490"/>
      <c r="AI49" s="490"/>
      <c r="AJ49" s="492">
        <f>AI50/AH50</f>
        <v>0.66666666666666663</v>
      </c>
      <c r="AK49" s="491"/>
      <c r="AL49" s="970"/>
      <c r="AM49" s="970"/>
      <c r="AN49" s="338"/>
      <c r="AO49" s="352">
        <f>AN50/AK50</f>
        <v>0.91970358367346938</v>
      </c>
      <c r="AP49" s="352"/>
      <c r="AQ49" s="324">
        <f>AN50/AM50</f>
        <v>0.76772530834752983</v>
      </c>
      <c r="AR49" s="344"/>
      <c r="AS49" s="574"/>
      <c r="AT49" s="574"/>
      <c r="AU49" s="355"/>
      <c r="AV49" s="350">
        <f>AU50/AR50</f>
        <v>0.86556961509433961</v>
      </c>
      <c r="AW49" s="350"/>
      <c r="AX49" s="324">
        <f>AU50/AT50</f>
        <v>0.81411161668145537</v>
      </c>
      <c r="AY49" s="471"/>
      <c r="AZ49" s="472"/>
      <c r="BA49" s="1425"/>
      <c r="BB49" s="337"/>
      <c r="BC49" s="337"/>
      <c r="BD49" s="337"/>
      <c r="BE49" s="337"/>
    </row>
    <row r="50" spans="1:57" ht="20.100000000000001" customHeight="1">
      <c r="A50" s="747" t="s">
        <v>206</v>
      </c>
      <c r="B50" s="748"/>
      <c r="C50" s="759"/>
      <c r="D50" s="753"/>
      <c r="E50" s="759"/>
      <c r="F50" s="459">
        <f>F129/1.17</f>
        <v>213675.21367521369</v>
      </c>
      <c r="G50" s="461">
        <f>G129/1.17</f>
        <v>213675.21367521369</v>
      </c>
      <c r="H50" s="461">
        <f>H129/1.17</f>
        <v>156424.42393162395</v>
      </c>
      <c r="I50" s="307">
        <f>H50-G50</f>
        <v>-57250.789743589732</v>
      </c>
      <c r="J50" s="459">
        <f>J129/1.17</f>
        <v>119658.11965811967</v>
      </c>
      <c r="K50" s="461">
        <f>K129/1.17</f>
        <v>102564.10256410258</v>
      </c>
      <c r="L50" s="461">
        <f>L129/1.17</f>
        <v>102787.00128205128</v>
      </c>
      <c r="M50" s="307">
        <f>L50-K50</f>
        <v>222.89871794870123</v>
      </c>
      <c r="N50" s="459">
        <f>N129/1.17</f>
        <v>153846.15384615384</v>
      </c>
      <c r="O50" s="461">
        <f>O129/1.17</f>
        <v>145299.14529914531</v>
      </c>
      <c r="P50" s="461">
        <f>P129/1.17</f>
        <v>139804.84487179489</v>
      </c>
      <c r="Q50" s="307">
        <f>P50-O50</f>
        <v>-5494.3004273504193</v>
      </c>
      <c r="R50" s="462">
        <f>F50+J50+N50</f>
        <v>487179.48717948725</v>
      </c>
      <c r="S50" s="463"/>
      <c r="T50" s="460">
        <f t="shared" ref="T50:U53" si="71">G50+K50+O50</f>
        <v>461538.46153846156</v>
      </c>
      <c r="U50" s="306">
        <f t="shared" si="71"/>
        <v>399016.27008547017</v>
      </c>
      <c r="V50" s="461">
        <f>U50-R50</f>
        <v>-88163.217094017076</v>
      </c>
      <c r="W50" s="460"/>
      <c r="X50" s="307">
        <f>U50-T50</f>
        <v>-62522.191452991392</v>
      </c>
      <c r="Y50" s="459">
        <f>Y129/1.17</f>
        <v>153846.15384615384</v>
      </c>
      <c r="Z50" s="461">
        <f>Z129/1.17</f>
        <v>185470.08547008547</v>
      </c>
      <c r="AA50" s="461">
        <f>AA129/1.17</f>
        <v>171499.79145299149</v>
      </c>
      <c r="AB50" s="465">
        <f>AA50-Z50</f>
        <v>-13970.294017093984</v>
      </c>
      <c r="AC50" s="459">
        <f>AC129/1.17</f>
        <v>136752.13675213675</v>
      </c>
      <c r="AD50" s="461">
        <f>AD129/1.17</f>
        <v>188034.18803418803</v>
      </c>
      <c r="AE50" s="461">
        <f>AE129/1.17</f>
        <v>128205.12820512822</v>
      </c>
      <c r="AF50" s="465">
        <f>AE50-AD50</f>
        <v>-59829.059829059814</v>
      </c>
      <c r="AG50" s="459">
        <f>AG129/1.17</f>
        <v>128205.12820512822</v>
      </c>
      <c r="AH50" s="461">
        <f>AH129/1.17</f>
        <v>128205.12820512822</v>
      </c>
      <c r="AI50" s="461">
        <f>AI129/1.17</f>
        <v>85470.085470085469</v>
      </c>
      <c r="AJ50" s="465">
        <f>AI50-AH50</f>
        <v>-42735.042735042749</v>
      </c>
      <c r="AK50" s="462">
        <f>Y50+AC50+AG50</f>
        <v>418803.41880341887</v>
      </c>
      <c r="AL50" s="463"/>
      <c r="AM50" s="460">
        <f t="shared" ref="AM50:AN53" si="72">Z50+AD50+AH50</f>
        <v>501709.40170940175</v>
      </c>
      <c r="AN50" s="306">
        <f t="shared" si="72"/>
        <v>385175.00512820517</v>
      </c>
      <c r="AO50" s="489">
        <f>AN50-AK50</f>
        <v>-33628.413675213698</v>
      </c>
      <c r="AP50" s="489"/>
      <c r="AQ50" s="307">
        <f>AN50-AM50</f>
        <v>-116534.39658119658</v>
      </c>
      <c r="AR50" s="462">
        <f>SUM(R50,AK50)</f>
        <v>905982.90598290612</v>
      </c>
      <c r="AS50" s="1030"/>
      <c r="AT50" s="1024">
        <f t="shared" ref="AT50:AU53" si="73">T50+AM50</f>
        <v>963247.86324786325</v>
      </c>
      <c r="AU50" s="306">
        <f t="shared" si="73"/>
        <v>784191.27521367534</v>
      </c>
      <c r="AV50" s="303">
        <f>AU50-AR50</f>
        <v>-121791.63076923077</v>
      </c>
      <c r="AW50" s="303"/>
      <c r="AX50" s="307">
        <f>AU50-AT50</f>
        <v>-179056.58803418791</v>
      </c>
      <c r="AY50" s="457">
        <f>AR50/6</f>
        <v>150997.15099715101</v>
      </c>
      <c r="AZ50" s="458">
        <f>AU50/6</f>
        <v>130698.54586894589</v>
      </c>
      <c r="BA50" s="1424">
        <v>130698.54586894589</v>
      </c>
      <c r="BB50" s="302">
        <f>AZ50-AY50</f>
        <v>-20298.605128205119</v>
      </c>
      <c r="BC50" s="302">
        <f>BA50-AY50</f>
        <v>-20298.605128205119</v>
      </c>
      <c r="BD50" s="302">
        <f>BA50-AZ50</f>
        <v>0</v>
      </c>
      <c r="BE50" s="302">
        <f>AX50/6</f>
        <v>-29842.76467236465</v>
      </c>
    </row>
    <row r="51" spans="1:57" ht="20.100000000000001" customHeight="1">
      <c r="A51" s="775"/>
      <c r="B51" s="778"/>
      <c r="C51" s="757" t="s">
        <v>192</v>
      </c>
      <c r="D51" s="758"/>
      <c r="E51" s="807"/>
      <c r="F51" s="440">
        <f>F132/1.17</f>
        <v>47961.538461538461</v>
      </c>
      <c r="G51" s="430">
        <f>G132/1.17</f>
        <v>47863.247863247867</v>
      </c>
      <c r="H51" s="430">
        <f>H132/1.17</f>
        <v>49031.730769230773</v>
      </c>
      <c r="I51" s="313">
        <f>H51-G51</f>
        <v>1168.4829059829062</v>
      </c>
      <c r="J51" s="440">
        <f>J132/1.17</f>
        <v>47961.538461538461</v>
      </c>
      <c r="K51" s="430">
        <f>K132/1.17</f>
        <v>43589.743589743593</v>
      </c>
      <c r="L51" s="430">
        <f>L132/1.17</f>
        <v>39698.56366</v>
      </c>
      <c r="M51" s="313">
        <f>L51-K51</f>
        <v>-3891.1799297435937</v>
      </c>
      <c r="N51" s="440">
        <f>N132/1.17</f>
        <v>47961.538461538461</v>
      </c>
      <c r="O51" s="430">
        <f>O132/1.17</f>
        <v>39316.23931623932</v>
      </c>
      <c r="P51" s="430">
        <f>P132/1.17</f>
        <v>39431.300800000005</v>
      </c>
      <c r="Q51" s="313">
        <f>P51-O51</f>
        <v>115.0614837606845</v>
      </c>
      <c r="R51" s="314">
        <f>F51+J51+N51</f>
        <v>143884.61538461538</v>
      </c>
      <c r="S51" s="970"/>
      <c r="T51" s="1036">
        <f t="shared" si="71"/>
        <v>130769.23076923078</v>
      </c>
      <c r="U51" s="315">
        <f t="shared" si="71"/>
        <v>128161.59522923076</v>
      </c>
      <c r="V51" s="430">
        <f>U51-R51</f>
        <v>-15723.020155384613</v>
      </c>
      <c r="W51" s="473"/>
      <c r="X51" s="313">
        <f>U51-T51</f>
        <v>-2607.6355400000175</v>
      </c>
      <c r="Y51" s="440">
        <f>Y132/1.17</f>
        <v>48141.025641025641</v>
      </c>
      <c r="Z51" s="430">
        <f>Z132/1.17</f>
        <v>41880.341880341883</v>
      </c>
      <c r="AA51" s="430">
        <f>AA132/1.17</f>
        <v>33231.50776</v>
      </c>
      <c r="AB51" s="442">
        <f>AA51-Z51</f>
        <v>-8648.8341203418822</v>
      </c>
      <c r="AC51" s="440">
        <f>AC132/1.17</f>
        <v>48141.025641025641</v>
      </c>
      <c r="AD51" s="430">
        <f>AD132/1.17</f>
        <v>41452.991452991453</v>
      </c>
      <c r="AE51" s="430">
        <f>AE132/1.17</f>
        <v>36752.136752136757</v>
      </c>
      <c r="AF51" s="442">
        <f>AE51-AD51</f>
        <v>-4700.8547008546957</v>
      </c>
      <c r="AG51" s="440">
        <f>AG132/1.17</f>
        <v>48141.025641025641</v>
      </c>
      <c r="AH51" s="430">
        <f>AH132/1.17</f>
        <v>39316.23931623932</v>
      </c>
      <c r="AI51" s="430">
        <f>AI132/1.17</f>
        <v>33333.333333333336</v>
      </c>
      <c r="AJ51" s="442">
        <f>AI51-AH51</f>
        <v>-5982.9059829059843</v>
      </c>
      <c r="AK51" s="314">
        <f>Y51+AC51+AG51</f>
        <v>144423.07692307694</v>
      </c>
      <c r="AL51" s="970"/>
      <c r="AM51" s="1036">
        <f t="shared" si="72"/>
        <v>122649.57264957266</v>
      </c>
      <c r="AN51" s="315">
        <f t="shared" si="72"/>
        <v>103316.9778454701</v>
      </c>
      <c r="AO51" s="441">
        <f>AN51-AK51</f>
        <v>-41106.099077606836</v>
      </c>
      <c r="AP51" s="441"/>
      <c r="AQ51" s="313">
        <f>AN51-AM51</f>
        <v>-19332.594804102555</v>
      </c>
      <c r="AR51" s="314">
        <f>SUM(R51,AK51)</f>
        <v>288307.69230769231</v>
      </c>
      <c r="AS51" s="354"/>
      <c r="AT51" s="1025">
        <f t="shared" si="73"/>
        <v>253418.80341880344</v>
      </c>
      <c r="AU51" s="315">
        <f t="shared" si="73"/>
        <v>231478.57307470086</v>
      </c>
      <c r="AV51" s="443">
        <f>AU51-AR51</f>
        <v>-56829.119232991448</v>
      </c>
      <c r="AW51" s="443"/>
      <c r="AX51" s="313">
        <f>AU51-AT51</f>
        <v>-21940.230344102572</v>
      </c>
      <c r="AY51" s="471"/>
      <c r="AZ51" s="472"/>
      <c r="BA51" s="1425"/>
    </row>
    <row r="52" spans="1:57" ht="20.100000000000001" customHeight="1">
      <c r="A52" s="775"/>
      <c r="B52" s="778"/>
      <c r="C52" s="767" t="s">
        <v>193</v>
      </c>
      <c r="D52" s="770"/>
      <c r="E52" s="776"/>
      <c r="F52" s="440">
        <f t="shared" ref="F52:G52" si="74">F135/1.17</f>
        <v>83076.923076923078</v>
      </c>
      <c r="G52" s="430">
        <f t="shared" si="74"/>
        <v>74358.974358974359</v>
      </c>
      <c r="H52" s="840">
        <v>73641.266000000003</v>
      </c>
      <c r="I52" s="313">
        <f>H52-G52</f>
        <v>-717.70835897435609</v>
      </c>
      <c r="J52" s="440">
        <f>J135/1.17</f>
        <v>83076.923076923078</v>
      </c>
      <c r="K52" s="430">
        <f>K135/1.17</f>
        <v>87179.487179487187</v>
      </c>
      <c r="L52" s="430">
        <f>L135/1.17</f>
        <v>79699.341859743596</v>
      </c>
      <c r="M52" s="313">
        <f>L52-K52</f>
        <v>-7480.1453197435912</v>
      </c>
      <c r="N52" s="440">
        <f>N135/1.17</f>
        <v>83076.923076923078</v>
      </c>
      <c r="O52" s="430">
        <f>O135/1.17</f>
        <v>78632.47863247864</v>
      </c>
      <c r="P52" s="840">
        <v>61711</v>
      </c>
      <c r="Q52" s="313">
        <f>P52-O52</f>
        <v>-16921.47863247864</v>
      </c>
      <c r="R52" s="310">
        <f>F52+J52+N52</f>
        <v>249230.76923076925</v>
      </c>
      <c r="S52" s="1035"/>
      <c r="T52" s="1036">
        <f t="shared" si="71"/>
        <v>240170.94017094019</v>
      </c>
      <c r="U52" s="311">
        <f t="shared" si="71"/>
        <v>215051.60785974358</v>
      </c>
      <c r="V52" s="446">
        <f>U52-R52</f>
        <v>-34179.161371025664</v>
      </c>
      <c r="W52" s="466"/>
      <c r="X52" s="291">
        <f>U52-T52</f>
        <v>-25119.332311196602</v>
      </c>
      <c r="Y52" s="440">
        <f>Y135/1.17</f>
        <v>90598.290598290609</v>
      </c>
      <c r="Z52" s="430">
        <f>Z135/1.17</f>
        <v>85897.435897435906</v>
      </c>
      <c r="AA52" s="430">
        <f>AA135/1.17</f>
        <v>112241.34977</v>
      </c>
      <c r="AB52" s="442">
        <f>AA52-Z52</f>
        <v>26343.913872564095</v>
      </c>
      <c r="AC52" s="440">
        <f>AC135/1.17</f>
        <v>90598.290598290609</v>
      </c>
      <c r="AD52" s="430">
        <f>AD135/1.17</f>
        <v>115384.61538461539</v>
      </c>
      <c r="AE52" s="430">
        <f>AE135/1.17</f>
        <v>75213.675213675218</v>
      </c>
      <c r="AF52" s="442">
        <f>AE52-AD52</f>
        <v>-40170.940170940172</v>
      </c>
      <c r="AG52" s="440">
        <f>AG135/1.17</f>
        <v>90598.290598290609</v>
      </c>
      <c r="AH52" s="430">
        <f>AH135/1.17</f>
        <v>79059.829059829062</v>
      </c>
      <c r="AI52" s="430">
        <f>AI135/1.17</f>
        <v>47008.547008547008</v>
      </c>
      <c r="AJ52" s="442">
        <f>AI52-AH52</f>
        <v>-32051.282051282054</v>
      </c>
      <c r="AK52" s="310">
        <f>Y52+AC52+AG52</f>
        <v>271794.87179487181</v>
      </c>
      <c r="AL52" s="1035"/>
      <c r="AM52" s="1036">
        <f t="shared" si="72"/>
        <v>280341.88034188037</v>
      </c>
      <c r="AN52" s="311">
        <f t="shared" si="72"/>
        <v>234463.57199222222</v>
      </c>
      <c r="AO52" s="470">
        <f>AN52-AK52</f>
        <v>-37331.299802649592</v>
      </c>
      <c r="AP52" s="470"/>
      <c r="AQ52" s="291">
        <f>AN52-AM52</f>
        <v>-45878.308349658153</v>
      </c>
      <c r="AR52" s="340">
        <f>SUM(R52,AK52)</f>
        <v>521025.64102564106</v>
      </c>
      <c r="AS52" s="1037"/>
      <c r="AT52" s="1037">
        <f t="shared" si="73"/>
        <v>520512.82051282056</v>
      </c>
      <c r="AU52" s="341">
        <f t="shared" si="73"/>
        <v>449515.1798519658</v>
      </c>
      <c r="AV52" s="342">
        <f>AU52-AR52</f>
        <v>-71510.461173675256</v>
      </c>
      <c r="AW52" s="342"/>
      <c r="AX52" s="343">
        <f>AU52-AT52</f>
        <v>-70997.640660854755</v>
      </c>
      <c r="AY52" s="471"/>
      <c r="AZ52" s="472"/>
      <c r="BA52" s="1425"/>
    </row>
    <row r="53" spans="1:57" ht="20.100000000000001" customHeight="1">
      <c r="A53" s="775"/>
      <c r="B53" s="778"/>
      <c r="C53" s="767" t="s">
        <v>194</v>
      </c>
      <c r="D53" s="770"/>
      <c r="E53" s="776"/>
      <c r="F53" s="440">
        <f>F137/1.17</f>
        <v>0</v>
      </c>
      <c r="G53" s="430">
        <f>G137/1.17</f>
        <v>3632.4786324786328</v>
      </c>
      <c r="H53" s="430">
        <f>H137/1.17</f>
        <v>4028.7822393162396</v>
      </c>
      <c r="I53" s="313">
        <f>H53-G53</f>
        <v>396.30360683760682</v>
      </c>
      <c r="J53" s="440">
        <f>J137/1.17</f>
        <v>0</v>
      </c>
      <c r="K53" s="430">
        <f>K137/1.17</f>
        <v>9957.264957264957</v>
      </c>
      <c r="L53" s="430">
        <f>L137/1.17</f>
        <v>4849.3196600000001</v>
      </c>
      <c r="M53" s="313">
        <f>L53-K53</f>
        <v>-5107.9452972649569</v>
      </c>
      <c r="N53" s="440">
        <f>N137/1.17</f>
        <v>0</v>
      </c>
      <c r="O53" s="430">
        <f>O137/1.17</f>
        <v>13076.923076923078</v>
      </c>
      <c r="P53" s="430">
        <f>P137/1.17</f>
        <v>366.23931623931628</v>
      </c>
      <c r="Q53" s="313">
        <f>P53-O53</f>
        <v>-12710.683760683762</v>
      </c>
      <c r="R53" s="310">
        <f>F53+J53+N53</f>
        <v>0</v>
      </c>
      <c r="S53" s="1035"/>
      <c r="T53" s="1036">
        <f t="shared" si="71"/>
        <v>26666.666666666668</v>
      </c>
      <c r="U53" s="311">
        <f t="shared" si="71"/>
        <v>9244.3412155555561</v>
      </c>
      <c r="V53" s="446">
        <f>U53-R53</f>
        <v>9244.3412155555561</v>
      </c>
      <c r="W53" s="466"/>
      <c r="X53" s="291">
        <f>U53-T53</f>
        <v>-17422.325451111112</v>
      </c>
      <c r="Y53" s="440">
        <f>Y137/1.17</f>
        <v>0</v>
      </c>
      <c r="Z53" s="430">
        <f>Z137/1.17</f>
        <v>5324.7863247863252</v>
      </c>
      <c r="AA53" s="430">
        <f>AA137/1.17</f>
        <v>12199.74359</v>
      </c>
      <c r="AB53" s="442">
        <f>AA53-Z53</f>
        <v>6874.9572652136749</v>
      </c>
      <c r="AC53" s="440">
        <f>AC137/1.17</f>
        <v>0</v>
      </c>
      <c r="AD53" s="430">
        <f>AD137/1.17</f>
        <v>11410.25641025641</v>
      </c>
      <c r="AE53" s="430">
        <f>AE137/1.17</f>
        <v>5324.7863247863252</v>
      </c>
      <c r="AF53" s="442">
        <f>AE53-AD53</f>
        <v>-6085.470085470085</v>
      </c>
      <c r="AG53" s="440">
        <f>AG137/1.17</f>
        <v>0</v>
      </c>
      <c r="AH53" s="430">
        <f>AH137/1.17</f>
        <v>11410.25641025641</v>
      </c>
      <c r="AI53" s="430">
        <f>AI137/1.17</f>
        <v>5324.7863247863252</v>
      </c>
      <c r="AJ53" s="442">
        <f>AI53-AH53</f>
        <v>-6085.470085470085</v>
      </c>
      <c r="AK53" s="310">
        <f>Y53+AC53+AG53</f>
        <v>0</v>
      </c>
      <c r="AL53" s="1035"/>
      <c r="AM53" s="1036">
        <f t="shared" si="72"/>
        <v>28145.299145299145</v>
      </c>
      <c r="AN53" s="311">
        <f t="shared" si="72"/>
        <v>22849.31623957265</v>
      </c>
      <c r="AO53" s="470">
        <f>AN53-AK53</f>
        <v>22849.31623957265</v>
      </c>
      <c r="AP53" s="470"/>
      <c r="AQ53" s="291">
        <f>AN53-AM53</f>
        <v>-5295.9829057264942</v>
      </c>
      <c r="AR53" s="340">
        <f>SUM(R53,AK53)</f>
        <v>0</v>
      </c>
      <c r="AS53" s="1037"/>
      <c r="AT53" s="1037">
        <f t="shared" si="73"/>
        <v>54811.965811965812</v>
      </c>
      <c r="AU53" s="341">
        <f t="shared" si="73"/>
        <v>32093.657455128206</v>
      </c>
      <c r="AV53" s="342">
        <f>AU53-AR53</f>
        <v>32093.657455128206</v>
      </c>
      <c r="AW53" s="342"/>
      <c r="AX53" s="343">
        <f>AU53-AT53</f>
        <v>-22718.308356837606</v>
      </c>
      <c r="AY53" s="471"/>
      <c r="AZ53" s="472"/>
      <c r="BA53" s="1425"/>
    </row>
    <row r="54" spans="1:57" ht="20.100000000000001" customHeight="1">
      <c r="A54" s="775"/>
      <c r="B54" s="761"/>
      <c r="C54" s="761"/>
      <c r="D54" s="765"/>
      <c r="E54" s="761"/>
      <c r="F54" s="429"/>
      <c r="G54" s="484"/>
      <c r="H54" s="484"/>
      <c r="I54" s="300">
        <f>H55/G55</f>
        <v>1.0036881553846153</v>
      </c>
      <c r="J54" s="429"/>
      <c r="K54" s="484"/>
      <c r="L54" s="484"/>
      <c r="M54" s="300">
        <f>L55/K55</f>
        <v>0.91304280691568629</v>
      </c>
      <c r="N54" s="429"/>
      <c r="O54" s="490"/>
      <c r="P54" s="484"/>
      <c r="Q54" s="339">
        <f>P55/O55</f>
        <v>0.85751081113043459</v>
      </c>
      <c r="R54" s="491"/>
      <c r="S54" s="970"/>
      <c r="T54" s="968"/>
      <c r="U54" s="452"/>
      <c r="V54" s="349">
        <f>U55/R55</f>
        <v>0.87305970847405667</v>
      </c>
      <c r="W54" s="350"/>
      <c r="X54" s="300">
        <f>U55/T55</f>
        <v>0.92525218344262661</v>
      </c>
      <c r="Y54" s="429"/>
      <c r="Z54" s="490"/>
      <c r="AA54" s="484"/>
      <c r="AB54" s="520">
        <f>AA55/Z55</f>
        <v>1.1384832328434782</v>
      </c>
      <c r="AC54" s="429"/>
      <c r="AD54" s="490"/>
      <c r="AE54" s="484"/>
      <c r="AF54" s="492">
        <f>AE55/AD55</f>
        <v>0.71389645776566757</v>
      </c>
      <c r="AG54" s="429"/>
      <c r="AH54" s="490"/>
      <c r="AI54" s="484"/>
      <c r="AJ54" s="492">
        <f>AI55/AH55</f>
        <v>0.67870036101083031</v>
      </c>
      <c r="AK54" s="491"/>
      <c r="AL54" s="970"/>
      <c r="AM54" s="968"/>
      <c r="AN54" s="452"/>
      <c r="AO54" s="352">
        <f>AN55/AK55</f>
        <v>0.81154729361897415</v>
      </c>
      <c r="AP54" s="352"/>
      <c r="AQ54" s="324">
        <f>AN55/AM55</f>
        <v>0.83818291264072109</v>
      </c>
      <c r="AR54" s="521"/>
      <c r="AS54" s="648"/>
      <c r="AT54" s="648"/>
      <c r="AU54" s="481"/>
      <c r="AV54" s="350">
        <f>AU55/AR55</f>
        <v>0.84142555962932453</v>
      </c>
      <c r="AW54" s="350"/>
      <c r="AX54" s="345">
        <f>AU55/AT55</f>
        <v>0.87991462277658739</v>
      </c>
      <c r="AY54" s="471"/>
      <c r="AZ54" s="472"/>
      <c r="BA54" s="1425"/>
      <c r="BB54" s="337"/>
      <c r="BC54" s="337"/>
      <c r="BD54" s="337"/>
      <c r="BE54" s="337"/>
    </row>
    <row r="55" spans="1:57" ht="20.100000000000001" customHeight="1">
      <c r="A55" s="747" t="s">
        <v>207</v>
      </c>
      <c r="B55" s="748"/>
      <c r="C55" s="759"/>
      <c r="D55" s="753"/>
      <c r="E55" s="759"/>
      <c r="F55" s="459">
        <f>F141/1.17</f>
        <v>131038.46153846155</v>
      </c>
      <c r="G55" s="461">
        <f>G141/1.17</f>
        <v>122222.22222222223</v>
      </c>
      <c r="H55" s="841">
        <f>H51+H52</f>
        <v>122672.99676923078</v>
      </c>
      <c r="I55" s="307">
        <f>H55-G55</f>
        <v>450.77454700855014</v>
      </c>
      <c r="J55" s="459">
        <f>J141/1.17</f>
        <v>131038.46153846155</v>
      </c>
      <c r="K55" s="461">
        <f>K51+K52</f>
        <v>130769.23076923078</v>
      </c>
      <c r="L55" s="461">
        <f>L51+L52</f>
        <v>119397.9055197436</v>
      </c>
      <c r="M55" s="307">
        <f>L55-K55</f>
        <v>-11371.325249487185</v>
      </c>
      <c r="N55" s="459">
        <f>N51+N52</f>
        <v>131038.46153846153</v>
      </c>
      <c r="O55" s="461">
        <f>O51+O52</f>
        <v>117948.71794871797</v>
      </c>
      <c r="P55" s="841">
        <f>P51+P52</f>
        <v>101142.3008</v>
      </c>
      <c r="Q55" s="307">
        <f>P55-O55</f>
        <v>-16806.41714871797</v>
      </c>
      <c r="R55" s="462">
        <f>R52+R51</f>
        <v>393115.38461538462</v>
      </c>
      <c r="S55" s="463"/>
      <c r="T55" s="460">
        <f>G55+K55+O55</f>
        <v>370940.170940171</v>
      </c>
      <c r="U55" s="306">
        <f>H55+L55+P55</f>
        <v>343213.20308897435</v>
      </c>
      <c r="V55" s="461">
        <f>U55-R55</f>
        <v>-49902.181526410277</v>
      </c>
      <c r="W55" s="460"/>
      <c r="X55" s="307">
        <f>U55-T55</f>
        <v>-27726.967851196649</v>
      </c>
      <c r="Y55" s="459">
        <f>Y52+Y51</f>
        <v>138739.31623931625</v>
      </c>
      <c r="Z55" s="461">
        <f>Z52+Z51</f>
        <v>127777.77777777778</v>
      </c>
      <c r="AA55" s="461">
        <f>AA52+AA51</f>
        <v>145472.85753000001</v>
      </c>
      <c r="AB55" s="465">
        <f>AA55-Z55</f>
        <v>17695.079752222227</v>
      </c>
      <c r="AC55" s="459">
        <f>AC141/1.17</f>
        <v>138739.31623931625</v>
      </c>
      <c r="AD55" s="461">
        <f>AD52+AD51</f>
        <v>156837.60683760684</v>
      </c>
      <c r="AE55" s="461">
        <f>AE52+AE51</f>
        <v>111965.81196581197</v>
      </c>
      <c r="AF55" s="465">
        <f>AE55-AD55</f>
        <v>-44871.794871794875</v>
      </c>
      <c r="AG55" s="459">
        <f>AG141/1.17</f>
        <v>138739.31623931625</v>
      </c>
      <c r="AH55" s="461">
        <f>AH52+AH51</f>
        <v>118376.06837606838</v>
      </c>
      <c r="AI55" s="461">
        <f>AI52+AI51</f>
        <v>80341.880341880344</v>
      </c>
      <c r="AJ55" s="465">
        <f>AI55-AH55</f>
        <v>-38034.188034188031</v>
      </c>
      <c r="AK55" s="462">
        <f>AK52+AK51</f>
        <v>416217.94871794875</v>
      </c>
      <c r="AL55" s="463"/>
      <c r="AM55" s="460">
        <f>Z55+AD55+AH55</f>
        <v>402991.452991453</v>
      </c>
      <c r="AN55" s="306">
        <f t="shared" ref="AM55:AN57" si="75">AA55+AE55+AI55</f>
        <v>337780.54983769229</v>
      </c>
      <c r="AO55" s="489">
        <f>AN55-AK55</f>
        <v>-78437.398880256456</v>
      </c>
      <c r="AP55" s="489"/>
      <c r="AQ55" s="307">
        <f>AN55-AM55</f>
        <v>-65210.903153760708</v>
      </c>
      <c r="AR55" s="462">
        <f>AR52+AR51</f>
        <v>809333.33333333337</v>
      </c>
      <c r="AS55" s="1030"/>
      <c r="AT55" s="1024">
        <f>T55+AM55</f>
        <v>773931.623931624</v>
      </c>
      <c r="AU55" s="306">
        <f>AU52+AU51</f>
        <v>680993.75292666664</v>
      </c>
      <c r="AV55" s="303">
        <f>AU55-AR55</f>
        <v>-128339.58040666673</v>
      </c>
      <c r="AW55" s="303"/>
      <c r="AX55" s="307">
        <f>AU55-AT55</f>
        <v>-92937.871004957356</v>
      </c>
      <c r="AY55" s="457">
        <f>AR55/6</f>
        <v>134888.88888888891</v>
      </c>
      <c r="AZ55" s="458">
        <f>AU55/6</f>
        <v>113498.95882111111</v>
      </c>
      <c r="BA55" s="1424">
        <v>113498.95882111111</v>
      </c>
      <c r="BB55" s="302">
        <f>AZ55-AY55</f>
        <v>-21389.930067777794</v>
      </c>
      <c r="BC55" s="302">
        <f>BA55-AY55</f>
        <v>-21389.930067777794</v>
      </c>
      <c r="BD55" s="302">
        <f>BA55-AZ55</f>
        <v>0</v>
      </c>
      <c r="BE55" s="302">
        <f>AX55/6</f>
        <v>-15489.645167492892</v>
      </c>
    </row>
    <row r="56" spans="1:57" ht="20.100000000000001" customHeight="1">
      <c r="A56" s="760"/>
      <c r="B56" s="761"/>
      <c r="C56" s="762" t="s">
        <v>195</v>
      </c>
      <c r="D56" s="763"/>
      <c r="E56" s="820"/>
      <c r="F56" s="448">
        <f>F143/1.17</f>
        <v>0</v>
      </c>
      <c r="G56" s="466">
        <f>G143/1.17</f>
        <v>0</v>
      </c>
      <c r="H56" s="466">
        <f>H143/1.17</f>
        <v>0</v>
      </c>
      <c r="I56" s="291">
        <f>H56-G56</f>
        <v>0</v>
      </c>
      <c r="J56" s="448">
        <f>J143/1.17</f>
        <v>0</v>
      </c>
      <c r="K56" s="466">
        <f>K143/1.17</f>
        <v>0</v>
      </c>
      <c r="L56" s="466">
        <f>L143/1.17</f>
        <v>0</v>
      </c>
      <c r="M56" s="291">
        <f>L56-K56</f>
        <v>0</v>
      </c>
      <c r="N56" s="448">
        <f>N143/1.17</f>
        <v>0</v>
      </c>
      <c r="O56" s="446">
        <f>O143/1.17</f>
        <v>0</v>
      </c>
      <c r="P56" s="466">
        <f>P143/1.17</f>
        <v>0</v>
      </c>
      <c r="Q56" s="291">
        <f>P56-O56</f>
        <v>0</v>
      </c>
      <c r="R56" s="467">
        <f>F56+J56+N56</f>
        <v>0</v>
      </c>
      <c r="S56" s="468"/>
      <c r="T56" s="468">
        <f t="shared" ref="T56:U57" si="76">G56+K56+O56</f>
        <v>0</v>
      </c>
      <c r="U56" s="311">
        <f t="shared" si="76"/>
        <v>0</v>
      </c>
      <c r="V56" s="446">
        <f>U56-R56</f>
        <v>0</v>
      </c>
      <c r="W56" s="466"/>
      <c r="X56" s="291">
        <f>U56-T56</f>
        <v>0</v>
      </c>
      <c r="Y56" s="448">
        <f>Y143/1.17</f>
        <v>0</v>
      </c>
      <c r="Z56" s="446">
        <f>Z143/1.17</f>
        <v>0</v>
      </c>
      <c r="AA56" s="466">
        <f>AA143/1.17</f>
        <v>0</v>
      </c>
      <c r="AB56" s="435">
        <f>AA56-Z56</f>
        <v>0</v>
      </c>
      <c r="AC56" s="448">
        <f>AC143/1.17</f>
        <v>0</v>
      </c>
      <c r="AD56" s="446">
        <f>AD143/1.17</f>
        <v>0</v>
      </c>
      <c r="AE56" s="466">
        <f>AE143/1.17</f>
        <v>0</v>
      </c>
      <c r="AF56" s="435">
        <f>AE56-AD56</f>
        <v>0</v>
      </c>
      <c r="AG56" s="448">
        <f>AG143/1.17</f>
        <v>0</v>
      </c>
      <c r="AH56" s="446">
        <f>AH143/1.17</f>
        <v>0</v>
      </c>
      <c r="AI56" s="466">
        <f>AI143/1.17</f>
        <v>0</v>
      </c>
      <c r="AJ56" s="435">
        <f>AI56-AH56</f>
        <v>0</v>
      </c>
      <c r="AK56" s="467">
        <f>Y56+AC56+AG56</f>
        <v>0</v>
      </c>
      <c r="AL56" s="468"/>
      <c r="AM56" s="468">
        <f t="shared" si="75"/>
        <v>0</v>
      </c>
      <c r="AN56" s="311">
        <f t="shared" si="75"/>
        <v>0</v>
      </c>
      <c r="AO56" s="470">
        <f>AN56-AK56</f>
        <v>0</v>
      </c>
      <c r="AP56" s="470"/>
      <c r="AQ56" s="291">
        <f>AN56-AM56</f>
        <v>0</v>
      </c>
      <c r="AR56" s="467">
        <f>SUM(R56,AK56)</f>
        <v>0</v>
      </c>
      <c r="AS56" s="647"/>
      <c r="AT56" s="647">
        <f>T56+AM56</f>
        <v>0</v>
      </c>
      <c r="AU56" s="469">
        <f>SUM(U56,AN56)</f>
        <v>0</v>
      </c>
      <c r="AV56" s="466">
        <f>AU56-AR56</f>
        <v>0</v>
      </c>
      <c r="AW56" s="466"/>
      <c r="AX56" s="291">
        <f>AU56-AT56</f>
        <v>0</v>
      </c>
      <c r="AY56" s="471"/>
      <c r="AZ56" s="472"/>
      <c r="BA56" s="1425"/>
    </row>
    <row r="57" spans="1:57" ht="20.100000000000001" customHeight="1">
      <c r="A57" s="760"/>
      <c r="B57" s="761"/>
      <c r="C57" s="762" t="s">
        <v>196</v>
      </c>
      <c r="D57" s="764"/>
      <c r="E57" s="1498"/>
      <c r="F57" s="440">
        <f>F145/1.17</f>
        <v>0</v>
      </c>
      <c r="G57" s="473">
        <f>G145/1.17</f>
        <v>0</v>
      </c>
      <c r="H57" s="473">
        <f>H145/1.17</f>
        <v>0</v>
      </c>
      <c r="I57" s="313">
        <f>H57-G57</f>
        <v>0</v>
      </c>
      <c r="J57" s="440">
        <f>J145/1.17</f>
        <v>0</v>
      </c>
      <c r="K57" s="473">
        <f>K145/1.17</f>
        <v>0</v>
      </c>
      <c r="L57" s="473">
        <f>L145/1.17</f>
        <v>0</v>
      </c>
      <c r="M57" s="313">
        <f>L57-K57</f>
        <v>0</v>
      </c>
      <c r="N57" s="440">
        <f>N145/1.17</f>
        <v>0</v>
      </c>
      <c r="O57" s="430">
        <f>O145/1.17</f>
        <v>0</v>
      </c>
      <c r="P57" s="473">
        <f>P145/1.17</f>
        <v>0</v>
      </c>
      <c r="Q57" s="313">
        <f>P57-O57</f>
        <v>0</v>
      </c>
      <c r="R57" s="474">
        <f>F57+J57+N57</f>
        <v>0</v>
      </c>
      <c r="S57" s="475"/>
      <c r="T57" s="475">
        <f t="shared" si="76"/>
        <v>0</v>
      </c>
      <c r="U57" s="315">
        <f t="shared" si="76"/>
        <v>0</v>
      </c>
      <c r="V57" s="430">
        <f>U57-R57</f>
        <v>0</v>
      </c>
      <c r="W57" s="473"/>
      <c r="X57" s="313">
        <f>U57-T57</f>
        <v>0</v>
      </c>
      <c r="Y57" s="440">
        <f>Y145/1.17</f>
        <v>0</v>
      </c>
      <c r="Z57" s="430">
        <f>Z145/1.17</f>
        <v>0</v>
      </c>
      <c r="AA57" s="473">
        <f>AA145/1.17</f>
        <v>0</v>
      </c>
      <c r="AB57" s="442">
        <f>AA57-Z57</f>
        <v>0</v>
      </c>
      <c r="AC57" s="440">
        <f>AC145/1.17</f>
        <v>0</v>
      </c>
      <c r="AD57" s="430">
        <f>AD145/1.17</f>
        <v>0</v>
      </c>
      <c r="AE57" s="473">
        <f>AE145/1.17</f>
        <v>0</v>
      </c>
      <c r="AF57" s="442">
        <f>AE57-AD57</f>
        <v>0</v>
      </c>
      <c r="AG57" s="440">
        <f>AG145/1.17</f>
        <v>0</v>
      </c>
      <c r="AH57" s="430">
        <f>AH145/1.17</f>
        <v>0</v>
      </c>
      <c r="AI57" s="473">
        <f>AI145/1.17</f>
        <v>0</v>
      </c>
      <c r="AJ57" s="442">
        <f>AI57-AH57</f>
        <v>0</v>
      </c>
      <c r="AK57" s="474">
        <f>Y57+AC57+AG57</f>
        <v>0</v>
      </c>
      <c r="AL57" s="475"/>
      <c r="AM57" s="475">
        <f t="shared" si="75"/>
        <v>0</v>
      </c>
      <c r="AN57" s="315">
        <f t="shared" si="75"/>
        <v>0</v>
      </c>
      <c r="AO57" s="441">
        <f>AN57-AK57</f>
        <v>0</v>
      </c>
      <c r="AP57" s="441"/>
      <c r="AQ57" s="313">
        <f>AN57-AM57</f>
        <v>0</v>
      </c>
      <c r="AR57" s="474">
        <f>SUM(R57,AK57)</f>
        <v>0</v>
      </c>
      <c r="AS57" s="1025"/>
      <c r="AT57" s="1025">
        <f>T57+AM57</f>
        <v>0</v>
      </c>
      <c r="AU57" s="476">
        <f>SUM(U57,AN57)</f>
        <v>0</v>
      </c>
      <c r="AV57" s="473">
        <f>AU57-AR57</f>
        <v>0</v>
      </c>
      <c r="AW57" s="473"/>
      <c r="AX57" s="313">
        <f>AU57-AT57</f>
        <v>0</v>
      </c>
      <c r="AY57" s="471"/>
      <c r="AZ57" s="472"/>
      <c r="BA57" s="1425"/>
    </row>
    <row r="58" spans="1:57" ht="20.100000000000001" customHeight="1">
      <c r="A58" s="775"/>
      <c r="B58" s="761"/>
      <c r="C58" s="761"/>
      <c r="D58" s="765"/>
      <c r="E58" s="761"/>
      <c r="F58" s="429"/>
      <c r="G58" s="484"/>
      <c r="H58" s="484"/>
      <c r="I58" s="300">
        <f>H59/G59</f>
        <v>0</v>
      </c>
      <c r="J58" s="429"/>
      <c r="K58" s="484"/>
      <c r="L58" s="484"/>
      <c r="M58" s="300">
        <f>L59/K59</f>
        <v>2.4848484848484849</v>
      </c>
      <c r="N58" s="429"/>
      <c r="O58" s="490"/>
      <c r="P58" s="484"/>
      <c r="Q58" s="339" t="e">
        <f>P59/O59</f>
        <v>#DIV/0!</v>
      </c>
      <c r="R58" s="491"/>
      <c r="S58" s="970"/>
      <c r="T58" s="968"/>
      <c r="U58" s="452"/>
      <c r="V58" s="349">
        <f>U59/R59</f>
        <v>1.2941238360776474E-2</v>
      </c>
      <c r="W58" s="350"/>
      <c r="X58" s="300">
        <f>U59/T59</f>
        <v>4.6707678286625656E-2</v>
      </c>
      <c r="Y58" s="429"/>
      <c r="Z58" s="490"/>
      <c r="AA58" s="484"/>
      <c r="AB58" s="520">
        <f>AA59/Z59</f>
        <v>0.42502569104558202</v>
      </c>
      <c r="AC58" s="429"/>
      <c r="AD58" s="490"/>
      <c r="AE58" s="484"/>
      <c r="AF58" s="492" t="e">
        <f>AE59/AD59</f>
        <v>#DIV/0!</v>
      </c>
      <c r="AG58" s="429"/>
      <c r="AH58" s="490"/>
      <c r="AI58" s="484"/>
      <c r="AJ58" s="492">
        <f>AI59/AH59</f>
        <v>1.0587768069896744</v>
      </c>
      <c r="AK58" s="491"/>
      <c r="AL58" s="970"/>
      <c r="AM58" s="968"/>
      <c r="AN58" s="452"/>
      <c r="AO58" s="352">
        <f>AN59/AK59</f>
        <v>3.453826778612461</v>
      </c>
      <c r="AP58" s="352"/>
      <c r="AQ58" s="324">
        <f>AN59/AM59</f>
        <v>1.5787042441963099</v>
      </c>
      <c r="AR58" s="344"/>
      <c r="AS58" s="574"/>
      <c r="AT58" s="574">
        <f>T58+AM58</f>
        <v>0</v>
      </c>
      <c r="AU58" s="316"/>
      <c r="AV58" s="350">
        <f>AU59/AR59</f>
        <v>0.67465561929041851</v>
      </c>
      <c r="AW58" s="350"/>
      <c r="AX58" s="324">
        <f>AU59/AT59</f>
        <v>1.0467687072587561</v>
      </c>
      <c r="AY58" s="471"/>
      <c r="AZ58" s="472"/>
      <c r="BA58" s="1425"/>
      <c r="BB58" s="337"/>
      <c r="BC58" s="337"/>
      <c r="BD58" s="337"/>
      <c r="BE58" s="337"/>
    </row>
    <row r="59" spans="1:57" ht="20.100000000000001" customHeight="1">
      <c r="A59" s="747" t="s">
        <v>208</v>
      </c>
      <c r="B59" s="748"/>
      <c r="C59" s="759"/>
      <c r="D59" s="753"/>
      <c r="E59" s="759"/>
      <c r="F59" s="459">
        <f>F148/1.17</f>
        <v>0</v>
      </c>
      <c r="G59" s="461">
        <f>G148/1.17</f>
        <v>4416.9230769230771</v>
      </c>
      <c r="H59" s="461">
        <f>H148/1.17</f>
        <v>0</v>
      </c>
      <c r="I59" s="307">
        <f>H59-G59</f>
        <v>-4416.9230769230771</v>
      </c>
      <c r="J59" s="459">
        <f>J148/1.17</f>
        <v>0</v>
      </c>
      <c r="K59" s="461">
        <f>K148/1.17</f>
        <v>84.615384615384627</v>
      </c>
      <c r="L59" s="461">
        <f>L148/1.17</f>
        <v>210.25641025641028</v>
      </c>
      <c r="M59" s="307">
        <f>L59-K59</f>
        <v>125.64102564102565</v>
      </c>
      <c r="N59" s="459">
        <f>N148/1.17</f>
        <v>16247.008547008549</v>
      </c>
      <c r="O59" s="461">
        <f>O148/1.17</f>
        <v>0</v>
      </c>
      <c r="P59" s="461">
        <f>P148/1.17</f>
        <v>0</v>
      </c>
      <c r="Q59" s="307">
        <f>P59-O59</f>
        <v>0</v>
      </c>
      <c r="R59" s="462">
        <f>F59+J59+N59</f>
        <v>16247.008547008549</v>
      </c>
      <c r="S59" s="463"/>
      <c r="T59" s="460">
        <f>G59+K59+O59</f>
        <v>4501.5384615384619</v>
      </c>
      <c r="U59" s="306">
        <f>H59+L59+P59</f>
        <v>210.25641025641028</v>
      </c>
      <c r="V59" s="461">
        <f>U59-R59</f>
        <v>-16036.752136752139</v>
      </c>
      <c r="W59" s="460"/>
      <c r="X59" s="307">
        <f>U59-T59</f>
        <v>-4291.2820512820517</v>
      </c>
      <c r="Y59" s="459">
        <f>Y148/1.17</f>
        <v>0</v>
      </c>
      <c r="Z59" s="461">
        <f>Z148/1.17</f>
        <v>392.56752136752135</v>
      </c>
      <c r="AA59" s="461">
        <f>AA148/1.17</f>
        <v>166.85128205128206</v>
      </c>
      <c r="AB59" s="465">
        <f>AA59-Z59</f>
        <v>-225.7162393162393</v>
      </c>
      <c r="AC59" s="459">
        <f>AC148/1.17</f>
        <v>3868.3760683760688</v>
      </c>
      <c r="AD59" s="461">
        <f>AD148/1.17</f>
        <v>0</v>
      </c>
      <c r="AE59" s="461">
        <f>AE148/1.17</f>
        <v>4648.9777777777781</v>
      </c>
      <c r="AF59" s="465">
        <f>AE59-AD59</f>
        <v>4648.9777777777781</v>
      </c>
      <c r="AG59" s="459">
        <f>AG148/1.17</f>
        <v>0</v>
      </c>
      <c r="AH59" s="461">
        <f>AH148/1.17</f>
        <v>8070.5128205128212</v>
      </c>
      <c r="AI59" s="461">
        <f>AI148/1.17</f>
        <v>8544.8717948717949</v>
      </c>
      <c r="AJ59" s="465">
        <f>AI59-AH59</f>
        <v>474.35897435897368</v>
      </c>
      <c r="AK59" s="462">
        <f>Y59+AC59+AG59</f>
        <v>3868.3760683760688</v>
      </c>
      <c r="AL59" s="463"/>
      <c r="AM59" s="460">
        <f>Z59+AD59+AH59</f>
        <v>8463.0803418803425</v>
      </c>
      <c r="AN59" s="306">
        <f>AA59+AE59+AI59</f>
        <v>13360.700854700855</v>
      </c>
      <c r="AO59" s="489">
        <f>AN59-AK59</f>
        <v>9492.3247863247871</v>
      </c>
      <c r="AP59" s="489"/>
      <c r="AQ59" s="307">
        <f>AN59-AM59</f>
        <v>4897.6205128205129</v>
      </c>
      <c r="AR59" s="462">
        <f>SUM(R59,AK59)</f>
        <v>20115.384615384617</v>
      </c>
      <c r="AS59" s="1030"/>
      <c r="AT59" s="1024">
        <f>T59+AM59</f>
        <v>12964.618803418805</v>
      </c>
      <c r="AU59" s="306">
        <f>U59+AN59</f>
        <v>13570.957264957266</v>
      </c>
      <c r="AV59" s="303">
        <f>AU59-AR59</f>
        <v>-6544.4273504273515</v>
      </c>
      <c r="AW59" s="303"/>
      <c r="AX59" s="307">
        <f>AU59-AT59</f>
        <v>606.33846153846025</v>
      </c>
      <c r="AY59" s="457">
        <f>AR59/6</f>
        <v>3352.564102564103</v>
      </c>
      <c r="AZ59" s="458">
        <f>AU59/6</f>
        <v>2261.8262108262111</v>
      </c>
      <c r="BA59" s="1424">
        <v>2261.8262108262111</v>
      </c>
      <c r="BB59" s="302">
        <f>AZ59-AY59</f>
        <v>-1090.7378917378919</v>
      </c>
      <c r="BC59" s="302">
        <f>BA59-AY59</f>
        <v>-1090.7378917378919</v>
      </c>
      <c r="BD59" s="302">
        <f>BA59-AZ59</f>
        <v>0</v>
      </c>
      <c r="BE59" s="302">
        <f>AX59/6</f>
        <v>101.05641025641005</v>
      </c>
    </row>
    <row r="60" spans="1:57" ht="20.100000000000001" customHeight="1">
      <c r="A60" s="775"/>
      <c r="B60" s="761"/>
      <c r="C60" s="761"/>
      <c r="D60" s="765"/>
      <c r="E60" s="761"/>
      <c r="F60" s="429"/>
      <c r="G60" s="484"/>
      <c r="H60" s="484"/>
      <c r="I60" s="300">
        <f>H61/G61</f>
        <v>1.3112144064665125</v>
      </c>
      <c r="J60" s="429"/>
      <c r="K60" s="484"/>
      <c r="L60" s="484"/>
      <c r="M60" s="300">
        <f>L61/K61</f>
        <v>1.3291090269636576</v>
      </c>
      <c r="N60" s="429"/>
      <c r="O60" s="490"/>
      <c r="P60" s="484"/>
      <c r="Q60" s="339">
        <f>P61/O61</f>
        <v>1.0527237226890755</v>
      </c>
      <c r="R60" s="491"/>
      <c r="S60" s="970"/>
      <c r="T60" s="968"/>
      <c r="U60" s="452"/>
      <c r="V60" s="349">
        <f>U61/R61</f>
        <v>1.3912852586364464</v>
      </c>
      <c r="W60" s="350"/>
      <c r="X60" s="300">
        <f>U61/T61</f>
        <v>1.2176806350983842</v>
      </c>
      <c r="Y60" s="429"/>
      <c r="Z60" s="490"/>
      <c r="AA60" s="484"/>
      <c r="AB60" s="520">
        <f>AA61/Z61</f>
        <v>1.1032465714285715</v>
      </c>
      <c r="AC60" s="429"/>
      <c r="AD60" s="490"/>
      <c r="AE60" s="484"/>
      <c r="AF60" s="492">
        <f>AE61/AD61</f>
        <v>1.1813031161473087</v>
      </c>
      <c r="AG60" s="429"/>
      <c r="AH60" s="490"/>
      <c r="AI60" s="484"/>
      <c r="AJ60" s="492">
        <f>AI61/AH61</f>
        <v>1</v>
      </c>
      <c r="AK60" s="491"/>
      <c r="AL60" s="970"/>
      <c r="AM60" s="968"/>
      <c r="AN60" s="452"/>
      <c r="AO60" s="352">
        <f>AN61/AK61</f>
        <v>1.176634609500089</v>
      </c>
      <c r="AP60" s="352"/>
      <c r="AQ60" s="324">
        <f>AN61/AM61</f>
        <v>1.1119474008069941</v>
      </c>
      <c r="AR60" s="344"/>
      <c r="AS60" s="574"/>
      <c r="AT60" s="574"/>
      <c r="AU60" s="316"/>
      <c r="AV60" s="350">
        <f>AU61/AR61</f>
        <v>1.2825085457987737</v>
      </c>
      <c r="AW60" s="350"/>
      <c r="AX60" s="324">
        <f>AU61/AT61</f>
        <v>1.1661271243544553</v>
      </c>
      <c r="AY60" s="471"/>
      <c r="AZ60" s="472"/>
      <c r="BA60" s="1425"/>
    </row>
    <row r="61" spans="1:57" ht="20.100000000000001" customHeight="1">
      <c r="A61" s="747" t="s">
        <v>198</v>
      </c>
      <c r="B61" s="748"/>
      <c r="C61" s="759"/>
      <c r="D61" s="753"/>
      <c r="E61" s="759"/>
      <c r="F61" s="459">
        <f>F150/1.17</f>
        <v>1637.6068376068376</v>
      </c>
      <c r="G61" s="461">
        <f>G150/1.17</f>
        <v>1850.4273504273506</v>
      </c>
      <c r="H61" s="841">
        <v>2426.3069999999998</v>
      </c>
      <c r="I61" s="307">
        <f>H61-G61</f>
        <v>575.87964957264921</v>
      </c>
      <c r="J61" s="459">
        <f>J150/1.17</f>
        <v>1458.1196581196582</v>
      </c>
      <c r="K61" s="461">
        <f>K150/1.17</f>
        <v>1458.1196581196582</v>
      </c>
      <c r="L61" s="841">
        <v>1938</v>
      </c>
      <c r="M61" s="307">
        <f>L61-K61</f>
        <v>479.8803418803418</v>
      </c>
      <c r="N61" s="459">
        <f>N150/1.17</f>
        <v>1580.3418803418804</v>
      </c>
      <c r="O61" s="461">
        <f>O150/1.17</f>
        <v>2034.1880341880344</v>
      </c>
      <c r="P61" s="841">
        <v>2141.4380000000001</v>
      </c>
      <c r="Q61" s="307">
        <f>P61-O61</f>
        <v>107.24996581196569</v>
      </c>
      <c r="R61" s="462">
        <f>F61+J61+N61</f>
        <v>4676.0683760683769</v>
      </c>
      <c r="S61" s="463"/>
      <c r="T61" s="460">
        <f>G61+K61+O61</f>
        <v>5342.735042735043</v>
      </c>
      <c r="U61" s="306">
        <f>H61+L61+P61</f>
        <v>6505.7449999999999</v>
      </c>
      <c r="V61" s="461">
        <f>U61-R61</f>
        <v>1829.676623931623</v>
      </c>
      <c r="W61" s="460"/>
      <c r="X61" s="307">
        <f>U61-T61</f>
        <v>1163.0099572649569</v>
      </c>
      <c r="Y61" s="459">
        <f>Y150/1.17</f>
        <v>1656.4102564102566</v>
      </c>
      <c r="Z61" s="461">
        <f>Z150/1.17</f>
        <v>2333.3333333333335</v>
      </c>
      <c r="AA61" s="841">
        <v>2574.2420000000002</v>
      </c>
      <c r="AB61" s="465">
        <f>AA61-Z61</f>
        <v>240.9086666666667</v>
      </c>
      <c r="AC61" s="459">
        <f>AC150/1.17</f>
        <v>1810.2564102564104</v>
      </c>
      <c r="AD61" s="461">
        <f>AD150/1.17</f>
        <v>1810.2564102564104</v>
      </c>
      <c r="AE61" s="461">
        <f>AE150/1.17</f>
        <v>2138.4615384615386</v>
      </c>
      <c r="AF61" s="465">
        <f>AE61-AD61</f>
        <v>328.20512820512818</v>
      </c>
      <c r="AG61" s="459">
        <f>AG150/1.17</f>
        <v>1337.6068376068376</v>
      </c>
      <c r="AH61" s="461">
        <f>AH150/1.17</f>
        <v>940.17094017094018</v>
      </c>
      <c r="AI61" s="461">
        <f>AI150/1.17</f>
        <v>940.17094017094018</v>
      </c>
      <c r="AJ61" s="465">
        <f>AI61-AH61</f>
        <v>0</v>
      </c>
      <c r="AK61" s="462">
        <f>Y61+AC61+AG61</f>
        <v>4804.2735042735048</v>
      </c>
      <c r="AL61" s="463"/>
      <c r="AM61" s="460">
        <f>Z61+AD61+AH61</f>
        <v>5083.7606837606845</v>
      </c>
      <c r="AN61" s="306">
        <f>AA61+AE61+AI61</f>
        <v>5652.8744786324796</v>
      </c>
      <c r="AO61" s="489">
        <f>AN61-AK61</f>
        <v>848.60097435897478</v>
      </c>
      <c r="AP61" s="489"/>
      <c r="AQ61" s="307">
        <f>AN61-AM61</f>
        <v>569.11379487179511</v>
      </c>
      <c r="AR61" s="462">
        <f>SUM(R61,AK61)</f>
        <v>9480.3418803418826</v>
      </c>
      <c r="AS61" s="1030"/>
      <c r="AT61" s="1024">
        <f>T61+AM61</f>
        <v>10426.495726495727</v>
      </c>
      <c r="AU61" s="306">
        <f>U61+AN61</f>
        <v>12158.61947863248</v>
      </c>
      <c r="AV61" s="303">
        <f>AU61-AR61</f>
        <v>2678.2775982905969</v>
      </c>
      <c r="AW61" s="303"/>
      <c r="AX61" s="307">
        <f>AU61-AT61</f>
        <v>1732.123752136753</v>
      </c>
      <c r="AY61" s="457">
        <f>AR61/6</f>
        <v>1580.0569800569804</v>
      </c>
      <c r="AZ61" s="458">
        <f>AU61/6</f>
        <v>2026.43657977208</v>
      </c>
      <c r="BA61" s="1424">
        <v>2026.43657977208</v>
      </c>
      <c r="BB61" s="302">
        <f>AZ61-AY61</f>
        <v>446.37959971509963</v>
      </c>
      <c r="BC61" s="302">
        <f>BA61-AY61</f>
        <v>446.37959971509963</v>
      </c>
      <c r="BD61" s="302">
        <f>BA61-AZ61</f>
        <v>0</v>
      </c>
      <c r="BE61" s="302">
        <f>AX61/6</f>
        <v>288.68729202279218</v>
      </c>
    </row>
    <row r="62" spans="1:57" ht="20.100000000000001" customHeight="1">
      <c r="A62" s="775"/>
      <c r="B62" s="761"/>
      <c r="C62" s="761"/>
      <c r="D62" s="765"/>
      <c r="E62" s="761"/>
      <c r="F62" s="429"/>
      <c r="G62" s="484"/>
      <c r="H62" s="484"/>
      <c r="I62" s="300" t="e">
        <f>H63/G63</f>
        <v>#DIV/0!</v>
      </c>
      <c r="J62" s="429"/>
      <c r="K62" s="484"/>
      <c r="L62" s="484"/>
      <c r="M62" s="300">
        <f>L63/K63</f>
        <v>0.35294117647058826</v>
      </c>
      <c r="N62" s="429"/>
      <c r="O62" s="490"/>
      <c r="P62" s="484"/>
      <c r="Q62" s="324" t="e">
        <f>P63/O63</f>
        <v>#DIV/0!</v>
      </c>
      <c r="R62" s="491"/>
      <c r="S62" s="970"/>
      <c r="T62" s="968"/>
      <c r="U62" s="452"/>
      <c r="V62" s="349" t="e">
        <f>U63/R63</f>
        <v>#DIV/0!</v>
      </c>
      <c r="W62" s="350"/>
      <c r="X62" s="300">
        <f>U63/T63</f>
        <v>0.49952941176470594</v>
      </c>
      <c r="Y62" s="429"/>
      <c r="Z62" s="490"/>
      <c r="AA62" s="484"/>
      <c r="AB62" s="492" t="e">
        <f>AA63/Z63</f>
        <v>#DIV/0!</v>
      </c>
      <c r="AC62" s="429"/>
      <c r="AD62" s="490"/>
      <c r="AE62" s="484"/>
      <c r="AF62" s="492" t="e">
        <f>AE63/AD63</f>
        <v>#DIV/0!</v>
      </c>
      <c r="AG62" s="429"/>
      <c r="AH62" s="490"/>
      <c r="AI62" s="484"/>
      <c r="AJ62" s="492" t="e">
        <f>AI63/AH63</f>
        <v>#DIV/0!</v>
      </c>
      <c r="AK62" s="491"/>
      <c r="AL62" s="970"/>
      <c r="AM62" s="968"/>
      <c r="AN62" s="452"/>
      <c r="AO62" s="352" t="e">
        <f>AN63/AK63</f>
        <v>#DIV/0!</v>
      </c>
      <c r="AP62" s="352"/>
      <c r="AQ62" s="324" t="e">
        <f>AN63/AM63</f>
        <v>#DIV/0!</v>
      </c>
      <c r="AR62" s="344"/>
      <c r="AS62" s="574"/>
      <c r="AT62" s="574"/>
      <c r="AU62" s="316"/>
      <c r="AV62" s="350" t="e">
        <f>AU63/AR63</f>
        <v>#DIV/0!</v>
      </c>
      <c r="AW62" s="350"/>
      <c r="AX62" s="324">
        <f>AU63/AT63</f>
        <v>1.4903882352941178</v>
      </c>
      <c r="AY62" s="471"/>
      <c r="AZ62" s="472"/>
      <c r="BA62" s="1425"/>
    </row>
    <row r="63" spans="1:57" ht="20.100000000000001" customHeight="1">
      <c r="A63" s="747" t="s">
        <v>199</v>
      </c>
      <c r="B63" s="748"/>
      <c r="C63" s="759"/>
      <c r="D63" s="753"/>
      <c r="E63" s="759"/>
      <c r="F63" s="459">
        <f>F153/1.17</f>
        <v>0</v>
      </c>
      <c r="G63" s="461">
        <f>G153/1.17</f>
        <v>0</v>
      </c>
      <c r="H63" s="461">
        <f>H153/1.17</f>
        <v>31.948717948717952</v>
      </c>
      <c r="I63" s="307">
        <f>H63-G63</f>
        <v>31.948717948717952</v>
      </c>
      <c r="J63" s="459">
        <f>J153/1.17</f>
        <v>0</v>
      </c>
      <c r="K63" s="461">
        <f>K153/1.17</f>
        <v>217.94871794871796</v>
      </c>
      <c r="L63" s="461">
        <f>L153/1.17</f>
        <v>76.923076923076934</v>
      </c>
      <c r="M63" s="307">
        <f>L63-K63</f>
        <v>-141.02564102564102</v>
      </c>
      <c r="N63" s="459">
        <f>N153/1.17</f>
        <v>0</v>
      </c>
      <c r="O63" s="461">
        <f>O153/1.17</f>
        <v>0</v>
      </c>
      <c r="P63" s="461">
        <f>P153/1.17</f>
        <v>0</v>
      </c>
      <c r="Q63" s="307">
        <f>P63-O63</f>
        <v>0</v>
      </c>
      <c r="R63" s="462">
        <f>F63+J63+N63</f>
        <v>0</v>
      </c>
      <c r="S63" s="463"/>
      <c r="T63" s="460">
        <f>G63+K63+O63</f>
        <v>217.94871794871796</v>
      </c>
      <c r="U63" s="306">
        <f>H63+L63+P63</f>
        <v>108.87179487179489</v>
      </c>
      <c r="V63" s="461">
        <f>U63-R63</f>
        <v>108.87179487179489</v>
      </c>
      <c r="W63" s="460"/>
      <c r="X63" s="307">
        <f>U63-T63</f>
        <v>-109.07692307692307</v>
      </c>
      <c r="Y63" s="459">
        <f>Y153/1.17</f>
        <v>0</v>
      </c>
      <c r="Z63" s="461">
        <f>Z153/1.17</f>
        <v>0</v>
      </c>
      <c r="AA63" s="461">
        <f>AA153/1.17</f>
        <v>130.48632478632481</v>
      </c>
      <c r="AB63" s="465">
        <f>AA63-Z63</f>
        <v>130.48632478632481</v>
      </c>
      <c r="AC63" s="459">
        <f>AC153/1.17</f>
        <v>0</v>
      </c>
      <c r="AD63" s="461">
        <f>AD153/1.17</f>
        <v>0</v>
      </c>
      <c r="AE63" s="461">
        <f>AE153/1.17</f>
        <v>85.470085470085479</v>
      </c>
      <c r="AF63" s="465">
        <f>AE63-AD63</f>
        <v>85.470085470085479</v>
      </c>
      <c r="AG63" s="459">
        <f>AG153/1.17</f>
        <v>0</v>
      </c>
      <c r="AH63" s="461">
        <f>AH153/1.17</f>
        <v>0</v>
      </c>
      <c r="AI63" s="461">
        <f>AI153/1.17</f>
        <v>0</v>
      </c>
      <c r="AJ63" s="465">
        <f>AI63-AH63</f>
        <v>0</v>
      </c>
      <c r="AK63" s="462">
        <f>Y63+AC63+AG63</f>
        <v>0</v>
      </c>
      <c r="AL63" s="463"/>
      <c r="AM63" s="460">
        <f>Z63+AD63+AH63</f>
        <v>0</v>
      </c>
      <c r="AN63" s="306">
        <f>AA63+AE63+AI63</f>
        <v>215.95641025641029</v>
      </c>
      <c r="AO63" s="489">
        <f>AN63-AK63</f>
        <v>215.95641025641029</v>
      </c>
      <c r="AP63" s="489"/>
      <c r="AQ63" s="307">
        <f>AN63-AM63</f>
        <v>215.95641025641029</v>
      </c>
      <c r="AR63" s="462">
        <f>SUM(R63,AK63)</f>
        <v>0</v>
      </c>
      <c r="AS63" s="1030"/>
      <c r="AT63" s="1024">
        <f>T63+AM63</f>
        <v>217.94871794871796</v>
      </c>
      <c r="AU63" s="306">
        <f>U63+AN63</f>
        <v>324.82820512820518</v>
      </c>
      <c r="AV63" s="303">
        <f>AU63-AR63</f>
        <v>324.82820512820518</v>
      </c>
      <c r="AW63" s="303"/>
      <c r="AX63" s="307">
        <f>AU63-AT63</f>
        <v>106.87948717948723</v>
      </c>
      <c r="AY63" s="457">
        <f>AR63/6</f>
        <v>0</v>
      </c>
      <c r="AZ63" s="458">
        <f>AU63/6</f>
        <v>54.138034188034197</v>
      </c>
      <c r="BA63" s="1424">
        <v>54.138034188034197</v>
      </c>
      <c r="BB63" s="302">
        <f>AZ63-AY63</f>
        <v>54.138034188034197</v>
      </c>
      <c r="BC63" s="302">
        <f>BA63-AY63</f>
        <v>54.138034188034197</v>
      </c>
      <c r="BD63" s="302">
        <f>BA63-AZ63</f>
        <v>0</v>
      </c>
      <c r="BE63" s="302">
        <f>AX63/6</f>
        <v>17.81324786324787</v>
      </c>
    </row>
    <row r="64" spans="1:57" ht="20.100000000000001" customHeight="1">
      <c r="A64" s="775"/>
      <c r="B64" s="761"/>
      <c r="C64" s="761"/>
      <c r="D64" s="765"/>
      <c r="E64" s="761"/>
      <c r="F64" s="429"/>
      <c r="G64" s="484"/>
      <c r="H64" s="484"/>
      <c r="I64" s="300">
        <f>H65/G65</f>
        <v>0.12172413793103447</v>
      </c>
      <c r="J64" s="429"/>
      <c r="K64" s="484"/>
      <c r="L64" s="484"/>
      <c r="M64" s="300">
        <f>L65/K65</f>
        <v>0.12578947368421053</v>
      </c>
      <c r="N64" s="429"/>
      <c r="O64" s="490"/>
      <c r="P64" s="484"/>
      <c r="Q64" s="324">
        <f>P65/O65</f>
        <v>3.3980831309904151</v>
      </c>
      <c r="R64" s="491"/>
      <c r="S64" s="970"/>
      <c r="T64" s="968"/>
      <c r="U64" s="452"/>
      <c r="V64" s="349">
        <f>U65/R65</f>
        <v>0.38636530273972602</v>
      </c>
      <c r="W64" s="350"/>
      <c r="X64" s="300">
        <f>U65/T65</f>
        <v>0.58619281097370879</v>
      </c>
      <c r="Y64" s="429"/>
      <c r="Z64" s="490"/>
      <c r="AA64" s="484"/>
      <c r="AB64" s="492">
        <f>AA65/Z65</f>
        <v>0.65555759018494775</v>
      </c>
      <c r="AC64" s="429"/>
      <c r="AD64" s="490"/>
      <c r="AE64" s="484"/>
      <c r="AF64" s="492">
        <f>AE65/AD65</f>
        <v>0.30756998509193306</v>
      </c>
      <c r="AG64" s="429"/>
      <c r="AH64" s="490"/>
      <c r="AI64" s="484"/>
      <c r="AJ64" s="492">
        <f>AI65/AH65</f>
        <v>0.22381332724783204</v>
      </c>
      <c r="AK64" s="491"/>
      <c r="AL64" s="970"/>
      <c r="AM64" s="968"/>
      <c r="AN64" s="452"/>
      <c r="AO64" s="352">
        <f>AN65/AK65</f>
        <v>0.43398994132439234</v>
      </c>
      <c r="AP64" s="352"/>
      <c r="AQ64" s="324">
        <f>AN65/AM65</f>
        <v>0.29291957794687568</v>
      </c>
      <c r="AR64" s="344"/>
      <c r="AS64" s="574"/>
      <c r="AT64" s="574"/>
      <c r="AU64" s="316"/>
      <c r="AV64" s="350">
        <f>AU65/AR65</f>
        <v>0.41119755528846158</v>
      </c>
      <c r="AW64" s="350"/>
      <c r="AX64" s="324">
        <f>AU65/AT65</f>
        <v>0.37794940554980866</v>
      </c>
      <c r="AY64" s="471"/>
      <c r="AZ64" s="472"/>
      <c r="BA64" s="1425"/>
    </row>
    <row r="65" spans="1:57" ht="20.100000000000001" customHeight="1">
      <c r="A65" s="747" t="s">
        <v>200</v>
      </c>
      <c r="B65" s="748"/>
      <c r="C65" s="759"/>
      <c r="D65" s="753"/>
      <c r="E65" s="759"/>
      <c r="F65" s="459">
        <f>F156/1.17</f>
        <v>4957.264957264958</v>
      </c>
      <c r="G65" s="461">
        <f>G156/1.17</f>
        <v>4957.264957264958</v>
      </c>
      <c r="H65" s="461">
        <f>H156/1.17</f>
        <v>603.41880341880346</v>
      </c>
      <c r="I65" s="307">
        <f>H65-G65</f>
        <v>-4353.8461538461543</v>
      </c>
      <c r="J65" s="459">
        <f>J156/1.17</f>
        <v>16239.31623931624</v>
      </c>
      <c r="K65" s="461">
        <f>K156/1.17</f>
        <v>16239.31623931624</v>
      </c>
      <c r="L65" s="461">
        <f>L156/1.17</f>
        <v>2042.735042735043</v>
      </c>
      <c r="M65" s="307">
        <f>L65-K65</f>
        <v>-14196.581196581197</v>
      </c>
      <c r="N65" s="459">
        <f>N156/1.17</f>
        <v>16239.31623931624</v>
      </c>
      <c r="O65" s="461">
        <f>O156/1.17</f>
        <v>3477.7777777777778</v>
      </c>
      <c r="P65" s="841">
        <v>11817.778</v>
      </c>
      <c r="Q65" s="307">
        <f>P65-O65</f>
        <v>8340.0002222222229</v>
      </c>
      <c r="R65" s="462">
        <f>F65+J65+N65</f>
        <v>37435.897435897437</v>
      </c>
      <c r="S65" s="463"/>
      <c r="T65" s="460">
        <f>G65+K65+O65</f>
        <v>24674.358974358976</v>
      </c>
      <c r="U65" s="306">
        <f>H65+L65+P65</f>
        <v>14463.931846153846</v>
      </c>
      <c r="V65" s="461">
        <f>U65-R65</f>
        <v>-22971.965589743591</v>
      </c>
      <c r="W65" s="460"/>
      <c r="X65" s="307">
        <f>U65-T65</f>
        <v>-10210.42712820513</v>
      </c>
      <c r="Y65" s="459">
        <f>Y156/1.17</f>
        <v>16239.31623931624</v>
      </c>
      <c r="Z65" s="461">
        <f>Z156/1.17</f>
        <v>4667.5213675213681</v>
      </c>
      <c r="AA65" s="461">
        <f>AA156/1.17</f>
        <v>3059.82905982906</v>
      </c>
      <c r="AB65" s="465">
        <f>AA65-Z65</f>
        <v>-1607.6923076923081</v>
      </c>
      <c r="AC65" s="459">
        <f>AC156/1.17</f>
        <v>15282.051282051283</v>
      </c>
      <c r="AD65" s="461">
        <f>AD156/1.17</f>
        <v>25799.145299145301</v>
      </c>
      <c r="AE65" s="461">
        <f>AE156/1.17</f>
        <v>7935.0427350427353</v>
      </c>
      <c r="AF65" s="465">
        <f>AE65-AD65</f>
        <v>-17864.102564102566</v>
      </c>
      <c r="AG65" s="459">
        <f>AG156/1.17</f>
        <v>9264.9572649572656</v>
      </c>
      <c r="AH65" s="461">
        <f>AH156/1.17</f>
        <v>29962.393162393164</v>
      </c>
      <c r="AI65" s="461">
        <f>AI156/1.17</f>
        <v>6705.9829059829062</v>
      </c>
      <c r="AJ65" s="465">
        <f>AI65-AH65</f>
        <v>-23256.410256410258</v>
      </c>
      <c r="AK65" s="462">
        <f>Y65+AC65+AG65</f>
        <v>40786.324786324789</v>
      </c>
      <c r="AL65" s="463"/>
      <c r="AM65" s="460">
        <f>Z65+AD65+AH65</f>
        <v>60429.059829059828</v>
      </c>
      <c r="AN65" s="306">
        <f>AA65+AE65+AI65</f>
        <v>17700.854700854703</v>
      </c>
      <c r="AO65" s="489">
        <f>AN65-AK65</f>
        <v>-23085.470085470086</v>
      </c>
      <c r="AP65" s="489"/>
      <c r="AQ65" s="307">
        <f>AN65-AM65</f>
        <v>-42728.205128205125</v>
      </c>
      <c r="AR65" s="462">
        <f>SUM(R65,AK65)</f>
        <v>78222.222222222219</v>
      </c>
      <c r="AS65" s="1030"/>
      <c r="AT65" s="1024">
        <f>T65+AM65</f>
        <v>85103.418803418812</v>
      </c>
      <c r="AU65" s="306">
        <f>U65+AN65</f>
        <v>32164.786547008549</v>
      </c>
      <c r="AV65" s="303">
        <f>AU65-AR65</f>
        <v>-46057.435675213666</v>
      </c>
      <c r="AW65" s="303"/>
      <c r="AX65" s="307">
        <f>AU65-AT65</f>
        <v>-52938.632256410259</v>
      </c>
      <c r="AY65" s="457">
        <f>AR65/6</f>
        <v>13037.037037037036</v>
      </c>
      <c r="AZ65" s="458">
        <f>AU65/6</f>
        <v>5360.7977578347582</v>
      </c>
      <c r="BA65" s="1424">
        <v>5360.7977578347582</v>
      </c>
      <c r="BB65" s="302">
        <f>AZ65-AY65</f>
        <v>-7676.2392792022783</v>
      </c>
      <c r="BC65" s="302">
        <f>BA65-AY65</f>
        <v>-7676.2392792022783</v>
      </c>
      <c r="BD65" s="302">
        <f>BA65-AZ65</f>
        <v>0</v>
      </c>
      <c r="BE65" s="302">
        <f>AX65/6</f>
        <v>-8823.1053760683772</v>
      </c>
    </row>
    <row r="66" spans="1:57" ht="20.100000000000001" customHeight="1">
      <c r="A66" s="761"/>
      <c r="B66" s="761"/>
      <c r="C66" s="761"/>
      <c r="D66" s="765"/>
      <c r="E66" s="761"/>
      <c r="F66" s="447"/>
      <c r="G66" s="484"/>
      <c r="H66" s="484"/>
      <c r="I66" s="300">
        <f>H67/G67</f>
        <v>0.84994445761759851</v>
      </c>
      <c r="J66" s="447"/>
      <c r="K66" s="484"/>
      <c r="L66" s="484"/>
      <c r="M66" s="300">
        <f>L67/K67</f>
        <v>0.9256884680616595</v>
      </c>
      <c r="N66" s="447"/>
      <c r="O66" s="490"/>
      <c r="P66" s="484"/>
      <c r="Q66" s="339">
        <f>P67/O67</f>
        <v>0.96119677127465775</v>
      </c>
      <c r="R66" s="491"/>
      <c r="S66" s="970"/>
      <c r="T66" s="968"/>
      <c r="U66" s="318"/>
      <c r="V66" s="349">
        <f>U67/R67</f>
        <v>0.8527675436029456</v>
      </c>
      <c r="W66" s="350"/>
      <c r="X66" s="300">
        <f>U67/T67</f>
        <v>0.90742526419992053</v>
      </c>
      <c r="Y66" s="447"/>
      <c r="Z66" s="490"/>
      <c r="AA66" s="484"/>
      <c r="AB66" s="520">
        <f>AA67/Z67</f>
        <v>1.0060349544825193</v>
      </c>
      <c r="AC66" s="447"/>
      <c r="AD66" s="490"/>
      <c r="AE66" s="484"/>
      <c r="AF66" s="492">
        <f>AE67/AD67</f>
        <v>0.73243111464899968</v>
      </c>
      <c r="AG66" s="447"/>
      <c r="AH66" s="490"/>
      <c r="AI66" s="484"/>
      <c r="AJ66" s="492">
        <f>AI67/AH67</f>
        <v>0.6773489108478461</v>
      </c>
      <c r="AK66" s="491"/>
      <c r="AL66" s="970"/>
      <c r="AM66" s="968"/>
      <c r="AN66" s="318"/>
      <c r="AO66" s="352">
        <f>AN67/AK67</f>
        <v>0.88390085687015929</v>
      </c>
      <c r="AP66" s="352"/>
      <c r="AQ66" s="324">
        <f>AN67/AM67</f>
        <v>0.81169637780546544</v>
      </c>
      <c r="AR66" s="344"/>
      <c r="AS66" s="574"/>
      <c r="AT66" s="574"/>
      <c r="AU66" s="316"/>
      <c r="AV66" s="350">
        <f>AU67/AR67</f>
        <v>0.86750156540269807</v>
      </c>
      <c r="AW66" s="350"/>
      <c r="AX66" s="324">
        <f>AU67/AT67</f>
        <v>0.85859734743469918</v>
      </c>
      <c r="AY66" s="471"/>
      <c r="AZ66" s="472"/>
      <c r="BA66" s="1425"/>
      <c r="BB66" s="337"/>
      <c r="BC66" s="337"/>
      <c r="BD66" s="337"/>
      <c r="BE66" s="337"/>
    </row>
    <row r="67" spans="1:57" ht="20.100000000000001" customHeight="1" thickBot="1">
      <c r="A67" s="748" t="s">
        <v>201</v>
      </c>
      <c r="B67" s="748"/>
      <c r="C67" s="759"/>
      <c r="D67" s="753"/>
      <c r="E67" s="789"/>
      <c r="F67" s="958">
        <f>F43+F50+F61+F55+F59+F63+F65</f>
        <v>436992.30769230769</v>
      </c>
      <c r="G67" s="960">
        <f>G43+G50+G61+G55+G59+G63+G65</f>
        <v>432763.07692307694</v>
      </c>
      <c r="H67" s="1038">
        <f>H43+H50+H61+H55+H59+H63+H65</f>
        <v>367824.5786923077</v>
      </c>
      <c r="I67" s="959">
        <f>H67-G67</f>
        <v>-64938.498230769241</v>
      </c>
      <c r="J67" s="958">
        <f>J43+J50+J61+J55+J59+J63+J65</f>
        <v>350958.11965811969</v>
      </c>
      <c r="K67" s="960">
        <f>K43+K50+K61+K55+K59+K63+K65</f>
        <v>332957.26495726494</v>
      </c>
      <c r="L67" s="1038">
        <f>L43+L50+L61+L55+L59+L63+L65</f>
        <v>308214.70052829065</v>
      </c>
      <c r="M67" s="959">
        <f>L67-K67</f>
        <v>-24742.564428974292</v>
      </c>
      <c r="N67" s="958">
        <f>N43+N50+N61+N55+N59+N63+N65</f>
        <v>398780.34188034193</v>
      </c>
      <c r="O67" s="1391">
        <f>O43+O50+O61+O55+O59+O63+O65</f>
        <v>349529.05982905987</v>
      </c>
      <c r="P67" s="1397">
        <f>P43+P50+P61+P55+P59+P63+P65</f>
        <v>335966.20377435902</v>
      </c>
      <c r="Q67" s="1393">
        <f>P67-O67</f>
        <v>-13562.856054700853</v>
      </c>
      <c r="R67" s="969">
        <f>R43+R50+R61+R55+R59+R63+R65</f>
        <v>1186730.7692307692</v>
      </c>
      <c r="S67" s="1291"/>
      <c r="T67" s="1292">
        <f>T43+T50+T61+T55+T59+T63+T65</f>
        <v>1115249.4017094017</v>
      </c>
      <c r="U67" s="1391">
        <f>U43+U50+U61+U55+U59+U63+U65</f>
        <v>1012005.4829949572</v>
      </c>
      <c r="V67" s="1391">
        <f>U67-R67</f>
        <v>-174725.286235812</v>
      </c>
      <c r="W67" s="1394"/>
      <c r="X67" s="1393">
        <f>U67-T67</f>
        <v>-103243.9187144445</v>
      </c>
      <c r="Y67" s="958">
        <f t="shared" ref="Y67:AK67" si="77">Y43+Y50+Y61+Y55+Y59+Y63+Y65</f>
        <v>390088.03418803419</v>
      </c>
      <c r="Z67" s="1391">
        <f t="shared" si="77"/>
        <v>400983.16581196577</v>
      </c>
      <c r="AA67" s="1391">
        <f t="shared" si="77"/>
        <v>403403.08096589748</v>
      </c>
      <c r="AB67" s="1395">
        <f t="shared" si="77"/>
        <v>2419.9151539316563</v>
      </c>
      <c r="AC67" s="958">
        <f t="shared" si="77"/>
        <v>363503.41880341887</v>
      </c>
      <c r="AD67" s="1391">
        <f t="shared" si="77"/>
        <v>439147.86324786325</v>
      </c>
      <c r="AE67" s="1391">
        <f t="shared" si="77"/>
        <v>321645.55897435895</v>
      </c>
      <c r="AF67" s="1395">
        <f t="shared" si="77"/>
        <v>-117502.30427350427</v>
      </c>
      <c r="AG67" s="958">
        <f t="shared" si="77"/>
        <v>312632.47863247863</v>
      </c>
      <c r="AH67" s="1391">
        <f t="shared" si="77"/>
        <v>320938.88888888893</v>
      </c>
      <c r="AI67" s="1391">
        <f t="shared" si="77"/>
        <v>217387.60683760681</v>
      </c>
      <c r="AJ67" s="1395">
        <f t="shared" si="77"/>
        <v>-103551.28205128206</v>
      </c>
      <c r="AK67" s="969">
        <f t="shared" si="77"/>
        <v>1066223.9316239317</v>
      </c>
      <c r="AL67" s="1291"/>
      <c r="AM67" s="1292">
        <f>AM43+AM50+AM61+AM55+AM59+AM63+AM65</f>
        <v>1161069.9179487179</v>
      </c>
      <c r="AN67" s="1391">
        <f>AN43+AN50+AN61+AN55+AN59+AN63+AN65</f>
        <v>942436.24677786336</v>
      </c>
      <c r="AO67" s="1391">
        <f>AN67-AK67</f>
        <v>-123787.68484606838</v>
      </c>
      <c r="AP67" s="1394"/>
      <c r="AQ67" s="1393">
        <f>AQ43+AQ50+AQ61+AQ55+AQ59+AQ63+AQ65</f>
        <v>-218633.67117085471</v>
      </c>
      <c r="AR67" s="969">
        <f>AR43+AR50+AR61+AR55+AR59+AR63+AR65</f>
        <v>2252954.700854701</v>
      </c>
      <c r="AS67" s="1322"/>
      <c r="AT67" s="1322">
        <f>AT43+AT50+AT61+AT55+AT59+AT63+AT65</f>
        <v>2276319.3196581192</v>
      </c>
      <c r="AU67" s="1398">
        <f>AU43+AU50+AU61+AU55+AU59+AU63+AU65</f>
        <v>1954441.7297728204</v>
      </c>
      <c r="AV67" s="1396">
        <f>AV43+AV50+AV61+AV55+AV59+AV63+AV65</f>
        <v>-298512.97108188045</v>
      </c>
      <c r="AW67" s="1396"/>
      <c r="AX67" s="1393">
        <f>AU67-AT67</f>
        <v>-321877.58988529886</v>
      </c>
      <c r="AY67" s="457">
        <f>AR67/6</f>
        <v>375492.45014245017</v>
      </c>
      <c r="AZ67" s="458">
        <f>AU67/6</f>
        <v>325740.28829547006</v>
      </c>
      <c r="BA67" s="1424">
        <v>325740.28829547006</v>
      </c>
      <c r="BB67" s="302">
        <f>AZ67-AY67</f>
        <v>-49752.161846980103</v>
      </c>
      <c r="BC67" s="302">
        <f>BA67-AY67</f>
        <v>-49752.161846980103</v>
      </c>
      <c r="BD67" s="302">
        <f>BA67-AZ67</f>
        <v>0</v>
      </c>
      <c r="BE67" s="302">
        <f>AX67/6</f>
        <v>-53646.264980883141</v>
      </c>
    </row>
    <row r="68" spans="1:57" ht="14.25">
      <c r="A68" s="730"/>
      <c r="B68" s="730"/>
      <c r="C68" s="730"/>
      <c r="D68" s="730"/>
      <c r="E68" s="730"/>
      <c r="G68" s="523"/>
      <c r="H68" s="523"/>
      <c r="K68" s="523"/>
      <c r="L68" s="523"/>
      <c r="O68" s="523"/>
      <c r="P68" s="523"/>
      <c r="R68" s="325"/>
      <c r="S68" s="325"/>
      <c r="T68" s="325"/>
      <c r="U68" s="346"/>
      <c r="V68" s="325"/>
      <c r="W68" s="325"/>
      <c r="Z68" s="523"/>
      <c r="AA68" s="523"/>
      <c r="AD68" s="523"/>
      <c r="AE68" s="523"/>
      <c r="AH68" s="523"/>
      <c r="AI68" s="523"/>
      <c r="AK68" s="325"/>
      <c r="AL68" s="325"/>
      <c r="AM68" s="325"/>
      <c r="AN68" s="346"/>
      <c r="AO68" s="325"/>
      <c r="AP68" s="325"/>
      <c r="AY68" s="416"/>
      <c r="AZ68" s="416"/>
    </row>
    <row r="69" spans="1:57" ht="20.25" thickBot="1">
      <c r="A69" s="779" t="s">
        <v>209</v>
      </c>
      <c r="B69" s="780"/>
      <c r="C69" s="781"/>
      <c r="D69" s="781"/>
      <c r="E69" s="781"/>
      <c r="F69" s="524"/>
      <c r="G69" s="524"/>
      <c r="H69" s="524"/>
      <c r="I69" s="347"/>
      <c r="J69" s="524"/>
      <c r="K69" s="524"/>
      <c r="L69" s="524"/>
      <c r="M69" s="347"/>
      <c r="N69" s="524"/>
      <c r="O69" s="524"/>
      <c r="P69" s="524"/>
      <c r="Q69" s="347">
        <v>0</v>
      </c>
      <c r="R69" s="279"/>
      <c r="S69" s="279"/>
      <c r="T69" s="279"/>
      <c r="U69" s="506"/>
      <c r="V69" s="506"/>
      <c r="W69" s="506"/>
      <c r="X69" s="524"/>
      <c r="Y69" s="524"/>
      <c r="Z69" s="524"/>
      <c r="AA69" s="524"/>
      <c r="AB69" s="524"/>
      <c r="AC69" s="524"/>
      <c r="AD69" s="524"/>
      <c r="AE69" s="524"/>
      <c r="AF69" s="524"/>
      <c r="AG69" s="524"/>
      <c r="AH69" s="524"/>
      <c r="AI69" s="524"/>
      <c r="AJ69" s="524"/>
      <c r="AK69" s="279"/>
      <c r="AL69" s="279"/>
      <c r="AM69" s="279"/>
      <c r="AN69" s="506"/>
      <c r="AO69" s="506"/>
      <c r="AP69" s="506"/>
      <c r="AQ69" s="524"/>
      <c r="AR69" s="418"/>
      <c r="AS69" s="418"/>
      <c r="AU69" s="418"/>
      <c r="AV69" s="347"/>
      <c r="AW69" s="347"/>
      <c r="AX69" s="421" t="s">
        <v>34</v>
      </c>
      <c r="AY69" s="416"/>
      <c r="AZ69" s="416"/>
      <c r="BA69" s="1419">
        <v>43109.442187037035</v>
      </c>
      <c r="BB69" s="1557">
        <f ca="1">NOW()</f>
        <v>43137.457754513889</v>
      </c>
      <c r="BC69" s="1557"/>
      <c r="BD69" s="1557"/>
      <c r="BE69" s="1557"/>
    </row>
    <row r="70" spans="1:57" ht="20.100000000000001" customHeight="1" thickBot="1">
      <c r="A70" s="732"/>
      <c r="B70" s="732"/>
      <c r="C70" s="732"/>
      <c r="D70" s="733"/>
      <c r="E70" s="1494"/>
      <c r="F70" s="1558" t="str">
        <f>F3</f>
        <v>17/9</v>
      </c>
      <c r="G70" s="1560"/>
      <c r="H70" s="1560"/>
      <c r="I70" s="1561">
        <v>0</v>
      </c>
      <c r="J70" s="1558" t="str">
        <f>J3</f>
        <v>17/10</v>
      </c>
      <c r="K70" s="1559"/>
      <c r="L70" s="1560"/>
      <c r="M70" s="1561">
        <v>0</v>
      </c>
      <c r="N70" s="1558" t="str">
        <f>N3</f>
        <v>17/11</v>
      </c>
      <c r="O70" s="1559"/>
      <c r="P70" s="1560"/>
      <c r="Q70" s="1561">
        <v>0</v>
      </c>
      <c r="R70" s="1558" t="str">
        <f>R3</f>
        <v>17/9-17/11累計</v>
      </c>
      <c r="S70" s="1559"/>
      <c r="T70" s="1559"/>
      <c r="U70" s="1560"/>
      <c r="V70" s="1559"/>
      <c r="W70" s="1559"/>
      <c r="X70" s="1561"/>
      <c r="Y70" s="1558" t="str">
        <f>Y3</f>
        <v>17/12</v>
      </c>
      <c r="Z70" s="1559"/>
      <c r="AA70" s="1560"/>
      <c r="AB70" s="1561">
        <v>0</v>
      </c>
      <c r="AC70" s="1578" t="str">
        <f>AC3</f>
        <v>18/1</v>
      </c>
      <c r="AD70" s="1560"/>
      <c r="AE70" s="1560"/>
      <c r="AF70" s="1579">
        <v>0</v>
      </c>
      <c r="AG70" s="1558" t="str">
        <f>AG3</f>
        <v>18/2</v>
      </c>
      <c r="AH70" s="1559"/>
      <c r="AI70" s="1560"/>
      <c r="AJ70" s="1561">
        <v>0</v>
      </c>
      <c r="AK70" s="1558" t="str">
        <f>AK3</f>
        <v>17/12-18/2累計</v>
      </c>
      <c r="AL70" s="1559"/>
      <c r="AM70" s="1559"/>
      <c r="AN70" s="1560"/>
      <c r="AO70" s="1559"/>
      <c r="AP70" s="1559"/>
      <c r="AQ70" s="1561"/>
      <c r="AR70" s="1562" t="str">
        <f>AR3</f>
        <v>17/下(17/12-18/2)累計</v>
      </c>
      <c r="AS70" s="1563"/>
      <c r="AT70" s="1563"/>
      <c r="AU70" s="1563"/>
      <c r="AV70" s="1563"/>
      <c r="AW70" s="1563"/>
      <c r="AX70" s="1564"/>
      <c r="AY70" s="422"/>
      <c r="AZ70" s="423"/>
      <c r="BA70" s="1420"/>
      <c r="BB70" s="1039"/>
      <c r="BC70" s="280"/>
      <c r="BD70" s="280"/>
      <c r="BE70" s="280"/>
    </row>
    <row r="71" spans="1:57" ht="20.100000000000001" customHeight="1" thickTop="1">
      <c r="A71" s="734"/>
      <c r="B71" s="734"/>
      <c r="C71" s="734"/>
      <c r="D71" s="735"/>
      <c r="E71" s="734"/>
      <c r="F71" s="525" t="s">
        <v>38</v>
      </c>
      <c r="G71" s="526" t="str">
        <f>G4</f>
        <v>前回計画</v>
      </c>
      <c r="H71" s="527" t="str">
        <f>H4</f>
        <v>実績</v>
      </c>
      <c r="I71" s="1040" t="s">
        <v>301</v>
      </c>
      <c r="J71" s="525" t="str">
        <f>J4</f>
        <v>レビュー</v>
      </c>
      <c r="K71" s="526" t="str">
        <f>K4</f>
        <v>前回計画</v>
      </c>
      <c r="L71" s="527" t="str">
        <f>L4</f>
        <v>実績</v>
      </c>
      <c r="M71" s="528" t="s">
        <v>337</v>
      </c>
      <c r="N71" s="525" t="str">
        <f>N4</f>
        <v>レビュー</v>
      </c>
      <c r="O71" s="526" t="str">
        <f>O4</f>
        <v>計画</v>
      </c>
      <c r="P71" s="527" t="s">
        <v>365</v>
      </c>
      <c r="Q71" s="1040" t="s">
        <v>366</v>
      </c>
      <c r="R71" s="525" t="str">
        <f>R4</f>
        <v>レビュー</v>
      </c>
      <c r="S71" s="285"/>
      <c r="T71" s="282" t="s">
        <v>367</v>
      </c>
      <c r="U71" s="283" t="str">
        <f>U4</f>
        <v>実績</v>
      </c>
      <c r="V71" s="282" t="str">
        <f>V4</f>
        <v>レビュー差異</v>
      </c>
      <c r="W71" s="327"/>
      <c r="X71" s="348" t="s">
        <v>368</v>
      </c>
      <c r="Y71" s="525" t="str">
        <f>Y4</f>
        <v>レビュー</v>
      </c>
      <c r="Z71" s="526" t="str">
        <f>Z4</f>
        <v>前回計画</v>
      </c>
      <c r="AA71" s="527" t="s">
        <v>388</v>
      </c>
      <c r="AB71" s="528" t="s">
        <v>389</v>
      </c>
      <c r="AC71" s="525" t="str">
        <f>AC4</f>
        <v>レビュー</v>
      </c>
      <c r="AD71" s="526" t="str">
        <f>AD4</f>
        <v>前回計画</v>
      </c>
      <c r="AE71" s="1041" t="str">
        <f>AE4</f>
        <v>今回計画</v>
      </c>
      <c r="AF71" s="528" t="s">
        <v>389</v>
      </c>
      <c r="AG71" s="525" t="str">
        <f>AG4</f>
        <v>レビュー</v>
      </c>
      <c r="AH71" s="526" t="str">
        <f>AH4</f>
        <v>前回計画</v>
      </c>
      <c r="AI71" s="1041" t="str">
        <f>AI4</f>
        <v>今回計画</v>
      </c>
      <c r="AJ71" s="528" t="s">
        <v>360</v>
      </c>
      <c r="AK71" s="284" t="str">
        <f>AK4</f>
        <v>レビュー</v>
      </c>
      <c r="AL71" s="285"/>
      <c r="AM71" s="285" t="s">
        <v>390</v>
      </c>
      <c r="AN71" s="283" t="str">
        <f>AN4</f>
        <v>今回見通</v>
      </c>
      <c r="AO71" s="285" t="s">
        <v>384</v>
      </c>
      <c r="AP71" s="285"/>
      <c r="AQ71" s="348" t="s">
        <v>360</v>
      </c>
      <c r="AR71" s="284" t="str">
        <f>AR4</f>
        <v>レビュー</v>
      </c>
      <c r="AS71" s="288"/>
      <c r="AT71" s="288" t="s">
        <v>391</v>
      </c>
      <c r="AU71" s="283" t="str">
        <f>AU4</f>
        <v>今回見通</v>
      </c>
      <c r="AV71" s="327" t="str">
        <f>AV4</f>
        <v>レビュー差異</v>
      </c>
      <c r="AW71" s="327"/>
      <c r="AX71" s="286" t="s">
        <v>392</v>
      </c>
      <c r="AY71" s="424" t="s">
        <v>45</v>
      </c>
      <c r="AZ71" s="427" t="str">
        <f>AZ4</f>
        <v>見通し平均</v>
      </c>
      <c r="BA71" s="1426" t="s">
        <v>321</v>
      </c>
      <c r="BB71" s="278" t="s">
        <v>299</v>
      </c>
      <c r="BC71" s="278" t="s">
        <v>277</v>
      </c>
      <c r="BD71" s="278" t="str">
        <f>BD4</f>
        <v>月目標差</v>
      </c>
      <c r="BE71" s="278" t="s">
        <v>279</v>
      </c>
    </row>
    <row r="72" spans="1:57" ht="20.100000000000001" customHeight="1">
      <c r="A72" s="736"/>
      <c r="B72" s="1570" t="s">
        <v>185</v>
      </c>
      <c r="C72" s="1571"/>
      <c r="D72" s="782"/>
      <c r="E72" s="1501"/>
      <c r="F72" s="535">
        <v>8200</v>
      </c>
      <c r="G72" s="536">
        <v>8200</v>
      </c>
      <c r="H72" s="537">
        <v>8206.61132</v>
      </c>
      <c r="I72" s="360">
        <f>H72-G72</f>
        <v>6.6113199999999779</v>
      </c>
      <c r="J72" s="535">
        <v>6500</v>
      </c>
      <c r="K72" s="536">
        <v>5500</v>
      </c>
      <c r="L72" s="537">
        <v>5175.9209199999987</v>
      </c>
      <c r="M72" s="592">
        <f>L72-K72</f>
        <v>-324.07908000000134</v>
      </c>
      <c r="N72" s="535">
        <v>6300</v>
      </c>
      <c r="O72" s="536">
        <v>6000</v>
      </c>
      <c r="P72" s="537">
        <v>5470.4665999999997</v>
      </c>
      <c r="Q72" s="360">
        <f>P72-O72</f>
        <v>-529.53340000000026</v>
      </c>
      <c r="R72" s="294">
        <f>F72+J72+N72</f>
        <v>21000</v>
      </c>
      <c r="S72" s="332"/>
      <c r="T72" s="332">
        <f t="shared" ref="T72:U75" si="78">G72+K72+O72</f>
        <v>19700</v>
      </c>
      <c r="U72" s="329">
        <f t="shared" si="78"/>
        <v>18852.99884</v>
      </c>
      <c r="V72" s="329">
        <f>U72-R72</f>
        <v>-2147.0011599999998</v>
      </c>
      <c r="W72" s="330"/>
      <c r="X72" s="500">
        <f>U72-T72</f>
        <v>-847.0011599999998</v>
      </c>
      <c r="Y72" s="535">
        <v>6300</v>
      </c>
      <c r="Z72" s="536">
        <v>7000</v>
      </c>
      <c r="AA72" s="537">
        <v>5810.2340400000003</v>
      </c>
      <c r="AB72" s="592">
        <f>AA72-Z72</f>
        <v>-1189.7659599999997</v>
      </c>
      <c r="AC72" s="535">
        <v>5500</v>
      </c>
      <c r="AD72" s="536">
        <v>5000</v>
      </c>
      <c r="AE72" s="1042">
        <f>AD72</f>
        <v>5000</v>
      </c>
      <c r="AF72" s="592">
        <f>AE72-AD72</f>
        <v>0</v>
      </c>
      <c r="AG72" s="535">
        <v>3500</v>
      </c>
      <c r="AH72" s="536">
        <v>4000</v>
      </c>
      <c r="AI72" s="1042">
        <f>AH72</f>
        <v>4000</v>
      </c>
      <c r="AJ72" s="592">
        <f>AI72-AH72</f>
        <v>0</v>
      </c>
      <c r="AK72" s="294">
        <f>Y72+AC72+AG72</f>
        <v>15300</v>
      </c>
      <c r="AL72" s="538"/>
      <c r="AM72" s="329">
        <f t="shared" ref="AM72:AN75" si="79">Z72+AD72+AH72</f>
        <v>16000</v>
      </c>
      <c r="AN72" s="433">
        <f t="shared" si="79"/>
        <v>14810.234039999999</v>
      </c>
      <c r="AO72" s="436">
        <f>AN72-AK72</f>
        <v>-489.76596000000063</v>
      </c>
      <c r="AP72" s="533"/>
      <c r="AQ72" s="534">
        <f>AN72-AM72</f>
        <v>-1189.7659600000006</v>
      </c>
      <c r="AR72" s="496">
        <f>AK72+R72</f>
        <v>36300</v>
      </c>
      <c r="AS72" s="1031"/>
      <c r="AT72" s="1018">
        <f>T72+AM72</f>
        <v>35700</v>
      </c>
      <c r="AU72" s="329">
        <f>SUM(U72,AN72)</f>
        <v>33663.232879999996</v>
      </c>
      <c r="AV72" s="1043">
        <f>AU72-AR72</f>
        <v>-2636.7671200000041</v>
      </c>
      <c r="AW72" s="295"/>
      <c r="AX72" s="503">
        <f>AU72-AT72</f>
        <v>-2036.7671200000041</v>
      </c>
      <c r="AY72" s="471"/>
      <c r="AZ72" s="438"/>
      <c r="BA72" s="1422"/>
      <c r="BB72" s="293"/>
      <c r="BC72" s="293"/>
      <c r="BD72" s="293"/>
      <c r="BE72" s="293"/>
    </row>
    <row r="73" spans="1:57" ht="20.100000000000001" customHeight="1">
      <c r="A73" s="739"/>
      <c r="B73" s="739"/>
      <c r="C73" s="742" t="s">
        <v>210</v>
      </c>
      <c r="D73" s="741"/>
      <c r="E73" s="1491"/>
      <c r="F73" s="535">
        <v>19500</v>
      </c>
      <c r="G73" s="536">
        <v>19500</v>
      </c>
      <c r="H73" s="537">
        <v>8330.5360000000001</v>
      </c>
      <c r="I73" s="360"/>
      <c r="J73" s="535">
        <v>21000</v>
      </c>
      <c r="K73" s="536">
        <v>12000</v>
      </c>
      <c r="L73" s="537">
        <v>9910.8790000000008</v>
      </c>
      <c r="M73" s="592"/>
      <c r="N73" s="535">
        <v>21000</v>
      </c>
      <c r="O73" s="536">
        <v>12000</v>
      </c>
      <c r="P73" s="1399">
        <v>9153.3349999999991</v>
      </c>
      <c r="Q73" s="360"/>
      <c r="R73" s="294">
        <f>F73+J73+N73</f>
        <v>61500</v>
      </c>
      <c r="S73" s="332"/>
      <c r="T73" s="332">
        <f t="shared" si="78"/>
        <v>43500</v>
      </c>
      <c r="U73" s="329">
        <f t="shared" si="78"/>
        <v>27394.75</v>
      </c>
      <c r="V73" s="329">
        <f>U73-R73</f>
        <v>-34105.25</v>
      </c>
      <c r="W73" s="330"/>
      <c r="X73" s="500"/>
      <c r="Y73" s="535">
        <v>22600</v>
      </c>
      <c r="Z73" s="536">
        <v>14000</v>
      </c>
      <c r="AA73" s="537">
        <v>9294.9240000000009</v>
      </c>
      <c r="AB73" s="592"/>
      <c r="AC73" s="1044">
        <v>16000</v>
      </c>
      <c r="AD73" s="1045">
        <v>12000</v>
      </c>
      <c r="AE73" s="1042">
        <f>AD73</f>
        <v>12000</v>
      </c>
      <c r="AF73" s="592"/>
      <c r="AG73" s="535">
        <v>10000</v>
      </c>
      <c r="AH73" s="536">
        <v>9000</v>
      </c>
      <c r="AI73" s="1042">
        <f>AH73</f>
        <v>9000</v>
      </c>
      <c r="AJ73" s="592"/>
      <c r="AK73" s="294">
        <f>Y73+AC73+AG73</f>
        <v>48600</v>
      </c>
      <c r="AL73" s="538"/>
      <c r="AM73" s="329">
        <f t="shared" si="79"/>
        <v>35000</v>
      </c>
      <c r="AN73" s="433">
        <f t="shared" si="79"/>
        <v>30294.923999999999</v>
      </c>
      <c r="AO73" s="436">
        <f>AN73-AK73</f>
        <v>-18305.076000000001</v>
      </c>
      <c r="AP73" s="533"/>
      <c r="AQ73" s="534">
        <f>AN73-AM73</f>
        <v>-4705.0760000000009</v>
      </c>
      <c r="AR73" s="496">
        <f>AK73+R73</f>
        <v>110100</v>
      </c>
      <c r="AS73" s="1031"/>
      <c r="AT73" s="1018">
        <f>T73+AM73</f>
        <v>78500</v>
      </c>
      <c r="AU73" s="329">
        <f>SUM(U73,AN73)</f>
        <v>57689.673999999999</v>
      </c>
      <c r="AV73" s="330">
        <f>AU73-AR73</f>
        <v>-52410.326000000001</v>
      </c>
      <c r="AW73" s="330"/>
      <c r="AX73" s="442">
        <f>AU73-AT73</f>
        <v>-20810.326000000001</v>
      </c>
      <c r="AY73" s="471"/>
      <c r="AZ73" s="438"/>
      <c r="BA73" s="1422"/>
      <c r="BB73" s="293"/>
      <c r="BC73" s="293"/>
      <c r="BD73" s="293"/>
      <c r="BE73" s="293"/>
    </row>
    <row r="74" spans="1:57" ht="20.100000000000001" customHeight="1">
      <c r="A74" s="739"/>
      <c r="B74" s="739"/>
      <c r="C74" s="742" t="s">
        <v>160</v>
      </c>
      <c r="D74" s="743"/>
      <c r="E74" s="785"/>
      <c r="F74" s="625">
        <v>7000</v>
      </c>
      <c r="G74" s="530">
        <v>7000</v>
      </c>
      <c r="H74" s="531">
        <v>1034.771</v>
      </c>
      <c r="I74" s="541"/>
      <c r="J74" s="625">
        <v>9000</v>
      </c>
      <c r="K74" s="530">
        <v>1300</v>
      </c>
      <c r="L74" s="531">
        <v>501.91300000000001</v>
      </c>
      <c r="M74" s="544"/>
      <c r="N74" s="625">
        <v>8900</v>
      </c>
      <c r="O74" s="530">
        <v>1900</v>
      </c>
      <c r="P74" s="531">
        <v>1278.606</v>
      </c>
      <c r="Q74" s="541"/>
      <c r="R74" s="290">
        <f>F74+J74+N74</f>
        <v>24900</v>
      </c>
      <c r="S74" s="436"/>
      <c r="T74" s="436">
        <f t="shared" si="78"/>
        <v>10200</v>
      </c>
      <c r="U74" s="433">
        <f t="shared" si="78"/>
        <v>2815.29</v>
      </c>
      <c r="V74" s="433">
        <f>U74-R74</f>
        <v>-22084.71</v>
      </c>
      <c r="W74" s="295"/>
      <c r="X74" s="1047"/>
      <c r="Y74" s="625">
        <v>9000</v>
      </c>
      <c r="Z74" s="530">
        <v>2000</v>
      </c>
      <c r="AA74" s="531">
        <v>824.96600000000001</v>
      </c>
      <c r="AB74" s="544"/>
      <c r="AC74" s="625">
        <v>7000</v>
      </c>
      <c r="AD74" s="530">
        <v>2000</v>
      </c>
      <c r="AE74" s="1046">
        <f>AD74</f>
        <v>2000</v>
      </c>
      <c r="AF74" s="544"/>
      <c r="AG74" s="625">
        <v>4400</v>
      </c>
      <c r="AH74" s="530">
        <v>1400</v>
      </c>
      <c r="AI74" s="1046">
        <f>AH74</f>
        <v>1400</v>
      </c>
      <c r="AJ74" s="544"/>
      <c r="AK74" s="290">
        <f>Y74+AC74+AG74</f>
        <v>20400</v>
      </c>
      <c r="AL74" s="1018"/>
      <c r="AM74" s="433">
        <f t="shared" si="79"/>
        <v>5400</v>
      </c>
      <c r="AN74" s="433">
        <f t="shared" si="79"/>
        <v>4224.9660000000003</v>
      </c>
      <c r="AO74" s="436">
        <f>AN74-AK74</f>
        <v>-16175.034</v>
      </c>
      <c r="AP74" s="533"/>
      <c r="AQ74" s="534">
        <f>AN74-AM74</f>
        <v>-1175.0339999999997</v>
      </c>
      <c r="AR74" s="496">
        <f>AK74+R74</f>
        <v>45300</v>
      </c>
      <c r="AS74" s="1031"/>
      <c r="AT74" s="1018">
        <f>T74+AM74</f>
        <v>15600</v>
      </c>
      <c r="AU74" s="433">
        <f>SUM(U74,AN74)</f>
        <v>7040.2560000000003</v>
      </c>
      <c r="AV74" s="329">
        <f>AU74-AR74</f>
        <v>-38259.743999999999</v>
      </c>
      <c r="AW74" s="295"/>
      <c r="AX74" s="509">
        <f>AU74-AT74</f>
        <v>-8559.7439999999988</v>
      </c>
      <c r="AY74" s="471"/>
      <c r="AZ74" s="438"/>
      <c r="BA74" s="1422"/>
      <c r="BB74" s="293"/>
      <c r="BC74" s="293"/>
      <c r="BD74" s="293"/>
      <c r="BE74" s="293"/>
    </row>
    <row r="75" spans="1:57" ht="20.100000000000001" customHeight="1">
      <c r="A75" s="738"/>
      <c r="B75" s="1567" t="s">
        <v>211</v>
      </c>
      <c r="C75" s="1568"/>
      <c r="D75" s="783"/>
      <c r="E75" s="1492"/>
      <c r="F75" s="519">
        <v>86600</v>
      </c>
      <c r="G75" s="627">
        <v>86600</v>
      </c>
      <c r="H75" s="628">
        <v>86731.255599999989</v>
      </c>
      <c r="I75" s="532">
        <f>H75-G75</f>
        <v>131.2555999999895</v>
      </c>
      <c r="J75" s="519">
        <v>93000</v>
      </c>
      <c r="K75" s="627">
        <v>83000</v>
      </c>
      <c r="L75" s="628">
        <v>80408.922289999988</v>
      </c>
      <c r="M75" s="1293">
        <f>L75-K75</f>
        <v>-2591.0777100000123</v>
      </c>
      <c r="N75" s="519">
        <v>85000</v>
      </c>
      <c r="O75" s="627">
        <v>82000</v>
      </c>
      <c r="P75" s="628">
        <v>82556.769950000002</v>
      </c>
      <c r="Q75" s="1294">
        <f>P75-O75</f>
        <v>556.7699500000017</v>
      </c>
      <c r="R75" s="290">
        <f>F75+J75+N75</f>
        <v>264600</v>
      </c>
      <c r="S75" s="436"/>
      <c r="T75" s="501">
        <f t="shared" si="78"/>
        <v>251600</v>
      </c>
      <c r="U75" s="498">
        <f t="shared" si="78"/>
        <v>249696.94783999998</v>
      </c>
      <c r="V75" s="498">
        <f>U75-R75</f>
        <v>-14903.052160000021</v>
      </c>
      <c r="W75" s="499"/>
      <c r="X75" s="500">
        <f>U75-T75</f>
        <v>-1903.0521600000211</v>
      </c>
      <c r="Y75" s="519">
        <v>86400</v>
      </c>
      <c r="Z75" s="627">
        <v>86500</v>
      </c>
      <c r="AA75" s="628">
        <v>88812.982269999993</v>
      </c>
      <c r="AB75" s="1293">
        <f>AA75-Z75</f>
        <v>2312.9822699999932</v>
      </c>
      <c r="AC75" s="519">
        <v>59300</v>
      </c>
      <c r="AD75" s="627">
        <f t="shared" ref="AD75" si="80">AC75</f>
        <v>59300</v>
      </c>
      <c r="AE75" s="1048">
        <f>AD75</f>
        <v>59300</v>
      </c>
      <c r="AF75" s="1293">
        <f>AE75-AD75</f>
        <v>0</v>
      </c>
      <c r="AG75" s="519">
        <v>37300</v>
      </c>
      <c r="AH75" s="627">
        <v>37400</v>
      </c>
      <c r="AI75" s="1048">
        <f>AH75</f>
        <v>37400</v>
      </c>
      <c r="AJ75" s="1293">
        <f>AI75-AH75</f>
        <v>0</v>
      </c>
      <c r="AK75" s="290">
        <f>Y75+AC75+AG75</f>
        <v>183000</v>
      </c>
      <c r="AL75" s="436"/>
      <c r="AM75" s="501">
        <f t="shared" si="79"/>
        <v>183200</v>
      </c>
      <c r="AN75" s="498">
        <f t="shared" si="79"/>
        <v>185512.98226999998</v>
      </c>
      <c r="AO75" s="501">
        <f>AN75-AK75</f>
        <v>2512.9822699999786</v>
      </c>
      <c r="AP75" s="501"/>
      <c r="AQ75" s="500">
        <f>AN75-AM75</f>
        <v>2312.9822699999786</v>
      </c>
      <c r="AR75" s="496">
        <f>AK75+R75</f>
        <v>447600</v>
      </c>
      <c r="AS75" s="1032"/>
      <c r="AT75" s="1018">
        <f>T75+AM75</f>
        <v>434800</v>
      </c>
      <c r="AU75" s="430">
        <f>SUM(U75,AN75)</f>
        <v>435209.93010999996</v>
      </c>
      <c r="AV75" s="508">
        <f>AU75-AR75</f>
        <v>-12390.069890000043</v>
      </c>
      <c r="AW75" s="508"/>
      <c r="AX75" s="503">
        <f>AU75-AT75</f>
        <v>409.93010999995749</v>
      </c>
      <c r="AY75" s="471"/>
      <c r="AZ75" s="445"/>
      <c r="BA75" s="1423"/>
      <c r="BB75" s="416"/>
      <c r="BC75" s="416"/>
      <c r="BD75" s="416"/>
      <c r="BE75" s="416"/>
    </row>
    <row r="76" spans="1:57" ht="20.100000000000001" customHeight="1">
      <c r="A76" s="784" t="s">
        <v>46</v>
      </c>
      <c r="B76" s="785"/>
      <c r="C76" s="786"/>
      <c r="D76" s="769"/>
      <c r="E76" s="1499"/>
      <c r="F76" s="545"/>
      <c r="G76" s="546"/>
      <c r="H76" s="547"/>
      <c r="I76" s="548">
        <f>H77/G77</f>
        <v>1.0014542924050631</v>
      </c>
      <c r="J76" s="545"/>
      <c r="K76" s="546"/>
      <c r="L76" s="547"/>
      <c r="M76" s="1295">
        <f>L77/K77</f>
        <v>0.96706037525423716</v>
      </c>
      <c r="N76" s="545"/>
      <c r="O76" s="546"/>
      <c r="P76" s="547"/>
      <c r="Q76" s="1295">
        <f>P77/O77</f>
        <v>1.00030950625</v>
      </c>
      <c r="R76" s="552"/>
      <c r="S76" s="550"/>
      <c r="T76" s="550"/>
      <c r="U76" s="451"/>
      <c r="V76" s="551">
        <f>U77/R77</f>
        <v>0.94030093375350121</v>
      </c>
      <c r="W76" s="617"/>
      <c r="X76" s="300">
        <f>U77/T77</f>
        <v>0.98986342307408748</v>
      </c>
      <c r="Y76" s="545"/>
      <c r="Z76" s="546"/>
      <c r="AA76" s="547"/>
      <c r="AB76" s="1295">
        <f>AA77/Z77</f>
        <v>1.0120130086631014</v>
      </c>
      <c r="AC76" s="545"/>
      <c r="AD76" s="546"/>
      <c r="AE76" s="1049"/>
      <c r="AF76" s="1296">
        <f>AE77/AD77</f>
        <v>1</v>
      </c>
      <c r="AG76" s="545"/>
      <c r="AH76" s="546"/>
      <c r="AI76" s="1049"/>
      <c r="AJ76" s="1296">
        <f>AI77/AH77</f>
        <v>1</v>
      </c>
      <c r="AK76" s="552"/>
      <c r="AL76" s="550"/>
      <c r="AM76" s="550"/>
      <c r="AN76" s="451"/>
      <c r="AO76" s="553">
        <f>AN77/AK77</f>
        <v>1.0102028053958647</v>
      </c>
      <c r="AP76" s="553"/>
      <c r="AQ76" s="335">
        <f>AN77/AM77</f>
        <v>1.0056386360943774</v>
      </c>
      <c r="AR76" s="351"/>
      <c r="AS76" s="1050"/>
      <c r="AT76" s="555"/>
      <c r="AU76" s="556"/>
      <c r="AV76" s="454">
        <f>AU77/AR77</f>
        <v>0.96894640006199617</v>
      </c>
      <c r="AW76" s="454"/>
      <c r="AX76" s="324">
        <f>AU77/AT77</f>
        <v>0.99654232303931967</v>
      </c>
      <c r="AY76" s="471"/>
      <c r="AZ76" s="558"/>
      <c r="BA76" s="1427"/>
      <c r="BB76" s="353"/>
      <c r="BC76" s="353"/>
      <c r="BD76" s="353"/>
      <c r="BE76" s="353"/>
    </row>
    <row r="77" spans="1:57" ht="20.100000000000001" customHeight="1">
      <c r="A77" s="787" t="s">
        <v>47</v>
      </c>
      <c r="B77" s="759"/>
      <c r="C77" s="759"/>
      <c r="D77" s="753"/>
      <c r="E77" s="759"/>
      <c r="F77" s="559">
        <f>F72+F75</f>
        <v>94800</v>
      </c>
      <c r="G77" s="560">
        <f>G72+G75</f>
        <v>94800</v>
      </c>
      <c r="H77" s="561">
        <f>H72+H75</f>
        <v>94937.866919999986</v>
      </c>
      <c r="I77" s="562">
        <f>H77-G77</f>
        <v>137.86691999998584</v>
      </c>
      <c r="J77" s="559">
        <f>J72+J75</f>
        <v>99500</v>
      </c>
      <c r="K77" s="560">
        <f>K72+K75</f>
        <v>88500</v>
      </c>
      <c r="L77" s="561">
        <f>L72+L75</f>
        <v>85584.843209999992</v>
      </c>
      <c r="M77" s="562">
        <f>L77-K77</f>
        <v>-2915.1567900000082</v>
      </c>
      <c r="N77" s="559">
        <f>N72+N75</f>
        <v>91300</v>
      </c>
      <c r="O77" s="560">
        <f>O72+O75</f>
        <v>88000</v>
      </c>
      <c r="P77" s="561">
        <f>P72+P75</f>
        <v>88027.236550000001</v>
      </c>
      <c r="Q77" s="562">
        <f>P77-O77</f>
        <v>27.236550000001444</v>
      </c>
      <c r="R77" s="462">
        <f>F77+J77+N77</f>
        <v>285600</v>
      </c>
      <c r="S77" s="463"/>
      <c r="T77" s="463">
        <f t="shared" ref="T77:U79" si="81">G77+K77+O77</f>
        <v>271300</v>
      </c>
      <c r="U77" s="464">
        <f t="shared" si="81"/>
        <v>268549.94667999994</v>
      </c>
      <c r="V77" s="461">
        <f>U77-R77</f>
        <v>-17050.053320000065</v>
      </c>
      <c r="W77" s="460"/>
      <c r="X77" s="465">
        <f>U77-T77</f>
        <v>-2750.0533200000646</v>
      </c>
      <c r="Y77" s="559">
        <f>Y72+Y75</f>
        <v>92700</v>
      </c>
      <c r="Z77" s="560">
        <f>Z72+Z75</f>
        <v>93500</v>
      </c>
      <c r="AA77" s="561">
        <f>AA72+AA75</f>
        <v>94623.216309999989</v>
      </c>
      <c r="AB77" s="562">
        <f>AA77-Z77</f>
        <v>1123.2163099999889</v>
      </c>
      <c r="AC77" s="559">
        <f>AC72+AC75</f>
        <v>64800</v>
      </c>
      <c r="AD77" s="560">
        <f>AD72+AD75</f>
        <v>64300</v>
      </c>
      <c r="AE77" s="1051">
        <f>AE72+AE75</f>
        <v>64300</v>
      </c>
      <c r="AF77" s="562">
        <f>AE77-AD77</f>
        <v>0</v>
      </c>
      <c r="AG77" s="559">
        <f>AG72+AG75</f>
        <v>40800</v>
      </c>
      <c r="AH77" s="560">
        <f>AH72+AH75</f>
        <v>41400</v>
      </c>
      <c r="AI77" s="1051">
        <f>AI72+AI75</f>
        <v>41400</v>
      </c>
      <c r="AJ77" s="562">
        <f>AI77-AH77</f>
        <v>0</v>
      </c>
      <c r="AK77" s="462">
        <f>Y77+AC77+AG77</f>
        <v>198300</v>
      </c>
      <c r="AL77" s="463"/>
      <c r="AM77" s="463">
        <f t="shared" ref="AM77:AN79" si="82">Z77+AD77+AH77</f>
        <v>199200</v>
      </c>
      <c r="AN77" s="464">
        <f t="shared" si="82"/>
        <v>200323.21630999999</v>
      </c>
      <c r="AO77" s="489">
        <f>AN77-AK77</f>
        <v>2023.2163099999889</v>
      </c>
      <c r="AP77" s="489"/>
      <c r="AQ77" s="435">
        <f>AN77-AM77</f>
        <v>1123.2163099999889</v>
      </c>
      <c r="AR77" s="467">
        <f>SUM(R77,AK77)</f>
        <v>483900</v>
      </c>
      <c r="AS77" s="647"/>
      <c r="AT77" s="624">
        <f>T77+AM77</f>
        <v>470500</v>
      </c>
      <c r="AU77" s="464">
        <f>SUM(U77,AN77)</f>
        <v>468873.16298999992</v>
      </c>
      <c r="AV77" s="460">
        <f>AU77-AR77</f>
        <v>-15026.837010000076</v>
      </c>
      <c r="AW77" s="460"/>
      <c r="AX77" s="435">
        <f>AU77-AT77</f>
        <v>-1626.8370100000757</v>
      </c>
      <c r="AY77" s="471">
        <f t="shared" ref="AY77:AY110" si="83">AR77/6</f>
        <v>80650</v>
      </c>
      <c r="AZ77" s="472">
        <f>AU77/6</f>
        <v>78145.527164999992</v>
      </c>
      <c r="BA77" s="1425">
        <v>78145.527164999992</v>
      </c>
      <c r="BB77" s="278">
        <f>AZ77-AY77</f>
        <v>-2504.4728350000078</v>
      </c>
      <c r="BC77" s="278">
        <f>BA77-AY77</f>
        <v>-2504.4728350000078</v>
      </c>
      <c r="BD77" s="302">
        <f>BA77-AZ77</f>
        <v>0</v>
      </c>
      <c r="BE77" s="278">
        <f>AX77/6</f>
        <v>-271.13950166667928</v>
      </c>
    </row>
    <row r="78" spans="1:57" ht="20.100000000000001" customHeight="1">
      <c r="A78" s="788"/>
      <c r="B78" s="789"/>
      <c r="C78" s="752" t="s">
        <v>212</v>
      </c>
      <c r="D78" s="754"/>
      <c r="E78" s="1497"/>
      <c r="F78" s="518">
        <v>7640</v>
      </c>
      <c r="G78" s="565">
        <v>7640</v>
      </c>
      <c r="H78" s="566">
        <v>13413.498</v>
      </c>
      <c r="I78" s="567">
        <f>H78-G78</f>
        <v>5773.4979999999996</v>
      </c>
      <c r="J78" s="518">
        <v>5940</v>
      </c>
      <c r="K78" s="565">
        <f>ROUND(J78*0.85,-1)</f>
        <v>5050</v>
      </c>
      <c r="L78" s="566">
        <v>8379.64</v>
      </c>
      <c r="M78" s="567">
        <f>L78-K78</f>
        <v>3329.6399999999994</v>
      </c>
      <c r="N78" s="518">
        <v>7210</v>
      </c>
      <c r="O78" s="565">
        <v>7210</v>
      </c>
      <c r="P78" s="566">
        <v>9257.7639999999992</v>
      </c>
      <c r="Q78" s="567">
        <f>P78-O78</f>
        <v>2047.7639999999992</v>
      </c>
      <c r="R78" s="474">
        <f>F78+J78+N78</f>
        <v>20790</v>
      </c>
      <c r="S78" s="475"/>
      <c r="T78" s="475">
        <f t="shared" si="81"/>
        <v>19900</v>
      </c>
      <c r="U78" s="476">
        <f t="shared" si="81"/>
        <v>31050.901999999998</v>
      </c>
      <c r="V78" s="430">
        <f>U78-R78</f>
        <v>10260.901999999998</v>
      </c>
      <c r="W78" s="473"/>
      <c r="X78" s="442">
        <f>U78-T78</f>
        <v>11150.901999999998</v>
      </c>
      <c r="Y78" s="518">
        <v>7740</v>
      </c>
      <c r="Z78" s="565">
        <v>8900</v>
      </c>
      <c r="AA78" s="566">
        <v>9095.5849999999991</v>
      </c>
      <c r="AB78" s="567">
        <v>0</v>
      </c>
      <c r="AC78" s="518">
        <v>6880</v>
      </c>
      <c r="AD78" s="565">
        <v>9000</v>
      </c>
      <c r="AE78" s="1052">
        <v>6460</v>
      </c>
      <c r="AF78" s="567">
        <v>0</v>
      </c>
      <c r="AG78" s="518">
        <v>6460</v>
      </c>
      <c r="AH78" s="565">
        <v>6460</v>
      </c>
      <c r="AI78" s="1052">
        <v>0</v>
      </c>
      <c r="AJ78" s="567">
        <f>AI78-AH78</f>
        <v>-6460</v>
      </c>
      <c r="AK78" s="474">
        <f>Y78+AC78+AG78</f>
        <v>21080</v>
      </c>
      <c r="AL78" s="475"/>
      <c r="AM78" s="475">
        <f t="shared" si="82"/>
        <v>24360</v>
      </c>
      <c r="AN78" s="476">
        <f t="shared" si="82"/>
        <v>15555.584999999999</v>
      </c>
      <c r="AO78" s="441">
        <f>AN78-AK78</f>
        <v>-5524.4150000000009</v>
      </c>
      <c r="AP78" s="441"/>
      <c r="AQ78" s="442">
        <f>AN78-AM78</f>
        <v>-8804.4150000000009</v>
      </c>
      <c r="AR78" s="474">
        <f>AK78+R78</f>
        <v>41870</v>
      </c>
      <c r="AS78" s="1025"/>
      <c r="AT78" s="354">
        <f>T78+AM78</f>
        <v>44260</v>
      </c>
      <c r="AU78" s="476">
        <f>SUM(U78,AN78)</f>
        <v>46606.486999999994</v>
      </c>
      <c r="AV78" s="473">
        <f>AU78-AR78</f>
        <v>4736.4869999999937</v>
      </c>
      <c r="AW78" s="473"/>
      <c r="AX78" s="442">
        <f>AU78-AT78</f>
        <v>2346.4869999999937</v>
      </c>
      <c r="AY78" s="471"/>
      <c r="AZ78" s="472"/>
      <c r="BA78" s="1425"/>
      <c r="BB78" s="458"/>
      <c r="BC78" s="458"/>
      <c r="BD78" s="458"/>
      <c r="BE78" s="458"/>
    </row>
    <row r="79" spans="1:57" ht="20.100000000000001" customHeight="1">
      <c r="A79" s="788"/>
      <c r="B79" s="789"/>
      <c r="C79" s="752" t="s">
        <v>213</v>
      </c>
      <c r="D79" s="754"/>
      <c r="E79" s="1497"/>
      <c r="F79" s="518">
        <v>158410</v>
      </c>
      <c r="G79" s="565">
        <v>158410</v>
      </c>
      <c r="H79" s="566">
        <v>85916.634999999995</v>
      </c>
      <c r="I79" s="567">
        <f>H79-G79</f>
        <v>-72493.365000000005</v>
      </c>
      <c r="J79" s="518">
        <v>123210</v>
      </c>
      <c r="K79" s="565">
        <f>ROUND(J79*0.85,-1)</f>
        <v>104730</v>
      </c>
      <c r="L79" s="566">
        <v>100318.628</v>
      </c>
      <c r="M79" s="567">
        <f>L79-K79</f>
        <v>-4411.372000000003</v>
      </c>
      <c r="N79" s="518">
        <v>149610</v>
      </c>
      <c r="O79" s="565">
        <v>149610</v>
      </c>
      <c r="P79" s="566">
        <v>136340.902</v>
      </c>
      <c r="Q79" s="567">
        <f>P79-O79</f>
        <v>-13269.097999999998</v>
      </c>
      <c r="R79" s="474">
        <f>F79+J79+N79</f>
        <v>431230</v>
      </c>
      <c r="S79" s="475"/>
      <c r="T79" s="475">
        <f t="shared" si="81"/>
        <v>412750</v>
      </c>
      <c r="U79" s="476">
        <f t="shared" si="81"/>
        <v>322576.16499999998</v>
      </c>
      <c r="V79" s="430">
        <f>U79-R79</f>
        <v>-108653.83500000002</v>
      </c>
      <c r="W79" s="473"/>
      <c r="X79" s="442">
        <f>U79-T79</f>
        <v>-90173.835000000021</v>
      </c>
      <c r="Y79" s="518">
        <v>158300</v>
      </c>
      <c r="Z79" s="565">
        <v>182050</v>
      </c>
      <c r="AA79" s="566">
        <v>186206.91899999999</v>
      </c>
      <c r="AB79" s="567">
        <v>0</v>
      </c>
      <c r="AC79" s="518">
        <v>140710</v>
      </c>
      <c r="AD79" s="565">
        <v>185000</v>
      </c>
      <c r="AE79" s="1052">
        <v>131920</v>
      </c>
      <c r="AF79" s="567">
        <v>0</v>
      </c>
      <c r="AG79" s="518">
        <v>131920</v>
      </c>
      <c r="AH79" s="565">
        <v>131920</v>
      </c>
      <c r="AI79" s="1052">
        <v>95000</v>
      </c>
      <c r="AJ79" s="567">
        <f>AI79-AH79</f>
        <v>-36920</v>
      </c>
      <c r="AK79" s="474">
        <f>Y79+AC79+AG79</f>
        <v>430930</v>
      </c>
      <c r="AL79" s="475"/>
      <c r="AM79" s="475">
        <f t="shared" si="82"/>
        <v>498970</v>
      </c>
      <c r="AN79" s="476">
        <f t="shared" si="82"/>
        <v>413126.91899999999</v>
      </c>
      <c r="AO79" s="441">
        <f>AN79-AK79</f>
        <v>-17803.081000000006</v>
      </c>
      <c r="AP79" s="441"/>
      <c r="AQ79" s="442">
        <f>AN79-AM79</f>
        <v>-85843.081000000006</v>
      </c>
      <c r="AR79" s="474">
        <f>AK79+R79</f>
        <v>862160</v>
      </c>
      <c r="AS79" s="1025"/>
      <c r="AT79" s="354">
        <f>T79+AM79</f>
        <v>911720</v>
      </c>
      <c r="AU79" s="476">
        <f>SUM(U79,AN79)</f>
        <v>735703.08400000003</v>
      </c>
      <c r="AV79" s="473">
        <f>AU79-AR79</f>
        <v>-126456.91599999997</v>
      </c>
      <c r="AW79" s="473"/>
      <c r="AX79" s="442">
        <f>AU79-AT79</f>
        <v>-176016.91599999997</v>
      </c>
      <c r="AY79" s="471"/>
      <c r="AZ79" s="472"/>
      <c r="BA79" s="1425"/>
      <c r="BB79" s="458"/>
      <c r="BC79" s="458"/>
      <c r="BD79" s="458"/>
      <c r="BE79" s="458"/>
    </row>
    <row r="80" spans="1:57" ht="20.100000000000001" customHeight="1">
      <c r="A80" s="775" t="s">
        <v>46</v>
      </c>
      <c r="B80" s="761"/>
      <c r="C80" s="761"/>
      <c r="D80" s="765"/>
      <c r="E80" s="761"/>
      <c r="F80" s="444"/>
      <c r="G80" s="568"/>
      <c r="H80" s="569"/>
      <c r="I80" s="570">
        <f>H81/G81</f>
        <v>0.64593528333333328</v>
      </c>
      <c r="J80" s="444"/>
      <c r="K80" s="568"/>
      <c r="L80" s="569"/>
      <c r="M80" s="570">
        <f>L81/K81</f>
        <v>0.97874935833333332</v>
      </c>
      <c r="N80" s="444"/>
      <c r="O80" s="568"/>
      <c r="P80" s="569"/>
      <c r="Q80" s="1295">
        <f>P81/O81</f>
        <v>0.94150375882352944</v>
      </c>
      <c r="R80" s="521"/>
      <c r="S80" s="572"/>
      <c r="T80" s="572"/>
      <c r="U80" s="298"/>
      <c r="V80" s="551">
        <f>U81/R81</f>
        <v>0.80362023061224475</v>
      </c>
      <c r="W80" s="617"/>
      <c r="X80" s="300">
        <f>U81/T81</f>
        <v>0.83781683617021263</v>
      </c>
      <c r="Y80" s="444"/>
      <c r="Z80" s="568"/>
      <c r="AA80" s="569"/>
      <c r="AB80" s="1295">
        <f>AA81/Z81</f>
        <v>1.0010042714285714</v>
      </c>
      <c r="AC80" s="444"/>
      <c r="AD80" s="568"/>
      <c r="AE80" s="1053"/>
      <c r="AF80" s="573">
        <f>AE81/AD81</f>
        <v>0.7009345794392523</v>
      </c>
      <c r="AG80" s="444"/>
      <c r="AH80" s="568"/>
      <c r="AI80" s="1053"/>
      <c r="AJ80" s="573">
        <f>AI81/AH81</f>
        <v>0.65573770491803274</v>
      </c>
      <c r="AK80" s="521"/>
      <c r="AL80" s="572"/>
      <c r="AM80" s="572"/>
      <c r="AN80" s="298"/>
      <c r="AO80" s="553">
        <f>AN81/AK81</f>
        <v>0.93920591224489791</v>
      </c>
      <c r="AP80" s="553"/>
      <c r="AQ80" s="335">
        <f>AN81/AM81</f>
        <v>0.79828429661751954</v>
      </c>
      <c r="AR80" s="344"/>
      <c r="AS80" s="574"/>
      <c r="AT80" s="574"/>
      <c r="AU80" s="316"/>
      <c r="AV80" s="454">
        <f>AU81/AR81</f>
        <v>0.87141307142857138</v>
      </c>
      <c r="AW80" s="350"/>
      <c r="AX80" s="335">
        <f>AU81/AT81</f>
        <v>0.81603899665551838</v>
      </c>
      <c r="AY80" s="471"/>
      <c r="AZ80" s="472"/>
      <c r="BA80" s="1425"/>
    </row>
    <row r="81" spans="1:57" ht="20.100000000000001" customHeight="1">
      <c r="A81" s="787" t="s">
        <v>214</v>
      </c>
      <c r="B81" s="759"/>
      <c r="C81" s="759"/>
      <c r="D81" s="753"/>
      <c r="E81" s="759"/>
      <c r="F81" s="559">
        <v>180000</v>
      </c>
      <c r="G81" s="575">
        <v>180000</v>
      </c>
      <c r="H81" s="576">
        <v>116268.351</v>
      </c>
      <c r="I81" s="562">
        <f t="shared" ref="I81:I89" si="84">H81-G81</f>
        <v>-63731.649000000005</v>
      </c>
      <c r="J81" s="559">
        <v>140000</v>
      </c>
      <c r="K81" s="575">
        <v>120000</v>
      </c>
      <c r="L81" s="576">
        <v>117449.923</v>
      </c>
      <c r="M81" s="562">
        <f>L81-K81</f>
        <v>-2550.0770000000048</v>
      </c>
      <c r="N81" s="559">
        <v>170000</v>
      </c>
      <c r="O81" s="575">
        <v>170000</v>
      </c>
      <c r="P81" s="576">
        <v>160055.639</v>
      </c>
      <c r="Q81" s="562">
        <f t="shared" ref="Q81:Q89" si="85">P81-O81</f>
        <v>-9944.3610000000044</v>
      </c>
      <c r="R81" s="462">
        <f>F81+J81+N81</f>
        <v>490000</v>
      </c>
      <c r="S81" s="463"/>
      <c r="T81" s="463">
        <f>G81+K81+O81</f>
        <v>470000</v>
      </c>
      <c r="U81" s="306">
        <f>H81+L81+P81</f>
        <v>393773.91299999994</v>
      </c>
      <c r="V81" s="461">
        <f t="shared" ref="V81:V91" si="86">U81-R81</f>
        <v>-96226.087000000058</v>
      </c>
      <c r="W81" s="460"/>
      <c r="X81" s="465">
        <f t="shared" ref="X81:X91" si="87">U81-T81</f>
        <v>-76226.087000000058</v>
      </c>
      <c r="Y81" s="559">
        <v>180000</v>
      </c>
      <c r="Z81" s="575">
        <v>210000</v>
      </c>
      <c r="AA81" s="576">
        <v>210210.897</v>
      </c>
      <c r="AB81" s="562">
        <f>AA81-Z81</f>
        <v>210.89699999999721</v>
      </c>
      <c r="AC81" s="559">
        <v>160000</v>
      </c>
      <c r="AD81" s="575">
        <v>214000</v>
      </c>
      <c r="AE81" s="1054">
        <v>150000</v>
      </c>
      <c r="AF81" s="562">
        <f>AE81-AD81</f>
        <v>-64000</v>
      </c>
      <c r="AG81" s="559">
        <v>150000</v>
      </c>
      <c r="AH81" s="575">
        <v>152500</v>
      </c>
      <c r="AI81" s="1054">
        <v>100000</v>
      </c>
      <c r="AJ81" s="562">
        <f t="shared" ref="AJ81:AJ91" si="88">AI81-AH81</f>
        <v>-52500</v>
      </c>
      <c r="AK81" s="462">
        <f>Y81+AC81+AG81</f>
        <v>490000</v>
      </c>
      <c r="AL81" s="463"/>
      <c r="AM81" s="463">
        <f>Z81+AD81+AH81</f>
        <v>576500</v>
      </c>
      <c r="AN81" s="306">
        <f>AA81+AE81+AI81</f>
        <v>460210.897</v>
      </c>
      <c r="AO81" s="489">
        <f t="shared" ref="AO81:AO91" si="89">AN81-AK81</f>
        <v>-29789.103000000003</v>
      </c>
      <c r="AP81" s="489"/>
      <c r="AQ81" s="435">
        <f>AN81-AM81</f>
        <v>-116289.103</v>
      </c>
      <c r="AR81" s="467">
        <f>SUM(R81,AK81)</f>
        <v>980000</v>
      </c>
      <c r="AS81" s="647"/>
      <c r="AT81" s="564">
        <f>T81+AM81</f>
        <v>1046500</v>
      </c>
      <c r="AU81" s="464">
        <f>SUM(U81,AN81)</f>
        <v>853984.80999999994</v>
      </c>
      <c r="AV81" s="460">
        <f t="shared" ref="AV81:AV91" si="90">AU81-AR81</f>
        <v>-126015.19000000006</v>
      </c>
      <c r="AW81" s="460"/>
      <c r="AX81" s="435">
        <f>AU81-AT81</f>
        <v>-192515.19000000006</v>
      </c>
      <c r="AY81" s="471">
        <f t="shared" si="83"/>
        <v>163333.33333333334</v>
      </c>
      <c r="AZ81" s="472">
        <f>AU81/6</f>
        <v>142330.80166666667</v>
      </c>
      <c r="BA81" s="1425">
        <v>142330.80166666667</v>
      </c>
      <c r="BB81" s="278">
        <f>AZ81-AY81</f>
        <v>-21002.531666666677</v>
      </c>
      <c r="BC81" s="278">
        <f>BA81-AY81</f>
        <v>-21002.531666666677</v>
      </c>
      <c r="BD81" s="302">
        <f>BA81-AZ81</f>
        <v>0</v>
      </c>
      <c r="BE81" s="278">
        <f>AX81/6</f>
        <v>-32085.865000000009</v>
      </c>
    </row>
    <row r="82" spans="1:57" ht="20.100000000000001" customHeight="1">
      <c r="A82" s="790"/>
      <c r="B82" s="791"/>
      <c r="C82" s="792" t="s">
        <v>215</v>
      </c>
      <c r="D82" s="793"/>
      <c r="E82" s="1502"/>
      <c r="F82" s="545">
        <v>363</v>
      </c>
      <c r="G82" s="577">
        <v>370</v>
      </c>
      <c r="H82" s="578">
        <v>271</v>
      </c>
      <c r="I82" s="579">
        <f t="shared" si="84"/>
        <v>-99</v>
      </c>
      <c r="J82" s="545">
        <v>363</v>
      </c>
      <c r="K82" s="577">
        <v>320</v>
      </c>
      <c r="L82" s="578">
        <v>335</v>
      </c>
      <c r="M82" s="1297">
        <f t="shared" ref="M82:M89" si="91">L82-K82</f>
        <v>15</v>
      </c>
      <c r="N82" s="545">
        <v>363</v>
      </c>
      <c r="O82" s="577">
        <v>260</v>
      </c>
      <c r="P82" s="578">
        <v>256</v>
      </c>
      <c r="Q82" s="1297">
        <f t="shared" si="85"/>
        <v>-4</v>
      </c>
      <c r="R82" s="581">
        <f>F82+J82+N82</f>
        <v>1089</v>
      </c>
      <c r="S82" s="971"/>
      <c r="T82" s="971">
        <f>G82+K82+O82</f>
        <v>950</v>
      </c>
      <c r="U82" s="580">
        <f>H82+L82+P82</f>
        <v>862</v>
      </c>
      <c r="V82" s="358">
        <f t="shared" si="86"/>
        <v>-227</v>
      </c>
      <c r="W82" s="358"/>
      <c r="X82" s="358">
        <f t="shared" si="87"/>
        <v>-88</v>
      </c>
      <c r="Y82" s="545">
        <v>365</v>
      </c>
      <c r="Z82" s="577">
        <v>270</v>
      </c>
      <c r="AA82" s="578">
        <v>174</v>
      </c>
      <c r="AB82" s="1297">
        <f t="shared" ref="AB82:AB91" si="92">AA82-Z82</f>
        <v>-96</v>
      </c>
      <c r="AC82" s="545">
        <v>365</v>
      </c>
      <c r="AD82" s="577">
        <v>390</v>
      </c>
      <c r="AE82" s="1055">
        <v>240</v>
      </c>
      <c r="AF82" s="1297">
        <f t="shared" ref="AF82:AF89" si="93">AE82-AD82</f>
        <v>-150</v>
      </c>
      <c r="AG82" s="545">
        <v>365</v>
      </c>
      <c r="AH82" s="577">
        <v>310</v>
      </c>
      <c r="AI82" s="1055">
        <v>180</v>
      </c>
      <c r="AJ82" s="1297">
        <f t="shared" si="88"/>
        <v>-130</v>
      </c>
      <c r="AK82" s="581">
        <f>Y82+AC82+AG82</f>
        <v>1095</v>
      </c>
      <c r="AL82" s="971"/>
      <c r="AM82" s="971">
        <f>Z82+AD82+AH82</f>
        <v>970</v>
      </c>
      <c r="AN82" s="580">
        <f>AA82+AE82+AI82</f>
        <v>594</v>
      </c>
      <c r="AO82" s="358">
        <f t="shared" si="89"/>
        <v>-501</v>
      </c>
      <c r="AP82" s="1056"/>
      <c r="AQ82" s="324">
        <f>AN84/AM84</f>
        <v>0.63445277333333328</v>
      </c>
      <c r="AR82" s="581">
        <f>SUM(R82,AK82)</f>
        <v>2184</v>
      </c>
      <c r="AS82" s="582"/>
      <c r="AT82" s="582">
        <f>T82+AM82</f>
        <v>1920</v>
      </c>
      <c r="AU82" s="358">
        <f>SUM(U82,AN82)</f>
        <v>1456</v>
      </c>
      <c r="AV82" s="358">
        <f t="shared" si="90"/>
        <v>-728</v>
      </c>
      <c r="AW82" s="1056"/>
      <c r="AX82" s="324">
        <f>AU84/AT84</f>
        <v>0.78935102020202019</v>
      </c>
      <c r="AY82" s="471"/>
      <c r="AZ82" s="558"/>
      <c r="BA82" s="1427"/>
      <c r="BB82" s="353"/>
      <c r="BC82" s="353"/>
      <c r="BD82" s="353"/>
      <c r="BE82" s="353"/>
    </row>
    <row r="83" spans="1:57" ht="20.100000000000001" customHeight="1">
      <c r="A83" s="790"/>
      <c r="B83" s="791"/>
      <c r="C83" s="794" t="s">
        <v>216</v>
      </c>
      <c r="D83" s="795"/>
      <c r="E83" s="1503"/>
      <c r="F83" s="549">
        <f>F84/F82</f>
        <v>154.58677685950414</v>
      </c>
      <c r="G83" s="583">
        <f>G84/G82</f>
        <v>154.05405405405406</v>
      </c>
      <c r="H83" s="584">
        <f>H84/H82</f>
        <v>162.22663468634684</v>
      </c>
      <c r="I83" s="585">
        <f t="shared" si="84"/>
        <v>8.1725806322927781</v>
      </c>
      <c r="J83" s="549">
        <f>J84/J82</f>
        <v>154.58677685950414</v>
      </c>
      <c r="K83" s="583">
        <f>K84/K82</f>
        <v>156.25</v>
      </c>
      <c r="L83" s="584">
        <f>L84/L82</f>
        <v>159.87231343283582</v>
      </c>
      <c r="M83" s="585">
        <f t="shared" si="91"/>
        <v>3.6223134328358242</v>
      </c>
      <c r="N83" s="549">
        <f>N84/N82</f>
        <v>154.58677685950414</v>
      </c>
      <c r="O83" s="583">
        <f>O84/O82</f>
        <v>153.84615384615384</v>
      </c>
      <c r="P83" s="584">
        <f>P84/P82</f>
        <v>163.08083593750001</v>
      </c>
      <c r="Q83" s="585">
        <f t="shared" si="85"/>
        <v>9.2346820913461727</v>
      </c>
      <c r="R83" s="587">
        <f>R84/R82</f>
        <v>154.58677685950414</v>
      </c>
      <c r="S83" s="586"/>
      <c r="T83" s="586">
        <f>T84/T82</f>
        <v>154.73684210526315</v>
      </c>
      <c r="U83" s="358">
        <f>U84/U82</f>
        <v>161.56535614849187</v>
      </c>
      <c r="V83" s="358">
        <f t="shared" si="86"/>
        <v>6.9785792889877314</v>
      </c>
      <c r="W83" s="358"/>
      <c r="X83" s="358">
        <f t="shared" si="87"/>
        <v>6.8285140432287221</v>
      </c>
      <c r="Y83" s="549">
        <f>Y84/Y82</f>
        <v>154.31506849315068</v>
      </c>
      <c r="Z83" s="583">
        <f>Z84/Z82</f>
        <v>151.85185185185185</v>
      </c>
      <c r="AA83" s="584">
        <f>AA84/AA82</f>
        <v>161.88457471264368</v>
      </c>
      <c r="AB83" s="585">
        <f t="shared" si="92"/>
        <v>10.032722860791836</v>
      </c>
      <c r="AC83" s="549">
        <f>AC84/AC82</f>
        <v>154.31506849315068</v>
      </c>
      <c r="AD83" s="583">
        <f>AD84/AD82</f>
        <v>153.84615384615384</v>
      </c>
      <c r="AE83" s="1057">
        <f>AE84/AE82</f>
        <v>158.33333333333334</v>
      </c>
      <c r="AF83" s="585">
        <f t="shared" si="93"/>
        <v>4.4871794871795032</v>
      </c>
      <c r="AG83" s="549">
        <f>AG84/AG82</f>
        <v>154.31506849315068</v>
      </c>
      <c r="AH83" s="583">
        <f>AH84/AH82</f>
        <v>158.06451612903226</v>
      </c>
      <c r="AI83" s="1057">
        <f>AI84/AI82</f>
        <v>161.11111111111111</v>
      </c>
      <c r="AJ83" s="585">
        <f t="shared" si="88"/>
        <v>3.046594982078858</v>
      </c>
      <c r="AK83" s="587">
        <f>AK84/AK82</f>
        <v>154.31506849315068</v>
      </c>
      <c r="AL83" s="586"/>
      <c r="AM83" s="586">
        <f>AM84/AM82</f>
        <v>154.63917525773195</v>
      </c>
      <c r="AN83" s="358">
        <f>AN84/AN82</f>
        <v>160.21534680134678</v>
      </c>
      <c r="AO83" s="358">
        <f t="shared" si="89"/>
        <v>5.900278308196107</v>
      </c>
      <c r="AP83" s="358"/>
      <c r="AQ83" s="358">
        <f>AN83-AM83</f>
        <v>5.5761715436148336</v>
      </c>
      <c r="AR83" s="587">
        <f>AR84/AR82</f>
        <v>154.45054945054946</v>
      </c>
      <c r="AS83" s="586"/>
      <c r="AT83" s="586">
        <f>AT84/AT82</f>
        <v>154.6875</v>
      </c>
      <c r="AU83" s="358">
        <f>AU84/AU82</f>
        <v>161.01459684065935</v>
      </c>
      <c r="AV83" s="358">
        <f t="shared" si="90"/>
        <v>6.5640473901098915</v>
      </c>
      <c r="AW83" s="358"/>
      <c r="AX83" s="358">
        <f>AU83-AT83</f>
        <v>6.3270968406593511</v>
      </c>
      <c r="AY83" s="471"/>
      <c r="AZ83" s="558"/>
      <c r="BA83" s="1427"/>
      <c r="BB83" s="353"/>
      <c r="BC83" s="353"/>
      <c r="BD83" s="353"/>
      <c r="BE83" s="353"/>
    </row>
    <row r="84" spans="1:57" ht="20.100000000000001" customHeight="1">
      <c r="A84" s="760"/>
      <c r="B84" s="796"/>
      <c r="C84" s="757" t="s">
        <v>217</v>
      </c>
      <c r="D84" s="758"/>
      <c r="E84" s="807"/>
      <c r="F84" s="516">
        <v>56115</v>
      </c>
      <c r="G84" s="588">
        <v>57000</v>
      </c>
      <c r="H84" s="589">
        <f>43963.418</f>
        <v>43963.417999999998</v>
      </c>
      <c r="I84" s="359">
        <f t="shared" si="84"/>
        <v>-13036.582000000002</v>
      </c>
      <c r="J84" s="516">
        <v>56115</v>
      </c>
      <c r="K84" s="588">
        <f>50000</f>
        <v>50000</v>
      </c>
      <c r="L84" s="589">
        <v>53557.224999999999</v>
      </c>
      <c r="M84" s="590">
        <f t="shared" si="91"/>
        <v>3557.2249999999985</v>
      </c>
      <c r="N84" s="516">
        <v>56115</v>
      </c>
      <c r="O84" s="588">
        <v>40000</v>
      </c>
      <c r="P84" s="589">
        <v>41748.694000000003</v>
      </c>
      <c r="Q84" s="359">
        <f t="shared" si="85"/>
        <v>1748.6940000000031</v>
      </c>
      <c r="R84" s="467">
        <f>F84+J84+N84</f>
        <v>168345</v>
      </c>
      <c r="S84" s="468"/>
      <c r="T84" s="468">
        <f>G84+K84+O84</f>
        <v>147000</v>
      </c>
      <c r="U84" s="311">
        <f>H84+L84+P84</f>
        <v>139269.337</v>
      </c>
      <c r="V84" s="446">
        <f t="shared" si="86"/>
        <v>-29075.663</v>
      </c>
      <c r="W84" s="466"/>
      <c r="X84" s="435">
        <f t="shared" si="87"/>
        <v>-7730.6630000000005</v>
      </c>
      <c r="Y84" s="516">
        <v>56325</v>
      </c>
      <c r="Z84" s="588">
        <v>41000</v>
      </c>
      <c r="AA84" s="589">
        <v>28167.916000000001</v>
      </c>
      <c r="AB84" s="590">
        <f t="shared" si="92"/>
        <v>-12832.083999999999</v>
      </c>
      <c r="AC84" s="516">
        <v>56325</v>
      </c>
      <c r="AD84" s="588">
        <v>60000</v>
      </c>
      <c r="AE84" s="1058">
        <v>38000</v>
      </c>
      <c r="AF84" s="590">
        <f t="shared" si="93"/>
        <v>-22000</v>
      </c>
      <c r="AG84" s="516">
        <v>56325</v>
      </c>
      <c r="AH84" s="588">
        <v>49000</v>
      </c>
      <c r="AI84" s="1058">
        <v>29000</v>
      </c>
      <c r="AJ84" s="590">
        <f t="shared" si="88"/>
        <v>-20000</v>
      </c>
      <c r="AK84" s="467">
        <f>Y84+AC84+AG84</f>
        <v>168975</v>
      </c>
      <c r="AL84" s="468"/>
      <c r="AM84" s="468">
        <f>Z84+AD84+AH84</f>
        <v>150000</v>
      </c>
      <c r="AN84" s="311">
        <f>AA84+AE84+AI84</f>
        <v>95167.915999999997</v>
      </c>
      <c r="AO84" s="470">
        <f t="shared" si="89"/>
        <v>-73807.084000000003</v>
      </c>
      <c r="AP84" s="445"/>
      <c r="AQ84" s="509">
        <f>AN84-AM84</f>
        <v>-54832.084000000003</v>
      </c>
      <c r="AR84" s="467">
        <f>SUM(R84,AK84)</f>
        <v>337320</v>
      </c>
      <c r="AS84" s="647"/>
      <c r="AT84" s="564">
        <f>T84+AM84</f>
        <v>297000</v>
      </c>
      <c r="AU84" s="469">
        <f>SUM(U84,AN84)</f>
        <v>234437.253</v>
      </c>
      <c r="AV84" s="446">
        <f t="shared" si="90"/>
        <v>-102882.747</v>
      </c>
      <c r="AW84" s="466"/>
      <c r="AX84" s="435">
        <f>AU84-AT84</f>
        <v>-62562.747000000003</v>
      </c>
      <c r="AY84" s="471"/>
      <c r="AZ84" s="472"/>
      <c r="BA84" s="1425"/>
    </row>
    <row r="85" spans="1:57" ht="20.100000000000001" customHeight="1">
      <c r="A85" s="790"/>
      <c r="B85" s="791"/>
      <c r="C85" s="794" t="s">
        <v>218</v>
      </c>
      <c r="D85" s="795"/>
      <c r="E85" s="1503"/>
      <c r="F85" s="549">
        <v>550</v>
      </c>
      <c r="G85" s="577">
        <v>570</v>
      </c>
      <c r="H85" s="578">
        <v>637</v>
      </c>
      <c r="I85" s="579">
        <f t="shared" si="84"/>
        <v>67</v>
      </c>
      <c r="J85" s="549">
        <v>550</v>
      </c>
      <c r="K85" s="577">
        <v>610</v>
      </c>
      <c r="L85" s="578">
        <f>516</f>
        <v>516</v>
      </c>
      <c r="M85" s="1297">
        <f t="shared" si="91"/>
        <v>-94</v>
      </c>
      <c r="N85" s="549">
        <v>550</v>
      </c>
      <c r="O85" s="577">
        <v>690</v>
      </c>
      <c r="P85" s="578">
        <v>532</v>
      </c>
      <c r="Q85" s="1297">
        <f t="shared" si="85"/>
        <v>-158</v>
      </c>
      <c r="R85" s="581">
        <f>F85+J85+N85</f>
        <v>1650</v>
      </c>
      <c r="S85" s="971"/>
      <c r="T85" s="971">
        <f>G85+K85+O85</f>
        <v>1870</v>
      </c>
      <c r="U85" s="358">
        <f>H85+L85+P85</f>
        <v>1685</v>
      </c>
      <c r="V85" s="358">
        <f t="shared" si="86"/>
        <v>35</v>
      </c>
      <c r="W85" s="358"/>
      <c r="X85" s="358">
        <f t="shared" si="87"/>
        <v>-185</v>
      </c>
      <c r="Y85" s="549">
        <v>550</v>
      </c>
      <c r="Z85" s="577">
        <v>815</v>
      </c>
      <c r="AA85" s="578">
        <v>1015</v>
      </c>
      <c r="AB85" s="1297">
        <f t="shared" si="92"/>
        <v>200</v>
      </c>
      <c r="AC85" s="549">
        <v>550</v>
      </c>
      <c r="AD85" s="577">
        <v>695</v>
      </c>
      <c r="AE85" s="1055">
        <v>625</v>
      </c>
      <c r="AF85" s="1297">
        <f t="shared" si="93"/>
        <v>-70</v>
      </c>
      <c r="AG85" s="549">
        <v>550</v>
      </c>
      <c r="AH85" s="577">
        <v>600</v>
      </c>
      <c r="AI85" s="1055">
        <v>515</v>
      </c>
      <c r="AJ85" s="1297">
        <f t="shared" si="88"/>
        <v>-85</v>
      </c>
      <c r="AK85" s="581">
        <f>Y85+AC85+AG85</f>
        <v>1650</v>
      </c>
      <c r="AL85" s="971"/>
      <c r="AM85" s="971">
        <f>Z85+AD85+AH85</f>
        <v>2110</v>
      </c>
      <c r="AN85" s="358">
        <f>AA85+AE85+AI85</f>
        <v>2155</v>
      </c>
      <c r="AO85" s="358">
        <f t="shared" si="89"/>
        <v>505</v>
      </c>
      <c r="AP85" s="1056"/>
      <c r="AQ85" s="324">
        <f>AN87/AM87</f>
        <v>0.84451010516788316</v>
      </c>
      <c r="AR85" s="587">
        <f>SUM(R85,AK85)</f>
        <v>3300</v>
      </c>
      <c r="AS85" s="582"/>
      <c r="AT85" s="582">
        <f>T85+AM85</f>
        <v>3980</v>
      </c>
      <c r="AU85" s="358">
        <f>SUM(U85,AN85)</f>
        <v>3840</v>
      </c>
      <c r="AV85" s="358">
        <f t="shared" si="90"/>
        <v>540</v>
      </c>
      <c r="AW85" s="1056"/>
      <c r="AX85" s="324">
        <f>AU87/AT87</f>
        <v>0.86397550287292812</v>
      </c>
      <c r="AY85" s="471"/>
      <c r="AZ85" s="558"/>
      <c r="BA85" s="1427"/>
      <c r="BB85" s="353"/>
      <c r="BC85" s="353"/>
      <c r="BD85" s="353"/>
      <c r="BE85" s="353"/>
    </row>
    <row r="86" spans="1:57" ht="20.100000000000001" customHeight="1">
      <c r="A86" s="790"/>
      <c r="B86" s="791"/>
      <c r="C86" s="794" t="s">
        <v>219</v>
      </c>
      <c r="D86" s="795"/>
      <c r="E86" s="1503"/>
      <c r="F86" s="549">
        <f>F87/F85</f>
        <v>163.63636363636363</v>
      </c>
      <c r="G86" s="583">
        <f>G87/G85</f>
        <v>163.15789473684211</v>
      </c>
      <c r="H86" s="584">
        <f>H87/H85</f>
        <v>169.95383210361067</v>
      </c>
      <c r="I86" s="585">
        <f t="shared" si="84"/>
        <v>6.7959373667685554</v>
      </c>
      <c r="J86" s="549">
        <f>J87/J85</f>
        <v>163.63636363636363</v>
      </c>
      <c r="K86" s="583">
        <f>K87/K85</f>
        <v>150.81967213114754</v>
      </c>
      <c r="L86" s="584">
        <f>L87/L85</f>
        <v>157.30267248062017</v>
      </c>
      <c r="M86" s="585">
        <f t="shared" si="91"/>
        <v>6.4830003494726327</v>
      </c>
      <c r="N86" s="549">
        <f>N87/N85</f>
        <v>163.63636363636363</v>
      </c>
      <c r="O86" s="583">
        <f>O87/O85</f>
        <v>153.62318840579709</v>
      </c>
      <c r="P86" s="584">
        <f>P87/P85</f>
        <v>129.05075187969925</v>
      </c>
      <c r="Q86" s="585">
        <f t="shared" si="85"/>
        <v>-24.572436526097846</v>
      </c>
      <c r="R86" s="587">
        <f>R87/R85</f>
        <v>163.63636363636363</v>
      </c>
      <c r="S86" s="586"/>
      <c r="T86" s="586">
        <f>T87/T85</f>
        <v>155.61497326203209</v>
      </c>
      <c r="U86" s="358">
        <f>U87/U85</f>
        <v>153.16544216617211</v>
      </c>
      <c r="V86" s="358">
        <f t="shared" si="86"/>
        <v>-10.470921470191513</v>
      </c>
      <c r="W86" s="358"/>
      <c r="X86" s="358">
        <f t="shared" si="87"/>
        <v>-2.4495310958599816</v>
      </c>
      <c r="Y86" s="549">
        <f>Y87/Y85</f>
        <v>163.63636363636363</v>
      </c>
      <c r="Z86" s="583">
        <f>Z87/Z85</f>
        <v>157.66871165644173</v>
      </c>
      <c r="AA86" s="584">
        <f>AA87/AA85</f>
        <v>144.08345913300491</v>
      </c>
      <c r="AB86" s="585">
        <f t="shared" si="92"/>
        <v>-13.585252523436822</v>
      </c>
      <c r="AC86" s="549">
        <f>AC87/AC85</f>
        <v>163.63636363636363</v>
      </c>
      <c r="AD86" s="583">
        <f>AD87/AD85</f>
        <v>158.27338129496403</v>
      </c>
      <c r="AE86" s="1057">
        <f>AE87/AE85</f>
        <v>121.6</v>
      </c>
      <c r="AF86" s="585">
        <f t="shared" si="93"/>
        <v>-36.673381294964031</v>
      </c>
      <c r="AG86" s="549">
        <f>AG87/AG85</f>
        <v>163.63636363636363</v>
      </c>
      <c r="AH86" s="583">
        <f>AH87/AH85</f>
        <v>173.33333333333334</v>
      </c>
      <c r="AI86" s="1057">
        <f>AI87/AI85</f>
        <v>130.09708737864077</v>
      </c>
      <c r="AJ86" s="585">
        <f t="shared" si="88"/>
        <v>-43.236245954692578</v>
      </c>
      <c r="AK86" s="587">
        <f>AK87/AK85</f>
        <v>163.63636363636363</v>
      </c>
      <c r="AL86" s="586"/>
      <c r="AM86" s="586">
        <f>AM87/AM85</f>
        <v>162.32227488151659</v>
      </c>
      <c r="AN86" s="358">
        <f>AN87/AN85</f>
        <v>134.22028353596286</v>
      </c>
      <c r="AO86" s="358">
        <f t="shared" si="89"/>
        <v>-29.416080100400762</v>
      </c>
      <c r="AP86" s="358"/>
      <c r="AQ86" s="358">
        <f>AN86-AM86</f>
        <v>-28.101991345553728</v>
      </c>
      <c r="AR86" s="587">
        <f>AR87/AR85</f>
        <v>163.63636363636363</v>
      </c>
      <c r="AS86" s="586"/>
      <c r="AT86" s="586">
        <f>AT87/AT85</f>
        <v>159.17085427135677</v>
      </c>
      <c r="AU86" s="358">
        <f>AU87/AU85</f>
        <v>142.53345861197917</v>
      </c>
      <c r="AV86" s="358">
        <f>AU86-AR86</f>
        <v>-21.102905024384455</v>
      </c>
      <c r="AW86" s="358"/>
      <c r="AX86" s="358">
        <f>AU86-AT86</f>
        <v>-16.637395659377603</v>
      </c>
      <c r="AY86" s="471"/>
      <c r="AZ86" s="558"/>
      <c r="BA86" s="1427"/>
      <c r="BB86" s="353"/>
      <c r="BC86" s="353"/>
      <c r="BD86" s="353"/>
      <c r="BE86" s="353"/>
    </row>
    <row r="87" spans="1:57" ht="20.100000000000001" customHeight="1">
      <c r="A87" s="775"/>
      <c r="B87" s="778"/>
      <c r="C87" s="757" t="s">
        <v>220</v>
      </c>
      <c r="D87" s="758"/>
      <c r="E87" s="807"/>
      <c r="F87" s="516">
        <v>90000</v>
      </c>
      <c r="G87" s="588">
        <v>93000</v>
      </c>
      <c r="H87" s="589">
        <f>108260.59105</f>
        <v>108260.59105</v>
      </c>
      <c r="I87" s="359">
        <f t="shared" si="84"/>
        <v>15260.591050000003</v>
      </c>
      <c r="J87" s="516">
        <v>90000</v>
      </c>
      <c r="K87" s="588">
        <f>92000</f>
        <v>92000</v>
      </c>
      <c r="L87" s="589">
        <f>81168.179</f>
        <v>81168.179000000004</v>
      </c>
      <c r="M87" s="590">
        <f t="shared" si="91"/>
        <v>-10831.820999999996</v>
      </c>
      <c r="N87" s="516">
        <v>90000</v>
      </c>
      <c r="O87" s="588">
        <v>106000</v>
      </c>
      <c r="P87" s="589">
        <v>68655</v>
      </c>
      <c r="Q87" s="359">
        <f t="shared" si="85"/>
        <v>-37345</v>
      </c>
      <c r="R87" s="467">
        <f>F87+J87+N87</f>
        <v>270000</v>
      </c>
      <c r="S87" s="468"/>
      <c r="T87" s="468">
        <f t="shared" ref="T87:U90" si="94">G87+K87+O87</f>
        <v>291000</v>
      </c>
      <c r="U87" s="311">
        <f t="shared" si="94"/>
        <v>258083.77004999999</v>
      </c>
      <c r="V87" s="446">
        <f t="shared" si="86"/>
        <v>-11916.229950000008</v>
      </c>
      <c r="W87" s="466"/>
      <c r="X87" s="435">
        <f t="shared" si="87"/>
        <v>-32916.229950000008</v>
      </c>
      <c r="Y87" s="516">
        <v>90000</v>
      </c>
      <c r="Z87" s="588">
        <v>128500</v>
      </c>
      <c r="AA87" s="589">
        <v>146244.71101999999</v>
      </c>
      <c r="AB87" s="590">
        <f t="shared" si="92"/>
        <v>17744.711019999988</v>
      </c>
      <c r="AC87" s="516">
        <v>90000</v>
      </c>
      <c r="AD87" s="588">
        <v>110000</v>
      </c>
      <c r="AE87" s="1058">
        <v>76000</v>
      </c>
      <c r="AF87" s="590">
        <f t="shared" si="93"/>
        <v>-34000</v>
      </c>
      <c r="AG87" s="516">
        <v>90000</v>
      </c>
      <c r="AH87" s="588">
        <v>104000</v>
      </c>
      <c r="AI87" s="1058">
        <v>67000</v>
      </c>
      <c r="AJ87" s="590">
        <f t="shared" si="88"/>
        <v>-37000</v>
      </c>
      <c r="AK87" s="467">
        <f>Y87+AC87+AG87</f>
        <v>270000</v>
      </c>
      <c r="AL87" s="468"/>
      <c r="AM87" s="468">
        <f t="shared" ref="AM87:AN90" si="95">Z87+AD87+AH87</f>
        <v>342500</v>
      </c>
      <c r="AN87" s="311">
        <f t="shared" si="95"/>
        <v>289244.71101999999</v>
      </c>
      <c r="AO87" s="470">
        <f t="shared" si="89"/>
        <v>19244.711019999988</v>
      </c>
      <c r="AP87" s="470"/>
      <c r="AQ87" s="435">
        <f>AN87-AM87</f>
        <v>-53255.288980000012</v>
      </c>
      <c r="AR87" s="467">
        <f>SUM(R87,AK87)</f>
        <v>540000</v>
      </c>
      <c r="AS87" s="647"/>
      <c r="AT87" s="564">
        <f>T87+AM87</f>
        <v>633500</v>
      </c>
      <c r="AU87" s="469">
        <f>SUM(U87,AN87)</f>
        <v>547328.48106999998</v>
      </c>
      <c r="AV87" s="466">
        <f t="shared" si="90"/>
        <v>7328.4810699999798</v>
      </c>
      <c r="AW87" s="466"/>
      <c r="AX87" s="435">
        <f>AU87-AT87</f>
        <v>-86171.51893000002</v>
      </c>
      <c r="AY87" s="471"/>
      <c r="AZ87" s="472"/>
      <c r="BA87" s="1425"/>
    </row>
    <row r="88" spans="1:57" s="1014" customFormat="1" ht="20.100000000000001" customHeight="1">
      <c r="A88" s="775"/>
      <c r="B88" s="778"/>
      <c r="C88" s="757" t="s">
        <v>289</v>
      </c>
      <c r="D88" s="758"/>
      <c r="E88" s="761"/>
      <c r="F88" s="549"/>
      <c r="G88" s="583">
        <v>180</v>
      </c>
      <c r="H88" s="584">
        <v>39</v>
      </c>
      <c r="I88" s="1059"/>
      <c r="J88" s="549"/>
      <c r="K88" s="583">
        <v>210</v>
      </c>
      <c r="L88" s="584">
        <v>51</v>
      </c>
      <c r="M88" s="585"/>
      <c r="N88" s="549"/>
      <c r="O88" s="583">
        <v>160</v>
      </c>
      <c r="P88" s="584">
        <v>42</v>
      </c>
      <c r="Q88" s="1059"/>
      <c r="R88" s="587"/>
      <c r="S88" s="586"/>
      <c r="T88" s="586">
        <f t="shared" si="94"/>
        <v>550</v>
      </c>
      <c r="U88" s="358">
        <f t="shared" si="94"/>
        <v>132</v>
      </c>
      <c r="V88" s="554">
        <f>U88-R88</f>
        <v>132</v>
      </c>
      <c r="W88" s="606"/>
      <c r="X88" s="602">
        <f>U88-T88</f>
        <v>-418</v>
      </c>
      <c r="Y88" s="549"/>
      <c r="Z88" s="583">
        <v>70</v>
      </c>
      <c r="AA88" s="578">
        <v>171</v>
      </c>
      <c r="AB88" s="585"/>
      <c r="AC88" s="549"/>
      <c r="AD88" s="583">
        <v>150</v>
      </c>
      <c r="AE88" s="1055">
        <v>70</v>
      </c>
      <c r="AF88" s="585"/>
      <c r="AG88" s="549"/>
      <c r="AH88" s="583">
        <v>150</v>
      </c>
      <c r="AI88" s="1055">
        <v>70</v>
      </c>
      <c r="AJ88" s="585"/>
      <c r="AK88" s="587">
        <f>Y88+AC88+AG88</f>
        <v>0</v>
      </c>
      <c r="AL88" s="586"/>
      <c r="AM88" s="586">
        <f t="shared" si="95"/>
        <v>370</v>
      </c>
      <c r="AN88" s="358">
        <f t="shared" si="95"/>
        <v>311</v>
      </c>
      <c r="AO88" s="550">
        <f>AN88-AK88</f>
        <v>311</v>
      </c>
      <c r="AP88" s="550"/>
      <c r="AQ88" s="602">
        <f>AN90/AM90</f>
        <v>0.89253246753246751</v>
      </c>
      <c r="AR88" s="587">
        <f>SUM(R88,AK88)</f>
        <v>0</v>
      </c>
      <c r="AS88" s="582"/>
      <c r="AT88" s="356">
        <f>T88+AM88</f>
        <v>920</v>
      </c>
      <c r="AU88" s="582">
        <f>SUM(U88,AN88)</f>
        <v>443</v>
      </c>
      <c r="AV88" s="606">
        <f>AU88-AR88</f>
        <v>443</v>
      </c>
      <c r="AW88" s="606"/>
      <c r="AX88" s="602"/>
      <c r="AY88" s="557"/>
      <c r="AZ88" s="558"/>
      <c r="BA88" s="1427"/>
      <c r="BB88" s="616"/>
      <c r="BC88" s="278"/>
      <c r="BD88" s="278"/>
      <c r="BE88" s="278"/>
    </row>
    <row r="89" spans="1:57" ht="20.100000000000001" customHeight="1">
      <c r="A89" s="797"/>
      <c r="B89" s="798"/>
      <c r="C89" s="740" t="s">
        <v>290</v>
      </c>
      <c r="D89" s="741"/>
      <c r="E89" s="742"/>
      <c r="F89" s="1044"/>
      <c r="G89" s="1045">
        <v>15300</v>
      </c>
      <c r="H89" s="1060">
        <v>3621.7</v>
      </c>
      <c r="I89" s="1061">
        <f t="shared" si="84"/>
        <v>-11678.3</v>
      </c>
      <c r="J89" s="1044"/>
      <c r="K89" s="1045">
        <v>18450</v>
      </c>
      <c r="L89" s="1060">
        <v>4630</v>
      </c>
      <c r="M89" s="1061">
        <f t="shared" si="91"/>
        <v>-13820</v>
      </c>
      <c r="N89" s="1044"/>
      <c r="O89" s="1045">
        <v>14400</v>
      </c>
      <c r="P89" s="1060">
        <v>384.6</v>
      </c>
      <c r="Q89" s="1061">
        <f t="shared" si="85"/>
        <v>-14015.4</v>
      </c>
      <c r="R89" s="593">
        <f>F89+J89+N89</f>
        <v>0</v>
      </c>
      <c r="S89" s="728"/>
      <c r="T89" s="468">
        <f t="shared" si="94"/>
        <v>48150</v>
      </c>
      <c r="U89" s="594">
        <f t="shared" si="94"/>
        <v>8636.3000000000011</v>
      </c>
      <c r="V89" s="542">
        <f t="shared" si="86"/>
        <v>8636.3000000000011</v>
      </c>
      <c r="W89" s="543"/>
      <c r="X89" s="510">
        <f t="shared" si="87"/>
        <v>-39513.699999999997</v>
      </c>
      <c r="Y89" s="1044"/>
      <c r="Z89" s="1045">
        <v>6230</v>
      </c>
      <c r="AA89" s="1060">
        <v>15334.5</v>
      </c>
      <c r="AB89" s="1061">
        <f t="shared" si="92"/>
        <v>9104.5</v>
      </c>
      <c r="AC89" s="1044"/>
      <c r="AD89" s="1045">
        <v>13350</v>
      </c>
      <c r="AE89" s="1062">
        <v>6230</v>
      </c>
      <c r="AF89" s="1061">
        <f t="shared" si="93"/>
        <v>-7120</v>
      </c>
      <c r="AG89" s="1044"/>
      <c r="AH89" s="1045">
        <v>13350</v>
      </c>
      <c r="AI89" s="1062">
        <v>6230</v>
      </c>
      <c r="AJ89" s="1061">
        <f t="shared" si="88"/>
        <v>-7120</v>
      </c>
      <c r="AK89" s="593">
        <f>Y89+AC89+AG89</f>
        <v>0</v>
      </c>
      <c r="AL89" s="728"/>
      <c r="AM89" s="468">
        <f t="shared" si="95"/>
        <v>32930</v>
      </c>
      <c r="AN89" s="594">
        <f t="shared" si="95"/>
        <v>27794.5</v>
      </c>
      <c r="AO89" s="432">
        <f t="shared" si="89"/>
        <v>27794.5</v>
      </c>
      <c r="AP89" s="432"/>
      <c r="AQ89" s="510">
        <f>AN89-AM89</f>
        <v>-5135.5</v>
      </c>
      <c r="AR89" s="467">
        <f>SUM(R89,AK89)</f>
        <v>0</v>
      </c>
      <c r="AS89" s="647"/>
      <c r="AT89" s="595">
        <f>T89+AM89</f>
        <v>81080</v>
      </c>
      <c r="AU89" s="595">
        <f>U89+AN89</f>
        <v>36430.800000000003</v>
      </c>
      <c r="AV89" s="508">
        <f t="shared" si="90"/>
        <v>36430.800000000003</v>
      </c>
      <c r="AW89" s="508"/>
      <c r="AX89" s="435">
        <f>AU89-AT89</f>
        <v>-44649.2</v>
      </c>
      <c r="AY89" s="471"/>
      <c r="AZ89" s="596"/>
      <c r="BA89" s="1428"/>
      <c r="BB89" s="597"/>
      <c r="BC89" s="597"/>
      <c r="BD89" s="597"/>
      <c r="BE89" s="597"/>
    </row>
    <row r="90" spans="1:57" ht="20.100000000000001" customHeight="1">
      <c r="A90" s="1572" t="s">
        <v>221</v>
      </c>
      <c r="B90" s="1573"/>
      <c r="C90" s="1573"/>
      <c r="D90" s="783"/>
      <c r="E90" s="1492"/>
      <c r="F90" s="545">
        <f>F82+F85</f>
        <v>913</v>
      </c>
      <c r="G90" s="577">
        <f>G82+G85</f>
        <v>940</v>
      </c>
      <c r="H90" s="578">
        <f>H82+H85</f>
        <v>908</v>
      </c>
      <c r="I90" s="579">
        <f>H90-G90</f>
        <v>-32</v>
      </c>
      <c r="J90" s="545">
        <f>J82+J85</f>
        <v>913</v>
      </c>
      <c r="K90" s="577">
        <f>K82+K85</f>
        <v>930</v>
      </c>
      <c r="L90" s="578">
        <f>L82+L85</f>
        <v>851</v>
      </c>
      <c r="M90" s="1297">
        <f>L90-K90</f>
        <v>-79</v>
      </c>
      <c r="N90" s="545">
        <f>N82+N85</f>
        <v>913</v>
      </c>
      <c r="O90" s="577">
        <f>O82+O85</f>
        <v>950</v>
      </c>
      <c r="P90" s="578">
        <f>P82+P85</f>
        <v>788</v>
      </c>
      <c r="Q90" s="1297">
        <f>P90-O90</f>
        <v>-162</v>
      </c>
      <c r="R90" s="581">
        <f>F90+J90+N90</f>
        <v>2739</v>
      </c>
      <c r="S90" s="971"/>
      <c r="T90" s="971">
        <f t="shared" si="94"/>
        <v>2820</v>
      </c>
      <c r="U90" s="598">
        <f t="shared" si="94"/>
        <v>2547</v>
      </c>
      <c r="V90" s="599">
        <f t="shared" si="86"/>
        <v>-192</v>
      </c>
      <c r="W90" s="600"/>
      <c r="X90" s="601">
        <f t="shared" si="87"/>
        <v>-273</v>
      </c>
      <c r="Y90" s="545">
        <f>Y82+Y85</f>
        <v>915</v>
      </c>
      <c r="Z90" s="577">
        <f>Z82+Z85</f>
        <v>1085</v>
      </c>
      <c r="AA90" s="578">
        <f>AA82+AA85</f>
        <v>1189</v>
      </c>
      <c r="AB90" s="1297">
        <f t="shared" si="92"/>
        <v>104</v>
      </c>
      <c r="AC90" s="545">
        <f>AC82+AC85</f>
        <v>915</v>
      </c>
      <c r="AD90" s="577">
        <f>AD82+AD85</f>
        <v>1085</v>
      </c>
      <c r="AE90" s="1055">
        <f>AE82+AE85</f>
        <v>865</v>
      </c>
      <c r="AF90" s="1297">
        <f>AE90-AD90</f>
        <v>-220</v>
      </c>
      <c r="AG90" s="545">
        <f>AG82+AG85</f>
        <v>915</v>
      </c>
      <c r="AH90" s="577">
        <f>AH82+AH85</f>
        <v>910</v>
      </c>
      <c r="AI90" s="1055">
        <f>AI82+AI85</f>
        <v>695</v>
      </c>
      <c r="AJ90" s="1297">
        <f t="shared" si="88"/>
        <v>-215</v>
      </c>
      <c r="AK90" s="581">
        <f>Y90+AC90+AG90</f>
        <v>2745</v>
      </c>
      <c r="AL90" s="971"/>
      <c r="AM90" s="971">
        <f t="shared" si="95"/>
        <v>3080</v>
      </c>
      <c r="AN90" s="598">
        <f t="shared" si="95"/>
        <v>2749</v>
      </c>
      <c r="AO90" s="972">
        <f t="shared" si="89"/>
        <v>4</v>
      </c>
      <c r="AP90" s="972"/>
      <c r="AQ90" s="601">
        <f>AN90-AM90</f>
        <v>-331</v>
      </c>
      <c r="AR90" s="581">
        <f>SUM(R90,AK90)</f>
        <v>5484</v>
      </c>
      <c r="AS90" s="1298"/>
      <c r="AT90" s="1298">
        <f>T90+AM90</f>
        <v>5900</v>
      </c>
      <c r="AU90" s="598">
        <f>SUM(U90,AN90)</f>
        <v>5296</v>
      </c>
      <c r="AV90" s="599">
        <f t="shared" si="90"/>
        <v>-188</v>
      </c>
      <c r="AW90" s="606"/>
      <c r="AX90" s="602">
        <f>AU90-AT90</f>
        <v>-604</v>
      </c>
      <c r="AY90" s="471"/>
      <c r="AZ90" s="558"/>
      <c r="BA90" s="1427"/>
      <c r="BB90" s="353"/>
      <c r="BC90" s="353"/>
      <c r="BD90" s="353"/>
      <c r="BE90" s="353"/>
    </row>
    <row r="91" spans="1:57" ht="20.100000000000001" customHeight="1">
      <c r="A91" s="790" t="s">
        <v>222</v>
      </c>
      <c r="B91" s="786"/>
      <c r="C91" s="786"/>
      <c r="D91" s="783"/>
      <c r="E91" s="1492"/>
      <c r="F91" s="549">
        <f>F93/F90</f>
        <v>160.03833515881709</v>
      </c>
      <c r="G91" s="583">
        <f>G93/G90</f>
        <v>159.57446808510639</v>
      </c>
      <c r="H91" s="584">
        <f>H93/H90</f>
        <v>167.64758705947136</v>
      </c>
      <c r="I91" s="585">
        <f>H91-G91</f>
        <v>8.0731189743649736</v>
      </c>
      <c r="J91" s="549">
        <f>J93/J90</f>
        <v>160.03833515881709</v>
      </c>
      <c r="K91" s="583">
        <f>K93/K90</f>
        <v>152.68817204301075</v>
      </c>
      <c r="L91" s="584">
        <f>L93/L90</f>
        <v>158.31422326674502</v>
      </c>
      <c r="M91" s="585">
        <f>L91-K91</f>
        <v>5.6260512237342652</v>
      </c>
      <c r="N91" s="549">
        <f>N93/N90</f>
        <v>160.03833515881709</v>
      </c>
      <c r="O91" s="583">
        <f>O93/O90</f>
        <v>153.68421052631578</v>
      </c>
      <c r="P91" s="584">
        <f>P93/P90</f>
        <v>140.10621065989849</v>
      </c>
      <c r="Q91" s="1063">
        <f>P91-O91</f>
        <v>-13.577999866417287</v>
      </c>
      <c r="R91" s="587">
        <f>R93/R90</f>
        <v>160.03833515881709</v>
      </c>
      <c r="S91" s="586"/>
      <c r="T91" s="586">
        <f>T93/T90</f>
        <v>155.31914893617022</v>
      </c>
      <c r="U91" s="358">
        <f>U93/U90</f>
        <v>156.00828702394975</v>
      </c>
      <c r="V91" s="358">
        <f t="shared" si="86"/>
        <v>-4.0300481348673429</v>
      </c>
      <c r="W91" s="358"/>
      <c r="X91" s="358">
        <f t="shared" si="87"/>
        <v>0.68913808777952568</v>
      </c>
      <c r="Y91" s="549">
        <f>Y93/Y90</f>
        <v>159.91803278688525</v>
      </c>
      <c r="Z91" s="583">
        <f>Z93/Z90</f>
        <v>156.22119815668202</v>
      </c>
      <c r="AA91" s="584">
        <f>AA93/AA90</f>
        <v>146.6885004373423</v>
      </c>
      <c r="AB91" s="1063">
        <f t="shared" si="92"/>
        <v>-9.5326977193397227</v>
      </c>
      <c r="AC91" s="549">
        <f>AC93/AC90</f>
        <v>159.91803278688525</v>
      </c>
      <c r="AD91" s="583">
        <f>AD93/AD90</f>
        <v>156.68202764976959</v>
      </c>
      <c r="AE91" s="1057">
        <f>AE93/AE90</f>
        <v>131.79190751445086</v>
      </c>
      <c r="AF91" s="585">
        <f>AE91-AD91</f>
        <v>-24.890120135318739</v>
      </c>
      <c r="AG91" s="549">
        <f>AG93/AG90</f>
        <v>159.91803278688525</v>
      </c>
      <c r="AH91" s="583">
        <f>AH93/AH90</f>
        <v>168.13186813186815</v>
      </c>
      <c r="AI91" s="1057">
        <f>AI93/AI90</f>
        <v>138.12949640287769</v>
      </c>
      <c r="AJ91" s="585">
        <f t="shared" si="88"/>
        <v>-30.002371728990454</v>
      </c>
      <c r="AK91" s="587">
        <f>AK93/AK90</f>
        <v>159.91803278688525</v>
      </c>
      <c r="AL91" s="586"/>
      <c r="AM91" s="586">
        <f>AM93/AM90</f>
        <v>159.90259740259739</v>
      </c>
      <c r="AN91" s="358">
        <f>AN93/AN90</f>
        <v>139.83725973808657</v>
      </c>
      <c r="AO91" s="358">
        <f t="shared" si="89"/>
        <v>-20.080773048798676</v>
      </c>
      <c r="AP91" s="358"/>
      <c r="AQ91" s="358">
        <f>AN91-AM91</f>
        <v>-20.065337664510821</v>
      </c>
      <c r="AR91" s="587">
        <f>AR93/AR90</f>
        <v>159.97811816192561</v>
      </c>
      <c r="AS91" s="586"/>
      <c r="AT91" s="586">
        <f>AT93/AT90</f>
        <v>157.71186440677965</v>
      </c>
      <c r="AU91" s="358">
        <f>AU93/AU90</f>
        <v>147.61437576850454</v>
      </c>
      <c r="AV91" s="358">
        <f t="shared" si="90"/>
        <v>-12.363742393421063</v>
      </c>
      <c r="AW91" s="358"/>
      <c r="AX91" s="358">
        <f>AU91-AT91</f>
        <v>-10.097488638275109</v>
      </c>
      <c r="AY91" s="471"/>
      <c r="AZ91" s="558"/>
      <c r="BA91" s="1427"/>
      <c r="BB91" s="353"/>
      <c r="BC91" s="353"/>
      <c r="BD91" s="353"/>
      <c r="BE91" s="353"/>
    </row>
    <row r="92" spans="1:57" ht="20.100000000000001" customHeight="1">
      <c r="A92" s="775" t="s">
        <v>46</v>
      </c>
      <c r="B92" s="761"/>
      <c r="C92" s="761"/>
      <c r="D92" s="765"/>
      <c r="E92" s="761"/>
      <c r="F92" s="444"/>
      <c r="G92" s="568"/>
      <c r="H92" s="569"/>
      <c r="I92" s="570">
        <f>H93/G93</f>
        <v>1.014826727</v>
      </c>
      <c r="J92" s="444"/>
      <c r="K92" s="568"/>
      <c r="L92" s="569"/>
      <c r="M92" s="570">
        <f>L93/K93</f>
        <v>0.94877045070422539</v>
      </c>
      <c r="N92" s="444"/>
      <c r="O92" s="568"/>
      <c r="P92" s="569"/>
      <c r="Q92" s="570">
        <f>P93/O93</f>
        <v>0.75618968493150684</v>
      </c>
      <c r="R92" s="521"/>
      <c r="S92" s="572"/>
      <c r="T92" s="572"/>
      <c r="U92" s="298"/>
      <c r="V92" s="551">
        <f>U93/R93</f>
        <v>0.90648486249415416</v>
      </c>
      <c r="W92" s="617"/>
      <c r="X92" s="300">
        <f>U93/T93</f>
        <v>0.907198874543379</v>
      </c>
      <c r="Y92" s="444"/>
      <c r="Z92" s="568"/>
      <c r="AA92" s="569"/>
      <c r="AB92" s="570">
        <f>AA93/Z93</f>
        <v>1.0289830502654866</v>
      </c>
      <c r="AC92" s="444"/>
      <c r="AD92" s="568"/>
      <c r="AE92" s="1053"/>
      <c r="AF92" s="573">
        <f>AE93/AD93</f>
        <v>0.6705882352941176</v>
      </c>
      <c r="AG92" s="444"/>
      <c r="AH92" s="568"/>
      <c r="AI92" s="1053"/>
      <c r="AJ92" s="573">
        <f>AI93/AH93</f>
        <v>0.62745098039215685</v>
      </c>
      <c r="AK92" s="521"/>
      <c r="AL92" s="572"/>
      <c r="AM92" s="572"/>
      <c r="AN92" s="298"/>
      <c r="AO92" s="553">
        <f>AN93/AK93</f>
        <v>0.87570505614214933</v>
      </c>
      <c r="AP92" s="553"/>
      <c r="AQ92" s="335">
        <f>AN93/AM93</f>
        <v>0.78053325283248731</v>
      </c>
      <c r="AR92" s="344"/>
      <c r="AS92" s="574"/>
      <c r="AT92" s="574"/>
      <c r="AU92" s="316"/>
      <c r="AV92" s="350">
        <f>AU93/AR93</f>
        <v>0.89108390788993752</v>
      </c>
      <c r="AW92" s="350"/>
      <c r="AX92" s="335">
        <f>AU93/AT93</f>
        <v>0.84015661909725958</v>
      </c>
      <c r="AY92" s="471"/>
      <c r="AZ92" s="416"/>
    </row>
    <row r="93" spans="1:57" ht="20.100000000000001" customHeight="1">
      <c r="A93" s="747" t="s">
        <v>223</v>
      </c>
      <c r="B93" s="748"/>
      <c r="C93" s="759"/>
      <c r="D93" s="753"/>
      <c r="E93" s="759"/>
      <c r="F93" s="559">
        <f>F84+F87</f>
        <v>146115</v>
      </c>
      <c r="G93" s="603">
        <f>G84+G87</f>
        <v>150000</v>
      </c>
      <c r="H93" s="561">
        <f>H84+H87</f>
        <v>152224.00904999999</v>
      </c>
      <c r="I93" s="562">
        <f>H93-G93</f>
        <v>2224.0090499999933</v>
      </c>
      <c r="J93" s="559">
        <f>J84+J87</f>
        <v>146115</v>
      </c>
      <c r="K93" s="603">
        <f>K84+K87</f>
        <v>142000</v>
      </c>
      <c r="L93" s="561">
        <f>L84+L87</f>
        <v>134725.40400000001</v>
      </c>
      <c r="M93" s="562">
        <f>L93-K93</f>
        <v>-7274.5959999999905</v>
      </c>
      <c r="N93" s="559">
        <f>N84+N87</f>
        <v>146115</v>
      </c>
      <c r="O93" s="603">
        <f>O84+O87</f>
        <v>146000</v>
      </c>
      <c r="P93" s="561">
        <f>P84+P87</f>
        <v>110403.694</v>
      </c>
      <c r="Q93" s="562">
        <f>P93-O93</f>
        <v>-35596.305999999997</v>
      </c>
      <c r="R93" s="462">
        <f>F93+J93+N93</f>
        <v>438345</v>
      </c>
      <c r="S93" s="463"/>
      <c r="T93" s="463">
        <f>G93+K93+O93</f>
        <v>438000</v>
      </c>
      <c r="U93" s="306">
        <f>H93+L93+P93</f>
        <v>397353.10704999999</v>
      </c>
      <c r="V93" s="461">
        <f>U93-R93</f>
        <v>-40991.892950000009</v>
      </c>
      <c r="W93" s="460"/>
      <c r="X93" s="465">
        <f>U93-T93</f>
        <v>-40646.892950000009</v>
      </c>
      <c r="Y93" s="559">
        <f>Y84+Y87</f>
        <v>146325</v>
      </c>
      <c r="Z93" s="603">
        <f>Z84+Z87</f>
        <v>169500</v>
      </c>
      <c r="AA93" s="561">
        <f>AA84+AA87</f>
        <v>174412.62701999999</v>
      </c>
      <c r="AB93" s="562">
        <f t="shared" ref="AB93:AB98" si="96">AA93-Z93</f>
        <v>4912.6270199999854</v>
      </c>
      <c r="AC93" s="559">
        <f>AC84+AC87</f>
        <v>146325</v>
      </c>
      <c r="AD93" s="603">
        <f>AD84+AD87</f>
        <v>170000</v>
      </c>
      <c r="AE93" s="1051">
        <f>AE84+AE87</f>
        <v>114000</v>
      </c>
      <c r="AF93" s="562">
        <f t="shared" ref="AF93:AF98" si="97">AE93-AD93</f>
        <v>-56000</v>
      </c>
      <c r="AG93" s="559">
        <f>AG84+AG87</f>
        <v>146325</v>
      </c>
      <c r="AH93" s="603">
        <f>AH84+AH87</f>
        <v>153000</v>
      </c>
      <c r="AI93" s="1051">
        <f>AI84+AI87</f>
        <v>96000</v>
      </c>
      <c r="AJ93" s="562">
        <f>AI93-AH93</f>
        <v>-57000</v>
      </c>
      <c r="AK93" s="462">
        <f>Y93+AC93+AG93</f>
        <v>438975</v>
      </c>
      <c r="AL93" s="463"/>
      <c r="AM93" s="463">
        <f>Z93+AD93+AH93</f>
        <v>492500</v>
      </c>
      <c r="AN93" s="306">
        <f>AA93+AE93+AI93</f>
        <v>384412.62702000001</v>
      </c>
      <c r="AO93" s="489">
        <f>AN93-AK93</f>
        <v>-54562.372979999986</v>
      </c>
      <c r="AP93" s="489"/>
      <c r="AQ93" s="435">
        <f>AN93-AM93</f>
        <v>-108087.37297999999</v>
      </c>
      <c r="AR93" s="467">
        <f>SUM(R93,AK93)</f>
        <v>877320</v>
      </c>
      <c r="AS93" s="647"/>
      <c r="AT93" s="564">
        <f>T93+AM93</f>
        <v>930500</v>
      </c>
      <c r="AU93" s="306">
        <f>SUM(U93,AN93)</f>
        <v>781765.73407000001</v>
      </c>
      <c r="AV93" s="460">
        <f>AU93-AR93</f>
        <v>-95554.265929999994</v>
      </c>
      <c r="AW93" s="460"/>
      <c r="AX93" s="435">
        <f>AU93-AT93</f>
        <v>-148734.26592999999</v>
      </c>
      <c r="AY93" s="471">
        <f t="shared" si="83"/>
        <v>146220</v>
      </c>
      <c r="AZ93" s="472">
        <f>AU93/6</f>
        <v>130294.28901166667</v>
      </c>
      <c r="BA93" s="1425">
        <v>130294.28901166667</v>
      </c>
      <c r="BB93" s="278">
        <f>AZ93-AY93</f>
        <v>-15925.710988333332</v>
      </c>
      <c r="BC93" s="278">
        <f>BA93-AY93</f>
        <v>-15925.710988333332</v>
      </c>
      <c r="BD93" s="302">
        <f>BA93-AZ93</f>
        <v>0</v>
      </c>
      <c r="BE93" s="278">
        <f>AX93/6</f>
        <v>-24789.044321666664</v>
      </c>
    </row>
    <row r="94" spans="1:57" ht="20.100000000000001" customHeight="1">
      <c r="A94" s="799"/>
      <c r="B94" s="800"/>
      <c r="C94" s="801" t="s">
        <v>224</v>
      </c>
      <c r="D94" s="802"/>
      <c r="E94" s="1504"/>
      <c r="F94" s="545"/>
      <c r="G94" s="577"/>
      <c r="H94" s="578"/>
      <c r="I94" s="579">
        <f>H94-G94</f>
        <v>0</v>
      </c>
      <c r="J94" s="545"/>
      <c r="K94" s="577"/>
      <c r="L94" s="578"/>
      <c r="M94" s="1297">
        <f>L94-K94</f>
        <v>0</v>
      </c>
      <c r="N94" s="545"/>
      <c r="O94" s="577"/>
      <c r="P94" s="578"/>
      <c r="Q94" s="1297">
        <f>P94-O94</f>
        <v>0</v>
      </c>
      <c r="R94" s="581">
        <f>F94+J94+N94</f>
        <v>0</v>
      </c>
      <c r="S94" s="971"/>
      <c r="T94" s="972">
        <f t="shared" ref="T94:U95" si="98">G94+K94+O94</f>
        <v>0</v>
      </c>
      <c r="U94" s="580">
        <f t="shared" si="98"/>
        <v>0</v>
      </c>
      <c r="V94" s="599">
        <f>U94-R94</f>
        <v>0</v>
      </c>
      <c r="W94" s="600"/>
      <c r="X94" s="604">
        <f>U94-T94</f>
        <v>0</v>
      </c>
      <c r="Y94" s="545"/>
      <c r="Z94" s="577"/>
      <c r="AA94" s="578"/>
      <c r="AB94" s="1297">
        <f t="shared" si="96"/>
        <v>0</v>
      </c>
      <c r="AC94" s="545"/>
      <c r="AD94" s="577"/>
      <c r="AE94" s="1055"/>
      <c r="AF94" s="1297">
        <f t="shared" si="97"/>
        <v>0</v>
      </c>
      <c r="AG94" s="545"/>
      <c r="AH94" s="577"/>
      <c r="AI94" s="1055"/>
      <c r="AJ94" s="585">
        <f>AI94-AH94</f>
        <v>0</v>
      </c>
      <c r="AK94" s="587">
        <f>Y94+AC94+AG94</f>
        <v>0</v>
      </c>
      <c r="AL94" s="586"/>
      <c r="AM94" s="586">
        <f t="shared" ref="AM94:AN95" si="99">Z94+AD94+AH94</f>
        <v>0</v>
      </c>
      <c r="AN94" s="358">
        <f t="shared" si="99"/>
        <v>0</v>
      </c>
      <c r="AO94" s="550">
        <f>AN94-AK94</f>
        <v>0</v>
      </c>
      <c r="AP94" s="550"/>
      <c r="AQ94" s="602">
        <f>AN94-AM94</f>
        <v>0</v>
      </c>
      <c r="AR94" s="587">
        <f>SUM(R94,AK94)</f>
        <v>0</v>
      </c>
      <c r="AS94" s="582"/>
      <c r="AT94" s="582">
        <f>T94+AM94</f>
        <v>0</v>
      </c>
      <c r="AU94" s="605">
        <f>SUM(U94,AN94)</f>
        <v>0</v>
      </c>
      <c r="AV94" s="606">
        <f>AU94-AR94</f>
        <v>0</v>
      </c>
      <c r="AW94" s="606"/>
      <c r="AX94" s="602">
        <f>AU94-AT94</f>
        <v>0</v>
      </c>
      <c r="AY94" s="471">
        <f t="shared" si="83"/>
        <v>0</v>
      </c>
      <c r="AZ94" s="472"/>
      <c r="BA94" s="1425"/>
      <c r="BB94" s="336"/>
      <c r="BC94" s="336"/>
      <c r="BD94" s="336"/>
      <c r="BE94" s="336"/>
    </row>
    <row r="95" spans="1:57" ht="20.100000000000001" customHeight="1">
      <c r="A95" s="788"/>
      <c r="B95" s="756"/>
      <c r="C95" s="803" t="s">
        <v>225</v>
      </c>
      <c r="D95" s="763"/>
      <c r="E95" s="820"/>
      <c r="F95" s="516"/>
      <c r="G95" s="588"/>
      <c r="H95" s="589"/>
      <c r="I95" s="607">
        <f>H95-G95</f>
        <v>0</v>
      </c>
      <c r="J95" s="516"/>
      <c r="K95" s="588"/>
      <c r="L95" s="589"/>
      <c r="M95" s="607">
        <f>L95-K95</f>
        <v>0</v>
      </c>
      <c r="N95" s="516"/>
      <c r="O95" s="588"/>
      <c r="P95" s="589"/>
      <c r="Q95" s="607">
        <f>P95-O95</f>
        <v>0</v>
      </c>
      <c r="R95" s="467">
        <f>F95+J95+N95</f>
        <v>0</v>
      </c>
      <c r="S95" s="468"/>
      <c r="T95" s="470">
        <f t="shared" si="98"/>
        <v>0</v>
      </c>
      <c r="U95" s="311">
        <f t="shared" si="98"/>
        <v>0</v>
      </c>
      <c r="V95" s="446">
        <f>U95-R95</f>
        <v>0</v>
      </c>
      <c r="W95" s="466"/>
      <c r="X95" s="291">
        <f>U95-T95</f>
        <v>0</v>
      </c>
      <c r="Y95" s="516"/>
      <c r="Z95" s="588"/>
      <c r="AA95" s="589"/>
      <c r="AB95" s="607">
        <f t="shared" si="96"/>
        <v>0</v>
      </c>
      <c r="AC95" s="516"/>
      <c r="AD95" s="588"/>
      <c r="AE95" s="1058"/>
      <c r="AF95" s="607">
        <f t="shared" si="97"/>
        <v>0</v>
      </c>
      <c r="AG95" s="516"/>
      <c r="AH95" s="588"/>
      <c r="AI95" s="1058"/>
      <c r="AJ95" s="590">
        <f>AI95-AH95</f>
        <v>0</v>
      </c>
      <c r="AK95" s="467">
        <f>Y95+AC95+AG95</f>
        <v>0</v>
      </c>
      <c r="AL95" s="468"/>
      <c r="AM95" s="468">
        <f t="shared" si="99"/>
        <v>0</v>
      </c>
      <c r="AN95" s="311">
        <f t="shared" si="99"/>
        <v>0</v>
      </c>
      <c r="AO95" s="470">
        <f>AN95-AK95</f>
        <v>0</v>
      </c>
      <c r="AP95" s="470"/>
      <c r="AQ95" s="435">
        <f>AN95-AM95</f>
        <v>0</v>
      </c>
      <c r="AR95" s="467">
        <f>SUM(R95,AK95)</f>
        <v>0</v>
      </c>
      <c r="AS95" s="647"/>
      <c r="AT95" s="564">
        <f>T95+AM95</f>
        <v>0</v>
      </c>
      <c r="AU95" s="306">
        <f>SUM(U95,AN95)</f>
        <v>0</v>
      </c>
      <c r="AV95" s="308">
        <f>AU95-AR95</f>
        <v>0</v>
      </c>
      <c r="AW95" s="308"/>
      <c r="AX95" s="435">
        <f>AU95-AT95</f>
        <v>0</v>
      </c>
      <c r="AY95" s="471">
        <f t="shared" si="83"/>
        <v>0</v>
      </c>
      <c r="AZ95" s="472"/>
      <c r="BA95" s="1425"/>
      <c r="BB95" s="336"/>
      <c r="BC95" s="336"/>
      <c r="BD95" s="336"/>
      <c r="BE95" s="336"/>
    </row>
    <row r="96" spans="1:57" ht="20.100000000000001" customHeight="1">
      <c r="A96" s="788"/>
      <c r="B96" s="756"/>
      <c r="C96" s="760"/>
      <c r="D96" s="804"/>
      <c r="E96" s="813"/>
      <c r="F96" s="545"/>
      <c r="G96" s="577"/>
      <c r="H96" s="578"/>
      <c r="I96" s="579"/>
      <c r="J96" s="545"/>
      <c r="K96" s="577"/>
      <c r="L96" s="578"/>
      <c r="M96" s="1297"/>
      <c r="N96" s="545"/>
      <c r="O96" s="577"/>
      <c r="P96" s="578"/>
      <c r="Q96" s="1297"/>
      <c r="R96" s="581"/>
      <c r="S96" s="971"/>
      <c r="T96" s="972"/>
      <c r="U96" s="580"/>
      <c r="V96" s="599"/>
      <c r="W96" s="600"/>
      <c r="X96" s="604"/>
      <c r="Y96" s="545"/>
      <c r="Z96" s="577"/>
      <c r="AA96" s="578"/>
      <c r="AB96" s="1297">
        <f t="shared" si="96"/>
        <v>0</v>
      </c>
      <c r="AC96" s="545"/>
      <c r="AD96" s="577"/>
      <c r="AE96" s="1055"/>
      <c r="AF96" s="1297">
        <f t="shared" si="97"/>
        <v>0</v>
      </c>
      <c r="AG96" s="545"/>
      <c r="AH96" s="577"/>
      <c r="AI96" s="1055"/>
      <c r="AJ96" s="585"/>
      <c r="AK96" s="581"/>
      <c r="AL96" s="971"/>
      <c r="AM96" s="971"/>
      <c r="AN96" s="580"/>
      <c r="AO96" s="972"/>
      <c r="AP96" s="972"/>
      <c r="AQ96" s="601"/>
      <c r="AR96" s="581"/>
      <c r="AS96" s="1298"/>
      <c r="AT96" s="1298"/>
      <c r="AU96" s="608"/>
      <c r="AV96" s="600"/>
      <c r="AW96" s="600"/>
      <c r="AX96" s="601"/>
      <c r="AY96" s="471">
        <f t="shared" si="83"/>
        <v>0</v>
      </c>
      <c r="AZ96" s="472"/>
      <c r="BA96" s="1425"/>
      <c r="BB96" s="336"/>
      <c r="BC96" s="336"/>
      <c r="BD96" s="336"/>
      <c r="BE96" s="336"/>
    </row>
    <row r="97" spans="1:57" ht="20.100000000000001" customHeight="1">
      <c r="A97" s="788"/>
      <c r="B97" s="756"/>
      <c r="C97" s="803" t="s">
        <v>226</v>
      </c>
      <c r="D97" s="763"/>
      <c r="E97" s="820"/>
      <c r="F97" s="516"/>
      <c r="G97" s="539"/>
      <c r="H97" s="540"/>
      <c r="I97" s="607">
        <f>H97-G97</f>
        <v>0</v>
      </c>
      <c r="J97" s="516"/>
      <c r="K97" s="539"/>
      <c r="L97" s="540"/>
      <c r="M97" s="607">
        <f>L97-K97</f>
        <v>0</v>
      </c>
      <c r="N97" s="516"/>
      <c r="O97" s="539"/>
      <c r="P97" s="540"/>
      <c r="Q97" s="607">
        <f>P97-O97</f>
        <v>0</v>
      </c>
      <c r="R97" s="467">
        <f>F97+J97+N97</f>
        <v>0</v>
      </c>
      <c r="S97" s="468"/>
      <c r="T97" s="470">
        <f>G97+K97+O97</f>
        <v>0</v>
      </c>
      <c r="U97" s="311">
        <f>H97+L97+P97</f>
        <v>0</v>
      </c>
      <c r="V97" s="507">
        <f>U97-R97</f>
        <v>0</v>
      </c>
      <c r="W97" s="508"/>
      <c r="X97" s="509">
        <f>U97-T97</f>
        <v>0</v>
      </c>
      <c r="Y97" s="516"/>
      <c r="Z97" s="539"/>
      <c r="AA97" s="540"/>
      <c r="AB97" s="607">
        <f t="shared" si="96"/>
        <v>0</v>
      </c>
      <c r="AC97" s="516"/>
      <c r="AD97" s="539"/>
      <c r="AE97" s="1064"/>
      <c r="AF97" s="607">
        <f t="shared" si="97"/>
        <v>0</v>
      </c>
      <c r="AG97" s="516"/>
      <c r="AH97" s="539"/>
      <c r="AI97" s="1064"/>
      <c r="AJ97" s="590">
        <f>AI97-AH97</f>
        <v>0</v>
      </c>
      <c r="AK97" s="467">
        <f>Y97+AC97+AG97</f>
        <v>0</v>
      </c>
      <c r="AL97" s="468"/>
      <c r="AM97" s="468">
        <f>Z97+AD97+AH97</f>
        <v>0</v>
      </c>
      <c r="AN97" s="311">
        <f>AA97+AE97+AI97</f>
        <v>0</v>
      </c>
      <c r="AO97" s="470">
        <f>AN97-AK97</f>
        <v>0</v>
      </c>
      <c r="AP97" s="470"/>
      <c r="AQ97" s="435">
        <f>AN97-AM97</f>
        <v>0</v>
      </c>
      <c r="AR97" s="467">
        <f>SUM(R97,AK97)</f>
        <v>0</v>
      </c>
      <c r="AS97" s="647"/>
      <c r="AT97" s="564">
        <f>T97+AM97</f>
        <v>0</v>
      </c>
      <c r="AU97" s="306">
        <f>SUM(U97,AN97)</f>
        <v>0</v>
      </c>
      <c r="AV97" s="308">
        <f>AU97-AR97</f>
        <v>0</v>
      </c>
      <c r="AW97" s="308"/>
      <c r="AX97" s="435">
        <f>AU97-AT97</f>
        <v>0</v>
      </c>
      <c r="AY97" s="471">
        <f t="shared" si="83"/>
        <v>0</v>
      </c>
      <c r="AZ97" s="472">
        <f>AU97/6</f>
        <v>0</v>
      </c>
      <c r="BA97" s="1425">
        <v>0</v>
      </c>
      <c r="BB97" s="278">
        <f>AZ97-AY97</f>
        <v>0</v>
      </c>
      <c r="BC97" s="278">
        <f>BA97-AY97</f>
        <v>0</v>
      </c>
      <c r="BD97" s="302">
        <f>BA97-AZ97</f>
        <v>0</v>
      </c>
      <c r="BE97" s="278">
        <f>AX97/6</f>
        <v>0</v>
      </c>
    </row>
    <row r="98" spans="1:57" ht="20.100000000000001" customHeight="1">
      <c r="A98" s="784"/>
      <c r="B98" s="785"/>
      <c r="C98" s="805" t="s">
        <v>227</v>
      </c>
      <c r="D98" s="782"/>
      <c r="E98" s="1501"/>
      <c r="F98" s="545">
        <f>F94+F96</f>
        <v>0</v>
      </c>
      <c r="G98" s="577">
        <f>G94+G96</f>
        <v>0</v>
      </c>
      <c r="H98" s="578">
        <f>H94+H96</f>
        <v>0</v>
      </c>
      <c r="I98" s="579">
        <f>H98-G98</f>
        <v>0</v>
      </c>
      <c r="J98" s="545">
        <f>J94+J96</f>
        <v>0</v>
      </c>
      <c r="K98" s="577">
        <f>K94+K96</f>
        <v>0</v>
      </c>
      <c r="L98" s="578"/>
      <c r="M98" s="1297">
        <f>L98-K98</f>
        <v>0</v>
      </c>
      <c r="N98" s="545">
        <f>N94+N96</f>
        <v>0</v>
      </c>
      <c r="O98" s="577"/>
      <c r="P98" s="578"/>
      <c r="Q98" s="1065">
        <f>P98-O98</f>
        <v>0</v>
      </c>
      <c r="R98" s="581">
        <f>F98+J98+N98</f>
        <v>0</v>
      </c>
      <c r="S98" s="971"/>
      <c r="T98" s="972">
        <f>G98+K98+O98</f>
        <v>0</v>
      </c>
      <c r="U98" s="580">
        <f>H98+L98+P98</f>
        <v>0</v>
      </c>
      <c r="V98" s="599">
        <f>U98-R98</f>
        <v>0</v>
      </c>
      <c r="W98" s="600"/>
      <c r="X98" s="601">
        <f>U98-T98</f>
        <v>0</v>
      </c>
      <c r="Y98" s="545">
        <f>Y94+Y96</f>
        <v>0</v>
      </c>
      <c r="Z98" s="577"/>
      <c r="AA98" s="578"/>
      <c r="AB98" s="1065">
        <f t="shared" si="96"/>
        <v>0</v>
      </c>
      <c r="AC98" s="545">
        <f>AC94+AC96</f>
        <v>0</v>
      </c>
      <c r="AD98" s="577"/>
      <c r="AE98" s="1055"/>
      <c r="AF98" s="1297">
        <f t="shared" si="97"/>
        <v>0</v>
      </c>
      <c r="AG98" s="545">
        <f>AG94+AG96</f>
        <v>0</v>
      </c>
      <c r="AH98" s="577"/>
      <c r="AI98" s="1055"/>
      <c r="AJ98" s="1297">
        <f>AI98-AH98</f>
        <v>0</v>
      </c>
      <c r="AK98" s="581">
        <f>Y98+AC98+AG98</f>
        <v>0</v>
      </c>
      <c r="AL98" s="971"/>
      <c r="AM98" s="971">
        <f>Z98+AD98+AH98</f>
        <v>0</v>
      </c>
      <c r="AN98" s="598">
        <f>AA98+AE98+AI98</f>
        <v>0</v>
      </c>
      <c r="AO98" s="972">
        <f>AN98-AK98</f>
        <v>0</v>
      </c>
      <c r="AP98" s="972"/>
      <c r="AQ98" s="601">
        <f>AN98-AM98</f>
        <v>0</v>
      </c>
      <c r="AR98" s="581">
        <f>SUM(R98,AK98)</f>
        <v>0</v>
      </c>
      <c r="AS98" s="1298"/>
      <c r="AT98" s="1298">
        <f>T98+AM98</f>
        <v>0</v>
      </c>
      <c r="AU98" s="580">
        <f>SUM(U98,AN98)</f>
        <v>0</v>
      </c>
      <c r="AV98" s="599">
        <f>AU98-AR98</f>
        <v>0</v>
      </c>
      <c r="AW98" s="600"/>
      <c r="AX98" s="601">
        <f>AU98-AT98</f>
        <v>0</v>
      </c>
      <c r="AY98" s="471">
        <f t="shared" si="83"/>
        <v>0</v>
      </c>
      <c r="AZ98" s="558"/>
      <c r="BA98" s="1427"/>
      <c r="BB98" s="353"/>
      <c r="BC98" s="353"/>
      <c r="BD98" s="353"/>
      <c r="BE98" s="353"/>
    </row>
    <row r="99" spans="1:57" ht="20.100000000000001" customHeight="1">
      <c r="A99" s="775" t="s">
        <v>46</v>
      </c>
      <c r="B99" s="761"/>
      <c r="C99" s="761"/>
      <c r="D99" s="765"/>
      <c r="E99" s="761"/>
      <c r="F99" s="549"/>
      <c r="G99" s="609"/>
      <c r="H99" s="610"/>
      <c r="I99" s="570">
        <f>H100/G100</f>
        <v>0</v>
      </c>
      <c r="J99" s="549"/>
      <c r="K99" s="609"/>
      <c r="L99" s="610"/>
      <c r="M99" s="570">
        <f>L100/K100</f>
        <v>2.4848484848484849</v>
      </c>
      <c r="N99" s="549"/>
      <c r="O99" s="609"/>
      <c r="P99" s="610"/>
      <c r="Q99" s="570" t="e">
        <f>P100/O100</f>
        <v>#DIV/0!</v>
      </c>
      <c r="R99" s="587"/>
      <c r="S99" s="586"/>
      <c r="T99" s="586"/>
      <c r="U99" s="298"/>
      <c r="V99" s="551" t="e">
        <f>U100/R100</f>
        <v>#DIV/0!</v>
      </c>
      <c r="W99" s="617"/>
      <c r="X99" s="300">
        <f>U100/T100</f>
        <v>0.71304347826086956</v>
      </c>
      <c r="Y99" s="549"/>
      <c r="Z99" s="609"/>
      <c r="AA99" s="610"/>
      <c r="AB99" s="570" t="e">
        <f>AA100/Z100</f>
        <v>#DIV/0!</v>
      </c>
      <c r="AC99" s="549"/>
      <c r="AD99" s="609"/>
      <c r="AE99" s="1066"/>
      <c r="AF99" s="611" t="e">
        <f>AE100/AD100</f>
        <v>#DIV/0!</v>
      </c>
      <c r="AG99" s="549"/>
      <c r="AH99" s="609"/>
      <c r="AI99" s="1066"/>
      <c r="AJ99" s="573" t="e">
        <f>AI100/AH100</f>
        <v>#DIV/0!</v>
      </c>
      <c r="AK99" s="521"/>
      <c r="AL99" s="572"/>
      <c r="AM99" s="572"/>
      <c r="AN99" s="316"/>
      <c r="AO99" s="553" t="e">
        <f>AN100/AK100</f>
        <v>#DIV/0!</v>
      </c>
      <c r="AP99" s="553"/>
      <c r="AQ99" s="335" t="e">
        <f>AN100/AM100</f>
        <v>#DIV/0!</v>
      </c>
      <c r="AR99" s="344"/>
      <c r="AS99" s="574"/>
      <c r="AT99" s="574"/>
      <c r="AU99" s="316"/>
      <c r="AV99" s="350" t="e">
        <f>AU100/AR100</f>
        <v>#DIV/0!</v>
      </c>
      <c r="AW99" s="350"/>
      <c r="AX99" s="335">
        <f>AU100/AT100</f>
        <v>1.278840579710145</v>
      </c>
      <c r="AY99" s="471"/>
      <c r="AZ99" s="416"/>
    </row>
    <row r="100" spans="1:57" ht="20.100000000000001" customHeight="1">
      <c r="A100" s="787" t="s">
        <v>197</v>
      </c>
      <c r="B100" s="759"/>
      <c r="C100" s="759"/>
      <c r="D100" s="753"/>
      <c r="E100" s="759"/>
      <c r="F100" s="559">
        <f>F95+F97</f>
        <v>0</v>
      </c>
      <c r="G100" s="575">
        <v>246</v>
      </c>
      <c r="H100" s="576">
        <v>0</v>
      </c>
      <c r="I100" s="562">
        <f>H100-G100</f>
        <v>-246</v>
      </c>
      <c r="J100" s="559">
        <f>J95+J97</f>
        <v>0</v>
      </c>
      <c r="K100" s="575">
        <v>99</v>
      </c>
      <c r="L100" s="576">
        <v>246</v>
      </c>
      <c r="M100" s="562">
        <f>L100-K100</f>
        <v>147</v>
      </c>
      <c r="N100" s="559">
        <f>N95+N97</f>
        <v>0</v>
      </c>
      <c r="O100" s="575">
        <v>0</v>
      </c>
      <c r="P100" s="576">
        <v>0</v>
      </c>
      <c r="Q100" s="562">
        <f>P100-O100</f>
        <v>0</v>
      </c>
      <c r="R100" s="462">
        <f>F100+J100+N100</f>
        <v>0</v>
      </c>
      <c r="S100" s="463"/>
      <c r="T100" s="460">
        <f>G100+K100+O100</f>
        <v>345</v>
      </c>
      <c r="U100" s="306">
        <f>H100+L100+P100</f>
        <v>246</v>
      </c>
      <c r="V100" s="461">
        <f>U100-R100</f>
        <v>246</v>
      </c>
      <c r="W100" s="460"/>
      <c r="X100" s="465">
        <f>U100-T100</f>
        <v>-99</v>
      </c>
      <c r="Y100" s="559">
        <f t="shared" ref="Y100:AG100" si="100">Y95+Y97</f>
        <v>0</v>
      </c>
      <c r="Z100" s="575">
        <v>0</v>
      </c>
      <c r="AA100" s="576">
        <v>195.2</v>
      </c>
      <c r="AB100" s="562">
        <f t="shared" si="100"/>
        <v>0</v>
      </c>
      <c r="AC100" s="559">
        <f t="shared" si="100"/>
        <v>0</v>
      </c>
      <c r="AD100" s="575">
        <v>0</v>
      </c>
      <c r="AE100" s="1054">
        <v>0</v>
      </c>
      <c r="AF100" s="562">
        <f t="shared" si="100"/>
        <v>0</v>
      </c>
      <c r="AG100" s="559">
        <f t="shared" si="100"/>
        <v>0</v>
      </c>
      <c r="AH100" s="575">
        <v>0</v>
      </c>
      <c r="AI100" s="1054">
        <v>0</v>
      </c>
      <c r="AJ100" s="562">
        <f>AI100-AH100</f>
        <v>0</v>
      </c>
      <c r="AK100" s="462">
        <f>Y100+AC100+AG100</f>
        <v>0</v>
      </c>
      <c r="AL100" s="463"/>
      <c r="AM100" s="463">
        <f>Z100+AD100+AH100</f>
        <v>0</v>
      </c>
      <c r="AN100" s="306">
        <f>AA100+AE100+AI100</f>
        <v>195.2</v>
      </c>
      <c r="AO100" s="489">
        <f>AN100-AK100</f>
        <v>195.2</v>
      </c>
      <c r="AP100" s="489"/>
      <c r="AQ100" s="435">
        <f>AN100-AM100</f>
        <v>195.2</v>
      </c>
      <c r="AR100" s="467">
        <f>SUM(R100,AK100)</f>
        <v>0</v>
      </c>
      <c r="AS100" s="647"/>
      <c r="AT100" s="564">
        <f>T100+AM100</f>
        <v>345</v>
      </c>
      <c r="AU100" s="464">
        <f>SUM(U100,AN100)</f>
        <v>441.2</v>
      </c>
      <c r="AV100" s="460">
        <f>AU100-AR100</f>
        <v>441.2</v>
      </c>
      <c r="AW100" s="460"/>
      <c r="AX100" s="435">
        <f>AU100-AT100</f>
        <v>96.199999999999989</v>
      </c>
      <c r="AY100" s="471">
        <f t="shared" si="83"/>
        <v>0</v>
      </c>
      <c r="AZ100" s="472">
        <f>AU100/6</f>
        <v>73.533333333333331</v>
      </c>
      <c r="BA100" s="1425">
        <v>73.533333333333331</v>
      </c>
      <c r="BB100" s="278">
        <f>AZ100-AY100</f>
        <v>73.533333333333331</v>
      </c>
      <c r="BC100" s="278">
        <f>BA100-AY100</f>
        <v>73.533333333333331</v>
      </c>
      <c r="BD100" s="302">
        <f>BA100-AZ100</f>
        <v>0</v>
      </c>
      <c r="BE100" s="278">
        <f>AX100/6</f>
        <v>16.033333333333331</v>
      </c>
    </row>
    <row r="101" spans="1:57" ht="20.100000000000001" customHeight="1">
      <c r="A101" s="806" t="s">
        <v>46</v>
      </c>
      <c r="B101" s="761"/>
      <c r="C101" s="761"/>
      <c r="D101" s="765"/>
      <c r="E101" s="761"/>
      <c r="F101" s="519"/>
      <c r="G101" s="612"/>
      <c r="H101" s="613"/>
      <c r="I101" s="548">
        <f>H102/G102</f>
        <v>1.6685496545768566</v>
      </c>
      <c r="J101" s="519"/>
      <c r="K101" s="612"/>
      <c r="L101" s="613"/>
      <c r="M101" s="1295">
        <f>L102/K102</f>
        <v>1.5833546307151232</v>
      </c>
      <c r="N101" s="519"/>
      <c r="O101" s="612"/>
      <c r="P101" s="613"/>
      <c r="Q101" s="1295">
        <f>P102/O102</f>
        <v>1.3919413919413919</v>
      </c>
      <c r="R101" s="429"/>
      <c r="S101" s="973"/>
      <c r="T101" s="973"/>
      <c r="U101" s="452"/>
      <c r="V101" s="551">
        <f>U102/R102</f>
        <v>2.1030093218789983</v>
      </c>
      <c r="W101" s="617"/>
      <c r="X101" s="300">
        <f>U102/T102</f>
        <v>1.5196888125742967</v>
      </c>
      <c r="Y101" s="519"/>
      <c r="Z101" s="612"/>
      <c r="AA101" s="613"/>
      <c r="AB101" s="1295">
        <f>AA102/Z102</f>
        <v>1.37581217750258</v>
      </c>
      <c r="AC101" s="519"/>
      <c r="AD101" s="612"/>
      <c r="AE101" s="1067"/>
      <c r="AF101" s="1296">
        <f>AE102/AD102</f>
        <v>1</v>
      </c>
      <c r="AG101" s="519"/>
      <c r="AH101" s="612"/>
      <c r="AI101" s="1067"/>
      <c r="AJ101" s="1296">
        <f>AI102/AH102</f>
        <v>1</v>
      </c>
      <c r="AK101" s="429"/>
      <c r="AL101" s="973"/>
      <c r="AM101" s="973"/>
      <c r="AN101" s="452"/>
      <c r="AO101" s="553">
        <f>AN102/AK102</f>
        <v>1.0468464685998933</v>
      </c>
      <c r="AP101" s="553"/>
      <c r="AQ101" s="324">
        <f>AN102/AM102</f>
        <v>1.1412575640031033</v>
      </c>
      <c r="AR101" s="289"/>
      <c r="AS101" s="614"/>
      <c r="AT101" s="614"/>
      <c r="AU101" s="316"/>
      <c r="AV101" s="454">
        <f>AU102/AR102</f>
        <v>1.5677865128020194</v>
      </c>
      <c r="AW101" s="454"/>
      <c r="AX101" s="324">
        <f>AU102/AT102</f>
        <v>1.3663776223776223</v>
      </c>
      <c r="AY101" s="471"/>
      <c r="AZ101" s="472"/>
      <c r="BA101" s="1425"/>
      <c r="BB101" s="337"/>
      <c r="BC101" s="337"/>
      <c r="BD101" s="337"/>
      <c r="BE101" s="337"/>
    </row>
    <row r="102" spans="1:57" ht="19.5" customHeight="1">
      <c r="A102" s="747" t="s">
        <v>198</v>
      </c>
      <c r="B102" s="748"/>
      <c r="C102" s="807"/>
      <c r="D102" s="758"/>
      <c r="E102" s="807"/>
      <c r="F102" s="559">
        <v>1916</v>
      </c>
      <c r="G102" s="603">
        <v>2316</v>
      </c>
      <c r="H102" s="561">
        <v>3864.3609999999999</v>
      </c>
      <c r="I102" s="562">
        <f>H102-G102</f>
        <v>1548.3609999999999</v>
      </c>
      <c r="J102" s="559">
        <v>1706</v>
      </c>
      <c r="K102" s="603">
        <v>1706</v>
      </c>
      <c r="L102" s="561">
        <v>2701.203</v>
      </c>
      <c r="M102" s="562">
        <f>L102-K102</f>
        <v>995.20299999999997</v>
      </c>
      <c r="N102" s="559">
        <v>1849</v>
      </c>
      <c r="O102" s="603">
        <v>3549</v>
      </c>
      <c r="P102" s="561">
        <v>4940</v>
      </c>
      <c r="Q102" s="562">
        <f>P102-O102</f>
        <v>1391</v>
      </c>
      <c r="R102" s="462">
        <f>F102+J102+N102</f>
        <v>5471</v>
      </c>
      <c r="S102" s="463"/>
      <c r="T102" s="463">
        <f>G102+K102+O102</f>
        <v>7571</v>
      </c>
      <c r="U102" s="306">
        <f>H102+L102+P102</f>
        <v>11505.564</v>
      </c>
      <c r="V102" s="461">
        <f>U102-R102</f>
        <v>6034.5640000000003</v>
      </c>
      <c r="W102" s="460"/>
      <c r="X102" s="465">
        <f>U102-T102</f>
        <v>3934.5640000000003</v>
      </c>
      <c r="Y102" s="559">
        <v>1938</v>
      </c>
      <c r="Z102" s="603">
        <v>1938</v>
      </c>
      <c r="AA102" s="561">
        <v>2666.3240000000001</v>
      </c>
      <c r="AB102" s="562">
        <f>AA102-Z102</f>
        <v>728.32400000000007</v>
      </c>
      <c r="AC102" s="559">
        <v>2118</v>
      </c>
      <c r="AD102" s="603">
        <v>2118</v>
      </c>
      <c r="AE102" s="1051">
        <v>2118</v>
      </c>
      <c r="AF102" s="562">
        <f>AE102-AD102</f>
        <v>0</v>
      </c>
      <c r="AG102" s="559">
        <v>1565</v>
      </c>
      <c r="AH102" s="603">
        <v>1100</v>
      </c>
      <c r="AI102" s="1051">
        <v>1100</v>
      </c>
      <c r="AJ102" s="562">
        <f>AI102-AH102</f>
        <v>0</v>
      </c>
      <c r="AK102" s="462">
        <f>Y102+AC102+AG102</f>
        <v>5621</v>
      </c>
      <c r="AL102" s="463"/>
      <c r="AM102" s="463">
        <f>Z102+AD102+AH102</f>
        <v>5156</v>
      </c>
      <c r="AN102" s="306">
        <f>AA102+AE102+AI102</f>
        <v>5884.3240000000005</v>
      </c>
      <c r="AO102" s="489">
        <f>AN102-AK102</f>
        <v>263.32400000000052</v>
      </c>
      <c r="AP102" s="489"/>
      <c r="AQ102" s="435">
        <f>AN102-AM102</f>
        <v>728.32400000000052</v>
      </c>
      <c r="AR102" s="310">
        <f>SUM(R102,AK102)</f>
        <v>11092</v>
      </c>
      <c r="AS102" s="564"/>
      <c r="AT102" s="564">
        <f>T102+AM102</f>
        <v>12727</v>
      </c>
      <c r="AU102" s="306">
        <f>SUM(U102,AN102)</f>
        <v>17389.887999999999</v>
      </c>
      <c r="AV102" s="460">
        <f>AU102-AR102</f>
        <v>6297.887999999999</v>
      </c>
      <c r="AW102" s="460"/>
      <c r="AX102" s="435">
        <f>AU102-AT102</f>
        <v>4662.887999999999</v>
      </c>
      <c r="AY102" s="471">
        <f t="shared" si="83"/>
        <v>1848.6666666666667</v>
      </c>
      <c r="AZ102" s="472">
        <f>AU102/6</f>
        <v>2898.3146666666667</v>
      </c>
      <c r="BA102" s="1425">
        <v>2898.3146666666667</v>
      </c>
      <c r="BB102" s="278">
        <f>AZ102-AY102</f>
        <v>1049.6479999999999</v>
      </c>
      <c r="BC102" s="278">
        <f>BA102-AY102</f>
        <v>1049.6479999999999</v>
      </c>
      <c r="BD102" s="302">
        <f>BA102-AZ102</f>
        <v>0</v>
      </c>
      <c r="BE102" s="278">
        <f>AX102/6</f>
        <v>777.1479999999998</v>
      </c>
    </row>
    <row r="103" spans="1:57" ht="19.5" customHeight="1">
      <c r="A103" s="784" t="s">
        <v>228</v>
      </c>
      <c r="B103" s="785"/>
      <c r="C103" s="785"/>
      <c r="D103" s="808"/>
      <c r="E103" s="785"/>
      <c r="F103" s="549"/>
      <c r="G103" s="583"/>
      <c r="H103" s="584"/>
      <c r="I103" s="585"/>
      <c r="J103" s="549"/>
      <c r="K103" s="583"/>
      <c r="L103" s="584"/>
      <c r="M103" s="585"/>
      <c r="N103" s="549"/>
      <c r="O103" s="583"/>
      <c r="P103" s="584"/>
      <c r="Q103" s="585"/>
      <c r="R103" s="587"/>
      <c r="S103" s="586"/>
      <c r="T103" s="586"/>
      <c r="U103" s="358"/>
      <c r="V103" s="554"/>
      <c r="W103" s="606"/>
      <c r="X103" s="602"/>
      <c r="Y103" s="549"/>
      <c r="Z103" s="583"/>
      <c r="AA103" s="584"/>
      <c r="AB103" s="585"/>
      <c r="AC103" s="549"/>
      <c r="AD103" s="583"/>
      <c r="AE103" s="1067"/>
      <c r="AF103" s="585"/>
      <c r="AG103" s="549"/>
      <c r="AH103" s="583"/>
      <c r="AI103" s="1057"/>
      <c r="AJ103" s="585"/>
      <c r="AK103" s="587"/>
      <c r="AL103" s="586"/>
      <c r="AM103" s="586"/>
      <c r="AN103" s="358"/>
      <c r="AO103" s="550"/>
      <c r="AP103" s="550"/>
      <c r="AQ103" s="602"/>
      <c r="AR103" s="357"/>
      <c r="AS103" s="356"/>
      <c r="AT103" s="356"/>
      <c r="AU103" s="358"/>
      <c r="AV103" s="606"/>
      <c r="AW103" s="606"/>
      <c r="AX103" s="602"/>
      <c r="AY103" s="471"/>
      <c r="AZ103" s="558"/>
      <c r="BA103" s="1427"/>
      <c r="BB103" s="616"/>
      <c r="BC103" s="616"/>
      <c r="BD103" s="616"/>
      <c r="BE103" s="616"/>
    </row>
    <row r="104" spans="1:57" ht="20.100000000000001" customHeight="1">
      <c r="A104" s="775" t="s">
        <v>46</v>
      </c>
      <c r="B104" s="761"/>
      <c r="C104" s="761"/>
      <c r="D104" s="765"/>
      <c r="E104" s="761"/>
      <c r="F104" s="444"/>
      <c r="G104" s="568"/>
      <c r="H104" s="569"/>
      <c r="I104" s="570" t="e">
        <f>H105/G105</f>
        <v>#DIV/0!</v>
      </c>
      <c r="J104" s="444"/>
      <c r="K104" s="568"/>
      <c r="L104" s="569"/>
      <c r="M104" s="570" t="e">
        <f>L105/K105</f>
        <v>#DIV/0!</v>
      </c>
      <c r="N104" s="444"/>
      <c r="O104" s="568"/>
      <c r="P104" s="569"/>
      <c r="Q104" s="570" t="e">
        <f>P105/O105</f>
        <v>#DIV/0!</v>
      </c>
      <c r="R104" s="447"/>
      <c r="S104" s="445"/>
      <c r="T104" s="445"/>
      <c r="U104" s="298"/>
      <c r="V104" s="551" t="e">
        <f>U105/R105</f>
        <v>#DIV/0!</v>
      </c>
      <c r="W104" s="617"/>
      <c r="X104" s="300" t="e">
        <f>U105/T105</f>
        <v>#DIV/0!</v>
      </c>
      <c r="Y104" s="444"/>
      <c r="Z104" s="568"/>
      <c r="AA104" s="569"/>
      <c r="AB104" s="570" t="e">
        <f>AA105/Z105</f>
        <v>#DIV/0!</v>
      </c>
      <c r="AC104" s="444"/>
      <c r="AD104" s="568"/>
      <c r="AE104" s="1053"/>
      <c r="AF104" s="573" t="e">
        <f>AE105/AD105</f>
        <v>#DIV/0!</v>
      </c>
      <c r="AG104" s="444"/>
      <c r="AH104" s="568"/>
      <c r="AI104" s="1053"/>
      <c r="AJ104" s="573" t="e">
        <f>AI105/AH105</f>
        <v>#DIV/0!</v>
      </c>
      <c r="AK104" s="447"/>
      <c r="AL104" s="445"/>
      <c r="AM104" s="445"/>
      <c r="AN104" s="298"/>
      <c r="AO104" s="553" t="e">
        <f>AN105/AK105</f>
        <v>#DIV/0!</v>
      </c>
      <c r="AP104" s="553"/>
      <c r="AQ104" s="335" t="e">
        <f>AN105/AM105</f>
        <v>#DIV/0!</v>
      </c>
      <c r="AR104" s="505"/>
      <c r="AS104" s="614"/>
      <c r="AT104" s="614"/>
      <c r="AU104" s="316"/>
      <c r="AV104" s="350" t="e">
        <f>AU105/AR105</f>
        <v>#DIV/0!</v>
      </c>
      <c r="AW104" s="350"/>
      <c r="AX104" s="335" t="e">
        <f>AU105/AT105</f>
        <v>#DIV/0!</v>
      </c>
      <c r="AY104" s="471"/>
      <c r="AZ104" s="472"/>
      <c r="BA104" s="1425"/>
      <c r="BB104" s="337"/>
      <c r="BC104" s="337"/>
      <c r="BD104" s="337"/>
      <c r="BE104" s="337"/>
    </row>
    <row r="105" spans="1:57" ht="19.5" customHeight="1">
      <c r="A105" s="747" t="s">
        <v>199</v>
      </c>
      <c r="B105" s="748"/>
      <c r="C105" s="807"/>
      <c r="D105" s="758"/>
      <c r="E105" s="807"/>
      <c r="F105" s="559"/>
      <c r="G105" s="603"/>
      <c r="H105" s="561">
        <v>165</v>
      </c>
      <c r="I105" s="562">
        <f>H105-G105</f>
        <v>165</v>
      </c>
      <c r="J105" s="559"/>
      <c r="K105" s="603">
        <v>0</v>
      </c>
      <c r="L105" s="561">
        <v>0</v>
      </c>
      <c r="M105" s="562">
        <f>L105-K105</f>
        <v>0</v>
      </c>
      <c r="N105" s="559"/>
      <c r="O105" s="603"/>
      <c r="P105" s="561">
        <v>0</v>
      </c>
      <c r="Q105" s="562">
        <f>P105-O105</f>
        <v>0</v>
      </c>
      <c r="R105" s="462">
        <f>F105+J105+N105</f>
        <v>0</v>
      </c>
      <c r="S105" s="463"/>
      <c r="T105" s="463">
        <f>G105+K105+O105</f>
        <v>0</v>
      </c>
      <c r="U105" s="306">
        <f>H105+L105+P105</f>
        <v>165</v>
      </c>
      <c r="V105" s="461">
        <f>U105-R105</f>
        <v>165</v>
      </c>
      <c r="W105" s="460"/>
      <c r="X105" s="465">
        <f>U105-T105</f>
        <v>165</v>
      </c>
      <c r="Y105" s="559"/>
      <c r="Z105" s="603"/>
      <c r="AA105" s="561">
        <v>152.66900000000001</v>
      </c>
      <c r="AB105" s="562">
        <f>AA105-Z105</f>
        <v>152.66900000000001</v>
      </c>
      <c r="AC105" s="559"/>
      <c r="AD105" s="603"/>
      <c r="AE105" s="1051">
        <v>100</v>
      </c>
      <c r="AF105" s="562">
        <f>AE105-AD105</f>
        <v>100</v>
      </c>
      <c r="AG105" s="559"/>
      <c r="AH105" s="603"/>
      <c r="AI105" s="1051"/>
      <c r="AJ105" s="562">
        <f>AI105-AH105</f>
        <v>0</v>
      </c>
      <c r="AK105" s="462">
        <f>Y105+AC105+AG105</f>
        <v>0</v>
      </c>
      <c r="AL105" s="463"/>
      <c r="AM105" s="463">
        <f>Z105+AD105+AH105</f>
        <v>0</v>
      </c>
      <c r="AN105" s="306">
        <f>AA105+AE105+AI105</f>
        <v>252.66900000000001</v>
      </c>
      <c r="AO105" s="489">
        <f>AN105-AK105</f>
        <v>252.66900000000001</v>
      </c>
      <c r="AP105" s="489"/>
      <c r="AQ105" s="435">
        <f>AN105-AM105</f>
        <v>252.66900000000001</v>
      </c>
      <c r="AR105" s="310">
        <f>SUM(R105,AK105)</f>
        <v>0</v>
      </c>
      <c r="AS105" s="564"/>
      <c r="AT105" s="564">
        <f>T105+AM105</f>
        <v>0</v>
      </c>
      <c r="AU105" s="306">
        <f>SUM(U105,AN105)</f>
        <v>417.66899999999998</v>
      </c>
      <c r="AV105" s="460">
        <f>AU105-AR105</f>
        <v>417.66899999999998</v>
      </c>
      <c r="AW105" s="460"/>
      <c r="AX105" s="435">
        <f>AU105-AT105</f>
        <v>417.66899999999998</v>
      </c>
      <c r="AY105" s="471">
        <f t="shared" si="83"/>
        <v>0</v>
      </c>
      <c r="AZ105" s="472">
        <f>AU105/6</f>
        <v>69.611499999999992</v>
      </c>
      <c r="BA105" s="1425">
        <v>69.611499999999992</v>
      </c>
      <c r="BB105" s="278">
        <f>AZ105-AY105</f>
        <v>69.611499999999992</v>
      </c>
      <c r="BC105" s="278">
        <f>BA105-AY105</f>
        <v>69.611499999999992</v>
      </c>
      <c r="BD105" s="302">
        <f>BA105-AZ105</f>
        <v>0</v>
      </c>
      <c r="BE105" s="278">
        <f>AX105/6</f>
        <v>69.611499999999992</v>
      </c>
    </row>
    <row r="106" spans="1:57" s="1014" customFormat="1" ht="19.5" customHeight="1">
      <c r="A106" s="750" t="s">
        <v>288</v>
      </c>
      <c r="B106" s="751"/>
      <c r="C106" s="761"/>
      <c r="D106" s="765"/>
      <c r="E106" s="761"/>
      <c r="F106" s="1090"/>
      <c r="G106" s="1091">
        <v>200</v>
      </c>
      <c r="H106" s="1092">
        <v>7</v>
      </c>
      <c r="I106" s="1093"/>
      <c r="J106" s="1090"/>
      <c r="K106" s="1091">
        <v>200</v>
      </c>
      <c r="L106" s="1092">
        <v>43</v>
      </c>
      <c r="M106" s="1093"/>
      <c r="N106" s="1090"/>
      <c r="O106" s="1091">
        <v>63</v>
      </c>
      <c r="P106" s="1092">
        <v>118</v>
      </c>
      <c r="Q106" s="1093"/>
      <c r="R106" s="1095"/>
      <c r="S106" s="1096"/>
      <c r="T106" s="1096">
        <f>G106+K106+O106</f>
        <v>463</v>
      </c>
      <c r="U106" s="605">
        <f>H106+L106+P106</f>
        <v>168</v>
      </c>
      <c r="V106" s="630"/>
      <c r="W106" s="1097"/>
      <c r="X106" s="1098"/>
      <c r="Y106" s="1090"/>
      <c r="Z106" s="1091">
        <v>66</v>
      </c>
      <c r="AA106" s="1092">
        <v>51</v>
      </c>
      <c r="AB106" s="1093"/>
      <c r="AC106" s="1090"/>
      <c r="AD106" s="1091">
        <v>458</v>
      </c>
      <c r="AE106" s="1094">
        <v>140</v>
      </c>
      <c r="AF106" s="1093"/>
      <c r="AG106" s="1090"/>
      <c r="AH106" s="1091">
        <v>308</v>
      </c>
      <c r="AI106" s="1094">
        <v>515</v>
      </c>
      <c r="AJ106" s="1093"/>
      <c r="AK106" s="1095">
        <f>Y106+AC106+AG106</f>
        <v>0</v>
      </c>
      <c r="AL106" s="1096"/>
      <c r="AM106" s="1096">
        <f>Z106+AD106+AH106</f>
        <v>832</v>
      </c>
      <c r="AN106" s="605">
        <f>AA106+AE106+AI106</f>
        <v>706</v>
      </c>
      <c r="AO106" s="1099"/>
      <c r="AP106" s="1099"/>
      <c r="AQ106" s="602"/>
      <c r="AR106" s="357"/>
      <c r="AS106" s="356"/>
      <c r="AT106" s="356">
        <f>T106+AM106</f>
        <v>1295</v>
      </c>
      <c r="AU106" s="605">
        <f>SUM(U106,AN106)</f>
        <v>874</v>
      </c>
      <c r="AV106" s="1097"/>
      <c r="AW106" s="1097"/>
      <c r="AX106" s="602"/>
      <c r="AY106" s="471"/>
      <c r="AZ106" s="472"/>
      <c r="BA106" s="1425"/>
      <c r="BB106" s="337"/>
      <c r="BC106" s="278"/>
      <c r="BD106" s="302"/>
      <c r="BE106" s="278"/>
    </row>
    <row r="107" spans="1:57" ht="19.5" customHeight="1">
      <c r="A107" s="806" t="s">
        <v>46</v>
      </c>
      <c r="B107" s="761"/>
      <c r="C107" s="761"/>
      <c r="D107" s="765"/>
      <c r="E107" s="761"/>
      <c r="F107" s="444"/>
      <c r="G107" s="568"/>
      <c r="H107" s="569"/>
      <c r="I107" s="570">
        <f>H108/G108</f>
        <v>6.0578947368421052E-2</v>
      </c>
      <c r="J107" s="444"/>
      <c r="K107" s="568"/>
      <c r="L107" s="569"/>
      <c r="M107" s="570">
        <f>L108/K108</f>
        <v>0.43357894736842106</v>
      </c>
      <c r="N107" s="444"/>
      <c r="O107" s="568"/>
      <c r="P107" s="569"/>
      <c r="Q107" s="573">
        <f>P108/O108</f>
        <v>1.7439593629873695</v>
      </c>
      <c r="R107" s="447"/>
      <c r="S107" s="445"/>
      <c r="T107" s="445"/>
      <c r="U107" s="298"/>
      <c r="V107" s="551">
        <f>U108/R108</f>
        <v>0.38757894736842108</v>
      </c>
      <c r="W107" s="617"/>
      <c r="X107" s="300">
        <f>U108/T108</f>
        <v>0.48785442982068722</v>
      </c>
      <c r="Y107" s="444"/>
      <c r="Z107" s="568"/>
      <c r="AA107" s="569"/>
      <c r="AB107" s="573">
        <f>AA108/Z108</f>
        <v>0.69567748508222971</v>
      </c>
      <c r="AC107" s="444"/>
      <c r="AD107" s="568"/>
      <c r="AE107" s="1053"/>
      <c r="AF107" s="573">
        <f>AE108/AD108</f>
        <v>0.56640820410205106</v>
      </c>
      <c r="AG107" s="444"/>
      <c r="AH107" s="568"/>
      <c r="AI107" s="1053"/>
      <c r="AJ107" s="573">
        <f>AI108/AH108</f>
        <v>2.1692</v>
      </c>
      <c r="AK107" s="447"/>
      <c r="AL107" s="445"/>
      <c r="AM107" s="445"/>
      <c r="AN107" s="298"/>
      <c r="AO107" s="553">
        <f>AN108/AK108</f>
        <v>2.1488157894736841</v>
      </c>
      <c r="AP107" s="553"/>
      <c r="AQ107" s="335">
        <f>AN108/AM108</f>
        <v>1.136449040375221</v>
      </c>
      <c r="AR107" s="505"/>
      <c r="AS107" s="614"/>
      <c r="AT107" s="614"/>
      <c r="AU107" s="316"/>
      <c r="AV107" s="350">
        <f>AU108/AR108</f>
        <v>1.0920736842105263</v>
      </c>
      <c r="AW107" s="350"/>
      <c r="AX107" s="335">
        <f>AU108/AT108</f>
        <v>0.88570452896230845</v>
      </c>
      <c r="AY107" s="471"/>
      <c r="AZ107" s="472"/>
      <c r="BA107" s="1425"/>
      <c r="BB107" s="337"/>
      <c r="BC107" s="337"/>
      <c r="BD107" s="337"/>
      <c r="BE107" s="337"/>
    </row>
    <row r="108" spans="1:57" ht="19.5" customHeight="1">
      <c r="A108" s="747" t="s">
        <v>200</v>
      </c>
      <c r="B108" s="748"/>
      <c r="C108" s="807"/>
      <c r="D108" s="758"/>
      <c r="E108" s="807"/>
      <c r="F108" s="559">
        <v>19000</v>
      </c>
      <c r="G108" s="603">
        <v>19000</v>
      </c>
      <c r="H108" s="561">
        <v>1151</v>
      </c>
      <c r="I108" s="562">
        <f>H108-G108</f>
        <v>-17849</v>
      </c>
      <c r="J108" s="559">
        <v>19000</v>
      </c>
      <c r="K108" s="603">
        <v>19000</v>
      </c>
      <c r="L108" s="561">
        <v>8238</v>
      </c>
      <c r="M108" s="562">
        <f>L108-K108</f>
        <v>-10762</v>
      </c>
      <c r="N108" s="559">
        <v>19000</v>
      </c>
      <c r="O108" s="603">
        <v>7284</v>
      </c>
      <c r="P108" s="561">
        <v>12703</v>
      </c>
      <c r="Q108" s="562">
        <f>P108-O108</f>
        <v>5419</v>
      </c>
      <c r="R108" s="462">
        <f>F108+J108+N108</f>
        <v>57000</v>
      </c>
      <c r="S108" s="463"/>
      <c r="T108" s="463">
        <f>G108+K108+O108</f>
        <v>45284</v>
      </c>
      <c r="U108" s="306">
        <f>H108+L108+P108</f>
        <v>22092</v>
      </c>
      <c r="V108" s="461">
        <f>U108-R108</f>
        <v>-34908</v>
      </c>
      <c r="W108" s="460"/>
      <c r="X108" s="465">
        <f>U108-T108</f>
        <v>-23192</v>
      </c>
      <c r="Y108" s="559">
        <v>19000</v>
      </c>
      <c r="Z108" s="603">
        <v>6871</v>
      </c>
      <c r="AA108" s="561">
        <v>4780</v>
      </c>
      <c r="AB108" s="562">
        <f>AA108-Z108</f>
        <v>-2091</v>
      </c>
      <c r="AC108" s="559">
        <v>11400</v>
      </c>
      <c r="AD108" s="603">
        <v>39980</v>
      </c>
      <c r="AE108" s="1051">
        <v>22645</v>
      </c>
      <c r="AF108" s="562">
        <f>AE108-AD108</f>
        <v>-17335</v>
      </c>
      <c r="AG108" s="559">
        <v>7600</v>
      </c>
      <c r="AH108" s="603">
        <v>25000</v>
      </c>
      <c r="AI108" s="1051">
        <v>54230</v>
      </c>
      <c r="AJ108" s="562">
        <f>AI108-AH108</f>
        <v>29230</v>
      </c>
      <c r="AK108" s="462">
        <f>Y108+AC108+AG108</f>
        <v>38000</v>
      </c>
      <c r="AL108" s="463"/>
      <c r="AM108" s="463">
        <f>Z108+AD108+AH108</f>
        <v>71851</v>
      </c>
      <c r="AN108" s="306">
        <f>AA108+AE108+AI108</f>
        <v>81655</v>
      </c>
      <c r="AO108" s="489">
        <f>AN108-AK108</f>
        <v>43655</v>
      </c>
      <c r="AP108" s="489"/>
      <c r="AQ108" s="435">
        <f>AN108-AM108</f>
        <v>9804</v>
      </c>
      <c r="AR108" s="310">
        <f>SUM(R108,AK108)</f>
        <v>95000</v>
      </c>
      <c r="AS108" s="564"/>
      <c r="AT108" s="564">
        <f>T108+AM108</f>
        <v>117135</v>
      </c>
      <c r="AU108" s="306">
        <f>SUM(U108,AN108)</f>
        <v>103747</v>
      </c>
      <c r="AV108" s="460">
        <f>AU108-AR108</f>
        <v>8747</v>
      </c>
      <c r="AW108" s="460"/>
      <c r="AX108" s="435">
        <f>AU108-AT108</f>
        <v>-13388</v>
      </c>
      <c r="AY108" s="471">
        <f t="shared" si="83"/>
        <v>15833.333333333334</v>
      </c>
      <c r="AZ108" s="472">
        <f>AU108/6</f>
        <v>17291.166666666668</v>
      </c>
      <c r="BA108" s="1425">
        <v>17291.166666666668</v>
      </c>
      <c r="BB108" s="278">
        <f>AZ108-AY108</f>
        <v>1457.8333333333339</v>
      </c>
      <c r="BC108" s="278">
        <f>BA108-AY108</f>
        <v>1457.8333333333339</v>
      </c>
      <c r="BD108" s="302">
        <f>BA108-AZ108</f>
        <v>0</v>
      </c>
      <c r="BE108" s="278">
        <f>AX108/6</f>
        <v>-2231.3333333333335</v>
      </c>
    </row>
    <row r="109" spans="1:57" ht="20.100000000000001" customHeight="1">
      <c r="A109" s="761"/>
      <c r="B109" s="761"/>
      <c r="C109" s="761"/>
      <c r="D109" s="765"/>
      <c r="E109" s="761"/>
      <c r="F109" s="444"/>
      <c r="G109" s="568"/>
      <c r="H109" s="569"/>
      <c r="I109" s="570">
        <f>H110/G110</f>
        <v>0.82581086196853659</v>
      </c>
      <c r="J109" s="444"/>
      <c r="K109" s="568"/>
      <c r="L109" s="569"/>
      <c r="M109" s="570">
        <f>L110/K110</f>
        <v>0.93978097038822528</v>
      </c>
      <c r="N109" s="444"/>
      <c r="O109" s="568"/>
      <c r="P109" s="569"/>
      <c r="Q109" s="1295">
        <f>P110/O110</f>
        <v>0.90670117746177381</v>
      </c>
      <c r="R109" s="521"/>
      <c r="S109" s="572"/>
      <c r="T109" s="572"/>
      <c r="U109" s="316"/>
      <c r="V109" s="551">
        <f>U110/R110</f>
        <v>0.85684097561453321</v>
      </c>
      <c r="W109" s="617"/>
      <c r="X109" s="300">
        <f>U110/T110</f>
        <v>0.88737162736713993</v>
      </c>
      <c r="Y109" s="444"/>
      <c r="Z109" s="568"/>
      <c r="AA109" s="569"/>
      <c r="AB109" s="1295">
        <f>AA110/Z110</f>
        <v>1.0108589364872802</v>
      </c>
      <c r="AC109" s="444"/>
      <c r="AD109" s="568"/>
      <c r="AE109" s="1053"/>
      <c r="AF109" s="573">
        <f>AE110/AD110</f>
        <v>0.7201558733926321</v>
      </c>
      <c r="AG109" s="444"/>
      <c r="AH109" s="568"/>
      <c r="AI109" s="1053"/>
      <c r="AJ109" s="573">
        <f>AI110/AH110</f>
        <v>0.78479892761394099</v>
      </c>
      <c r="AK109" s="521"/>
      <c r="AL109" s="572"/>
      <c r="AM109" s="572"/>
      <c r="AN109" s="316"/>
      <c r="AO109" s="553">
        <f>AN110/AK110</f>
        <v>0.96757861785333621</v>
      </c>
      <c r="AP109" s="553"/>
      <c r="AQ109" s="335">
        <f>AN110/AM110</f>
        <v>0.84220044448921239</v>
      </c>
      <c r="AR109" s="344"/>
      <c r="AS109" s="574"/>
      <c r="AT109" s="574"/>
      <c r="AU109" s="316"/>
      <c r="AV109" s="454">
        <f>AU110/AR110</f>
        <v>0.90982247627601232</v>
      </c>
      <c r="AW109" s="454"/>
      <c r="AX109" s="324">
        <f>AU110/AT110</f>
        <v>0.86379850931855329</v>
      </c>
      <c r="AY109" s="471"/>
      <c r="AZ109" s="472"/>
      <c r="BA109" s="1425"/>
      <c r="BB109" s="337"/>
      <c r="BC109" s="337"/>
      <c r="BD109" s="337"/>
      <c r="BE109" s="337"/>
    </row>
    <row r="110" spans="1:57" ht="20.100000000000001" customHeight="1" thickBot="1">
      <c r="A110" s="748" t="s">
        <v>201</v>
      </c>
      <c r="B110" s="748"/>
      <c r="C110" s="759"/>
      <c r="D110" s="753"/>
      <c r="E110" s="789"/>
      <c r="F110" s="961">
        <f>F77+F81+F93+F100+F102+F105+F108</f>
        <v>441831</v>
      </c>
      <c r="G110" s="962">
        <f>G77+G81+G93+G100+G102+G105+G108</f>
        <v>446362</v>
      </c>
      <c r="H110" s="618">
        <f>H77+H81+H93+H100+H102+H105+H108</f>
        <v>368610.58796999994</v>
      </c>
      <c r="I110" s="963">
        <f>H110-G110</f>
        <v>-77751.412030000065</v>
      </c>
      <c r="J110" s="961">
        <f>J77+J81+J93+J100+J102+J105+J108</f>
        <v>406321</v>
      </c>
      <c r="K110" s="962">
        <f>K77+K81+K93+K100+K102+K105+K108</f>
        <v>371305</v>
      </c>
      <c r="L110" s="618">
        <f>L77+L81+L93+L100+L102+L105+L108</f>
        <v>348945.37320999999</v>
      </c>
      <c r="M110" s="963">
        <f>L110-K110</f>
        <v>-22359.626790000009</v>
      </c>
      <c r="N110" s="961">
        <f>N77+N81+N93+N100+N102+N105+N108</f>
        <v>428264</v>
      </c>
      <c r="O110" s="1400">
        <f>O77+O81+O93+O100+O102+O105+O108</f>
        <v>414833</v>
      </c>
      <c r="P110" s="618">
        <f>P77+P81+P93+P100+P102+P105+P108</f>
        <v>376129.56955000001</v>
      </c>
      <c r="Q110" s="1401">
        <f>P110-O110</f>
        <v>-38703.430449999985</v>
      </c>
      <c r="R110" s="958">
        <f>R77+R81+R93+R100+R102+R105+R108</f>
        <v>1276416</v>
      </c>
      <c r="S110" s="1320"/>
      <c r="T110" s="1391">
        <f>T77+T81+T93+T100+T102+T105+T108</f>
        <v>1232500</v>
      </c>
      <c r="U110" s="1391">
        <f>U77+U81+U93+U100+U102+U105+U108</f>
        <v>1093685.53073</v>
      </c>
      <c r="V110" s="1391">
        <f>U110-R110</f>
        <v>-182730.46927</v>
      </c>
      <c r="W110" s="1394"/>
      <c r="X110" s="1395">
        <f>U110-T110</f>
        <v>-138814.46927</v>
      </c>
      <c r="Y110" s="961">
        <f t="shared" ref="Y110:AX110" si="101">Y77+Y81+Y93+Y100+Y102+Y105+Y108</f>
        <v>439963</v>
      </c>
      <c r="Z110" s="1400">
        <f t="shared" si="101"/>
        <v>481809</v>
      </c>
      <c r="AA110" s="618">
        <f t="shared" si="101"/>
        <v>487040.93332999997</v>
      </c>
      <c r="AB110" s="1401">
        <f t="shared" si="101"/>
        <v>5036.7333299999718</v>
      </c>
      <c r="AC110" s="961">
        <f t="shared" si="101"/>
        <v>384643</v>
      </c>
      <c r="AD110" s="1400">
        <f t="shared" si="101"/>
        <v>490398</v>
      </c>
      <c r="AE110" s="1068">
        <f t="shared" si="101"/>
        <v>353163</v>
      </c>
      <c r="AF110" s="1401">
        <f t="shared" si="101"/>
        <v>-137235</v>
      </c>
      <c r="AG110" s="961">
        <f t="shared" si="101"/>
        <v>346290</v>
      </c>
      <c r="AH110" s="1400">
        <f t="shared" si="101"/>
        <v>373000</v>
      </c>
      <c r="AI110" s="1068">
        <f t="shared" si="101"/>
        <v>292730</v>
      </c>
      <c r="AJ110" s="1401">
        <f t="shared" si="101"/>
        <v>-80270</v>
      </c>
      <c r="AK110" s="958">
        <f t="shared" si="101"/>
        <v>1170896</v>
      </c>
      <c r="AL110" s="1292"/>
      <c r="AM110" s="1292">
        <f t="shared" si="101"/>
        <v>1345207</v>
      </c>
      <c r="AN110" s="1391">
        <f t="shared" si="101"/>
        <v>1132933.9333299999</v>
      </c>
      <c r="AO110" s="1292">
        <f t="shared" si="101"/>
        <v>-37962.06667</v>
      </c>
      <c r="AP110" s="1292"/>
      <c r="AQ110" s="1402">
        <f t="shared" si="101"/>
        <v>-212273.06667</v>
      </c>
      <c r="AR110" s="975">
        <f t="shared" si="101"/>
        <v>2447312</v>
      </c>
      <c r="AS110" s="1321"/>
      <c r="AT110" s="1321">
        <f t="shared" si="101"/>
        <v>2577707</v>
      </c>
      <c r="AU110" s="1398">
        <f t="shared" si="101"/>
        <v>2226619.4640600001</v>
      </c>
      <c r="AV110" s="1396">
        <f t="shared" si="101"/>
        <v>-220692.53594000012</v>
      </c>
      <c r="AW110" s="1396"/>
      <c r="AX110" s="1402">
        <f t="shared" si="101"/>
        <v>-351087.53594000015</v>
      </c>
      <c r="AY110" s="471">
        <f t="shared" si="83"/>
        <v>407885.33333333331</v>
      </c>
      <c r="AZ110" s="472">
        <f>AZ77+AZ81+AZ93+AZ100+AZ102+AZ105+AZ108</f>
        <v>371103.24401000002</v>
      </c>
      <c r="BA110" s="1425">
        <v>371103.24401000002</v>
      </c>
      <c r="BB110" s="278">
        <f>AZ110-AY110</f>
        <v>-36782.08932333329</v>
      </c>
      <c r="BC110" s="278">
        <f>BA110-AY110</f>
        <v>-36782.08932333329</v>
      </c>
      <c r="BD110" s="302">
        <f>BA110-AZ110</f>
        <v>0</v>
      </c>
      <c r="BE110" s="278">
        <f>AX110/6</f>
        <v>-58514.589323333355</v>
      </c>
    </row>
    <row r="111" spans="1:57" ht="12.75" customHeight="1">
      <c r="A111" s="730"/>
      <c r="B111" s="730"/>
      <c r="C111" s="730"/>
      <c r="D111" s="730"/>
      <c r="E111" s="730"/>
      <c r="M111" s="416"/>
      <c r="R111" s="325">
        <f>R110/3</f>
        <v>425472</v>
      </c>
      <c r="S111" s="325"/>
      <c r="T111" s="325">
        <f>T110/3</f>
        <v>410833.33333333331</v>
      </c>
      <c r="U111" s="325">
        <f>U110/3</f>
        <v>364561.84357666667</v>
      </c>
      <c r="V111" s="325">
        <f>V110/3</f>
        <v>-60910.156423333334</v>
      </c>
      <c r="W111" s="325"/>
      <c r="X111" s="325">
        <f>X110/3</f>
        <v>-46271.48975666667</v>
      </c>
      <c r="AI111" s="416"/>
      <c r="AK111" s="325">
        <f>AK110/3</f>
        <v>390298.66666666669</v>
      </c>
      <c r="AL111" s="325"/>
      <c r="AM111" s="325">
        <f>AM110/3</f>
        <v>448402.33333333331</v>
      </c>
      <c r="AN111" s="325">
        <f>AN110/3</f>
        <v>377644.64444333332</v>
      </c>
      <c r="AO111" s="325"/>
      <c r="AP111" s="325"/>
      <c r="AR111" s="325">
        <f>AR110/6</f>
        <v>407885.33333333331</v>
      </c>
      <c r="AS111" s="325"/>
      <c r="AT111" s="325">
        <f>AT110/6</f>
        <v>429617.83333333331</v>
      </c>
      <c r="AU111" s="325">
        <f>AU110/6</f>
        <v>371103.24401000002</v>
      </c>
      <c r="AY111" s="416"/>
      <c r="AZ111" s="416"/>
    </row>
    <row r="112" spans="1:57" ht="20.25" thickBot="1">
      <c r="A112" s="779" t="s">
        <v>229</v>
      </c>
      <c r="B112" s="780"/>
      <c r="C112" s="781"/>
      <c r="D112" s="781"/>
      <c r="E112" s="781"/>
      <c r="G112" s="524"/>
      <c r="H112" s="524"/>
      <c r="I112" s="347"/>
      <c r="K112" s="524"/>
      <c r="L112" s="524"/>
      <c r="M112" s="524"/>
      <c r="O112" s="524"/>
      <c r="P112" s="524"/>
      <c r="Q112" s="347"/>
      <c r="R112" s="279"/>
      <c r="S112" s="279"/>
      <c r="T112" s="279"/>
      <c r="U112" s="506"/>
      <c r="V112" s="506"/>
      <c r="W112" s="506"/>
      <c r="X112" s="524"/>
      <c r="Z112" s="524"/>
      <c r="AA112" s="524"/>
      <c r="AB112" s="524"/>
      <c r="AD112" s="524"/>
      <c r="AE112" s="524"/>
      <c r="AF112" s="524"/>
      <c r="AH112" s="524"/>
      <c r="AI112" s="524"/>
      <c r="AJ112" s="524"/>
      <c r="AK112" s="279"/>
      <c r="AL112" s="279"/>
      <c r="AM112" s="279"/>
      <c r="AN112" s="506"/>
      <c r="AO112" s="506"/>
      <c r="AP112" s="506"/>
      <c r="AQ112" s="524"/>
      <c r="AR112" s="418"/>
      <c r="AS112" s="418"/>
      <c r="AU112" s="418"/>
      <c r="AV112" s="347"/>
      <c r="AW112" s="347"/>
      <c r="AX112" s="421" t="s">
        <v>34</v>
      </c>
      <c r="AY112" s="416"/>
      <c r="AZ112" s="416"/>
      <c r="BA112" s="1419">
        <v>43109.442187037035</v>
      </c>
    </row>
    <row r="113" spans="1:57" ht="20.100000000000001" customHeight="1" thickBot="1">
      <c r="A113" s="732"/>
      <c r="B113" s="732"/>
      <c r="C113" s="732"/>
      <c r="D113" s="733"/>
      <c r="E113" s="1494"/>
      <c r="F113" s="1558" t="str">
        <f>F3</f>
        <v>17/9</v>
      </c>
      <c r="G113" s="1560"/>
      <c r="H113" s="1560"/>
      <c r="I113" s="1561">
        <v>0</v>
      </c>
      <c r="J113" s="1558" t="str">
        <f>J3</f>
        <v>17/10</v>
      </c>
      <c r="K113" s="1559"/>
      <c r="L113" s="1560"/>
      <c r="M113" s="1561">
        <v>0</v>
      </c>
      <c r="N113" s="1558" t="str">
        <f>N3</f>
        <v>17/11</v>
      </c>
      <c r="O113" s="1559"/>
      <c r="P113" s="1560"/>
      <c r="Q113" s="1561">
        <v>0</v>
      </c>
      <c r="R113" s="1558" t="str">
        <f>R3</f>
        <v>17/9-17/11累計</v>
      </c>
      <c r="S113" s="1559"/>
      <c r="T113" s="1559"/>
      <c r="U113" s="1560"/>
      <c r="V113" s="1559"/>
      <c r="W113" s="1559"/>
      <c r="X113" s="1561"/>
      <c r="Y113" s="1558" t="str">
        <f>Y3</f>
        <v>17/12</v>
      </c>
      <c r="Z113" s="1559"/>
      <c r="AA113" s="1560"/>
      <c r="AB113" s="1561">
        <v>0</v>
      </c>
      <c r="AC113" s="1558" t="str">
        <f>AC3</f>
        <v>18/1</v>
      </c>
      <c r="AD113" s="1559"/>
      <c r="AE113" s="1560"/>
      <c r="AF113" s="1561">
        <v>0</v>
      </c>
      <c r="AG113" s="1558" t="str">
        <f>AG3</f>
        <v>18/2</v>
      </c>
      <c r="AH113" s="1559"/>
      <c r="AI113" s="1560"/>
      <c r="AJ113" s="1561">
        <v>0</v>
      </c>
      <c r="AK113" s="1558" t="str">
        <f>AK3</f>
        <v>17/12-18/2累計</v>
      </c>
      <c r="AL113" s="1559"/>
      <c r="AM113" s="1559"/>
      <c r="AN113" s="1560"/>
      <c r="AO113" s="1559"/>
      <c r="AP113" s="1559"/>
      <c r="AQ113" s="1561"/>
      <c r="AR113" s="1562" t="str">
        <f>AR3</f>
        <v>17/下(17/12-18/2)累計</v>
      </c>
      <c r="AS113" s="1563"/>
      <c r="AT113" s="1563"/>
      <c r="AU113" s="1563"/>
      <c r="AV113" s="1563"/>
      <c r="AW113" s="1563"/>
      <c r="AX113" s="1564"/>
      <c r="AY113" s="422"/>
      <c r="AZ113" s="423"/>
      <c r="BA113" s="1420"/>
      <c r="BB113" s="1039"/>
      <c r="BC113" s="280"/>
      <c r="BD113" s="280"/>
      <c r="BE113" s="280"/>
    </row>
    <row r="114" spans="1:57" ht="20.100000000000001" customHeight="1" thickTop="1">
      <c r="A114" s="734"/>
      <c r="B114" s="734"/>
      <c r="C114" s="734"/>
      <c r="D114" s="735"/>
      <c r="E114" s="734"/>
      <c r="F114" s="619" t="s">
        <v>38</v>
      </c>
      <c r="G114" s="526" t="str">
        <f>G4</f>
        <v>前回計画</v>
      </c>
      <c r="H114" s="527" t="str">
        <f>H4</f>
        <v>実績</v>
      </c>
      <c r="I114" s="1069" t="s">
        <v>40</v>
      </c>
      <c r="J114" s="619" t="str">
        <f>J4</f>
        <v>レビュー</v>
      </c>
      <c r="K114" s="526" t="str">
        <f>K4</f>
        <v>前回計画</v>
      </c>
      <c r="L114" s="527" t="str">
        <f>L4</f>
        <v>実績</v>
      </c>
      <c r="M114" s="620" t="s">
        <v>40</v>
      </c>
      <c r="N114" s="619" t="str">
        <f>N4</f>
        <v>レビュー</v>
      </c>
      <c r="O114" s="526" t="str">
        <f>O4</f>
        <v>計画</v>
      </c>
      <c r="P114" s="527" t="str">
        <f>P4</f>
        <v>実績</v>
      </c>
      <c r="Q114" s="1069" t="s">
        <v>40</v>
      </c>
      <c r="R114" s="619" t="str">
        <f>R4</f>
        <v>レビュー</v>
      </c>
      <c r="S114" s="285"/>
      <c r="T114" s="282" t="str">
        <f>T35</f>
        <v>前回見通</v>
      </c>
      <c r="U114" s="283" t="str">
        <f>U71</f>
        <v>実績</v>
      </c>
      <c r="V114" s="282" t="s">
        <v>370</v>
      </c>
      <c r="W114" s="287"/>
      <c r="X114" s="286" t="s">
        <v>371</v>
      </c>
      <c r="Y114" s="619" t="str">
        <f>Y4</f>
        <v>レビュー</v>
      </c>
      <c r="Z114" s="526" t="str">
        <f>Z4</f>
        <v>前回計画</v>
      </c>
      <c r="AA114" s="527" t="str">
        <f>AA4</f>
        <v>実績</v>
      </c>
      <c r="AB114" s="620" t="s">
        <v>40</v>
      </c>
      <c r="AC114" s="619" t="str">
        <f>AC4</f>
        <v>レビュー</v>
      </c>
      <c r="AD114" s="526" t="str">
        <f>AD4</f>
        <v>前回計画</v>
      </c>
      <c r="AE114" s="1041" t="str">
        <f>AE4</f>
        <v>今回計画</v>
      </c>
      <c r="AF114" s="620" t="s">
        <v>40</v>
      </c>
      <c r="AG114" s="619" t="str">
        <f>AG4</f>
        <v>レビュー</v>
      </c>
      <c r="AH114" s="526" t="str">
        <f>AH4</f>
        <v>前回計画</v>
      </c>
      <c r="AI114" s="1041" t="str">
        <f>AI4</f>
        <v>今回計画</v>
      </c>
      <c r="AJ114" s="620" t="s">
        <v>40</v>
      </c>
      <c r="AK114" s="284" t="str">
        <f>AK4</f>
        <v>レビュー</v>
      </c>
      <c r="AL114" s="285"/>
      <c r="AM114" s="285" t="str">
        <f>AM35</f>
        <v>前回見通</v>
      </c>
      <c r="AN114" s="283" t="str">
        <f>AN71</f>
        <v>今回見通</v>
      </c>
      <c r="AO114" s="285" t="str">
        <f>AO4</f>
        <v>レビュー差異</v>
      </c>
      <c r="AP114" s="285"/>
      <c r="AQ114" s="286" t="s">
        <v>393</v>
      </c>
      <c r="AR114" s="281" t="str">
        <f>AR4</f>
        <v>レビュー</v>
      </c>
      <c r="AS114" s="328"/>
      <c r="AT114" s="328" t="str">
        <f>AT35</f>
        <v>前回見通</v>
      </c>
      <c r="AU114" s="283" t="str">
        <f>AU4</f>
        <v>今回見通</v>
      </c>
      <c r="AV114" s="327" t="str">
        <f>AV4</f>
        <v>レビュー差異</v>
      </c>
      <c r="AW114" s="327"/>
      <c r="AX114" s="286" t="s">
        <v>394</v>
      </c>
      <c r="AY114" s="424" t="s">
        <v>45</v>
      </c>
      <c r="AZ114" s="427" t="str">
        <f>AZ4</f>
        <v>見通し平均</v>
      </c>
      <c r="BA114" s="1426" t="s">
        <v>321</v>
      </c>
      <c r="BB114" s="278" t="s">
        <v>300</v>
      </c>
      <c r="BC114" s="278" t="s">
        <v>277</v>
      </c>
      <c r="BD114" s="278" t="str">
        <f>BD4</f>
        <v>月目標差</v>
      </c>
      <c r="BE114" s="278" t="s">
        <v>279</v>
      </c>
    </row>
    <row r="115" spans="1:57" ht="20.100000000000001" customHeight="1">
      <c r="A115" s="809"/>
      <c r="B115" s="1574" t="s">
        <v>203</v>
      </c>
      <c r="C115" s="1575"/>
      <c r="D115" s="737"/>
      <c r="E115" s="1495"/>
      <c r="F115" s="529">
        <v>8200</v>
      </c>
      <c r="G115" s="621">
        <v>8200</v>
      </c>
      <c r="H115" s="622">
        <v>6400.5758800000003</v>
      </c>
      <c r="I115" s="623">
        <f t="shared" ref="I115:I120" si="102">H115-G115</f>
        <v>-1799.4241199999997</v>
      </c>
      <c r="J115" s="529">
        <v>6500</v>
      </c>
      <c r="K115" s="621">
        <v>5500</v>
      </c>
      <c r="L115" s="622">
        <v>5290.2100799999998</v>
      </c>
      <c r="M115" s="1299">
        <f t="shared" ref="M115:M120" si="103">L115-K115</f>
        <v>-209.78992000000017</v>
      </c>
      <c r="N115" s="529">
        <v>6300</v>
      </c>
      <c r="O115" s="621">
        <v>7500</v>
      </c>
      <c r="P115" s="622">
        <v>7439.4185999999982</v>
      </c>
      <c r="Q115" s="1299">
        <f t="shared" ref="Q115:Q120" si="104">P115-O115</f>
        <v>-60.58140000000185</v>
      </c>
      <c r="R115" s="440">
        <f t="shared" ref="R115:R120" si="105">F115+J115+N115</f>
        <v>21000</v>
      </c>
      <c r="S115" s="441"/>
      <c r="T115" s="441">
        <f t="shared" ref="T115:U120" si="106">G115+K115+O115</f>
        <v>21200</v>
      </c>
      <c r="U115" s="430">
        <f t="shared" si="106"/>
        <v>19130.204559999998</v>
      </c>
      <c r="V115" s="430">
        <f t="shared" ref="V115:V120" si="107">U115-R115</f>
        <v>-1869.7954400000017</v>
      </c>
      <c r="W115" s="431"/>
      <c r="X115" s="503">
        <f t="shared" ref="X115:X120" si="108">U115-T115</f>
        <v>-2069.7954400000017</v>
      </c>
      <c r="Y115" s="529">
        <v>6300</v>
      </c>
      <c r="Z115" s="621">
        <v>7000</v>
      </c>
      <c r="AA115" s="622">
        <v>6421.748279999998</v>
      </c>
      <c r="AB115" s="1299">
        <f>AA115-Z115</f>
        <v>-578.25172000000202</v>
      </c>
      <c r="AC115" s="529">
        <v>5500</v>
      </c>
      <c r="AD115" s="621">
        <v>5000</v>
      </c>
      <c r="AE115" s="1070">
        <f>AD115</f>
        <v>5000</v>
      </c>
      <c r="AF115" s="1299">
        <f>AE115-AD115</f>
        <v>0</v>
      </c>
      <c r="AG115" s="529">
        <v>3500</v>
      </c>
      <c r="AH115" s="621">
        <v>4000</v>
      </c>
      <c r="AI115" s="1070">
        <f>AH115</f>
        <v>4000</v>
      </c>
      <c r="AJ115" s="1299">
        <f>AI115-AH115</f>
        <v>0</v>
      </c>
      <c r="AK115" s="440">
        <f t="shared" ref="AK115:AK120" si="109">Y115+AC115+AG115</f>
        <v>15300</v>
      </c>
      <c r="AL115" s="441"/>
      <c r="AM115" s="441">
        <f t="shared" ref="AM115:AN120" si="110">Z115+AD115+AH115</f>
        <v>16000</v>
      </c>
      <c r="AN115" s="430">
        <f t="shared" si="110"/>
        <v>15421.748279999998</v>
      </c>
      <c r="AO115" s="441">
        <f t="shared" ref="AO115:AO120" si="111">AN115-AK115</f>
        <v>121.74827999999798</v>
      </c>
      <c r="AP115" s="973"/>
      <c r="AQ115" s="503">
        <f t="shared" ref="AQ115:AQ120" si="112">AN115-AM115</f>
        <v>-578.25172000000202</v>
      </c>
      <c r="AR115" s="440">
        <f t="shared" ref="AR115:AR120" si="113">SUM(R115,AK115)</f>
        <v>36300</v>
      </c>
      <c r="AS115" s="662"/>
      <c r="AT115" s="624">
        <f t="shared" ref="AT115:AT120" si="114">T115+AM115</f>
        <v>37200</v>
      </c>
      <c r="AU115" s="430">
        <f t="shared" ref="AU115:AU120" si="115">SUM(U115,AN115)</f>
        <v>34551.952839999998</v>
      </c>
      <c r="AV115" s="473">
        <f t="shared" ref="AV115:AV120" si="116">AU115-AR115</f>
        <v>-1748.0471600000019</v>
      </c>
      <c r="AW115" s="431"/>
      <c r="AX115" s="503">
        <f t="shared" ref="AX115:AX120" si="117">AU115-AT115</f>
        <v>-2648.0471600000019</v>
      </c>
      <c r="AY115" s="471"/>
      <c r="AZ115" s="626"/>
      <c r="BA115" s="1429"/>
      <c r="BB115" s="597"/>
      <c r="BC115" s="597"/>
      <c r="BD115" s="597"/>
      <c r="BE115" s="597"/>
    </row>
    <row r="116" spans="1:57" ht="20.100000000000001" customHeight="1">
      <c r="A116" s="738"/>
      <c r="B116" s="760"/>
      <c r="C116" s="810" t="s">
        <v>230</v>
      </c>
      <c r="D116" s="769"/>
      <c r="E116" s="1499"/>
      <c r="F116" s="519">
        <v>250</v>
      </c>
      <c r="G116" s="627">
        <v>250</v>
      </c>
      <c r="H116" s="628">
        <v>224.95612</v>
      </c>
      <c r="I116" s="623">
        <f t="shared" si="102"/>
        <v>-25.043880000000001</v>
      </c>
      <c r="J116" s="519">
        <v>250</v>
      </c>
      <c r="K116" s="627">
        <v>250</v>
      </c>
      <c r="L116" s="628">
        <v>90.62612</v>
      </c>
      <c r="M116" s="1299">
        <f t="shared" si="103"/>
        <v>-159.37387999999999</v>
      </c>
      <c r="N116" s="519">
        <v>250</v>
      </c>
      <c r="O116" s="627">
        <v>250</v>
      </c>
      <c r="P116" s="628">
        <v>518.57141999999999</v>
      </c>
      <c r="Q116" s="1299">
        <f t="shared" si="104"/>
        <v>268.57141999999999</v>
      </c>
      <c r="R116" s="440">
        <f t="shared" si="105"/>
        <v>750</v>
      </c>
      <c r="S116" s="441"/>
      <c r="T116" s="441">
        <f t="shared" si="106"/>
        <v>750</v>
      </c>
      <c r="U116" s="430">
        <f t="shared" si="106"/>
        <v>834.15365999999995</v>
      </c>
      <c r="V116" s="430">
        <f t="shared" si="107"/>
        <v>84.153659999999945</v>
      </c>
      <c r="W116" s="431"/>
      <c r="X116" s="503">
        <f t="shared" si="108"/>
        <v>84.153659999999945</v>
      </c>
      <c r="Y116" s="519">
        <v>240</v>
      </c>
      <c r="Z116" s="627">
        <v>250</v>
      </c>
      <c r="AA116" s="628">
        <v>740.00300000000004</v>
      </c>
      <c r="AB116" s="1299">
        <f>AA116-Z116</f>
        <v>490.00300000000004</v>
      </c>
      <c r="AC116" s="519">
        <v>150</v>
      </c>
      <c r="AD116" s="627">
        <v>150</v>
      </c>
      <c r="AE116" s="1048">
        <f>AD116</f>
        <v>150</v>
      </c>
      <c r="AF116" s="1299">
        <f>AE116-AD116</f>
        <v>0</v>
      </c>
      <c r="AG116" s="519">
        <v>150</v>
      </c>
      <c r="AH116" s="627">
        <f t="shared" ref="AH116" si="118">AG116</f>
        <v>150</v>
      </c>
      <c r="AI116" s="1048">
        <f>AH116</f>
        <v>150</v>
      </c>
      <c r="AJ116" s="1299">
        <f>AI116-AH116</f>
        <v>0</v>
      </c>
      <c r="AK116" s="440">
        <f t="shared" si="109"/>
        <v>540</v>
      </c>
      <c r="AL116" s="441"/>
      <c r="AM116" s="441">
        <f t="shared" si="110"/>
        <v>550</v>
      </c>
      <c r="AN116" s="430">
        <f t="shared" si="110"/>
        <v>1040.0030000000002</v>
      </c>
      <c r="AO116" s="441">
        <f t="shared" si="111"/>
        <v>500.00300000000016</v>
      </c>
      <c r="AP116" s="973"/>
      <c r="AQ116" s="503">
        <f t="shared" si="112"/>
        <v>490.00300000000016</v>
      </c>
      <c r="AR116" s="440">
        <f t="shared" si="113"/>
        <v>1290</v>
      </c>
      <c r="AS116" s="662"/>
      <c r="AT116" s="624">
        <f t="shared" si="114"/>
        <v>1300</v>
      </c>
      <c r="AU116" s="430">
        <f t="shared" si="115"/>
        <v>1874.1566600000001</v>
      </c>
      <c r="AV116" s="473">
        <f t="shared" si="116"/>
        <v>584.1566600000001</v>
      </c>
      <c r="AW116" s="431"/>
      <c r="AX116" s="503">
        <f t="shared" si="117"/>
        <v>574.1566600000001</v>
      </c>
      <c r="AY116" s="471"/>
      <c r="AZ116" s="445"/>
      <c r="BA116" s="1423"/>
      <c r="BB116" s="416"/>
      <c r="BC116" s="416"/>
      <c r="BD116" s="416"/>
      <c r="BE116" s="416"/>
    </row>
    <row r="117" spans="1:57" ht="20.100000000000001" customHeight="1">
      <c r="A117" s="738"/>
      <c r="B117" s="760"/>
      <c r="C117" s="768"/>
      <c r="D117" s="769" t="s">
        <v>186</v>
      </c>
      <c r="E117" s="1499"/>
      <c r="F117" s="519">
        <v>18000</v>
      </c>
      <c r="G117" s="627">
        <v>18000</v>
      </c>
      <c r="H117" s="628">
        <v>8904.39</v>
      </c>
      <c r="I117" s="623">
        <f t="shared" si="102"/>
        <v>-9095.61</v>
      </c>
      <c r="J117" s="519">
        <v>20000</v>
      </c>
      <c r="K117" s="627">
        <v>12000</v>
      </c>
      <c r="L117" s="628">
        <v>9353.8770000000004</v>
      </c>
      <c r="M117" s="1299">
        <f t="shared" si="103"/>
        <v>-2646.1229999999996</v>
      </c>
      <c r="N117" s="519">
        <v>22000</v>
      </c>
      <c r="O117" s="627">
        <v>12000</v>
      </c>
      <c r="P117" s="628">
        <v>9845.9519999999993</v>
      </c>
      <c r="Q117" s="1299">
        <f t="shared" si="104"/>
        <v>-2154.0480000000007</v>
      </c>
      <c r="R117" s="440">
        <f t="shared" si="105"/>
        <v>60000</v>
      </c>
      <c r="S117" s="441"/>
      <c r="T117" s="441">
        <f t="shared" si="106"/>
        <v>42000</v>
      </c>
      <c r="U117" s="430">
        <f t="shared" si="106"/>
        <v>28104.218999999997</v>
      </c>
      <c r="V117" s="430">
        <f t="shared" si="107"/>
        <v>-31895.781000000003</v>
      </c>
      <c r="W117" s="431"/>
      <c r="X117" s="503">
        <f t="shared" si="108"/>
        <v>-13895.781000000003</v>
      </c>
      <c r="Y117" s="519">
        <v>22000</v>
      </c>
      <c r="Z117" s="627">
        <v>14000</v>
      </c>
      <c r="AA117" s="628">
        <v>10896.575999999999</v>
      </c>
      <c r="AB117" s="1299">
        <f>AA117-Z117</f>
        <v>-3103.4240000000009</v>
      </c>
      <c r="AC117" s="519">
        <v>16000</v>
      </c>
      <c r="AD117" s="627">
        <v>12000</v>
      </c>
      <c r="AE117" s="1048">
        <f>AD117</f>
        <v>12000</v>
      </c>
      <c r="AF117" s="1299">
        <f>AE117-AD117</f>
        <v>0</v>
      </c>
      <c r="AG117" s="519">
        <v>10000</v>
      </c>
      <c r="AH117" s="627">
        <v>9000</v>
      </c>
      <c r="AI117" s="1048">
        <f>AH117</f>
        <v>9000</v>
      </c>
      <c r="AJ117" s="1299">
        <f>AI117-AH117</f>
        <v>0</v>
      </c>
      <c r="AK117" s="440">
        <f t="shared" si="109"/>
        <v>48000</v>
      </c>
      <c r="AL117" s="441"/>
      <c r="AM117" s="441">
        <f t="shared" si="110"/>
        <v>35000</v>
      </c>
      <c r="AN117" s="430">
        <f t="shared" si="110"/>
        <v>31896.576000000001</v>
      </c>
      <c r="AO117" s="441">
        <f t="shared" si="111"/>
        <v>-16103.423999999999</v>
      </c>
      <c r="AP117" s="973"/>
      <c r="AQ117" s="503">
        <f t="shared" si="112"/>
        <v>-3103.4239999999991</v>
      </c>
      <c r="AR117" s="440">
        <f t="shared" si="113"/>
        <v>108000</v>
      </c>
      <c r="AS117" s="662"/>
      <c r="AT117" s="624">
        <f t="shared" si="114"/>
        <v>77000</v>
      </c>
      <c r="AU117" s="430">
        <f t="shared" si="115"/>
        <v>60000.794999999998</v>
      </c>
      <c r="AV117" s="473">
        <f t="shared" si="116"/>
        <v>-47999.205000000002</v>
      </c>
      <c r="AW117" s="431"/>
      <c r="AX117" s="503">
        <f t="shared" si="117"/>
        <v>-16999.205000000002</v>
      </c>
      <c r="AY117" s="471"/>
      <c r="AZ117" s="445"/>
      <c r="BA117" s="1423"/>
      <c r="BB117" s="416"/>
      <c r="BC117" s="416"/>
      <c r="BD117" s="416"/>
      <c r="BE117" s="416"/>
    </row>
    <row r="118" spans="1:57" ht="20.100000000000001" customHeight="1">
      <c r="A118" s="738"/>
      <c r="B118" s="760"/>
      <c r="C118" s="768"/>
      <c r="D118" s="769" t="s">
        <v>160</v>
      </c>
      <c r="E118" s="1499"/>
      <c r="F118" s="519">
        <v>7000</v>
      </c>
      <c r="G118" s="627">
        <v>7000</v>
      </c>
      <c r="H118" s="628">
        <v>700.02700000000004</v>
      </c>
      <c r="I118" s="623">
        <f t="shared" si="102"/>
        <v>-6299.973</v>
      </c>
      <c r="J118" s="519">
        <v>9100</v>
      </c>
      <c r="K118" s="627">
        <v>1300</v>
      </c>
      <c r="L118" s="628">
        <v>772.75699999999995</v>
      </c>
      <c r="M118" s="1299">
        <f t="shared" si="103"/>
        <v>-527.24300000000005</v>
      </c>
      <c r="N118" s="519">
        <v>9100</v>
      </c>
      <c r="O118" s="627">
        <v>1900</v>
      </c>
      <c r="P118" s="628">
        <v>1004.696</v>
      </c>
      <c r="Q118" s="1299">
        <f t="shared" si="104"/>
        <v>-895.30399999999997</v>
      </c>
      <c r="R118" s="440">
        <f>F118+J118+N118</f>
        <v>25200</v>
      </c>
      <c r="S118" s="441"/>
      <c r="T118" s="441">
        <f t="shared" si="106"/>
        <v>10200</v>
      </c>
      <c r="U118" s="430">
        <f t="shared" si="106"/>
        <v>2477.48</v>
      </c>
      <c r="V118" s="430">
        <f t="shared" si="107"/>
        <v>-22722.52</v>
      </c>
      <c r="W118" s="431"/>
      <c r="X118" s="503">
        <f t="shared" si="108"/>
        <v>-7722.52</v>
      </c>
      <c r="Y118" s="519">
        <v>9000</v>
      </c>
      <c r="Z118" s="627">
        <v>2000</v>
      </c>
      <c r="AA118" s="628">
        <v>988.49800000000005</v>
      </c>
      <c r="AB118" s="1299">
        <f>AA118-Z118</f>
        <v>-1011.502</v>
      </c>
      <c r="AC118" s="519">
        <v>7000</v>
      </c>
      <c r="AD118" s="627">
        <v>2000</v>
      </c>
      <c r="AE118" s="1048">
        <f>AD118</f>
        <v>2000</v>
      </c>
      <c r="AF118" s="1299">
        <f>AE118-AD118</f>
        <v>0</v>
      </c>
      <c r="AG118" s="519">
        <v>4400</v>
      </c>
      <c r="AH118" s="627">
        <v>1400</v>
      </c>
      <c r="AI118" s="1048">
        <f>AH118</f>
        <v>1400</v>
      </c>
      <c r="AJ118" s="1299">
        <f>AI118-AH118</f>
        <v>0</v>
      </c>
      <c r="AK118" s="440">
        <f>Y118+AC118+AG118</f>
        <v>20400</v>
      </c>
      <c r="AL118" s="441"/>
      <c r="AM118" s="441">
        <f t="shared" si="110"/>
        <v>5400</v>
      </c>
      <c r="AN118" s="430">
        <f t="shared" si="110"/>
        <v>4388.4979999999996</v>
      </c>
      <c r="AO118" s="441">
        <f t="shared" si="111"/>
        <v>-16011.502</v>
      </c>
      <c r="AP118" s="973"/>
      <c r="AQ118" s="503">
        <f t="shared" si="112"/>
        <v>-1011.5020000000004</v>
      </c>
      <c r="AR118" s="440">
        <f t="shared" si="113"/>
        <v>45600</v>
      </c>
      <c r="AS118" s="662"/>
      <c r="AT118" s="624">
        <f t="shared" si="114"/>
        <v>15600</v>
      </c>
      <c r="AU118" s="430">
        <f t="shared" si="115"/>
        <v>6865.9779999999992</v>
      </c>
      <c r="AV118" s="473">
        <f t="shared" si="116"/>
        <v>-38734.021999999997</v>
      </c>
      <c r="AW118" s="431"/>
      <c r="AX118" s="503">
        <f t="shared" si="117"/>
        <v>-8734.0220000000008</v>
      </c>
      <c r="AY118" s="471"/>
      <c r="AZ118" s="445"/>
      <c r="BA118" s="1423"/>
      <c r="BB118" s="416"/>
      <c r="BC118" s="416"/>
      <c r="BD118" s="416"/>
      <c r="BE118" s="416"/>
    </row>
    <row r="119" spans="1:57" ht="20.100000000000001" customHeight="1">
      <c r="A119" s="738"/>
      <c r="B119" s="760"/>
      <c r="C119" s="810" t="s">
        <v>48</v>
      </c>
      <c r="D119" s="811"/>
      <c r="E119" s="1499"/>
      <c r="F119" s="519">
        <v>91800</v>
      </c>
      <c r="G119" s="627">
        <v>91750</v>
      </c>
      <c r="H119" s="628">
        <v>93603.083659999989</v>
      </c>
      <c r="I119" s="623">
        <f t="shared" si="102"/>
        <v>1853.0836599999893</v>
      </c>
      <c r="J119" s="519">
        <v>89850</v>
      </c>
      <c r="K119" s="627">
        <v>89750</v>
      </c>
      <c r="L119" s="628">
        <v>90280.562460000001</v>
      </c>
      <c r="M119" s="1299">
        <f t="shared" si="103"/>
        <v>530.56246000000101</v>
      </c>
      <c r="N119" s="519">
        <v>86850</v>
      </c>
      <c r="O119" s="627">
        <v>86750</v>
      </c>
      <c r="P119" s="628">
        <v>86882.025240000017</v>
      </c>
      <c r="Q119" s="1299">
        <f t="shared" si="104"/>
        <v>132.02524000001722</v>
      </c>
      <c r="R119" s="440">
        <f t="shared" si="105"/>
        <v>268500</v>
      </c>
      <c r="S119" s="441"/>
      <c r="T119" s="441">
        <f t="shared" si="106"/>
        <v>268250</v>
      </c>
      <c r="U119" s="430">
        <f t="shared" si="106"/>
        <v>270765.67136000004</v>
      </c>
      <c r="V119" s="430">
        <f t="shared" si="107"/>
        <v>2265.6713600000367</v>
      </c>
      <c r="W119" s="431"/>
      <c r="X119" s="503">
        <f t="shared" si="108"/>
        <v>2515.6713600000367</v>
      </c>
      <c r="Y119" s="519">
        <v>86600</v>
      </c>
      <c r="Z119" s="627">
        <v>86750</v>
      </c>
      <c r="AA119" s="628">
        <v>87022.106000000014</v>
      </c>
      <c r="AB119" s="1299">
        <f>AA119-Z119</f>
        <v>272.10600000001432</v>
      </c>
      <c r="AC119" s="519">
        <v>72800</v>
      </c>
      <c r="AD119" s="627">
        <v>72850</v>
      </c>
      <c r="AE119" s="1048">
        <f>AD119</f>
        <v>72850</v>
      </c>
      <c r="AF119" s="1299">
        <f>AE119-AD119</f>
        <v>0</v>
      </c>
      <c r="AG119" s="519">
        <v>37400</v>
      </c>
      <c r="AH119" s="627">
        <v>37250</v>
      </c>
      <c r="AI119" s="1048">
        <f>AH119</f>
        <v>37250</v>
      </c>
      <c r="AJ119" s="1299">
        <f>AI119-AH119</f>
        <v>0</v>
      </c>
      <c r="AK119" s="440">
        <f t="shared" si="109"/>
        <v>196800</v>
      </c>
      <c r="AL119" s="441"/>
      <c r="AM119" s="441">
        <f t="shared" si="110"/>
        <v>196850</v>
      </c>
      <c r="AN119" s="430">
        <f t="shared" si="110"/>
        <v>197122.10600000003</v>
      </c>
      <c r="AO119" s="441">
        <f t="shared" si="111"/>
        <v>322.10600000002887</v>
      </c>
      <c r="AP119" s="973"/>
      <c r="AQ119" s="503">
        <f t="shared" si="112"/>
        <v>272.10600000002887</v>
      </c>
      <c r="AR119" s="440">
        <f t="shared" si="113"/>
        <v>465300</v>
      </c>
      <c r="AS119" s="662"/>
      <c r="AT119" s="624">
        <f t="shared" si="114"/>
        <v>465100</v>
      </c>
      <c r="AU119" s="430">
        <f t="shared" si="115"/>
        <v>467887.77736000007</v>
      </c>
      <c r="AV119" s="473">
        <f t="shared" si="116"/>
        <v>2587.7773600000655</v>
      </c>
      <c r="AW119" s="431"/>
      <c r="AX119" s="503">
        <f t="shared" si="117"/>
        <v>2787.7773600000655</v>
      </c>
      <c r="AY119" s="471"/>
      <c r="AZ119" s="445"/>
      <c r="BA119" s="1423"/>
      <c r="BB119" s="416"/>
      <c r="BC119" s="416"/>
      <c r="BD119" s="416"/>
      <c r="BE119" s="416"/>
    </row>
    <row r="120" spans="1:57" ht="20.100000000000001" customHeight="1">
      <c r="A120" s="760"/>
      <c r="B120" s="1576" t="s">
        <v>187</v>
      </c>
      <c r="C120" s="1577"/>
      <c r="D120" s="812"/>
      <c r="E120" s="1505"/>
      <c r="F120" s="519">
        <f>F116+F119</f>
        <v>92050</v>
      </c>
      <c r="G120" s="627">
        <f>G116+G119</f>
        <v>92000</v>
      </c>
      <c r="H120" s="628">
        <f>H116+H119</f>
        <v>93828.039779999992</v>
      </c>
      <c r="I120" s="623">
        <f t="shared" si="102"/>
        <v>1828.0397799999919</v>
      </c>
      <c r="J120" s="519">
        <f>J116+J119</f>
        <v>90100</v>
      </c>
      <c r="K120" s="627">
        <f>K116+K119</f>
        <v>90000</v>
      </c>
      <c r="L120" s="628">
        <f>L116+L119</f>
        <v>90371.188580000002</v>
      </c>
      <c r="M120" s="1299">
        <f t="shared" si="103"/>
        <v>371.18858000000182</v>
      </c>
      <c r="N120" s="519">
        <f>N116+N119</f>
        <v>87100</v>
      </c>
      <c r="O120" s="627">
        <f>O116+O119</f>
        <v>87000</v>
      </c>
      <c r="P120" s="628">
        <f>P116+P119</f>
        <v>87400.59666000001</v>
      </c>
      <c r="Q120" s="1299">
        <f t="shared" si="104"/>
        <v>400.59666000001016</v>
      </c>
      <c r="R120" s="440">
        <f t="shared" si="105"/>
        <v>269250</v>
      </c>
      <c r="S120" s="441"/>
      <c r="T120" s="441">
        <f t="shared" si="106"/>
        <v>269000</v>
      </c>
      <c r="U120" s="430">
        <f t="shared" si="106"/>
        <v>271599.82501999999</v>
      </c>
      <c r="V120" s="430">
        <f t="shared" si="107"/>
        <v>2349.8250199999893</v>
      </c>
      <c r="W120" s="473"/>
      <c r="X120" s="442">
        <f t="shared" si="108"/>
        <v>2599.8250199999893</v>
      </c>
      <c r="Y120" s="519">
        <f>Y116+Y119</f>
        <v>86840</v>
      </c>
      <c r="Z120" s="627">
        <f>Z116+Z119</f>
        <v>87000</v>
      </c>
      <c r="AA120" s="628">
        <v>87762.108999999997</v>
      </c>
      <c r="AB120" s="1299"/>
      <c r="AC120" s="519">
        <f>AC116+AC119</f>
        <v>72950</v>
      </c>
      <c r="AD120" s="627">
        <f>AD116+AD119</f>
        <v>73000</v>
      </c>
      <c r="AE120" s="1048">
        <f>AE116+AE119</f>
        <v>73000</v>
      </c>
      <c r="AF120" s="1299"/>
      <c r="AG120" s="519">
        <f>AG116+AG119</f>
        <v>37550</v>
      </c>
      <c r="AH120" s="627">
        <f>AH116+AH119</f>
        <v>37400</v>
      </c>
      <c r="AI120" s="1048">
        <f>AI116+AI119</f>
        <v>37400</v>
      </c>
      <c r="AJ120" s="1299"/>
      <c r="AK120" s="440">
        <f t="shared" si="109"/>
        <v>197340</v>
      </c>
      <c r="AL120" s="441"/>
      <c r="AM120" s="441">
        <f t="shared" si="110"/>
        <v>197400</v>
      </c>
      <c r="AN120" s="430">
        <f t="shared" si="110"/>
        <v>198162.109</v>
      </c>
      <c r="AO120" s="441">
        <f t="shared" si="111"/>
        <v>822.10899999999674</v>
      </c>
      <c r="AP120" s="441"/>
      <c r="AQ120" s="442">
        <f t="shared" si="112"/>
        <v>762.10899999999674</v>
      </c>
      <c r="AR120" s="440">
        <f t="shared" si="113"/>
        <v>466590</v>
      </c>
      <c r="AS120" s="633"/>
      <c r="AT120" s="296">
        <f t="shared" si="114"/>
        <v>466400</v>
      </c>
      <c r="AU120" s="430">
        <f t="shared" si="115"/>
        <v>469761.93401999999</v>
      </c>
      <c r="AV120" s="473">
        <f t="shared" si="116"/>
        <v>3171.934019999986</v>
      </c>
      <c r="AW120" s="473"/>
      <c r="AX120" s="442">
        <f t="shared" si="117"/>
        <v>3361.934019999986</v>
      </c>
      <c r="AY120" s="471"/>
      <c r="AZ120" s="445"/>
      <c r="BA120" s="1423"/>
      <c r="BB120" s="416"/>
      <c r="BC120" s="416"/>
      <c r="BD120" s="416"/>
      <c r="BE120" s="416"/>
    </row>
    <row r="121" spans="1:57" ht="20.100000000000001" customHeight="1">
      <c r="A121" s="790" t="s">
        <v>46</v>
      </c>
      <c r="B121" s="786"/>
      <c r="C121" s="786"/>
      <c r="D121" s="783"/>
      <c r="E121" s="1492"/>
      <c r="F121" s="545"/>
      <c r="G121" s="546"/>
      <c r="H121" s="547"/>
      <c r="I121" s="548">
        <f>H122/G122</f>
        <v>1.0002855854291417</v>
      </c>
      <c r="J121" s="545"/>
      <c r="K121" s="546"/>
      <c r="L121" s="547"/>
      <c r="M121" s="1295">
        <f>L122/K122</f>
        <v>1.0016900383246075</v>
      </c>
      <c r="N121" s="545"/>
      <c r="O121" s="546"/>
      <c r="P121" s="547"/>
      <c r="Q121" s="1300">
        <f>P122/O122</f>
        <v>1.0035980450793653</v>
      </c>
      <c r="R121" s="552"/>
      <c r="S121" s="550"/>
      <c r="T121" s="606"/>
      <c r="U121" s="451"/>
      <c r="V121" s="551">
        <f>U122/R122</f>
        <v>1.0016538486821707</v>
      </c>
      <c r="W121" s="617"/>
      <c r="X121" s="455">
        <f>U122/T122</f>
        <v>1.001826428600965</v>
      </c>
      <c r="Y121" s="545"/>
      <c r="Z121" s="546"/>
      <c r="AA121" s="547"/>
      <c r="AB121" s="1300">
        <f>AA122/Z122</f>
        <v>1.0019559285106383</v>
      </c>
      <c r="AC121" s="545"/>
      <c r="AD121" s="546"/>
      <c r="AE121" s="1049"/>
      <c r="AF121" s="1300">
        <f>AE122/AD122</f>
        <v>1</v>
      </c>
      <c r="AG121" s="545"/>
      <c r="AH121" s="546"/>
      <c r="AI121" s="1049"/>
      <c r="AJ121" s="1300">
        <f>AI122/AH122</f>
        <v>1</v>
      </c>
      <c r="AK121" s="552"/>
      <c r="AL121" s="550"/>
      <c r="AM121" s="606"/>
      <c r="AN121" s="451"/>
      <c r="AO121" s="553">
        <f>AN122/AK122</f>
        <v>1.0044387569601203</v>
      </c>
      <c r="AP121" s="553"/>
      <c r="AQ121" s="515">
        <f>AN122/AM122</f>
        <v>1.0008615617619494</v>
      </c>
      <c r="AR121" s="552"/>
      <c r="AS121" s="555"/>
      <c r="AT121" s="555"/>
      <c r="AU121" s="630"/>
      <c r="AV121" s="553">
        <f>AU122/AR122</f>
        <v>1.0028314081807155</v>
      </c>
      <c r="AW121" s="553"/>
      <c r="AX121" s="515">
        <f>AU122/AT122</f>
        <v>1.0014175672359016</v>
      </c>
      <c r="AY121" s="471"/>
      <c r="AZ121" s="558"/>
      <c r="BA121" s="1427"/>
      <c r="BB121" s="631"/>
      <c r="BC121" s="631"/>
      <c r="BD121" s="631"/>
      <c r="BE121" s="631"/>
    </row>
    <row r="122" spans="1:57" ht="20.100000000000001" customHeight="1">
      <c r="A122" s="787" t="s">
        <v>47</v>
      </c>
      <c r="B122" s="759"/>
      <c r="C122" s="759"/>
      <c r="D122" s="753"/>
      <c r="E122" s="759"/>
      <c r="F122" s="559">
        <f>F115+F120</f>
        <v>100250</v>
      </c>
      <c r="G122" s="603">
        <f>G120+G115</f>
        <v>100200</v>
      </c>
      <c r="H122" s="561">
        <f>H120+H115</f>
        <v>100228.61566</v>
      </c>
      <c r="I122" s="562">
        <f t="shared" ref="I122:I127" si="119">H122-G122</f>
        <v>28.615659999995842</v>
      </c>
      <c r="J122" s="559">
        <f>J115+J120</f>
        <v>96600</v>
      </c>
      <c r="K122" s="603">
        <f>K120+K115</f>
        <v>95500</v>
      </c>
      <c r="L122" s="561">
        <f>L120+L115</f>
        <v>95661.398660000006</v>
      </c>
      <c r="M122" s="562">
        <f t="shared" ref="M122:M127" si="120">L122-K122</f>
        <v>161.3986600000062</v>
      </c>
      <c r="N122" s="559">
        <f>N115+N120</f>
        <v>93400</v>
      </c>
      <c r="O122" s="603">
        <f>O120+O115</f>
        <v>94500</v>
      </c>
      <c r="P122" s="561">
        <f>P120+P115</f>
        <v>94840.015260000015</v>
      </c>
      <c r="Q122" s="562">
        <f t="shared" ref="Q122:Q127" si="121">P122-O122</f>
        <v>340.01526000001468</v>
      </c>
      <c r="R122" s="462">
        <f t="shared" ref="R122:R127" si="122">F122+J122+N122</f>
        <v>290250</v>
      </c>
      <c r="S122" s="463"/>
      <c r="T122" s="489">
        <f t="shared" ref="T122:U127" si="123">G122+K122+O122</f>
        <v>290200</v>
      </c>
      <c r="U122" s="464">
        <f t="shared" si="123"/>
        <v>290730.02958000003</v>
      </c>
      <c r="V122" s="461">
        <f t="shared" ref="V122:V127" si="124">U122-R122</f>
        <v>480.02958000003127</v>
      </c>
      <c r="W122" s="460"/>
      <c r="X122" s="465">
        <f t="shared" ref="X122:X127" si="125">U122-T122</f>
        <v>530.02958000003127</v>
      </c>
      <c r="Y122" s="559">
        <f>Y115+Y120</f>
        <v>93140</v>
      </c>
      <c r="Z122" s="603">
        <f>Z120+Z115</f>
        <v>94000</v>
      </c>
      <c r="AA122" s="561">
        <f>AA120+AA115</f>
        <v>94183.857279999997</v>
      </c>
      <c r="AB122" s="562">
        <f>AA122-Z122</f>
        <v>183.85727999999654</v>
      </c>
      <c r="AC122" s="559">
        <f>AC115+AC120</f>
        <v>78450</v>
      </c>
      <c r="AD122" s="603">
        <f>AD120+AD115</f>
        <v>78000</v>
      </c>
      <c r="AE122" s="1051">
        <f>AE120+AE115</f>
        <v>78000</v>
      </c>
      <c r="AF122" s="562">
        <f>AE122-AD122</f>
        <v>0</v>
      </c>
      <c r="AG122" s="559">
        <f>AG115+AG120</f>
        <v>41050</v>
      </c>
      <c r="AH122" s="603">
        <f>AH120+AH115</f>
        <v>41400</v>
      </c>
      <c r="AI122" s="1051">
        <f>AI120+AI115</f>
        <v>41400</v>
      </c>
      <c r="AJ122" s="562">
        <f t="shared" ref="AJ122:AJ127" si="126">AI122-AH122</f>
        <v>0</v>
      </c>
      <c r="AK122" s="462">
        <f t="shared" ref="AK122:AK127" si="127">Y122+AC122+AG122</f>
        <v>212640</v>
      </c>
      <c r="AL122" s="463"/>
      <c r="AM122" s="489">
        <f t="shared" ref="AM122:AN127" si="128">Z122+AD122+AH122</f>
        <v>213400</v>
      </c>
      <c r="AN122" s="464">
        <f t="shared" si="128"/>
        <v>213583.85728</v>
      </c>
      <c r="AO122" s="489">
        <f t="shared" ref="AO122:AO127" si="129">AN122-AK122</f>
        <v>943.85727999999654</v>
      </c>
      <c r="AP122" s="489"/>
      <c r="AQ122" s="435">
        <f t="shared" ref="AQ122:AQ127" si="130">AN122-AM122</f>
        <v>183.85727999999654</v>
      </c>
      <c r="AR122" s="467">
        <f t="shared" ref="AR122:AR127" si="131">SUM(R122,AK122)</f>
        <v>502890</v>
      </c>
      <c r="AS122" s="647"/>
      <c r="AT122" s="624">
        <f t="shared" ref="AT122:AT127" si="132">T122+AM122</f>
        <v>503600</v>
      </c>
      <c r="AU122" s="464">
        <f t="shared" ref="AU122:AU127" si="133">SUM(U122,AN122)</f>
        <v>504313.88686000003</v>
      </c>
      <c r="AV122" s="489">
        <f t="shared" ref="AV122:AV127" si="134">AU122-AR122</f>
        <v>1423.8868600000278</v>
      </c>
      <c r="AW122" s="489"/>
      <c r="AX122" s="435">
        <f t="shared" ref="AX122:AX127" si="135">AU122-AT122</f>
        <v>713.88686000002781</v>
      </c>
      <c r="AY122" s="471">
        <f t="shared" ref="AY122:AY158" si="136">AR122/6</f>
        <v>83815</v>
      </c>
      <c r="AZ122" s="472">
        <f>AU122/6</f>
        <v>84052.314476666666</v>
      </c>
      <c r="BA122" s="1425">
        <v>84052.314476666666</v>
      </c>
      <c r="BB122" s="278">
        <f>AZ122-AY122</f>
        <v>237.31447666666645</v>
      </c>
      <c r="BC122" s="278">
        <f>BA122-AY122</f>
        <v>237.31447666666645</v>
      </c>
      <c r="BD122" s="302">
        <f>BA122-AZ122</f>
        <v>0</v>
      </c>
      <c r="BE122" s="278">
        <f>AX122/6</f>
        <v>118.98114333333797</v>
      </c>
    </row>
    <row r="123" spans="1:57" ht="20.100000000000001" customHeight="1">
      <c r="A123" s="775"/>
      <c r="B123" s="767" t="s">
        <v>42</v>
      </c>
      <c r="C123" s="776"/>
      <c r="D123" s="770"/>
      <c r="E123" s="776"/>
      <c r="F123" s="518">
        <v>19380</v>
      </c>
      <c r="G123" s="632">
        <v>19380</v>
      </c>
      <c r="H123" s="566">
        <v>13925.002</v>
      </c>
      <c r="I123" s="623">
        <f t="shared" si="119"/>
        <v>-5454.9979999999996</v>
      </c>
      <c r="J123" s="518">
        <v>10850</v>
      </c>
      <c r="K123" s="632">
        <f>ROUND(120000*0.08,-1)</f>
        <v>9600</v>
      </c>
      <c r="L123" s="1301">
        <v>12881.253000000001</v>
      </c>
      <c r="M123" s="1299">
        <f t="shared" si="120"/>
        <v>3281.2530000000006</v>
      </c>
      <c r="N123" s="518">
        <v>13950</v>
      </c>
      <c r="O123" s="632">
        <v>13600</v>
      </c>
      <c r="P123" s="1403">
        <v>14201.884</v>
      </c>
      <c r="Q123" s="1299">
        <f t="shared" si="121"/>
        <v>601.88400000000001</v>
      </c>
      <c r="R123" s="467">
        <f t="shared" si="122"/>
        <v>44180</v>
      </c>
      <c r="S123" s="468"/>
      <c r="T123" s="441">
        <f t="shared" si="123"/>
        <v>42580</v>
      </c>
      <c r="U123" s="311">
        <f t="shared" si="123"/>
        <v>41008.139000000003</v>
      </c>
      <c r="V123" s="430">
        <f t="shared" si="124"/>
        <v>-3171.8609999999971</v>
      </c>
      <c r="W123" s="473"/>
      <c r="X123" s="313">
        <f t="shared" si="125"/>
        <v>-1571.8609999999971</v>
      </c>
      <c r="Y123" s="518">
        <v>11720</v>
      </c>
      <c r="Z123" s="632">
        <v>17360</v>
      </c>
      <c r="AA123" s="566">
        <v>12672.526</v>
      </c>
      <c r="AB123" s="1299">
        <v>0</v>
      </c>
      <c r="AC123" s="518">
        <v>10420</v>
      </c>
      <c r="AD123" s="632">
        <v>17600</v>
      </c>
      <c r="AE123" s="1052">
        <v>12000</v>
      </c>
      <c r="AF123" s="1299">
        <v>0</v>
      </c>
      <c r="AG123" s="518">
        <v>9770</v>
      </c>
      <c r="AH123" s="632">
        <v>12000</v>
      </c>
      <c r="AI123" s="1052">
        <v>5000</v>
      </c>
      <c r="AJ123" s="1299">
        <f t="shared" si="126"/>
        <v>-7000</v>
      </c>
      <c r="AK123" s="467">
        <f t="shared" si="127"/>
        <v>31910</v>
      </c>
      <c r="AL123" s="468"/>
      <c r="AM123" s="441">
        <f t="shared" si="128"/>
        <v>46960</v>
      </c>
      <c r="AN123" s="469">
        <f t="shared" si="128"/>
        <v>29672.525999999998</v>
      </c>
      <c r="AO123" s="441">
        <f t="shared" si="129"/>
        <v>-2237.474000000002</v>
      </c>
      <c r="AP123" s="441"/>
      <c r="AQ123" s="313">
        <f t="shared" si="130"/>
        <v>-17287.474000000002</v>
      </c>
      <c r="AR123" s="314">
        <f t="shared" si="131"/>
        <v>76090</v>
      </c>
      <c r="AS123" s="564"/>
      <c r="AT123" s="624">
        <f t="shared" si="132"/>
        <v>89540</v>
      </c>
      <c r="AU123" s="315">
        <f t="shared" si="133"/>
        <v>70680.665000000008</v>
      </c>
      <c r="AV123" s="443">
        <f t="shared" si="134"/>
        <v>-5409.3349999999919</v>
      </c>
      <c r="AW123" s="443"/>
      <c r="AX123" s="313">
        <f t="shared" si="135"/>
        <v>-18859.334999999992</v>
      </c>
      <c r="AY123" s="471"/>
      <c r="AZ123" s="472"/>
      <c r="BA123" s="1425"/>
      <c r="BB123" s="337"/>
      <c r="BC123" s="337"/>
      <c r="BD123" s="337"/>
      <c r="BE123" s="337"/>
    </row>
    <row r="124" spans="1:57" ht="20.100000000000001" customHeight="1">
      <c r="A124" s="775"/>
      <c r="B124" s="767" t="s">
        <v>43</v>
      </c>
      <c r="C124" s="776"/>
      <c r="D124" s="770"/>
      <c r="E124" s="776"/>
      <c r="F124" s="518">
        <v>230620</v>
      </c>
      <c r="G124" s="632">
        <v>230620</v>
      </c>
      <c r="H124" s="566">
        <v>169091.57399999999</v>
      </c>
      <c r="I124" s="623">
        <f t="shared" si="119"/>
        <v>-61528.426000000007</v>
      </c>
      <c r="J124" s="518">
        <v>129150</v>
      </c>
      <c r="K124" s="632">
        <f>120000-K123</f>
        <v>110400</v>
      </c>
      <c r="L124" s="566">
        <v>107379.5385</v>
      </c>
      <c r="M124" s="1299">
        <f t="shared" si="120"/>
        <v>-3020.4615000000049</v>
      </c>
      <c r="N124" s="518">
        <v>166050</v>
      </c>
      <c r="O124" s="632">
        <v>156400</v>
      </c>
      <c r="P124" s="566">
        <v>149369.78450000001</v>
      </c>
      <c r="Q124" s="1299">
        <f t="shared" si="121"/>
        <v>-7030.2154999999912</v>
      </c>
      <c r="R124" s="467">
        <f t="shared" si="122"/>
        <v>525820</v>
      </c>
      <c r="S124" s="468"/>
      <c r="T124" s="441">
        <f t="shared" si="123"/>
        <v>497420</v>
      </c>
      <c r="U124" s="311">
        <f t="shared" si="123"/>
        <v>425840.897</v>
      </c>
      <c r="V124" s="430">
        <f t="shared" si="124"/>
        <v>-99979.103000000003</v>
      </c>
      <c r="W124" s="473"/>
      <c r="X124" s="313">
        <f t="shared" si="125"/>
        <v>-71579.103000000003</v>
      </c>
      <c r="Y124" s="518">
        <v>168280</v>
      </c>
      <c r="Z124" s="632">
        <v>199640</v>
      </c>
      <c r="AA124" s="566">
        <v>187982.23</v>
      </c>
      <c r="AB124" s="1299">
        <v>0</v>
      </c>
      <c r="AC124" s="518">
        <v>149580</v>
      </c>
      <c r="AD124" s="632">
        <v>202400</v>
      </c>
      <c r="AE124" s="1052">
        <v>138000</v>
      </c>
      <c r="AF124" s="1299">
        <v>0</v>
      </c>
      <c r="AG124" s="518">
        <v>140230</v>
      </c>
      <c r="AH124" s="632">
        <v>138000</v>
      </c>
      <c r="AI124" s="1052">
        <v>95000</v>
      </c>
      <c r="AJ124" s="1299">
        <f t="shared" si="126"/>
        <v>-43000</v>
      </c>
      <c r="AK124" s="467">
        <f t="shared" si="127"/>
        <v>458090</v>
      </c>
      <c r="AL124" s="468"/>
      <c r="AM124" s="441">
        <f t="shared" si="128"/>
        <v>540040</v>
      </c>
      <c r="AN124" s="469">
        <f t="shared" si="128"/>
        <v>420982.23</v>
      </c>
      <c r="AO124" s="441">
        <f t="shared" si="129"/>
        <v>-37107.770000000019</v>
      </c>
      <c r="AP124" s="441"/>
      <c r="AQ124" s="313">
        <f t="shared" si="130"/>
        <v>-119057.77000000002</v>
      </c>
      <c r="AR124" s="314">
        <f t="shared" si="131"/>
        <v>983910</v>
      </c>
      <c r="AS124" s="564"/>
      <c r="AT124" s="624">
        <f t="shared" si="132"/>
        <v>1037460</v>
      </c>
      <c r="AU124" s="315">
        <f t="shared" si="133"/>
        <v>846823.12699999998</v>
      </c>
      <c r="AV124" s="443">
        <f t="shared" si="134"/>
        <v>-137086.87300000002</v>
      </c>
      <c r="AW124" s="443"/>
      <c r="AX124" s="313">
        <f t="shared" si="135"/>
        <v>-190636.87300000002</v>
      </c>
      <c r="AY124" s="471"/>
      <c r="AZ124" s="472"/>
      <c r="BA124" s="1425"/>
      <c r="BB124" s="337"/>
      <c r="BC124" s="337"/>
      <c r="BD124" s="337"/>
      <c r="BE124" s="337"/>
    </row>
    <row r="125" spans="1:57" ht="20.100000000000001" customHeight="1">
      <c r="A125" s="775"/>
      <c r="B125" s="767" t="s">
        <v>44</v>
      </c>
      <c r="C125" s="776"/>
      <c r="D125" s="770"/>
      <c r="E125" s="776"/>
      <c r="F125" s="518"/>
      <c r="G125" s="632"/>
      <c r="H125" s="566"/>
      <c r="I125" s="623">
        <f t="shared" si="119"/>
        <v>0</v>
      </c>
      <c r="J125" s="518"/>
      <c r="K125" s="632"/>
      <c r="L125" s="566"/>
      <c r="M125" s="1299">
        <f t="shared" si="120"/>
        <v>0</v>
      </c>
      <c r="N125" s="518"/>
      <c r="O125" s="632"/>
      <c r="P125" s="566"/>
      <c r="Q125" s="1299">
        <f t="shared" si="121"/>
        <v>0</v>
      </c>
      <c r="R125" s="467">
        <f t="shared" si="122"/>
        <v>0</v>
      </c>
      <c r="S125" s="468"/>
      <c r="T125" s="441">
        <f t="shared" si="123"/>
        <v>0</v>
      </c>
      <c r="U125" s="311">
        <f t="shared" si="123"/>
        <v>0</v>
      </c>
      <c r="V125" s="430">
        <f t="shared" si="124"/>
        <v>0</v>
      </c>
      <c r="W125" s="473"/>
      <c r="X125" s="313">
        <f t="shared" si="125"/>
        <v>0</v>
      </c>
      <c r="Y125" s="518"/>
      <c r="Z125" s="632"/>
      <c r="AA125" s="566"/>
      <c r="AB125" s="1299">
        <f>AA125-Z125</f>
        <v>0</v>
      </c>
      <c r="AC125" s="518"/>
      <c r="AD125" s="632"/>
      <c r="AE125" s="1052"/>
      <c r="AF125" s="1299">
        <f>AE125-AD125</f>
        <v>0</v>
      </c>
      <c r="AG125" s="518"/>
      <c r="AH125" s="632"/>
      <c r="AI125" s="1052"/>
      <c r="AJ125" s="1299">
        <f t="shared" si="126"/>
        <v>0</v>
      </c>
      <c r="AK125" s="467">
        <f t="shared" si="127"/>
        <v>0</v>
      </c>
      <c r="AL125" s="468"/>
      <c r="AM125" s="441">
        <f t="shared" si="128"/>
        <v>0</v>
      </c>
      <c r="AN125" s="469">
        <f t="shared" si="128"/>
        <v>0</v>
      </c>
      <c r="AO125" s="441">
        <f t="shared" si="129"/>
        <v>0</v>
      </c>
      <c r="AP125" s="441"/>
      <c r="AQ125" s="313">
        <f t="shared" si="130"/>
        <v>0</v>
      </c>
      <c r="AR125" s="314">
        <f t="shared" si="131"/>
        <v>0</v>
      </c>
      <c r="AS125" s="564"/>
      <c r="AT125" s="624">
        <f t="shared" si="132"/>
        <v>0</v>
      </c>
      <c r="AU125" s="315">
        <f t="shared" si="133"/>
        <v>0</v>
      </c>
      <c r="AV125" s="443">
        <f t="shared" si="134"/>
        <v>0</v>
      </c>
      <c r="AW125" s="443"/>
      <c r="AX125" s="313">
        <f t="shared" si="135"/>
        <v>0</v>
      </c>
      <c r="AY125" s="471"/>
      <c r="AZ125" s="472"/>
      <c r="BA125" s="1425"/>
      <c r="BB125" s="337"/>
      <c r="BC125" s="337"/>
      <c r="BD125" s="337"/>
      <c r="BE125" s="337"/>
    </row>
    <row r="126" spans="1:57" ht="20.100000000000001" customHeight="1">
      <c r="A126" s="775"/>
      <c r="B126" s="761"/>
      <c r="C126" s="767" t="s">
        <v>189</v>
      </c>
      <c r="D126" s="770"/>
      <c r="E126" s="776"/>
      <c r="F126" s="518">
        <v>10610</v>
      </c>
      <c r="G126" s="627">
        <v>10610</v>
      </c>
      <c r="H126" s="628">
        <v>11386.841</v>
      </c>
      <c r="I126" s="623">
        <f t="shared" si="119"/>
        <v>776.84100000000035</v>
      </c>
      <c r="J126" s="518">
        <v>5940</v>
      </c>
      <c r="K126" s="627">
        <f>K78</f>
        <v>5050</v>
      </c>
      <c r="L126" s="566">
        <v>11374.61</v>
      </c>
      <c r="M126" s="1299">
        <f t="shared" si="120"/>
        <v>6324.6100000000006</v>
      </c>
      <c r="N126" s="518">
        <v>7630</v>
      </c>
      <c r="O126" s="627">
        <v>7210</v>
      </c>
      <c r="P126" s="628">
        <v>10274.474</v>
      </c>
      <c r="Q126" s="1299">
        <f t="shared" si="121"/>
        <v>3064.4740000000002</v>
      </c>
      <c r="R126" s="474">
        <f t="shared" si="122"/>
        <v>24180</v>
      </c>
      <c r="S126" s="475"/>
      <c r="T126" s="441">
        <f t="shared" si="123"/>
        <v>22870</v>
      </c>
      <c r="U126" s="315">
        <f t="shared" si="123"/>
        <v>33035.925000000003</v>
      </c>
      <c r="V126" s="490">
        <f t="shared" si="124"/>
        <v>8855.9250000000029</v>
      </c>
      <c r="W126" s="431"/>
      <c r="X126" s="503">
        <f t="shared" si="125"/>
        <v>10165.925000000003</v>
      </c>
      <c r="Y126" s="518">
        <v>6309</v>
      </c>
      <c r="Z126" s="627">
        <v>9000</v>
      </c>
      <c r="AA126" s="628">
        <v>8735.1200000000008</v>
      </c>
      <c r="AB126" s="1299">
        <f>AA126-Z126</f>
        <v>-264.8799999999992</v>
      </c>
      <c r="AC126" s="518">
        <v>6309</v>
      </c>
      <c r="AD126" s="627">
        <v>9000</v>
      </c>
      <c r="AE126" s="1048">
        <v>6460</v>
      </c>
      <c r="AF126" s="1299">
        <f>AE126-AD126</f>
        <v>-2540</v>
      </c>
      <c r="AG126" s="518">
        <v>6309</v>
      </c>
      <c r="AH126" s="627">
        <v>6460</v>
      </c>
      <c r="AI126" s="1048">
        <v>0</v>
      </c>
      <c r="AJ126" s="1299">
        <f t="shared" si="126"/>
        <v>-6460</v>
      </c>
      <c r="AK126" s="474">
        <f t="shared" si="127"/>
        <v>18927</v>
      </c>
      <c r="AL126" s="475"/>
      <c r="AM126" s="441">
        <f t="shared" si="128"/>
        <v>24460</v>
      </c>
      <c r="AN126" s="476">
        <f t="shared" si="128"/>
        <v>15195.12</v>
      </c>
      <c r="AO126" s="633">
        <f t="shared" si="129"/>
        <v>-3731.8799999999992</v>
      </c>
      <c r="AP126" s="973"/>
      <c r="AQ126" s="503">
        <f t="shared" si="130"/>
        <v>-9264.8799999999992</v>
      </c>
      <c r="AR126" s="344">
        <f t="shared" si="131"/>
        <v>43107</v>
      </c>
      <c r="AS126" s="574"/>
      <c r="AT126" s="634">
        <f t="shared" si="132"/>
        <v>47330</v>
      </c>
      <c r="AU126" s="355">
        <f t="shared" si="133"/>
        <v>48231.045000000006</v>
      </c>
      <c r="AV126" s="431">
        <f t="shared" si="134"/>
        <v>5124.0450000000055</v>
      </c>
      <c r="AW126" s="431"/>
      <c r="AX126" s="503">
        <f t="shared" si="135"/>
        <v>901.04500000000553</v>
      </c>
      <c r="AY126" s="471"/>
      <c r="AZ126" s="472"/>
      <c r="BA126" s="1425"/>
      <c r="BB126" s="337"/>
      <c r="BC126" s="337"/>
      <c r="BD126" s="337"/>
      <c r="BE126" s="337"/>
    </row>
    <row r="127" spans="1:57" ht="20.100000000000001" customHeight="1">
      <c r="A127" s="775"/>
      <c r="B127" s="761"/>
      <c r="C127" s="767" t="s">
        <v>205</v>
      </c>
      <c r="D127" s="770"/>
      <c r="E127" s="776"/>
      <c r="F127" s="518">
        <v>220020</v>
      </c>
      <c r="G127" s="627">
        <v>220020</v>
      </c>
      <c r="H127" s="628">
        <v>156782.96799999999</v>
      </c>
      <c r="I127" s="623">
        <f t="shared" si="119"/>
        <v>-63237.032000000007</v>
      </c>
      <c r="J127" s="518">
        <v>123210</v>
      </c>
      <c r="K127" s="627">
        <f>K79</f>
        <v>104730</v>
      </c>
      <c r="L127" s="566">
        <v>96694.430999999997</v>
      </c>
      <c r="M127" s="1299">
        <f t="shared" si="120"/>
        <v>-8035.5690000000031</v>
      </c>
      <c r="N127" s="518">
        <v>158410</v>
      </c>
      <c r="O127" s="627">
        <v>149610</v>
      </c>
      <c r="P127" s="628">
        <v>137624.389</v>
      </c>
      <c r="Q127" s="1299">
        <f t="shared" si="121"/>
        <v>-11985.611000000004</v>
      </c>
      <c r="R127" s="521">
        <f t="shared" si="122"/>
        <v>501640</v>
      </c>
      <c r="S127" s="572"/>
      <c r="T127" s="445">
        <f t="shared" si="123"/>
        <v>474360</v>
      </c>
      <c r="U127" s="355">
        <f t="shared" si="123"/>
        <v>391101.78799999994</v>
      </c>
      <c r="V127" s="430">
        <f t="shared" si="124"/>
        <v>-110538.21200000006</v>
      </c>
      <c r="W127" s="473"/>
      <c r="X127" s="442">
        <f t="shared" si="125"/>
        <v>-83258.212000000058</v>
      </c>
      <c r="Y127" s="518">
        <f>Y79</f>
        <v>158300</v>
      </c>
      <c r="Z127" s="627">
        <v>188000</v>
      </c>
      <c r="AA127" s="628">
        <v>178893.891</v>
      </c>
      <c r="AB127" s="1299">
        <f>AA127-Z127</f>
        <v>-9106.1089999999967</v>
      </c>
      <c r="AC127" s="518">
        <v>148940</v>
      </c>
      <c r="AD127" s="627">
        <v>190000</v>
      </c>
      <c r="AE127" s="1048">
        <v>131920</v>
      </c>
      <c r="AF127" s="1299">
        <f>AE127-AD127</f>
        <v>-58080</v>
      </c>
      <c r="AG127" s="518">
        <v>131920</v>
      </c>
      <c r="AH127" s="627">
        <v>131920</v>
      </c>
      <c r="AI127" s="1048">
        <v>95000</v>
      </c>
      <c r="AJ127" s="1299">
        <f t="shared" si="126"/>
        <v>-36920</v>
      </c>
      <c r="AK127" s="521">
        <f t="shared" si="127"/>
        <v>439160</v>
      </c>
      <c r="AL127" s="572"/>
      <c r="AM127" s="445">
        <f t="shared" si="128"/>
        <v>509920</v>
      </c>
      <c r="AN127" s="522">
        <f t="shared" si="128"/>
        <v>405813.891</v>
      </c>
      <c r="AO127" s="430">
        <f t="shared" si="129"/>
        <v>-33346.108999999997</v>
      </c>
      <c r="AP127" s="431"/>
      <c r="AQ127" s="503">
        <f t="shared" si="130"/>
        <v>-104106.109</v>
      </c>
      <c r="AR127" s="314">
        <f t="shared" si="131"/>
        <v>940800</v>
      </c>
      <c r="AS127" s="354"/>
      <c r="AT127" s="296">
        <f t="shared" si="132"/>
        <v>984280</v>
      </c>
      <c r="AU127" s="315">
        <f t="shared" si="133"/>
        <v>796915.679</v>
      </c>
      <c r="AV127" s="430">
        <f t="shared" si="134"/>
        <v>-143884.321</v>
      </c>
      <c r="AW127" s="431"/>
      <c r="AX127" s="503">
        <f t="shared" si="135"/>
        <v>-187364.321</v>
      </c>
      <c r="AY127" s="471"/>
      <c r="AZ127" s="472"/>
      <c r="BA127" s="1425"/>
      <c r="BB127" s="337"/>
      <c r="BC127" s="337"/>
      <c r="BD127" s="337"/>
      <c r="BE127" s="337"/>
    </row>
    <row r="128" spans="1:57" ht="20.100000000000001" customHeight="1">
      <c r="A128" s="790" t="s">
        <v>46</v>
      </c>
      <c r="B128" s="786"/>
      <c r="C128" s="786"/>
      <c r="D128" s="783"/>
      <c r="E128" s="1492"/>
      <c r="F128" s="545"/>
      <c r="G128" s="635"/>
      <c r="H128" s="636"/>
      <c r="I128" s="548">
        <f>H129/G129</f>
        <v>0.73206630400000006</v>
      </c>
      <c r="J128" s="545"/>
      <c r="K128" s="635"/>
      <c r="L128" s="636"/>
      <c r="M128" s="1295">
        <f>L129/K129</f>
        <v>1.0021732624999999</v>
      </c>
      <c r="N128" s="545"/>
      <c r="O128" s="635"/>
      <c r="P128" s="636"/>
      <c r="Q128" s="1300">
        <f>P129/O129</f>
        <v>0.96218628529411765</v>
      </c>
      <c r="R128" s="581"/>
      <c r="S128" s="971"/>
      <c r="T128" s="971"/>
      <c r="U128" s="452"/>
      <c r="V128" s="551">
        <f>U129/R129</f>
        <v>0.81903339649122797</v>
      </c>
      <c r="W128" s="617"/>
      <c r="X128" s="455">
        <f>U129/T129</f>
        <v>0.86453525185185176</v>
      </c>
      <c r="Y128" s="545"/>
      <c r="Z128" s="635"/>
      <c r="AA128" s="636"/>
      <c r="AB128" s="1300">
        <f>AA129/Z129</f>
        <v>0.92467629493087566</v>
      </c>
      <c r="AC128" s="545"/>
      <c r="AD128" s="635"/>
      <c r="AE128" s="1071"/>
      <c r="AF128" s="1300">
        <f>AE129/AD129</f>
        <v>0.68181818181818177</v>
      </c>
      <c r="AG128" s="545"/>
      <c r="AH128" s="635"/>
      <c r="AI128" s="1071"/>
      <c r="AJ128" s="1300">
        <f>AI129/AH129</f>
        <v>0.66666666666666663</v>
      </c>
      <c r="AK128" s="581"/>
      <c r="AL128" s="971"/>
      <c r="AM128" s="971"/>
      <c r="AN128" s="637"/>
      <c r="AO128" s="553">
        <f>AN129/AK129</f>
        <v>0.91970358367346949</v>
      </c>
      <c r="AP128" s="553"/>
      <c r="AQ128" s="324">
        <f>AN129/AM129</f>
        <v>0.76772530834752994</v>
      </c>
      <c r="AR128" s="638"/>
      <c r="AS128" s="639"/>
      <c r="AT128" s="639"/>
      <c r="AU128" s="640"/>
      <c r="AV128" s="553">
        <f>AU129/AR129</f>
        <v>0.86556961509433961</v>
      </c>
      <c r="AW128" s="553"/>
      <c r="AX128" s="324">
        <f>AU129/AT129</f>
        <v>0.81411161668145515</v>
      </c>
      <c r="AY128" s="471"/>
      <c r="AZ128" s="558"/>
      <c r="BA128" s="1427"/>
      <c r="BB128" s="353"/>
      <c r="BC128" s="353"/>
      <c r="BD128" s="353"/>
      <c r="BE128" s="353"/>
    </row>
    <row r="129" spans="1:57" ht="20.100000000000001" customHeight="1">
      <c r="A129" s="787" t="s">
        <v>206</v>
      </c>
      <c r="B129" s="759"/>
      <c r="C129" s="759"/>
      <c r="D129" s="753"/>
      <c r="E129" s="759"/>
      <c r="F129" s="559">
        <f>F123+F124</f>
        <v>250000</v>
      </c>
      <c r="G129" s="575">
        <f>G123+G124+G125</f>
        <v>250000</v>
      </c>
      <c r="H129" s="576">
        <f>H123+H124+H125</f>
        <v>183016.576</v>
      </c>
      <c r="I129" s="562">
        <f t="shared" ref="I129:I137" si="137">H129-G129</f>
        <v>-66983.423999999999</v>
      </c>
      <c r="J129" s="559">
        <f>J123+J124</f>
        <v>140000</v>
      </c>
      <c r="K129" s="575">
        <f>K123+K124+K125</f>
        <v>120000</v>
      </c>
      <c r="L129" s="576">
        <f>L123+L124+L125</f>
        <v>120260.79149999999</v>
      </c>
      <c r="M129" s="562">
        <f>L129-K129</f>
        <v>260.79149999999208</v>
      </c>
      <c r="N129" s="559">
        <f>N123+N124</f>
        <v>180000</v>
      </c>
      <c r="O129" s="575">
        <f>O123+O124+O125</f>
        <v>170000</v>
      </c>
      <c r="P129" s="576">
        <v>163571.6685</v>
      </c>
      <c r="Q129" s="562">
        <f t="shared" ref="Q129:Q137" si="138">P129-O129</f>
        <v>-6428.3315000000002</v>
      </c>
      <c r="R129" s="462">
        <f>F129+J129+N129</f>
        <v>570000</v>
      </c>
      <c r="S129" s="463"/>
      <c r="T129" s="460">
        <f>G129+K129+O129</f>
        <v>540000</v>
      </c>
      <c r="U129" s="306">
        <f>H129+L129+P129</f>
        <v>466849.03599999996</v>
      </c>
      <c r="V129" s="446">
        <f t="shared" ref="V129:V139" si="139">U129-R129</f>
        <v>-103150.96400000004</v>
      </c>
      <c r="W129" s="466"/>
      <c r="X129" s="435">
        <f>U129-T129</f>
        <v>-73150.964000000036</v>
      </c>
      <c r="Y129" s="559">
        <f>Y123+Y124</f>
        <v>180000</v>
      </c>
      <c r="Z129" s="575">
        <f>Z123+Z124+Z125</f>
        <v>217000</v>
      </c>
      <c r="AA129" s="576">
        <f>AA123+AA124+AA125</f>
        <v>200654.75600000002</v>
      </c>
      <c r="AB129" s="562">
        <f>AA129-Z129</f>
        <v>-16345.243999999977</v>
      </c>
      <c r="AC129" s="559">
        <f>AC123+AC124</f>
        <v>160000</v>
      </c>
      <c r="AD129" s="575">
        <f>AD123+AD124+AD125</f>
        <v>220000</v>
      </c>
      <c r="AE129" s="1054">
        <f>AE123+AE124+AE125</f>
        <v>150000</v>
      </c>
      <c r="AF129" s="562">
        <f>AE129-AD129</f>
        <v>-70000</v>
      </c>
      <c r="AG129" s="559">
        <f>AG123+AG124</f>
        <v>150000</v>
      </c>
      <c r="AH129" s="575">
        <f>AH123+AH124+AH125</f>
        <v>150000</v>
      </c>
      <c r="AI129" s="1054">
        <f>AI123+AI124+AI125</f>
        <v>100000</v>
      </c>
      <c r="AJ129" s="562">
        <f t="shared" ref="AJ129:AJ139" si="140">AI129-AH129</f>
        <v>-50000</v>
      </c>
      <c r="AK129" s="462">
        <f>Y129+AC129+AG129</f>
        <v>490000</v>
      </c>
      <c r="AL129" s="463"/>
      <c r="AM129" s="460">
        <f>Z129+AD129+AH129</f>
        <v>587000</v>
      </c>
      <c r="AN129" s="464">
        <f>AA129+AE129+AI129</f>
        <v>450654.75600000005</v>
      </c>
      <c r="AO129" s="489">
        <f t="shared" ref="AO129:AO139" si="141">AN129-AK129</f>
        <v>-39345.243999999948</v>
      </c>
      <c r="AP129" s="489"/>
      <c r="AQ129" s="435">
        <f>AN129-AM129</f>
        <v>-136345.24399999995</v>
      </c>
      <c r="AR129" s="467">
        <f>SUM(R129,AK129)</f>
        <v>1060000</v>
      </c>
      <c r="AS129" s="647"/>
      <c r="AT129" s="624">
        <f>T129+AM129</f>
        <v>1127000</v>
      </c>
      <c r="AU129" s="464">
        <f>SUM(U129,AN129)</f>
        <v>917503.79200000002</v>
      </c>
      <c r="AV129" s="489">
        <f>AU129-AR129</f>
        <v>-142496.20799999998</v>
      </c>
      <c r="AW129" s="489"/>
      <c r="AX129" s="435">
        <f t="shared" ref="AX129:AX139" si="142">AU129-AT129</f>
        <v>-209496.20799999998</v>
      </c>
      <c r="AY129" s="471">
        <f t="shared" si="136"/>
        <v>176666.66666666666</v>
      </c>
      <c r="AZ129" s="472">
        <f>AU129/6</f>
        <v>152917.29866666667</v>
      </c>
      <c r="BA129" s="1425">
        <v>152917.29866666667</v>
      </c>
      <c r="BB129" s="278">
        <f>AZ129-AY129</f>
        <v>-23749.367999999988</v>
      </c>
      <c r="BC129" s="278">
        <f>BA129-AY129</f>
        <v>-23749.367999999988</v>
      </c>
      <c r="BD129" s="302">
        <f>BA129-AZ129</f>
        <v>0</v>
      </c>
      <c r="BE129" s="278">
        <f>AX129/6</f>
        <v>-34916.034666666666</v>
      </c>
    </row>
    <row r="130" spans="1:57" ht="20.100000000000001" customHeight="1">
      <c r="A130" s="790"/>
      <c r="B130" s="791"/>
      <c r="C130" s="792" t="s">
        <v>231</v>
      </c>
      <c r="D130" s="793"/>
      <c r="E130" s="1502"/>
      <c r="F130" s="545">
        <v>363</v>
      </c>
      <c r="G130" s="577">
        <v>360</v>
      </c>
      <c r="H130" s="578">
        <v>399</v>
      </c>
      <c r="I130" s="579">
        <f t="shared" si="137"/>
        <v>39</v>
      </c>
      <c r="J130" s="545">
        <v>363</v>
      </c>
      <c r="K130" s="577">
        <v>300</v>
      </c>
      <c r="L130" s="578">
        <f>315</f>
        <v>315</v>
      </c>
      <c r="M130" s="1297">
        <f t="shared" ref="M130:M137" si="143">L130-K130</f>
        <v>15</v>
      </c>
      <c r="N130" s="545">
        <v>363</v>
      </c>
      <c r="O130" s="577">
        <v>315</v>
      </c>
      <c r="P130" s="578">
        <v>292</v>
      </c>
      <c r="Q130" s="1297">
        <f t="shared" si="138"/>
        <v>-23</v>
      </c>
      <c r="R130" s="581">
        <f>F130+J130+N130</f>
        <v>1089</v>
      </c>
      <c r="S130" s="971"/>
      <c r="T130" s="641">
        <f>G130+K130+O130</f>
        <v>975</v>
      </c>
      <c r="U130" s="580">
        <f>H130+L130+P130</f>
        <v>1006</v>
      </c>
      <c r="V130" s="599">
        <f t="shared" si="139"/>
        <v>-83</v>
      </c>
      <c r="W130" s="606"/>
      <c r="X130" s="602">
        <f>U130-T130</f>
        <v>31</v>
      </c>
      <c r="Y130" s="545">
        <v>365</v>
      </c>
      <c r="Z130" s="577">
        <v>300</v>
      </c>
      <c r="AA130" s="578">
        <v>228</v>
      </c>
      <c r="AB130" s="1297">
        <f t="shared" ref="AB130:AB139" si="144">AA130-Z130</f>
        <v>-72</v>
      </c>
      <c r="AC130" s="545">
        <v>365</v>
      </c>
      <c r="AD130" s="577">
        <v>295</v>
      </c>
      <c r="AE130" s="1055">
        <v>260</v>
      </c>
      <c r="AF130" s="1297">
        <f t="shared" ref="AF130:AF139" si="145">AE130-AD130</f>
        <v>-35</v>
      </c>
      <c r="AG130" s="545">
        <v>365</v>
      </c>
      <c r="AH130" s="577">
        <v>290</v>
      </c>
      <c r="AI130" s="1055">
        <v>230</v>
      </c>
      <c r="AJ130" s="1297">
        <f t="shared" si="140"/>
        <v>-60</v>
      </c>
      <c r="AK130" s="581">
        <f>Y130+AC130+AG130</f>
        <v>1095</v>
      </c>
      <c r="AL130" s="971"/>
      <c r="AM130" s="641">
        <f>Z130+AD130+AH130</f>
        <v>885</v>
      </c>
      <c r="AN130" s="598">
        <f>AA130+AE130+AI130</f>
        <v>718</v>
      </c>
      <c r="AO130" s="1302">
        <f t="shared" si="141"/>
        <v>-377</v>
      </c>
      <c r="AP130" s="550"/>
      <c r="AQ130" s="602"/>
      <c r="AR130" s="581">
        <f>SUM(R130,AK130)</f>
        <v>2184</v>
      </c>
      <c r="AS130" s="1298"/>
      <c r="AT130" s="1298">
        <f>T130+AM130</f>
        <v>1860</v>
      </c>
      <c r="AU130" s="598">
        <f>SUM(U130,AN130)</f>
        <v>1724</v>
      </c>
      <c r="AV130" s="600">
        <f t="shared" ref="AV130:AV139" si="146">AU130-AR130</f>
        <v>-460</v>
      </c>
      <c r="AW130" s="600"/>
      <c r="AX130" s="601">
        <f t="shared" si="142"/>
        <v>-136</v>
      </c>
      <c r="AY130" s="471"/>
      <c r="AZ130" s="558"/>
      <c r="BA130" s="1427"/>
      <c r="BB130" s="558"/>
      <c r="BC130" s="558"/>
      <c r="BD130" s="558"/>
      <c r="BE130" s="558"/>
    </row>
    <row r="131" spans="1:57" ht="20.100000000000001" customHeight="1">
      <c r="A131" s="790"/>
      <c r="B131" s="791"/>
      <c r="C131" s="794" t="s">
        <v>216</v>
      </c>
      <c r="D131" s="795"/>
      <c r="E131" s="1503"/>
      <c r="F131" s="549">
        <f>F132/F130</f>
        <v>154.58677685950414</v>
      </c>
      <c r="G131" s="583">
        <f>G132/G130</f>
        <v>155.55555555555554</v>
      </c>
      <c r="H131" s="584">
        <f>H132/H130</f>
        <v>143.77725563909775</v>
      </c>
      <c r="I131" s="585">
        <f t="shared" si="137"/>
        <v>-11.778299916457797</v>
      </c>
      <c r="J131" s="549">
        <f>J132/J130</f>
        <v>154.58677685950414</v>
      </c>
      <c r="K131" s="583">
        <f>K132/K130</f>
        <v>170</v>
      </c>
      <c r="L131" s="584">
        <f>L132/L130</f>
        <v>147.45180787999999</v>
      </c>
      <c r="M131" s="585">
        <f t="shared" si="143"/>
        <v>-22.54819212000001</v>
      </c>
      <c r="N131" s="549">
        <f>N132/N130</f>
        <v>154.58677685950414</v>
      </c>
      <c r="O131" s="583">
        <f>O132/O130</f>
        <v>146.03174603174602</v>
      </c>
      <c r="P131" s="584">
        <f>P132/P130</f>
        <v>157.99528060273974</v>
      </c>
      <c r="Q131" s="585">
        <f t="shared" si="138"/>
        <v>11.963534570993716</v>
      </c>
      <c r="R131" s="587">
        <f>R132/R130</f>
        <v>154.58677685950414</v>
      </c>
      <c r="S131" s="586"/>
      <c r="T131" s="586">
        <f>T132/T130</f>
        <v>156.92307692307693</v>
      </c>
      <c r="U131" s="358">
        <f>U132/U130</f>
        <v>149.05473799025845</v>
      </c>
      <c r="V131" s="358">
        <f t="shared" si="139"/>
        <v>-5.5320388692456959</v>
      </c>
      <c r="W131" s="358"/>
      <c r="X131" s="358">
        <f>U131-T131</f>
        <v>-7.8683389328184887</v>
      </c>
      <c r="Y131" s="549">
        <f>Y132/Y130</f>
        <v>154.31506849315068</v>
      </c>
      <c r="Z131" s="583">
        <f>Z132/Z130</f>
        <v>163.33333333333334</v>
      </c>
      <c r="AA131" s="584">
        <f>AA132/AA130</f>
        <v>170.53010561052631</v>
      </c>
      <c r="AB131" s="585">
        <f t="shared" si="144"/>
        <v>7.196772277192963</v>
      </c>
      <c r="AC131" s="549">
        <f>AC132/AC130</f>
        <v>154.31506849315068</v>
      </c>
      <c r="AD131" s="583">
        <f>AD132/AD130</f>
        <v>164.40677966101694</v>
      </c>
      <c r="AE131" s="1057">
        <f>AE132/AE130</f>
        <v>165.38461538461539</v>
      </c>
      <c r="AF131" s="585">
        <f t="shared" si="145"/>
        <v>0.97783572359844584</v>
      </c>
      <c r="AG131" s="549">
        <f>AG132/AG130</f>
        <v>154.31506849315068</v>
      </c>
      <c r="AH131" s="583">
        <f>AH132/AH130</f>
        <v>158.62068965517241</v>
      </c>
      <c r="AI131" s="1057">
        <f>AI132/AI130</f>
        <v>169.56521739130434</v>
      </c>
      <c r="AJ131" s="585">
        <f t="shared" si="140"/>
        <v>10.944527736131931</v>
      </c>
      <c r="AK131" s="587">
        <f>AK132/AK130</f>
        <v>154.31506849315068</v>
      </c>
      <c r="AL131" s="586"/>
      <c r="AM131" s="586">
        <f>AM132/AM130</f>
        <v>162.14689265536722</v>
      </c>
      <c r="AN131" s="358">
        <f>AN132/AN130</f>
        <v>168.35774941392756</v>
      </c>
      <c r="AO131" s="358">
        <f t="shared" si="141"/>
        <v>14.042680920776888</v>
      </c>
      <c r="AP131" s="358"/>
      <c r="AQ131" s="358">
        <f>AN131-AM131</f>
        <v>6.2108567585603396</v>
      </c>
      <c r="AR131" s="587">
        <f>AR132/AR130</f>
        <v>154.45054945054946</v>
      </c>
      <c r="AS131" s="586"/>
      <c r="AT131" s="586">
        <f>AT132/AT130</f>
        <v>159.40860215053763</v>
      </c>
      <c r="AU131" s="358">
        <f>AU132/AU130</f>
        <v>157.0939272026682</v>
      </c>
      <c r="AV131" s="358">
        <f t="shared" si="146"/>
        <v>2.643377752118738</v>
      </c>
      <c r="AW131" s="358"/>
      <c r="AX131" s="358">
        <f t="shared" si="142"/>
        <v>-2.3146749478694346</v>
      </c>
      <c r="AY131" s="471"/>
      <c r="AZ131" s="558"/>
      <c r="BA131" s="1427"/>
      <c r="BB131" s="353"/>
      <c r="BC131" s="353"/>
      <c r="BD131" s="353"/>
      <c r="BE131" s="353"/>
    </row>
    <row r="132" spans="1:57" ht="20.100000000000001" customHeight="1">
      <c r="A132" s="760"/>
      <c r="B132" s="796"/>
      <c r="C132" s="760" t="s">
        <v>192</v>
      </c>
      <c r="D132" s="763"/>
      <c r="E132" s="820"/>
      <c r="F132" s="516">
        <v>56115</v>
      </c>
      <c r="G132" s="588">
        <v>56000</v>
      </c>
      <c r="H132" s="589">
        <v>57367.125</v>
      </c>
      <c r="I132" s="590">
        <f t="shared" si="137"/>
        <v>1367.125</v>
      </c>
      <c r="J132" s="516">
        <v>56115</v>
      </c>
      <c r="K132" s="588">
        <f>51000</f>
        <v>51000</v>
      </c>
      <c r="L132" s="589">
        <f>46447.3194822</f>
        <v>46447.3194822</v>
      </c>
      <c r="M132" s="590">
        <f t="shared" si="143"/>
        <v>-4552.6805177999995</v>
      </c>
      <c r="N132" s="516">
        <v>56115</v>
      </c>
      <c r="O132" s="588">
        <v>46000</v>
      </c>
      <c r="P132" s="589">
        <v>46134.621936000003</v>
      </c>
      <c r="Q132" s="590">
        <f t="shared" si="138"/>
        <v>134.62193600000319</v>
      </c>
      <c r="R132" s="467">
        <f>F132+J132+N132</f>
        <v>168345</v>
      </c>
      <c r="S132" s="468"/>
      <c r="T132" s="470">
        <f>G132+K132+O132</f>
        <v>153000</v>
      </c>
      <c r="U132" s="311">
        <f>H132+L132+P132</f>
        <v>149949.0664182</v>
      </c>
      <c r="V132" s="446">
        <f t="shared" si="139"/>
        <v>-18395.933581799996</v>
      </c>
      <c r="W132" s="508"/>
      <c r="X132" s="509">
        <f>U132-T132</f>
        <v>-3050.9335817999963</v>
      </c>
      <c r="Y132" s="516">
        <v>56325</v>
      </c>
      <c r="Z132" s="588">
        <v>49000</v>
      </c>
      <c r="AA132" s="589">
        <v>38880.864079200001</v>
      </c>
      <c r="AB132" s="590">
        <f t="shared" si="144"/>
        <v>-10119.135920799999</v>
      </c>
      <c r="AC132" s="516">
        <v>56325</v>
      </c>
      <c r="AD132" s="588">
        <v>48500</v>
      </c>
      <c r="AE132" s="1058">
        <v>43000</v>
      </c>
      <c r="AF132" s="590">
        <f t="shared" si="145"/>
        <v>-5500</v>
      </c>
      <c r="AG132" s="516">
        <v>56325</v>
      </c>
      <c r="AH132" s="588">
        <v>46000</v>
      </c>
      <c r="AI132" s="1058">
        <v>39000</v>
      </c>
      <c r="AJ132" s="590">
        <f t="shared" si="140"/>
        <v>-7000</v>
      </c>
      <c r="AK132" s="467">
        <f>Y132+AC132+AG132</f>
        <v>168975</v>
      </c>
      <c r="AL132" s="468"/>
      <c r="AM132" s="470">
        <f>Z132+AD132+AH132</f>
        <v>143500</v>
      </c>
      <c r="AN132" s="311">
        <f>AA132+AE132+AI132</f>
        <v>120880.86407919999</v>
      </c>
      <c r="AO132" s="470">
        <f t="shared" si="141"/>
        <v>-48094.135920800007</v>
      </c>
      <c r="AP132" s="445"/>
      <c r="AQ132" s="509">
        <f>AN132-AM132</f>
        <v>-22619.135920800007</v>
      </c>
      <c r="AR132" s="467">
        <f>SUM(R132,AK132)</f>
        <v>337320</v>
      </c>
      <c r="AS132" s="647"/>
      <c r="AT132" s="624">
        <f>T132+AM132</f>
        <v>296500</v>
      </c>
      <c r="AU132" s="469">
        <f>SUM(U132,AN132)</f>
        <v>270829.9304974</v>
      </c>
      <c r="AV132" s="466">
        <f t="shared" si="146"/>
        <v>-66490.069502600003</v>
      </c>
      <c r="AW132" s="466"/>
      <c r="AX132" s="435">
        <f t="shared" si="142"/>
        <v>-25670.069502600003</v>
      </c>
      <c r="AY132" s="471"/>
      <c r="AZ132" s="472"/>
      <c r="BA132" s="1425"/>
      <c r="BB132" s="472"/>
      <c r="BC132" s="472"/>
      <c r="BD132" s="472"/>
      <c r="BE132" s="472"/>
    </row>
    <row r="133" spans="1:57" ht="20.100000000000001" customHeight="1">
      <c r="A133" s="790"/>
      <c r="B133" s="791"/>
      <c r="C133" s="792" t="s">
        <v>218</v>
      </c>
      <c r="D133" s="795"/>
      <c r="E133" s="1503"/>
      <c r="F133" s="545">
        <v>593.20000000000005</v>
      </c>
      <c r="G133" s="577">
        <v>540</v>
      </c>
      <c r="H133" s="578">
        <v>594</v>
      </c>
      <c r="I133" s="579">
        <f t="shared" si="137"/>
        <v>54</v>
      </c>
      <c r="J133" s="545">
        <v>593.20000000000005</v>
      </c>
      <c r="K133" s="577">
        <v>610</v>
      </c>
      <c r="L133" s="578">
        <f>639</f>
        <v>639</v>
      </c>
      <c r="M133" s="1297">
        <f t="shared" si="143"/>
        <v>29</v>
      </c>
      <c r="N133" s="545">
        <v>593.20000000000005</v>
      </c>
      <c r="O133" s="577">
        <v>620</v>
      </c>
      <c r="P133" s="578">
        <v>506</v>
      </c>
      <c r="Q133" s="1297">
        <f t="shared" si="138"/>
        <v>-114</v>
      </c>
      <c r="R133" s="587">
        <f>F133+J133+N133</f>
        <v>1779.6000000000001</v>
      </c>
      <c r="S133" s="586"/>
      <c r="T133" s="641">
        <f>G133+K133+O133</f>
        <v>1770</v>
      </c>
      <c r="U133" s="358">
        <f>H133+L133+P133</f>
        <v>1739</v>
      </c>
      <c r="V133" s="554">
        <f t="shared" si="139"/>
        <v>-40.600000000000136</v>
      </c>
      <c r="W133" s="606"/>
      <c r="X133" s="601"/>
      <c r="Y133" s="545">
        <v>636</v>
      </c>
      <c r="Z133" s="577">
        <v>690</v>
      </c>
      <c r="AA133" s="578">
        <v>780</v>
      </c>
      <c r="AB133" s="1297">
        <f t="shared" si="144"/>
        <v>90</v>
      </c>
      <c r="AC133" s="545">
        <v>636</v>
      </c>
      <c r="AD133" s="577">
        <v>790</v>
      </c>
      <c r="AE133" s="1055">
        <v>595</v>
      </c>
      <c r="AF133" s="1297">
        <f t="shared" si="145"/>
        <v>-195</v>
      </c>
      <c r="AG133" s="545">
        <v>636</v>
      </c>
      <c r="AH133" s="577">
        <v>610</v>
      </c>
      <c r="AI133" s="1055">
        <v>385</v>
      </c>
      <c r="AJ133" s="1297">
        <f t="shared" si="140"/>
        <v>-225</v>
      </c>
      <c r="AK133" s="587">
        <f>Y133+AC133+AG133</f>
        <v>1908</v>
      </c>
      <c r="AL133" s="586"/>
      <c r="AM133" s="641">
        <f>Z133+AD133+AH133</f>
        <v>2090</v>
      </c>
      <c r="AN133" s="358">
        <f>AA133+AE133+AI133</f>
        <v>1760</v>
      </c>
      <c r="AO133" s="550">
        <f t="shared" si="141"/>
        <v>-148</v>
      </c>
      <c r="AP133" s="550"/>
      <c r="AQ133" s="601"/>
      <c r="AR133" s="581">
        <f>SUM(R133,AK133)</f>
        <v>3687.6000000000004</v>
      </c>
      <c r="AS133" s="1298"/>
      <c r="AT133" s="1298">
        <f>T133+AM133</f>
        <v>3860</v>
      </c>
      <c r="AU133" s="598">
        <f>SUM(U133,AN133)</f>
        <v>3499</v>
      </c>
      <c r="AV133" s="600">
        <f t="shared" si="146"/>
        <v>-188.60000000000036</v>
      </c>
      <c r="AW133" s="600"/>
      <c r="AX133" s="601">
        <f t="shared" si="142"/>
        <v>-361</v>
      </c>
      <c r="AY133" s="471"/>
      <c r="AZ133" s="558"/>
      <c r="BA133" s="1427"/>
      <c r="BB133" s="558"/>
      <c r="BC133" s="558"/>
      <c r="BD133" s="558"/>
      <c r="BE133" s="558"/>
    </row>
    <row r="134" spans="1:57" ht="20.100000000000001" customHeight="1">
      <c r="A134" s="790"/>
      <c r="B134" s="791"/>
      <c r="C134" s="794" t="s">
        <v>219</v>
      </c>
      <c r="D134" s="795"/>
      <c r="E134" s="1503"/>
      <c r="F134" s="549">
        <f>F135/F133</f>
        <v>163.85704652730951</v>
      </c>
      <c r="G134" s="583">
        <f>G135/G133</f>
        <v>161.11111111111111</v>
      </c>
      <c r="H134" s="584">
        <f>H135/H133</f>
        <v>145.4064377104377</v>
      </c>
      <c r="I134" s="585">
        <f t="shared" si="137"/>
        <v>-15.704673400673414</v>
      </c>
      <c r="J134" s="549">
        <f>J135/J133</f>
        <v>163.85704652730951</v>
      </c>
      <c r="K134" s="583">
        <f>K135/K133</f>
        <v>167.21311475409837</v>
      </c>
      <c r="L134" s="584">
        <f>L135/L133</f>
        <v>145.92837241924883</v>
      </c>
      <c r="M134" s="585">
        <f t="shared" si="143"/>
        <v>-21.28474233484954</v>
      </c>
      <c r="N134" s="549">
        <f>N135/N133</f>
        <v>163.85704652730951</v>
      </c>
      <c r="O134" s="583">
        <f>O135/O133</f>
        <v>148.38709677419354</v>
      </c>
      <c r="P134" s="584">
        <f>P135/P133</f>
        <v>142.63884596837946</v>
      </c>
      <c r="Q134" s="585">
        <f t="shared" si="138"/>
        <v>-5.7482508058140809</v>
      </c>
      <c r="R134" s="587">
        <f>R135/R133</f>
        <v>163.85704652730951</v>
      </c>
      <c r="S134" s="586"/>
      <c r="T134" s="586">
        <f>T135/T133</f>
        <v>158.75706214689265</v>
      </c>
      <c r="U134" s="358">
        <f>U135/U133</f>
        <v>144.79293274059805</v>
      </c>
      <c r="V134" s="358">
        <f t="shared" si="139"/>
        <v>-19.064113786711459</v>
      </c>
      <c r="W134" s="358"/>
      <c r="X134" s="358">
        <f t="shared" ref="X134:X139" si="147">U134-T134</f>
        <v>-13.964129406294603</v>
      </c>
      <c r="Y134" s="549">
        <f>Y135/Y133</f>
        <v>166.66666666666666</v>
      </c>
      <c r="Z134" s="583">
        <f>Z135/Z133</f>
        <v>145.65217391304347</v>
      </c>
      <c r="AA134" s="584">
        <f>AA135/AA133</f>
        <v>168.362024655</v>
      </c>
      <c r="AB134" s="585">
        <f t="shared" si="144"/>
        <v>22.709850741956529</v>
      </c>
      <c r="AC134" s="549">
        <f>AC135/AC133</f>
        <v>166.66666666666666</v>
      </c>
      <c r="AD134" s="583">
        <f>AD135/AD133</f>
        <v>170.8860759493671</v>
      </c>
      <c r="AE134" s="1057">
        <f>AE135/AE133</f>
        <v>147.89915966386553</v>
      </c>
      <c r="AF134" s="585">
        <f t="shared" si="145"/>
        <v>-22.986916285501565</v>
      </c>
      <c r="AG134" s="549">
        <f>AG135/AG133</f>
        <v>166.66666666666666</v>
      </c>
      <c r="AH134" s="583">
        <f>AH135/AH133</f>
        <v>151.63934426229508</v>
      </c>
      <c r="AI134" s="1057">
        <f>AI135/AI133</f>
        <v>142.85714285714286</v>
      </c>
      <c r="AJ134" s="585">
        <f t="shared" si="140"/>
        <v>-8.7822014051522217</v>
      </c>
      <c r="AK134" s="587">
        <f>AK135/AK133</f>
        <v>166.66666666666666</v>
      </c>
      <c r="AL134" s="586"/>
      <c r="AM134" s="586">
        <f>AM135/AM133</f>
        <v>156.9377990430622</v>
      </c>
      <c r="AN134" s="358">
        <f>AN135/AN133</f>
        <v>155.86498819937498</v>
      </c>
      <c r="AO134" s="358">
        <f t="shared" si="141"/>
        <v>-10.80167846729168</v>
      </c>
      <c r="AP134" s="358"/>
      <c r="AQ134" s="358">
        <f>AN134-AM134</f>
        <v>-1.0728108436872219</v>
      </c>
      <c r="AR134" s="587">
        <f>AR135/AR133</f>
        <v>165.31077123332247</v>
      </c>
      <c r="AS134" s="586"/>
      <c r="AT134" s="586">
        <f>AT135/AT133</f>
        <v>157.77202072538861</v>
      </c>
      <c r="AU134" s="358">
        <f>AU135/AU133</f>
        <v>150.36218612940843</v>
      </c>
      <c r="AV134" s="358">
        <f t="shared" si="146"/>
        <v>-14.948585103914041</v>
      </c>
      <c r="AW134" s="358"/>
      <c r="AX134" s="358">
        <f t="shared" si="142"/>
        <v>-7.4098345959801861</v>
      </c>
      <c r="AY134" s="471"/>
      <c r="AZ134" s="558"/>
      <c r="BA134" s="1427"/>
      <c r="BB134" s="353"/>
      <c r="BC134" s="353"/>
      <c r="BD134" s="353"/>
      <c r="BE134" s="353"/>
    </row>
    <row r="135" spans="1:57" ht="20.100000000000001" customHeight="1">
      <c r="A135" s="760"/>
      <c r="B135" s="796"/>
      <c r="C135" s="803" t="s">
        <v>49</v>
      </c>
      <c r="D135" s="763"/>
      <c r="E135" s="820"/>
      <c r="F135" s="516">
        <v>97200</v>
      </c>
      <c r="G135" s="588">
        <v>87000</v>
      </c>
      <c r="H135" s="589">
        <v>86371.423999999999</v>
      </c>
      <c r="I135" s="590">
        <f t="shared" si="137"/>
        <v>-628.57600000000093</v>
      </c>
      <c r="J135" s="516">
        <v>97200</v>
      </c>
      <c r="K135" s="588">
        <f>102000</f>
        <v>102000</v>
      </c>
      <c r="L135" s="589">
        <f>93260.2299759-12</f>
        <v>93248.229975900002</v>
      </c>
      <c r="M135" s="590">
        <f t="shared" si="143"/>
        <v>-8751.7700240999984</v>
      </c>
      <c r="N135" s="516">
        <v>97200</v>
      </c>
      <c r="O135" s="588">
        <v>92000</v>
      </c>
      <c r="P135" s="589">
        <v>72175.25606</v>
      </c>
      <c r="Q135" s="590">
        <f t="shared" si="138"/>
        <v>-19824.74394</v>
      </c>
      <c r="R135" s="467">
        <f>F135+J135+N135</f>
        <v>291600</v>
      </c>
      <c r="S135" s="468"/>
      <c r="T135" s="466">
        <f t="shared" ref="T135:U138" si="148">G135+K135+O135</f>
        <v>281000</v>
      </c>
      <c r="U135" s="311">
        <f t="shared" si="148"/>
        <v>251794.91003590001</v>
      </c>
      <c r="V135" s="446">
        <f t="shared" si="139"/>
        <v>-39805.089964099985</v>
      </c>
      <c r="W135" s="466"/>
      <c r="X135" s="435">
        <f t="shared" si="147"/>
        <v>-29205.089964099985</v>
      </c>
      <c r="Y135" s="516">
        <v>106000</v>
      </c>
      <c r="Z135" s="588">
        <v>100500</v>
      </c>
      <c r="AA135" s="589">
        <v>131322.3792309</v>
      </c>
      <c r="AB135" s="590">
        <f t="shared" si="144"/>
        <v>30822.379230899998</v>
      </c>
      <c r="AC135" s="516">
        <v>106000</v>
      </c>
      <c r="AD135" s="588">
        <v>135000</v>
      </c>
      <c r="AE135" s="1058">
        <v>88000</v>
      </c>
      <c r="AF135" s="590">
        <f t="shared" si="145"/>
        <v>-47000</v>
      </c>
      <c r="AG135" s="516">
        <v>106000</v>
      </c>
      <c r="AH135" s="588">
        <v>92500</v>
      </c>
      <c r="AI135" s="1058">
        <v>55000</v>
      </c>
      <c r="AJ135" s="590">
        <f t="shared" si="140"/>
        <v>-37500</v>
      </c>
      <c r="AK135" s="467">
        <f>Y135+AC135+AG135</f>
        <v>318000</v>
      </c>
      <c r="AL135" s="468"/>
      <c r="AM135" s="466">
        <f t="shared" ref="AM135:AN138" si="149">Z135+AD135+AH135</f>
        <v>328000</v>
      </c>
      <c r="AN135" s="311">
        <f t="shared" si="149"/>
        <v>274322.37923089997</v>
      </c>
      <c r="AO135" s="470">
        <f t="shared" si="141"/>
        <v>-43677.620769100031</v>
      </c>
      <c r="AP135" s="470"/>
      <c r="AQ135" s="435">
        <f>AN135-AM135</f>
        <v>-53677.620769100031</v>
      </c>
      <c r="AR135" s="467">
        <f>SUM(R135,AK135)</f>
        <v>609600</v>
      </c>
      <c r="AS135" s="647"/>
      <c r="AT135" s="624">
        <f>T135+AM135</f>
        <v>609000</v>
      </c>
      <c r="AU135" s="469">
        <f>SUM(U135,AN135)</f>
        <v>526117.28926680004</v>
      </c>
      <c r="AV135" s="466">
        <f t="shared" si="146"/>
        <v>-83482.710733199958</v>
      </c>
      <c r="AW135" s="466"/>
      <c r="AX135" s="435">
        <f t="shared" si="142"/>
        <v>-82882.710733199958</v>
      </c>
      <c r="AY135" s="471"/>
      <c r="AZ135" s="472"/>
      <c r="BA135" s="1425"/>
      <c r="BB135" s="472"/>
      <c r="BC135" s="472"/>
      <c r="BD135" s="472"/>
      <c r="BE135" s="472"/>
    </row>
    <row r="136" spans="1:57" s="1014" customFormat="1" ht="20.100000000000001" customHeight="1">
      <c r="A136" s="760"/>
      <c r="B136" s="796"/>
      <c r="C136" s="803" t="s">
        <v>289</v>
      </c>
      <c r="D136" s="763"/>
      <c r="E136" s="813"/>
      <c r="F136" s="545"/>
      <c r="G136" s="577">
        <v>50</v>
      </c>
      <c r="H136" s="578">
        <v>61</v>
      </c>
      <c r="I136" s="579">
        <f t="shared" si="137"/>
        <v>11</v>
      </c>
      <c r="J136" s="545"/>
      <c r="K136" s="577">
        <v>130</v>
      </c>
      <c r="L136" s="578">
        <v>61</v>
      </c>
      <c r="M136" s="1297"/>
      <c r="N136" s="545"/>
      <c r="O136" s="577">
        <v>170</v>
      </c>
      <c r="P136" s="578">
        <v>47</v>
      </c>
      <c r="Q136" s="1297"/>
      <c r="R136" s="581">
        <f>F136+J136+N136</f>
        <v>0</v>
      </c>
      <c r="S136" s="971"/>
      <c r="T136" s="600">
        <f t="shared" si="148"/>
        <v>350</v>
      </c>
      <c r="U136" s="580">
        <f t="shared" si="148"/>
        <v>169</v>
      </c>
      <c r="V136" s="599">
        <f>U136-R136</f>
        <v>169</v>
      </c>
      <c r="W136" s="600"/>
      <c r="X136" s="601">
        <f t="shared" si="147"/>
        <v>-181</v>
      </c>
      <c r="Y136" s="545"/>
      <c r="Z136" s="577">
        <v>70</v>
      </c>
      <c r="AA136" s="578">
        <v>158</v>
      </c>
      <c r="AB136" s="1297"/>
      <c r="AC136" s="545"/>
      <c r="AD136" s="577">
        <v>150</v>
      </c>
      <c r="AE136" s="1055">
        <v>70</v>
      </c>
      <c r="AF136" s="1297"/>
      <c r="AG136" s="545"/>
      <c r="AH136" s="577">
        <v>150</v>
      </c>
      <c r="AI136" s="1055">
        <v>70</v>
      </c>
      <c r="AJ136" s="1297"/>
      <c r="AK136" s="581">
        <f>Y136+AC136+AG136</f>
        <v>0</v>
      </c>
      <c r="AL136" s="971"/>
      <c r="AM136" s="600">
        <f t="shared" si="149"/>
        <v>370</v>
      </c>
      <c r="AN136" s="580">
        <f t="shared" si="149"/>
        <v>298</v>
      </c>
      <c r="AO136" s="972">
        <f>AN136-AK136</f>
        <v>298</v>
      </c>
      <c r="AP136" s="972"/>
      <c r="AQ136" s="601"/>
      <c r="AR136" s="581">
        <f>SUM(R136,AK136)</f>
        <v>0</v>
      </c>
      <c r="AS136" s="1298"/>
      <c r="AT136" s="1303">
        <f>T136+AM136</f>
        <v>720</v>
      </c>
      <c r="AU136" s="598">
        <f>SUM(U136,AN136)</f>
        <v>467</v>
      </c>
      <c r="AV136" s="600">
        <f>AU136-AR136</f>
        <v>467</v>
      </c>
      <c r="AW136" s="600"/>
      <c r="AX136" s="601"/>
      <c r="AY136" s="557"/>
      <c r="AZ136" s="558"/>
      <c r="BA136" s="1427"/>
      <c r="BB136" s="558"/>
      <c r="BC136" s="472"/>
      <c r="BD136" s="472"/>
      <c r="BE136" s="472"/>
    </row>
    <row r="137" spans="1:57" ht="20.100000000000001" customHeight="1">
      <c r="A137" s="797"/>
      <c r="B137" s="798"/>
      <c r="C137" s="740" t="s">
        <v>291</v>
      </c>
      <c r="D137" s="741"/>
      <c r="E137" s="742"/>
      <c r="F137" s="1044"/>
      <c r="G137" s="1045">
        <v>4250</v>
      </c>
      <c r="H137" s="1060">
        <v>4713.6752200000001</v>
      </c>
      <c r="I137" s="1061">
        <f t="shared" si="137"/>
        <v>463.67522000000008</v>
      </c>
      <c r="J137" s="1044"/>
      <c r="K137" s="1045">
        <v>11650</v>
      </c>
      <c r="L137" s="1060">
        <v>5673.7040022000001</v>
      </c>
      <c r="M137" s="1061">
        <f t="shared" si="143"/>
        <v>-5976.2959977999999</v>
      </c>
      <c r="N137" s="1044"/>
      <c r="O137" s="1045">
        <v>15300</v>
      </c>
      <c r="P137" s="1060">
        <v>428.5</v>
      </c>
      <c r="Q137" s="1061">
        <f t="shared" si="138"/>
        <v>-14871.5</v>
      </c>
      <c r="R137" s="593">
        <f>F137+J137+N137</f>
        <v>0</v>
      </c>
      <c r="S137" s="728"/>
      <c r="T137" s="466">
        <f t="shared" si="148"/>
        <v>31200</v>
      </c>
      <c r="U137" s="594">
        <f t="shared" si="148"/>
        <v>10815.879222200001</v>
      </c>
      <c r="V137" s="542">
        <f t="shared" si="139"/>
        <v>10815.879222200001</v>
      </c>
      <c r="W137" s="543"/>
      <c r="X137" s="510">
        <f t="shared" si="147"/>
        <v>-20384.120777799999</v>
      </c>
      <c r="Y137" s="1044"/>
      <c r="Z137" s="1045">
        <v>6230</v>
      </c>
      <c r="AA137" s="1060">
        <v>14273.700000299999</v>
      </c>
      <c r="AB137" s="1061">
        <f t="shared" si="144"/>
        <v>8043.7000002999994</v>
      </c>
      <c r="AC137" s="1044"/>
      <c r="AD137" s="1045">
        <v>13350</v>
      </c>
      <c r="AE137" s="1062">
        <v>6230</v>
      </c>
      <c r="AF137" s="1061">
        <f t="shared" si="145"/>
        <v>-7120</v>
      </c>
      <c r="AG137" s="1044"/>
      <c r="AH137" s="1045">
        <v>13350</v>
      </c>
      <c r="AI137" s="1062">
        <v>6230</v>
      </c>
      <c r="AJ137" s="1061">
        <f t="shared" si="140"/>
        <v>-7120</v>
      </c>
      <c r="AK137" s="593">
        <f>Y137+AC137+AG137</f>
        <v>0</v>
      </c>
      <c r="AL137" s="728"/>
      <c r="AM137" s="466">
        <f t="shared" si="149"/>
        <v>32930</v>
      </c>
      <c r="AN137" s="594">
        <f t="shared" si="149"/>
        <v>26733.700000299999</v>
      </c>
      <c r="AO137" s="432">
        <f t="shared" si="141"/>
        <v>26733.700000299999</v>
      </c>
      <c r="AP137" s="432"/>
      <c r="AQ137" s="510">
        <f>AN137-AM137</f>
        <v>-6196.2999997000006</v>
      </c>
      <c r="AR137" s="467">
        <f>SUM(R137,AK137)</f>
        <v>0</v>
      </c>
      <c r="AS137" s="647"/>
      <c r="AT137" s="595">
        <f>T137+AM137</f>
        <v>64130</v>
      </c>
      <c r="AU137" s="643">
        <f>SUM(U137,AN137)</f>
        <v>37549.579222500004</v>
      </c>
      <c r="AV137" s="644">
        <f t="shared" si="146"/>
        <v>37549.579222500004</v>
      </c>
      <c r="AW137" s="1072"/>
      <c r="AX137" s="1073">
        <f t="shared" si="142"/>
        <v>-26580.420777499996</v>
      </c>
      <c r="AY137" s="471"/>
      <c r="AZ137" s="596"/>
      <c r="BA137" s="1428"/>
      <c r="BB137" s="597"/>
      <c r="BC137" s="597"/>
      <c r="BD137" s="597"/>
      <c r="BE137" s="597"/>
    </row>
    <row r="138" spans="1:57" ht="20.100000000000001" customHeight="1">
      <c r="A138" s="760" t="s">
        <v>221</v>
      </c>
      <c r="B138" s="813"/>
      <c r="C138" s="813"/>
      <c r="D138" s="804"/>
      <c r="E138" s="813"/>
      <c r="F138" s="549">
        <f>F130+F133</f>
        <v>956.2</v>
      </c>
      <c r="G138" s="577">
        <f>G130+G133</f>
        <v>900</v>
      </c>
      <c r="H138" s="578">
        <f>H130+H133</f>
        <v>993</v>
      </c>
      <c r="I138" s="579">
        <f>H138-G138</f>
        <v>93</v>
      </c>
      <c r="J138" s="549">
        <f>J130+J133</f>
        <v>956.2</v>
      </c>
      <c r="K138" s="577">
        <f>K130+K133</f>
        <v>910</v>
      </c>
      <c r="L138" s="578">
        <f>L130+L133</f>
        <v>954</v>
      </c>
      <c r="M138" s="1297">
        <f>L138-K138</f>
        <v>44</v>
      </c>
      <c r="N138" s="549">
        <f>N130+N133</f>
        <v>956.2</v>
      </c>
      <c r="O138" s="577">
        <f>O130+O133</f>
        <v>935</v>
      </c>
      <c r="P138" s="578">
        <f>P130+P133</f>
        <v>798</v>
      </c>
      <c r="Q138" s="1297">
        <f>P138-O138</f>
        <v>-137</v>
      </c>
      <c r="R138" s="581">
        <f>F138+J138+N138</f>
        <v>2868.6000000000004</v>
      </c>
      <c r="S138" s="971"/>
      <c r="T138" s="600">
        <f t="shared" si="148"/>
        <v>2745</v>
      </c>
      <c r="U138" s="598">
        <f t="shared" si="148"/>
        <v>2745</v>
      </c>
      <c r="V138" s="599">
        <f t="shared" si="139"/>
        <v>-123.60000000000036</v>
      </c>
      <c r="W138" s="600"/>
      <c r="X138" s="601">
        <f t="shared" si="147"/>
        <v>0</v>
      </c>
      <c r="Y138" s="549">
        <f>Y130+Y133</f>
        <v>1001</v>
      </c>
      <c r="Z138" s="577">
        <f>Z130+Z133</f>
        <v>990</v>
      </c>
      <c r="AA138" s="578">
        <f>AA130+AA133</f>
        <v>1008</v>
      </c>
      <c r="AB138" s="1297">
        <f t="shared" si="144"/>
        <v>18</v>
      </c>
      <c r="AC138" s="549">
        <f>AC130+AC133</f>
        <v>1001</v>
      </c>
      <c r="AD138" s="577">
        <f>AD130+AD133</f>
        <v>1085</v>
      </c>
      <c r="AE138" s="1055">
        <f>AE130+AE133</f>
        <v>855</v>
      </c>
      <c r="AF138" s="1297">
        <f t="shared" si="145"/>
        <v>-230</v>
      </c>
      <c r="AG138" s="549">
        <f>AG130+AG133</f>
        <v>1001</v>
      </c>
      <c r="AH138" s="577">
        <f>AH130+AH133</f>
        <v>900</v>
      </c>
      <c r="AI138" s="1055">
        <f>AI130+AI133</f>
        <v>615</v>
      </c>
      <c r="AJ138" s="1297">
        <f t="shared" si="140"/>
        <v>-285</v>
      </c>
      <c r="AK138" s="581">
        <f>Y138+AC138+AG138</f>
        <v>3003</v>
      </c>
      <c r="AL138" s="971"/>
      <c r="AM138" s="600">
        <f t="shared" si="149"/>
        <v>2975</v>
      </c>
      <c r="AN138" s="598">
        <f t="shared" si="149"/>
        <v>2478</v>
      </c>
      <c r="AO138" s="972">
        <f t="shared" si="141"/>
        <v>-525</v>
      </c>
      <c r="AP138" s="972"/>
      <c r="AQ138" s="601">
        <f>AN138-AM138</f>
        <v>-497</v>
      </c>
      <c r="AR138" s="521">
        <f>SUM(R138,AK138)</f>
        <v>5871.6</v>
      </c>
      <c r="AS138" s="648"/>
      <c r="AT138" s="1298">
        <f>T138+AM138</f>
        <v>5720</v>
      </c>
      <c r="AU138" s="598">
        <f>SUM(U138,AN138)</f>
        <v>5223</v>
      </c>
      <c r="AV138" s="600">
        <f t="shared" si="146"/>
        <v>-648.60000000000036</v>
      </c>
      <c r="AW138" s="600"/>
      <c r="AX138" s="601">
        <f t="shared" si="142"/>
        <v>-497</v>
      </c>
      <c r="AY138" s="471"/>
      <c r="AZ138" s="558"/>
      <c r="BA138" s="1427"/>
      <c r="BB138" s="558"/>
      <c r="BC138" s="558"/>
      <c r="BD138" s="558"/>
      <c r="BE138" s="558"/>
    </row>
    <row r="139" spans="1:57" ht="20.100000000000001" customHeight="1">
      <c r="A139" s="790" t="s">
        <v>222</v>
      </c>
      <c r="B139" s="786"/>
      <c r="C139" s="786"/>
      <c r="D139" s="783"/>
      <c r="E139" s="1492"/>
      <c r="F139" s="549">
        <f>F141/F138</f>
        <v>160.33779544028445</v>
      </c>
      <c r="G139" s="583">
        <f>G141/G138</f>
        <v>158.88888888888889</v>
      </c>
      <c r="H139" s="584">
        <f>H141/H138</f>
        <v>144.75181168177241</v>
      </c>
      <c r="I139" s="585">
        <f>H139-G139</f>
        <v>-14.137077207116477</v>
      </c>
      <c r="J139" s="549">
        <f>J141/J138</f>
        <v>160.33779544028445</v>
      </c>
      <c r="K139" s="583">
        <f>K141/K138</f>
        <v>168.13186813186815</v>
      </c>
      <c r="L139" s="584">
        <f>L141/L138</f>
        <v>146.43139356194968</v>
      </c>
      <c r="M139" s="585">
        <f>L139-K139</f>
        <v>-21.70047456991847</v>
      </c>
      <c r="N139" s="549">
        <f>N141/N138</f>
        <v>160.33779544028445</v>
      </c>
      <c r="O139" s="583">
        <f>O141/O138</f>
        <v>147.59358288770053</v>
      </c>
      <c r="P139" s="584">
        <f>P141/P138</f>
        <v>148.25799247619048</v>
      </c>
      <c r="Q139" s="585">
        <f>P139-O139</f>
        <v>0.66440958848994569</v>
      </c>
      <c r="R139" s="587">
        <f>R141/R138</f>
        <v>160.33779544028445</v>
      </c>
      <c r="S139" s="586"/>
      <c r="T139" s="586">
        <f>T141/T138</f>
        <v>158.10564663023681</v>
      </c>
      <c r="U139" s="358">
        <f>U141/U138</f>
        <v>146.35481838036429</v>
      </c>
      <c r="V139" s="358">
        <f t="shared" si="139"/>
        <v>-13.982977059920159</v>
      </c>
      <c r="W139" s="358"/>
      <c r="X139" s="358">
        <f t="shared" si="147"/>
        <v>-11.750828249872512</v>
      </c>
      <c r="Y139" s="549">
        <f>Y141/Y138</f>
        <v>162.16283716283715</v>
      </c>
      <c r="Z139" s="583">
        <f>Z141/Z138</f>
        <v>151.01010101010101</v>
      </c>
      <c r="AA139" s="584">
        <f>AA141/AA138</f>
        <v>168.85242391874999</v>
      </c>
      <c r="AB139" s="585">
        <f t="shared" si="144"/>
        <v>17.842322908648981</v>
      </c>
      <c r="AC139" s="549">
        <f>AC141/AC138</f>
        <v>162.16283716283715</v>
      </c>
      <c r="AD139" s="583">
        <f>AD141/AD138</f>
        <v>169.12442396313364</v>
      </c>
      <c r="AE139" s="1057">
        <f>AE141/AE138</f>
        <v>153.21637426900585</v>
      </c>
      <c r="AF139" s="585">
        <f t="shared" si="145"/>
        <v>-15.908049694127783</v>
      </c>
      <c r="AG139" s="549">
        <f>AG141/AG138</f>
        <v>162.16283716283715</v>
      </c>
      <c r="AH139" s="583">
        <f>AH141/AH138</f>
        <v>153.88888888888889</v>
      </c>
      <c r="AI139" s="1057">
        <f>AI141/AI138</f>
        <v>152.84552845528455</v>
      </c>
      <c r="AJ139" s="585">
        <f t="shared" si="140"/>
        <v>-1.0433604336043345</v>
      </c>
      <c r="AK139" s="587">
        <f>AK141/AK138</f>
        <v>162.16283716283715</v>
      </c>
      <c r="AL139" s="586"/>
      <c r="AM139" s="586">
        <f>AM141/AM138</f>
        <v>158.48739495798318</v>
      </c>
      <c r="AN139" s="358">
        <f>AN141/AN138</f>
        <v>159.4847632405569</v>
      </c>
      <c r="AO139" s="358">
        <f t="shared" si="141"/>
        <v>-2.6780739222802481</v>
      </c>
      <c r="AP139" s="358"/>
      <c r="AQ139" s="358">
        <f>AN139-AM139</f>
        <v>0.99736828257371712</v>
      </c>
      <c r="AR139" s="587">
        <f>AR141/AR138</f>
        <v>161.27120376047412</v>
      </c>
      <c r="AS139" s="586"/>
      <c r="AT139" s="586">
        <f>AT141/AT138</f>
        <v>158.30419580419581</v>
      </c>
      <c r="AU139" s="358">
        <f>AU141/AU138</f>
        <v>152.58418911816963</v>
      </c>
      <c r="AV139" s="358">
        <f t="shared" si="146"/>
        <v>-8.6870146423044901</v>
      </c>
      <c r="AW139" s="1056"/>
      <c r="AX139" s="645">
        <f t="shared" si="142"/>
        <v>-5.7200066860261813</v>
      </c>
      <c r="AY139" s="471"/>
      <c r="AZ139" s="558"/>
      <c r="BA139" s="1427"/>
      <c r="BB139" s="353"/>
      <c r="BC139" s="353"/>
      <c r="BD139" s="353"/>
      <c r="BE139" s="353"/>
    </row>
    <row r="140" spans="1:57" ht="20.100000000000001" customHeight="1">
      <c r="A140" s="775" t="s">
        <v>46</v>
      </c>
      <c r="B140" s="761"/>
      <c r="C140" s="761"/>
      <c r="D140" s="765"/>
      <c r="E140" s="761"/>
      <c r="F140" s="444"/>
      <c r="G140" s="568"/>
      <c r="H140" s="569"/>
      <c r="I140" s="570">
        <f>H141/G141</f>
        <v>1.0051646783216783</v>
      </c>
      <c r="J140" s="444"/>
      <c r="K140" s="568"/>
      <c r="L140" s="569"/>
      <c r="M140" s="570">
        <f>L141/K141</f>
        <v>0.91304280691568629</v>
      </c>
      <c r="N140" s="444"/>
      <c r="O140" s="568"/>
      <c r="P140" s="569"/>
      <c r="Q140" s="611">
        <f>P141/O141</f>
        <v>0.85731795649275355</v>
      </c>
      <c r="R140" s="521"/>
      <c r="S140" s="572"/>
      <c r="T140" s="646"/>
      <c r="U140" s="451"/>
      <c r="V140" s="551">
        <f>U141/R141</f>
        <v>0.87346090609551141</v>
      </c>
      <c r="W140" s="617"/>
      <c r="X140" s="300">
        <f>U141/T141</f>
        <v>0.92567736510161291</v>
      </c>
      <c r="Y140" s="444"/>
      <c r="Z140" s="568"/>
      <c r="AA140" s="569"/>
      <c r="AB140" s="611">
        <f>AA141/Z141</f>
        <v>1.1384832328434782</v>
      </c>
      <c r="AC140" s="444"/>
      <c r="AD140" s="568"/>
      <c r="AE140" s="1053"/>
      <c r="AF140" s="611">
        <f>AE141/AD141</f>
        <v>0.71389645776566757</v>
      </c>
      <c r="AG140" s="444"/>
      <c r="AH140" s="568"/>
      <c r="AI140" s="1053"/>
      <c r="AJ140" s="611">
        <f>AI141/AH141</f>
        <v>0.67870036101083031</v>
      </c>
      <c r="AK140" s="521"/>
      <c r="AL140" s="572"/>
      <c r="AM140" s="646"/>
      <c r="AN140" s="451"/>
      <c r="AO140" s="553">
        <f>AN141/AK141</f>
        <v>0.81154729361897426</v>
      </c>
      <c r="AP140" s="553"/>
      <c r="AQ140" s="335">
        <f>AN141/AM141</f>
        <v>0.83818291264072109</v>
      </c>
      <c r="AR140" s="344"/>
      <c r="AS140" s="574"/>
      <c r="AT140" s="574"/>
      <c r="AU140" s="316"/>
      <c r="AV140" s="553">
        <f>AU141/AR141</f>
        <v>0.84162043231128292</v>
      </c>
      <c r="AW140" s="553"/>
      <c r="AX140" s="335">
        <f>AU141/AT141</f>
        <v>0.88011840945797903</v>
      </c>
      <c r="AY140" s="471"/>
      <c r="AZ140" s="416"/>
    </row>
    <row r="141" spans="1:57" ht="20.100000000000001" customHeight="1">
      <c r="A141" s="747" t="s">
        <v>223</v>
      </c>
      <c r="B141" s="748"/>
      <c r="C141" s="759"/>
      <c r="D141" s="753"/>
      <c r="E141" s="759"/>
      <c r="F141" s="559">
        <f>F132+F135</f>
        <v>153315</v>
      </c>
      <c r="G141" s="603">
        <f>G132+G135</f>
        <v>143000</v>
      </c>
      <c r="H141" s="561">
        <f>H132+H135</f>
        <v>143738.549</v>
      </c>
      <c r="I141" s="562">
        <f>H141-G141</f>
        <v>738.54899999999907</v>
      </c>
      <c r="J141" s="559">
        <f>J132+J135</f>
        <v>153315</v>
      </c>
      <c r="K141" s="603">
        <f>K132+K135</f>
        <v>153000</v>
      </c>
      <c r="L141" s="561">
        <f>L132+L135</f>
        <v>139695.54945809999</v>
      </c>
      <c r="M141" s="562">
        <f>L141-K141</f>
        <v>-13304.450541900005</v>
      </c>
      <c r="N141" s="559">
        <f>N132+N135</f>
        <v>153315</v>
      </c>
      <c r="O141" s="603">
        <f>O132+O135</f>
        <v>138000</v>
      </c>
      <c r="P141" s="561">
        <f>P132+P135</f>
        <v>118309.877996</v>
      </c>
      <c r="Q141" s="562">
        <f>P141-O141</f>
        <v>-19690.122004000004</v>
      </c>
      <c r="R141" s="462">
        <f>R132+R135</f>
        <v>459945</v>
      </c>
      <c r="S141" s="463"/>
      <c r="T141" s="489">
        <f>G141+K141+O141</f>
        <v>434000</v>
      </c>
      <c r="U141" s="306">
        <f>H141+L141+P141</f>
        <v>401743.97645409999</v>
      </c>
      <c r="V141" s="461">
        <f>U141-R141</f>
        <v>-58201.023545900011</v>
      </c>
      <c r="W141" s="460"/>
      <c r="X141" s="465">
        <f>U141-T141</f>
        <v>-32256.023545900011</v>
      </c>
      <c r="Y141" s="559">
        <f>Y132+Y135</f>
        <v>162325</v>
      </c>
      <c r="Z141" s="603">
        <f>Z132+Z135</f>
        <v>149500</v>
      </c>
      <c r="AA141" s="561">
        <f>AA132+AA135</f>
        <v>170203.24331009999</v>
      </c>
      <c r="AB141" s="562">
        <f>AA141-Z141</f>
        <v>20703.243310099992</v>
      </c>
      <c r="AC141" s="559">
        <f>AC132+AC135</f>
        <v>162325</v>
      </c>
      <c r="AD141" s="603">
        <f>AD132+AD135</f>
        <v>183500</v>
      </c>
      <c r="AE141" s="1051">
        <f>AE132+AE135</f>
        <v>131000</v>
      </c>
      <c r="AF141" s="562">
        <f>AE141-AD141</f>
        <v>-52500</v>
      </c>
      <c r="AG141" s="559">
        <f>AG132+AG135</f>
        <v>162325</v>
      </c>
      <c r="AH141" s="603">
        <f>AH132+AH135</f>
        <v>138500</v>
      </c>
      <c r="AI141" s="1051">
        <f>AI132+AI135</f>
        <v>94000</v>
      </c>
      <c r="AJ141" s="562">
        <f>AI141-AH141</f>
        <v>-44500</v>
      </c>
      <c r="AK141" s="462">
        <f>AK132+AK135</f>
        <v>486975</v>
      </c>
      <c r="AL141" s="463"/>
      <c r="AM141" s="489">
        <f>Z141+AD141+AH141</f>
        <v>471500</v>
      </c>
      <c r="AN141" s="306">
        <f>AA141+AE141+AI141</f>
        <v>395203.24331009999</v>
      </c>
      <c r="AO141" s="489">
        <f>AN141-AK141</f>
        <v>-91771.756689900008</v>
      </c>
      <c r="AP141" s="489"/>
      <c r="AQ141" s="435">
        <f>AN141-AM141</f>
        <v>-76296.756689900008</v>
      </c>
      <c r="AR141" s="467">
        <f>SUM(R141,AK141)</f>
        <v>946920</v>
      </c>
      <c r="AS141" s="647"/>
      <c r="AT141" s="624">
        <f>T141+AM141</f>
        <v>905500</v>
      </c>
      <c r="AU141" s="306">
        <f>AU135+AU132</f>
        <v>796947.21976420004</v>
      </c>
      <c r="AV141" s="489">
        <f>AU141-AR141</f>
        <v>-149972.78023579996</v>
      </c>
      <c r="AW141" s="489"/>
      <c r="AX141" s="435">
        <f>AU141-AT141</f>
        <v>-108552.78023579996</v>
      </c>
      <c r="AY141" s="471">
        <f t="shared" si="136"/>
        <v>157820</v>
      </c>
      <c r="AZ141" s="472">
        <f>AU141/6</f>
        <v>132824.53662736667</v>
      </c>
      <c r="BA141" s="1425">
        <v>132824.53662736667</v>
      </c>
      <c r="BB141" s="278">
        <f>AZ141-AY141</f>
        <v>-24995.463372633327</v>
      </c>
      <c r="BC141" s="278">
        <f>BA141-AY141</f>
        <v>-24995.463372633327</v>
      </c>
      <c r="BD141" s="302">
        <f>BA141-AZ141</f>
        <v>0</v>
      </c>
      <c r="BE141" s="278">
        <f>AX141/6</f>
        <v>-18092.130039299995</v>
      </c>
    </row>
    <row r="142" spans="1:57" ht="20.100000000000001" customHeight="1">
      <c r="A142" s="799"/>
      <c r="B142" s="800"/>
      <c r="C142" s="801" t="s">
        <v>224</v>
      </c>
      <c r="D142" s="802"/>
      <c r="E142" s="813"/>
      <c r="F142" s="549"/>
      <c r="G142" s="583"/>
      <c r="H142" s="584"/>
      <c r="I142" s="585">
        <f>H142-G142</f>
        <v>0</v>
      </c>
      <c r="J142" s="549"/>
      <c r="K142" s="583"/>
      <c r="L142" s="584"/>
      <c r="M142" s="585">
        <f>L142-K142</f>
        <v>0</v>
      </c>
      <c r="N142" s="549"/>
      <c r="O142" s="583"/>
      <c r="P142" s="584"/>
      <c r="Q142" s="585">
        <f>P142-O142</f>
        <v>0</v>
      </c>
      <c r="R142" s="587">
        <f>F142+J142+N142</f>
        <v>0</v>
      </c>
      <c r="S142" s="586"/>
      <c r="T142" s="586"/>
      <c r="U142" s="358">
        <f>H142+L142+P142</f>
        <v>0</v>
      </c>
      <c r="V142" s="554">
        <f>U142-R142</f>
        <v>0</v>
      </c>
      <c r="W142" s="606"/>
      <c r="X142" s="602">
        <f>U142-T142</f>
        <v>0</v>
      </c>
      <c r="Y142" s="549"/>
      <c r="Z142" s="583"/>
      <c r="AA142" s="584"/>
      <c r="AB142" s="585">
        <f>AA142-Z142</f>
        <v>0</v>
      </c>
      <c r="AC142" s="549"/>
      <c r="AD142" s="583"/>
      <c r="AE142" s="1057"/>
      <c r="AF142" s="585">
        <f>AE142-AD142</f>
        <v>0</v>
      </c>
      <c r="AG142" s="549"/>
      <c r="AH142" s="583"/>
      <c r="AI142" s="1057"/>
      <c r="AJ142" s="585">
        <f>AI142-AH142</f>
        <v>0</v>
      </c>
      <c r="AK142" s="587">
        <f>Y142+AC142+AG142</f>
        <v>0</v>
      </c>
      <c r="AL142" s="586"/>
      <c r="AM142" s="586">
        <f t="shared" ref="AM142:AN143" si="150">Z142+AD142+AH142</f>
        <v>0</v>
      </c>
      <c r="AN142" s="358">
        <f t="shared" si="150"/>
        <v>0</v>
      </c>
      <c r="AO142" s="550">
        <f>AN142-AK142</f>
        <v>0</v>
      </c>
      <c r="AP142" s="550"/>
      <c r="AQ142" s="602">
        <f>AN142-AM142</f>
        <v>0</v>
      </c>
      <c r="AR142" s="587">
        <f>SUM(R142,AK142)</f>
        <v>0</v>
      </c>
      <c r="AS142" s="582"/>
      <c r="AT142" s="582">
        <f>T142+AM142</f>
        <v>0</v>
      </c>
      <c r="AU142" s="358">
        <f>SUM(U142,AN142)</f>
        <v>0</v>
      </c>
      <c r="AV142" s="606">
        <f>AU142-AR142</f>
        <v>0</v>
      </c>
      <c r="AW142" s="606"/>
      <c r="AX142" s="602">
        <f>AU142-AT142</f>
        <v>0</v>
      </c>
      <c r="AY142" s="471">
        <f t="shared" si="136"/>
        <v>0</v>
      </c>
      <c r="AZ142" s="472"/>
      <c r="BA142" s="1425"/>
      <c r="BB142" s="336"/>
      <c r="BC142" s="336"/>
      <c r="BD142" s="336"/>
      <c r="BE142" s="336"/>
    </row>
    <row r="143" spans="1:57" ht="20.100000000000001" customHeight="1">
      <c r="A143" s="788"/>
      <c r="B143" s="756"/>
      <c r="C143" s="803" t="s">
        <v>232</v>
      </c>
      <c r="D143" s="763"/>
      <c r="E143" s="820"/>
      <c r="F143" s="516"/>
      <c r="G143" s="588"/>
      <c r="H143" s="589"/>
      <c r="I143" s="590">
        <f>H143-G143</f>
        <v>0</v>
      </c>
      <c r="J143" s="516"/>
      <c r="K143" s="588"/>
      <c r="L143" s="589"/>
      <c r="M143" s="590">
        <f>L143-K143</f>
        <v>0</v>
      </c>
      <c r="N143" s="516"/>
      <c r="O143" s="588"/>
      <c r="P143" s="589"/>
      <c r="Q143" s="590">
        <f>P143-O143</f>
        <v>0</v>
      </c>
      <c r="R143" s="467">
        <f>F143+J143+N143</f>
        <v>0</v>
      </c>
      <c r="S143" s="468"/>
      <c r="T143" s="468">
        <f>G143+K143+O143</f>
        <v>0</v>
      </c>
      <c r="U143" s="311">
        <f>H143+L143+P143</f>
        <v>0</v>
      </c>
      <c r="V143" s="446">
        <f>U143-R143</f>
        <v>0</v>
      </c>
      <c r="W143" s="466"/>
      <c r="X143" s="435">
        <f>U143-T143</f>
        <v>0</v>
      </c>
      <c r="Y143" s="516"/>
      <c r="Z143" s="588"/>
      <c r="AA143" s="589"/>
      <c r="AB143" s="590">
        <f>AA143-Z143</f>
        <v>0</v>
      </c>
      <c r="AC143" s="516"/>
      <c r="AD143" s="588"/>
      <c r="AE143" s="1058"/>
      <c r="AF143" s="590">
        <f>AE143-AD143</f>
        <v>0</v>
      </c>
      <c r="AG143" s="516"/>
      <c r="AH143" s="588"/>
      <c r="AI143" s="1058"/>
      <c r="AJ143" s="590">
        <f>AI143-AH143</f>
        <v>0</v>
      </c>
      <c r="AK143" s="467">
        <f>Y143+AC143+AG143</f>
        <v>0</v>
      </c>
      <c r="AL143" s="468"/>
      <c r="AM143" s="468">
        <f t="shared" si="150"/>
        <v>0</v>
      </c>
      <c r="AN143" s="311">
        <f t="shared" si="150"/>
        <v>0</v>
      </c>
      <c r="AO143" s="470">
        <f>AN143-AK143</f>
        <v>0</v>
      </c>
      <c r="AP143" s="470"/>
      <c r="AQ143" s="435">
        <f>AN143-AM143</f>
        <v>0</v>
      </c>
      <c r="AR143" s="467">
        <f>SUM(R143,AK143)</f>
        <v>0</v>
      </c>
      <c r="AS143" s="647"/>
      <c r="AT143" s="564">
        <f>T143+AM143</f>
        <v>0</v>
      </c>
      <c r="AU143" s="311">
        <f>SUM(U143,AN143)</f>
        <v>0</v>
      </c>
      <c r="AV143" s="308">
        <f>AU143-AR143</f>
        <v>0</v>
      </c>
      <c r="AW143" s="308"/>
      <c r="AX143" s="435">
        <f>AU143-AT143</f>
        <v>0</v>
      </c>
      <c r="AY143" s="471">
        <f t="shared" si="136"/>
        <v>0</v>
      </c>
      <c r="AZ143" s="472"/>
      <c r="BA143" s="1425"/>
      <c r="BB143" s="336"/>
      <c r="BC143" s="336"/>
      <c r="BD143" s="336"/>
      <c r="BE143" s="336"/>
    </row>
    <row r="144" spans="1:57" ht="20.100000000000001" customHeight="1">
      <c r="A144" s="788"/>
      <c r="B144" s="756"/>
      <c r="C144" s="760"/>
      <c r="D144" s="804"/>
      <c r="E144" s="813"/>
      <c r="F144" s="549"/>
      <c r="G144" s="583"/>
      <c r="H144" s="584"/>
      <c r="I144" s="585"/>
      <c r="J144" s="549"/>
      <c r="K144" s="583"/>
      <c r="L144" s="584"/>
      <c r="M144" s="585"/>
      <c r="N144" s="549"/>
      <c r="O144" s="583"/>
      <c r="P144" s="584"/>
      <c r="Q144" s="585"/>
      <c r="R144" s="587"/>
      <c r="S144" s="586"/>
      <c r="T144" s="641"/>
      <c r="U144" s="580"/>
      <c r="V144" s="599"/>
      <c r="W144" s="600"/>
      <c r="X144" s="601"/>
      <c r="Y144" s="549"/>
      <c r="Z144" s="583"/>
      <c r="AA144" s="584"/>
      <c r="AB144" s="585"/>
      <c r="AC144" s="549"/>
      <c r="AD144" s="583"/>
      <c r="AE144" s="1057"/>
      <c r="AF144" s="585"/>
      <c r="AG144" s="549"/>
      <c r="AH144" s="583"/>
      <c r="AI144" s="1057"/>
      <c r="AJ144" s="585"/>
      <c r="AK144" s="581"/>
      <c r="AL144" s="971"/>
      <c r="AM144" s="971"/>
      <c r="AN144" s="580"/>
      <c r="AO144" s="972"/>
      <c r="AP144" s="972"/>
      <c r="AQ144" s="601"/>
      <c r="AR144" s="581"/>
      <c r="AS144" s="1298"/>
      <c r="AT144" s="1298"/>
      <c r="AU144" s="580"/>
      <c r="AV144" s="600"/>
      <c r="AW144" s="600"/>
      <c r="AX144" s="601"/>
      <c r="AY144" s="471">
        <f t="shared" si="136"/>
        <v>0</v>
      </c>
      <c r="AZ144" s="472"/>
      <c r="BA144" s="1425"/>
      <c r="BB144" s="336"/>
      <c r="BC144" s="336"/>
      <c r="BD144" s="336"/>
      <c r="BE144" s="336"/>
    </row>
    <row r="145" spans="1:57" ht="20.100000000000001" customHeight="1">
      <c r="A145" s="788"/>
      <c r="B145" s="756"/>
      <c r="C145" s="803" t="s">
        <v>233</v>
      </c>
      <c r="D145" s="763"/>
      <c r="E145" s="820"/>
      <c r="F145" s="516"/>
      <c r="G145" s="588"/>
      <c r="H145" s="589"/>
      <c r="I145" s="590">
        <f>H145-G145</f>
        <v>0</v>
      </c>
      <c r="J145" s="516"/>
      <c r="K145" s="588"/>
      <c r="L145" s="589"/>
      <c r="M145" s="590">
        <f>L145-K145</f>
        <v>0</v>
      </c>
      <c r="N145" s="516"/>
      <c r="O145" s="588"/>
      <c r="P145" s="589"/>
      <c r="Q145" s="590">
        <f>P145-O145</f>
        <v>0</v>
      </c>
      <c r="R145" s="591">
        <f>F145+J145+N145</f>
        <v>0</v>
      </c>
      <c r="S145" s="468"/>
      <c r="T145" s="469">
        <f>G145+K145+O145</f>
        <v>0</v>
      </c>
      <c r="U145" s="311">
        <f>H145+L145+P145</f>
        <v>0</v>
      </c>
      <c r="V145" s="446">
        <f>U145-R145</f>
        <v>0</v>
      </c>
      <c r="W145" s="466"/>
      <c r="X145" s="435">
        <f>U145-T145</f>
        <v>0</v>
      </c>
      <c r="Y145" s="516"/>
      <c r="Z145" s="588"/>
      <c r="AA145" s="589"/>
      <c r="AB145" s="590">
        <f>AA145-Z145</f>
        <v>0</v>
      </c>
      <c r="AC145" s="516"/>
      <c r="AD145" s="588"/>
      <c r="AE145" s="1058"/>
      <c r="AF145" s="590">
        <f>AE145-AD145</f>
        <v>0</v>
      </c>
      <c r="AG145" s="516"/>
      <c r="AH145" s="588"/>
      <c r="AI145" s="1058"/>
      <c r="AJ145" s="590">
        <f>AI145-AH145</f>
        <v>0</v>
      </c>
      <c r="AK145" s="467">
        <f>Y145+AC145+AG145</f>
        <v>0</v>
      </c>
      <c r="AL145" s="468"/>
      <c r="AM145" s="468">
        <f>Z145+AD145+AH145</f>
        <v>0</v>
      </c>
      <c r="AN145" s="311">
        <f>AA145+AE145+AI145</f>
        <v>0</v>
      </c>
      <c r="AO145" s="470">
        <f>AN145-AK145</f>
        <v>0</v>
      </c>
      <c r="AP145" s="470"/>
      <c r="AQ145" s="435">
        <f>AN145-AM145</f>
        <v>0</v>
      </c>
      <c r="AR145" s="467">
        <f>SUM(R145,AK145)</f>
        <v>0</v>
      </c>
      <c r="AS145" s="647"/>
      <c r="AT145" s="564">
        <f>T145+AM145</f>
        <v>0</v>
      </c>
      <c r="AU145" s="311">
        <f>SUM(U145,AN145)</f>
        <v>0</v>
      </c>
      <c r="AV145" s="308">
        <f>AU145-AR145</f>
        <v>0</v>
      </c>
      <c r="AW145" s="308"/>
      <c r="AX145" s="435">
        <f>AU145-AT145</f>
        <v>0</v>
      </c>
      <c r="AY145" s="471">
        <f t="shared" si="136"/>
        <v>0</v>
      </c>
      <c r="AZ145" s="472"/>
      <c r="BA145" s="1425"/>
      <c r="BB145" s="336"/>
      <c r="BC145" s="336"/>
      <c r="BD145" s="336"/>
      <c r="BE145" s="336"/>
    </row>
    <row r="146" spans="1:57" ht="20.100000000000001" customHeight="1">
      <c r="A146" s="784"/>
      <c r="B146" s="785"/>
      <c r="C146" s="805" t="s">
        <v>234</v>
      </c>
      <c r="D146" s="782"/>
      <c r="E146" s="785"/>
      <c r="F146" s="549">
        <f>F142+F144</f>
        <v>0</v>
      </c>
      <c r="G146" s="583">
        <f>G144+G142</f>
        <v>0</v>
      </c>
      <c r="H146" s="584">
        <f>H144+H142</f>
        <v>0</v>
      </c>
      <c r="I146" s="579">
        <f>H146-G146</f>
        <v>0</v>
      </c>
      <c r="J146" s="549">
        <f>J142+J144</f>
        <v>0</v>
      </c>
      <c r="K146" s="583">
        <f>K144+K142</f>
        <v>0</v>
      </c>
      <c r="L146" s="584">
        <f>L144+L142</f>
        <v>0</v>
      </c>
      <c r="M146" s="1299">
        <f>L146-K146</f>
        <v>0</v>
      </c>
      <c r="N146" s="549">
        <f>N142+N144</f>
        <v>0</v>
      </c>
      <c r="O146" s="583">
        <f>O144+O142</f>
        <v>0</v>
      </c>
      <c r="P146" s="584">
        <f>P144+P142</f>
        <v>0</v>
      </c>
      <c r="Q146" s="1299">
        <f>P146-O146</f>
        <v>0</v>
      </c>
      <c r="R146" s="549">
        <f>R142+R144</f>
        <v>0</v>
      </c>
      <c r="S146" s="550"/>
      <c r="T146" s="599">
        <f>G146+K146+O146</f>
        <v>0</v>
      </c>
      <c r="U146" s="554">
        <f>H146+L146+P146</f>
        <v>0</v>
      </c>
      <c r="V146" s="554">
        <f>U146-R146</f>
        <v>0</v>
      </c>
      <c r="W146" s="606"/>
      <c r="X146" s="602">
        <f>U146-T146</f>
        <v>0</v>
      </c>
      <c r="Y146" s="549">
        <f>Y142+Y144</f>
        <v>0</v>
      </c>
      <c r="Z146" s="583">
        <f>Z144+Z142</f>
        <v>0</v>
      </c>
      <c r="AA146" s="584">
        <f>AA144+AA142</f>
        <v>0</v>
      </c>
      <c r="AB146" s="1299">
        <f>AA146-Z146</f>
        <v>0</v>
      </c>
      <c r="AC146" s="549">
        <f>AC142+AC144</f>
        <v>0</v>
      </c>
      <c r="AD146" s="583">
        <f>AD144+AD142</f>
        <v>0</v>
      </c>
      <c r="AE146" s="1057">
        <f>AE144+AE142</f>
        <v>0</v>
      </c>
      <c r="AF146" s="1299">
        <f>AE146-AD146</f>
        <v>0</v>
      </c>
      <c r="AG146" s="549">
        <f>AG142+AG144</f>
        <v>0</v>
      </c>
      <c r="AH146" s="583">
        <f>AH144+AH142</f>
        <v>0</v>
      </c>
      <c r="AI146" s="1057">
        <f>AI144+AI142</f>
        <v>0</v>
      </c>
      <c r="AJ146" s="1299">
        <f>AI146-AH146</f>
        <v>0</v>
      </c>
      <c r="AK146" s="587">
        <f>Y146+AC146+AG146</f>
        <v>0</v>
      </c>
      <c r="AL146" s="586"/>
      <c r="AM146" s="972">
        <f>Z146+AD146+AH146</f>
        <v>0</v>
      </c>
      <c r="AN146" s="554">
        <f>AA146+AE146+AI146</f>
        <v>0</v>
      </c>
      <c r="AO146" s="550">
        <f>AN146-AK146</f>
        <v>0</v>
      </c>
      <c r="AP146" s="550"/>
      <c r="AQ146" s="602">
        <f>AN146-AM146</f>
        <v>0</v>
      </c>
      <c r="AR146" s="581">
        <f>SUM(R146,AK146)</f>
        <v>0</v>
      </c>
      <c r="AS146" s="582"/>
      <c r="AT146" s="582">
        <f>T146+AM146</f>
        <v>0</v>
      </c>
      <c r="AU146" s="598">
        <f>SUM(U146,AN146)</f>
        <v>0</v>
      </c>
      <c r="AV146" s="600">
        <f>AU146-AR146</f>
        <v>0</v>
      </c>
      <c r="AW146" s="600"/>
      <c r="AX146" s="601">
        <f>AU146-AT146</f>
        <v>0</v>
      </c>
      <c r="AY146" s="471">
        <f t="shared" si="136"/>
        <v>0</v>
      </c>
      <c r="AZ146" s="558"/>
      <c r="BA146" s="1427"/>
      <c r="BB146" s="353"/>
      <c r="BC146" s="353"/>
      <c r="BD146" s="353"/>
      <c r="BE146" s="353"/>
    </row>
    <row r="147" spans="1:57" ht="20.100000000000001" customHeight="1">
      <c r="A147" s="775" t="s">
        <v>46</v>
      </c>
      <c r="B147" s="761"/>
      <c r="C147" s="761"/>
      <c r="D147" s="765"/>
      <c r="E147" s="761"/>
      <c r="F147" s="444"/>
      <c r="G147" s="568"/>
      <c r="H147" s="569"/>
      <c r="I147" s="570">
        <f>H148/G148</f>
        <v>0</v>
      </c>
      <c r="J147" s="444"/>
      <c r="K147" s="568"/>
      <c r="L147" s="569"/>
      <c r="M147" s="570">
        <f>L148/K148</f>
        <v>2.4848484848484849</v>
      </c>
      <c r="N147" s="444"/>
      <c r="O147" s="568"/>
      <c r="P147" s="569"/>
      <c r="Q147" s="611" t="e">
        <f>P148/O148</f>
        <v>#DIV/0!</v>
      </c>
      <c r="R147" s="444"/>
      <c r="S147" s="445"/>
      <c r="T147" s="522"/>
      <c r="U147" s="479"/>
      <c r="V147" s="551">
        <f>U148/R148</f>
        <v>1.2941238360776474E-2</v>
      </c>
      <c r="W147" s="617"/>
      <c r="X147" s="300">
        <f>U148/T148</f>
        <v>4.6707678286625656E-2</v>
      </c>
      <c r="Y147" s="444"/>
      <c r="Z147" s="568"/>
      <c r="AA147" s="569"/>
      <c r="AB147" s="611">
        <f>AA148/Z148</f>
        <v>0.42502569104558208</v>
      </c>
      <c r="AC147" s="444"/>
      <c r="AD147" s="568"/>
      <c r="AE147" s="1053"/>
      <c r="AF147" s="611" t="e">
        <f>AE148/AD148</f>
        <v>#DIV/0!</v>
      </c>
      <c r="AG147" s="444"/>
      <c r="AH147" s="568"/>
      <c r="AI147" s="1053"/>
      <c r="AJ147" s="611">
        <f>AI148/AH148</f>
        <v>1.0587768069896744</v>
      </c>
      <c r="AK147" s="521"/>
      <c r="AL147" s="572"/>
      <c r="AM147" s="572"/>
      <c r="AN147" s="479"/>
      <c r="AO147" s="553">
        <f>AN148/AK148</f>
        <v>3.4538267786124615</v>
      </c>
      <c r="AP147" s="553"/>
      <c r="AQ147" s="335">
        <f>AN148/AM148</f>
        <v>1.5787042441963102</v>
      </c>
      <c r="AR147" s="344"/>
      <c r="AS147" s="574"/>
      <c r="AT147" s="574"/>
      <c r="AU147" s="316"/>
      <c r="AV147" s="553">
        <f>AU148/AR148</f>
        <v>0.67465561929041851</v>
      </c>
      <c r="AW147" s="553"/>
      <c r="AX147" s="335">
        <f>AU148/AT148</f>
        <v>1.0467687072587564</v>
      </c>
      <c r="AY147" s="471"/>
      <c r="AZ147" s="416"/>
    </row>
    <row r="148" spans="1:57" ht="20.100000000000001" customHeight="1">
      <c r="A148" s="787" t="s">
        <v>235</v>
      </c>
      <c r="B148" s="759"/>
      <c r="C148" s="759"/>
      <c r="D148" s="753"/>
      <c r="E148" s="759"/>
      <c r="F148" s="559">
        <v>0</v>
      </c>
      <c r="G148" s="603">
        <v>5167.8</v>
      </c>
      <c r="H148" s="561">
        <v>0</v>
      </c>
      <c r="I148" s="562">
        <f>H148-G148</f>
        <v>-5167.8</v>
      </c>
      <c r="J148" s="559">
        <f>J143+J145</f>
        <v>0</v>
      </c>
      <c r="K148" s="603">
        <v>99</v>
      </c>
      <c r="L148" s="561">
        <v>246</v>
      </c>
      <c r="M148" s="562">
        <f>L148-K148</f>
        <v>147</v>
      </c>
      <c r="N148" s="559">
        <v>19009</v>
      </c>
      <c r="O148" s="603">
        <v>0</v>
      </c>
      <c r="P148" s="561">
        <v>0</v>
      </c>
      <c r="Q148" s="562">
        <f>P148-O148</f>
        <v>0</v>
      </c>
      <c r="R148" s="559">
        <f>F148+J148+N148</f>
        <v>19009</v>
      </c>
      <c r="S148" s="489"/>
      <c r="T148" s="461">
        <f>G148+K148+O148</f>
        <v>5266.8</v>
      </c>
      <c r="U148" s="461">
        <f>H148+L148+P148</f>
        <v>246</v>
      </c>
      <c r="V148" s="461">
        <f>U148-R148</f>
        <v>-18763</v>
      </c>
      <c r="W148" s="460"/>
      <c r="X148" s="465">
        <f>U148-T148</f>
        <v>-5020.8</v>
      </c>
      <c r="Y148" s="559">
        <f>Y143+Y145</f>
        <v>0</v>
      </c>
      <c r="Z148" s="603">
        <v>459.30399999999997</v>
      </c>
      <c r="AA148" s="561">
        <v>195.21600000000001</v>
      </c>
      <c r="AB148" s="562">
        <f>AA148-Z148</f>
        <v>-264.08799999999997</v>
      </c>
      <c r="AC148" s="559">
        <v>4526</v>
      </c>
      <c r="AD148" s="603">
        <v>0</v>
      </c>
      <c r="AE148" s="1051">
        <v>5439.3040000000001</v>
      </c>
      <c r="AF148" s="562">
        <f>AE148-AD148</f>
        <v>5439.3040000000001</v>
      </c>
      <c r="AG148" s="559">
        <f>AG143+AG145</f>
        <v>0</v>
      </c>
      <c r="AH148" s="603">
        <v>9442.5</v>
      </c>
      <c r="AI148" s="1051">
        <v>9997.5</v>
      </c>
      <c r="AJ148" s="562">
        <f>AI148-AH148</f>
        <v>555</v>
      </c>
      <c r="AK148" s="462">
        <f>Y148+AC148+AG148</f>
        <v>4526</v>
      </c>
      <c r="AL148" s="463"/>
      <c r="AM148" s="460">
        <f>Z148+AD148+AH148</f>
        <v>9901.8040000000001</v>
      </c>
      <c r="AN148" s="461">
        <f>AA148+AE148+AI148</f>
        <v>15632.02</v>
      </c>
      <c r="AO148" s="489">
        <f>AN148-AK148</f>
        <v>11106.02</v>
      </c>
      <c r="AP148" s="489"/>
      <c r="AQ148" s="435">
        <f>AN148-AM148</f>
        <v>5730.2160000000003</v>
      </c>
      <c r="AR148" s="467">
        <f>SUM(R148,AK148)</f>
        <v>23535</v>
      </c>
      <c r="AS148" s="647"/>
      <c r="AT148" s="624">
        <f>T148+AM148</f>
        <v>15168.603999999999</v>
      </c>
      <c r="AU148" s="464">
        <f>SUM(U148,AN148)</f>
        <v>15878.02</v>
      </c>
      <c r="AV148" s="489">
        <f>AU148-AR148</f>
        <v>-7656.98</v>
      </c>
      <c r="AW148" s="489"/>
      <c r="AX148" s="435">
        <f>AU148-AT148</f>
        <v>709.41600000000108</v>
      </c>
      <c r="AY148" s="471">
        <f t="shared" si="136"/>
        <v>3922.5</v>
      </c>
      <c r="AZ148" s="472">
        <f>AU148/6</f>
        <v>2646.3366666666666</v>
      </c>
      <c r="BA148" s="1425">
        <v>2646.3366666666666</v>
      </c>
      <c r="BB148" s="278">
        <f>AZ148-AY148</f>
        <v>-1276.1633333333334</v>
      </c>
      <c r="BC148" s="278">
        <f>BA148-AY148</f>
        <v>-1276.1633333333334</v>
      </c>
      <c r="BD148" s="302">
        <f>BA148-AZ148</f>
        <v>0</v>
      </c>
      <c r="BE148" s="278">
        <f>AX148/6</f>
        <v>118.23600000000017</v>
      </c>
    </row>
    <row r="149" spans="1:57" ht="20.100000000000001" customHeight="1">
      <c r="A149" s="806" t="s">
        <v>46</v>
      </c>
      <c r="B149" s="761"/>
      <c r="C149" s="761"/>
      <c r="D149" s="765"/>
      <c r="E149" s="761"/>
      <c r="F149" s="519"/>
      <c r="G149" s="612"/>
      <c r="H149" s="613"/>
      <c r="I149" s="570">
        <f>H150/G150</f>
        <v>1.187231870669746</v>
      </c>
      <c r="J149" s="519"/>
      <c r="K149" s="612"/>
      <c r="L149" s="613"/>
      <c r="M149" s="570">
        <f>L150/K150</f>
        <v>1.3222608440797186</v>
      </c>
      <c r="N149" s="519"/>
      <c r="O149" s="612"/>
      <c r="P149" s="613"/>
      <c r="Q149" s="1300">
        <f>P150/O150</f>
        <v>1.0426012605042017</v>
      </c>
      <c r="R149" s="429"/>
      <c r="S149" s="973"/>
      <c r="T149" s="431"/>
      <c r="U149" s="452"/>
      <c r="V149" s="551">
        <f>U150/R150</f>
        <v>1.3356836044598792</v>
      </c>
      <c r="W149" s="617"/>
      <c r="X149" s="300">
        <f>U150/T150</f>
        <v>1.1690169572868341</v>
      </c>
      <c r="Y149" s="519"/>
      <c r="Z149" s="612"/>
      <c r="AA149" s="613"/>
      <c r="AB149" s="1300">
        <f>AA150/Z150</f>
        <v>1.0926597069597068</v>
      </c>
      <c r="AC149" s="519"/>
      <c r="AD149" s="612"/>
      <c r="AE149" s="1067"/>
      <c r="AF149" s="1300">
        <f>AE150/AD150</f>
        <v>1.1813031161473089</v>
      </c>
      <c r="AG149" s="519"/>
      <c r="AH149" s="612"/>
      <c r="AI149" s="1067"/>
      <c r="AJ149" s="1300">
        <f>AI150/AH150</f>
        <v>1</v>
      </c>
      <c r="AK149" s="429"/>
      <c r="AL149" s="973"/>
      <c r="AM149" s="431"/>
      <c r="AN149" s="452"/>
      <c r="AO149" s="553">
        <f>AN150/AK150</f>
        <v>1.1714927948763565</v>
      </c>
      <c r="AP149" s="553"/>
      <c r="AQ149" s="324">
        <f>AN150/AM150</f>
        <v>1.1070882649630127</v>
      </c>
      <c r="AR149" s="289"/>
      <c r="AS149" s="614"/>
      <c r="AT149" s="614"/>
      <c r="AU149" s="316"/>
      <c r="AV149" s="553">
        <f>AU150/AR150</f>
        <v>1.2524780021637214</v>
      </c>
      <c r="AW149" s="553"/>
      <c r="AX149" s="324">
        <f>AU150/AT150</f>
        <v>1.1388217066972701</v>
      </c>
      <c r="AY149" s="471"/>
      <c r="AZ149" s="472"/>
      <c r="BA149" s="1425"/>
      <c r="BB149" s="337"/>
      <c r="BC149" s="337"/>
      <c r="BD149" s="337"/>
      <c r="BE149" s="337"/>
    </row>
    <row r="150" spans="1:57" ht="20.100000000000001" customHeight="1">
      <c r="A150" s="747" t="s">
        <v>236</v>
      </c>
      <c r="B150" s="748"/>
      <c r="C150" s="759"/>
      <c r="D150" s="753"/>
      <c r="E150" s="759"/>
      <c r="F150" s="559">
        <v>1916</v>
      </c>
      <c r="G150" s="603">
        <v>2165</v>
      </c>
      <c r="H150" s="561">
        <v>2570.357</v>
      </c>
      <c r="I150" s="562">
        <f>H150-G150</f>
        <v>405.35699999999997</v>
      </c>
      <c r="J150" s="559">
        <v>1706</v>
      </c>
      <c r="K150" s="603">
        <v>1706</v>
      </c>
      <c r="L150" s="561">
        <v>2255.777</v>
      </c>
      <c r="M150" s="562">
        <f>L150-K150</f>
        <v>549.77700000000004</v>
      </c>
      <c r="N150" s="559">
        <v>1849</v>
      </c>
      <c r="O150" s="603">
        <v>2380</v>
      </c>
      <c r="P150" s="561">
        <v>2481.3910000000001</v>
      </c>
      <c r="Q150" s="562">
        <f>P150-O150</f>
        <v>101.39100000000008</v>
      </c>
      <c r="R150" s="462">
        <f>F150+J150+N150</f>
        <v>5471</v>
      </c>
      <c r="S150" s="463"/>
      <c r="T150" s="489">
        <f>G150+K150+O150</f>
        <v>6251</v>
      </c>
      <c r="U150" s="306">
        <f>H150+L150+P150</f>
        <v>7307.5249999999996</v>
      </c>
      <c r="V150" s="461">
        <f>U150-R150</f>
        <v>1836.5249999999996</v>
      </c>
      <c r="W150" s="460"/>
      <c r="X150" s="465">
        <f>U150-T150</f>
        <v>1056.5249999999996</v>
      </c>
      <c r="Y150" s="559">
        <v>1938</v>
      </c>
      <c r="Z150" s="603">
        <v>2730</v>
      </c>
      <c r="AA150" s="561">
        <v>2982.9609999999998</v>
      </c>
      <c r="AB150" s="562">
        <f>AA150-Z150</f>
        <v>252.96099999999979</v>
      </c>
      <c r="AC150" s="559">
        <v>2118</v>
      </c>
      <c r="AD150" s="603">
        <v>2118</v>
      </c>
      <c r="AE150" s="1051">
        <v>2502</v>
      </c>
      <c r="AF150" s="562">
        <f>AE150-AD150</f>
        <v>384</v>
      </c>
      <c r="AG150" s="559">
        <v>1565</v>
      </c>
      <c r="AH150" s="603">
        <v>1100</v>
      </c>
      <c r="AI150" s="1051">
        <v>1100</v>
      </c>
      <c r="AJ150" s="562">
        <f>AI150-AH150</f>
        <v>0</v>
      </c>
      <c r="AK150" s="462">
        <f>Y150+AC150+AG150</f>
        <v>5621</v>
      </c>
      <c r="AL150" s="463"/>
      <c r="AM150" s="489">
        <f>Z150+AD150+AH150</f>
        <v>5948</v>
      </c>
      <c r="AN150" s="306">
        <f>AA150+AE150+AI150</f>
        <v>6584.9609999999993</v>
      </c>
      <c r="AO150" s="489">
        <f>AN150-AK150</f>
        <v>963.96099999999933</v>
      </c>
      <c r="AP150" s="489"/>
      <c r="AQ150" s="435">
        <f>AN150-AM150</f>
        <v>636.96099999999933</v>
      </c>
      <c r="AR150" s="467">
        <f>SUM(R150,AK150)</f>
        <v>11092</v>
      </c>
      <c r="AS150" s="647"/>
      <c r="AT150" s="624">
        <f>T150+AM150</f>
        <v>12199</v>
      </c>
      <c r="AU150" s="306">
        <f>SUM(U150,AN150)</f>
        <v>13892.485999999999</v>
      </c>
      <c r="AV150" s="489">
        <f>AU150-AR150</f>
        <v>2800.485999999999</v>
      </c>
      <c r="AW150" s="489"/>
      <c r="AX150" s="435">
        <f>AU150-AT150</f>
        <v>1693.485999999999</v>
      </c>
      <c r="AY150" s="471">
        <f t="shared" si="136"/>
        <v>1848.6666666666667</v>
      </c>
      <c r="AZ150" s="472">
        <f>AU150/6</f>
        <v>2315.4143333333332</v>
      </c>
      <c r="BA150" s="1425">
        <v>2315.4143333333332</v>
      </c>
      <c r="BB150" s="278">
        <f>AZ150-AY150</f>
        <v>466.74766666666642</v>
      </c>
      <c r="BC150" s="278">
        <f>BA150-AY150</f>
        <v>466.74766666666642</v>
      </c>
      <c r="BD150" s="302">
        <f>BA150-AZ150</f>
        <v>0</v>
      </c>
      <c r="BE150" s="278">
        <f>AX150/6</f>
        <v>282.24766666666648</v>
      </c>
    </row>
    <row r="151" spans="1:57" ht="19.5" customHeight="1">
      <c r="A151" s="784" t="s">
        <v>237</v>
      </c>
      <c r="B151" s="785"/>
      <c r="C151" s="785"/>
      <c r="D151" s="808"/>
      <c r="E151" s="785"/>
      <c r="F151" s="549"/>
      <c r="G151" s="583"/>
      <c r="H151" s="584"/>
      <c r="I151" s="585"/>
      <c r="J151" s="549"/>
      <c r="K151" s="583"/>
      <c r="L151" s="584"/>
      <c r="M151" s="585"/>
      <c r="N151" s="549"/>
      <c r="O151" s="583"/>
      <c r="P151" s="584"/>
      <c r="Q151" s="585"/>
      <c r="R151" s="587"/>
      <c r="S151" s="586"/>
      <c r="T151" s="586"/>
      <c r="U151" s="358"/>
      <c r="V151" s="554"/>
      <c r="W151" s="606"/>
      <c r="X151" s="602"/>
      <c r="Y151" s="549"/>
      <c r="Z151" s="583"/>
      <c r="AA151" s="584"/>
      <c r="AB151" s="585"/>
      <c r="AC151" s="549"/>
      <c r="AD151" s="583"/>
      <c r="AE151" s="1057"/>
      <c r="AF151" s="585"/>
      <c r="AG151" s="549"/>
      <c r="AH151" s="583"/>
      <c r="AI151" s="1057"/>
      <c r="AJ151" s="585"/>
      <c r="AK151" s="587"/>
      <c r="AL151" s="586"/>
      <c r="AM151" s="586"/>
      <c r="AN151" s="358"/>
      <c r="AO151" s="550"/>
      <c r="AP151" s="550"/>
      <c r="AQ151" s="602"/>
      <c r="AR151" s="357"/>
      <c r="AS151" s="356"/>
      <c r="AT151" s="356"/>
      <c r="AU151" s="358"/>
      <c r="AV151" s="606"/>
      <c r="AW151" s="606"/>
      <c r="AX151" s="602"/>
      <c r="AY151" s="471"/>
      <c r="AZ151" s="558"/>
      <c r="BA151" s="1427"/>
      <c r="BB151" s="616"/>
      <c r="BC151" s="616"/>
      <c r="BD151" s="616"/>
      <c r="BE151" s="616"/>
    </row>
    <row r="152" spans="1:57" ht="20.100000000000001" customHeight="1">
      <c r="A152" s="775" t="s">
        <v>46</v>
      </c>
      <c r="B152" s="761"/>
      <c r="C152" s="761"/>
      <c r="D152" s="765"/>
      <c r="E152" s="761"/>
      <c r="F152" s="444"/>
      <c r="G152" s="568"/>
      <c r="H152" s="569"/>
      <c r="I152" s="570" t="e">
        <f>H153/G153</f>
        <v>#DIV/0!</v>
      </c>
      <c r="J152" s="444"/>
      <c r="K152" s="568"/>
      <c r="L152" s="569"/>
      <c r="M152" s="570">
        <f>L153/K153</f>
        <v>0.35294117647058826</v>
      </c>
      <c r="N152" s="444"/>
      <c r="O152" s="568"/>
      <c r="P152" s="569"/>
      <c r="Q152" s="611" t="e">
        <f>P153/O153</f>
        <v>#DIV/0!</v>
      </c>
      <c r="R152" s="447"/>
      <c r="S152" s="445"/>
      <c r="T152" s="508"/>
      <c r="U152" s="298"/>
      <c r="V152" s="551" t="e">
        <f>U153/R153</f>
        <v>#DIV/0!</v>
      </c>
      <c r="W152" s="617"/>
      <c r="X152" s="300">
        <f>U153/T153</f>
        <v>0.49952941176470589</v>
      </c>
      <c r="Y152" s="444"/>
      <c r="Z152" s="568"/>
      <c r="AA152" s="569"/>
      <c r="AB152" s="611" t="e">
        <f>AA153/Z153</f>
        <v>#DIV/0!</v>
      </c>
      <c r="AC152" s="444"/>
      <c r="AD152" s="568"/>
      <c r="AE152" s="1053"/>
      <c r="AF152" s="611" t="e">
        <f>AE153/AD153</f>
        <v>#DIV/0!</v>
      </c>
      <c r="AG152" s="444"/>
      <c r="AH152" s="568"/>
      <c r="AI152" s="1053"/>
      <c r="AJ152" s="611" t="e">
        <f>AI153/AH153</f>
        <v>#DIV/0!</v>
      </c>
      <c r="AK152" s="447"/>
      <c r="AL152" s="445"/>
      <c r="AM152" s="508"/>
      <c r="AN152" s="298"/>
      <c r="AO152" s="553" t="e">
        <f>AN153/AK153</f>
        <v>#DIV/0!</v>
      </c>
      <c r="AP152" s="553"/>
      <c r="AQ152" s="335" t="e">
        <f>AN153/AM153</f>
        <v>#DIV/0!</v>
      </c>
      <c r="AR152" s="505"/>
      <c r="AS152" s="614"/>
      <c r="AT152" s="614"/>
      <c r="AU152" s="316"/>
      <c r="AV152" s="553" t="e">
        <f>AU153/AR153</f>
        <v>#DIV/0!</v>
      </c>
      <c r="AW152" s="553"/>
      <c r="AX152" s="335">
        <f>AU153/AT153</f>
        <v>1.4903882352941176</v>
      </c>
      <c r="AY152" s="471"/>
      <c r="AZ152" s="472"/>
      <c r="BA152" s="1425"/>
      <c r="BB152" s="337"/>
      <c r="BC152" s="337"/>
      <c r="BD152" s="337"/>
      <c r="BE152" s="337"/>
    </row>
    <row r="153" spans="1:57" ht="20.100000000000001" customHeight="1">
      <c r="A153" s="747" t="s">
        <v>238</v>
      </c>
      <c r="B153" s="748"/>
      <c r="C153" s="759"/>
      <c r="D153" s="753"/>
      <c r="E153" s="759"/>
      <c r="F153" s="559"/>
      <c r="G153" s="603"/>
      <c r="H153" s="561">
        <v>37.380000000000003</v>
      </c>
      <c r="I153" s="562">
        <f>H153-G153</f>
        <v>37.380000000000003</v>
      </c>
      <c r="J153" s="559"/>
      <c r="K153" s="603">
        <v>255</v>
      </c>
      <c r="L153" s="561">
        <v>90</v>
      </c>
      <c r="M153" s="562">
        <f>L153-K153</f>
        <v>-165</v>
      </c>
      <c r="N153" s="559"/>
      <c r="O153" s="603">
        <v>0</v>
      </c>
      <c r="P153" s="561">
        <v>0</v>
      </c>
      <c r="Q153" s="562">
        <f>P153-O153</f>
        <v>0</v>
      </c>
      <c r="R153" s="462">
        <f>F153+J153+N153</f>
        <v>0</v>
      </c>
      <c r="S153" s="463"/>
      <c r="T153" s="489">
        <f>G153+K153+O153</f>
        <v>255</v>
      </c>
      <c r="U153" s="306">
        <f>H153+L153+P153</f>
        <v>127.38</v>
      </c>
      <c r="V153" s="461">
        <f>U153-R153</f>
        <v>127.38</v>
      </c>
      <c r="W153" s="460"/>
      <c r="X153" s="465">
        <f>U153-T153</f>
        <v>-127.62</v>
      </c>
      <c r="Y153" s="559"/>
      <c r="Z153" s="603"/>
      <c r="AA153" s="561">
        <v>152.66900000000001</v>
      </c>
      <c r="AB153" s="562">
        <f>AA153-Z153</f>
        <v>152.66900000000001</v>
      </c>
      <c r="AC153" s="559"/>
      <c r="AD153" s="603"/>
      <c r="AE153" s="1051">
        <v>100</v>
      </c>
      <c r="AF153" s="562">
        <f>AE153-AD153</f>
        <v>100</v>
      </c>
      <c r="AG153" s="559"/>
      <c r="AH153" s="603"/>
      <c r="AI153" s="1051"/>
      <c r="AJ153" s="562">
        <f>AI153-AH153</f>
        <v>0</v>
      </c>
      <c r="AK153" s="462">
        <f>Y153+AC153+AG153</f>
        <v>0</v>
      </c>
      <c r="AL153" s="463"/>
      <c r="AM153" s="489">
        <f>Z153+AD153+AH153</f>
        <v>0</v>
      </c>
      <c r="AN153" s="306">
        <f>AA153+AE153+AI153</f>
        <v>252.66900000000001</v>
      </c>
      <c r="AO153" s="489">
        <f>AN153-AK153</f>
        <v>252.66900000000001</v>
      </c>
      <c r="AP153" s="489"/>
      <c r="AQ153" s="435">
        <f>AN153-AM153</f>
        <v>252.66900000000001</v>
      </c>
      <c r="AR153" s="467">
        <f>SUM(R153,AK153)</f>
        <v>0</v>
      </c>
      <c r="AS153" s="647"/>
      <c r="AT153" s="624">
        <f>T153+AM153</f>
        <v>255</v>
      </c>
      <c r="AU153" s="306">
        <f>SUM(U153,AN153)</f>
        <v>380.04899999999998</v>
      </c>
      <c r="AV153" s="489">
        <f>AU153-AR153</f>
        <v>380.04899999999998</v>
      </c>
      <c r="AW153" s="489"/>
      <c r="AX153" s="435">
        <f>AU153-AT153</f>
        <v>125.04899999999998</v>
      </c>
      <c r="AY153" s="471">
        <f t="shared" si="136"/>
        <v>0</v>
      </c>
      <c r="AZ153" s="472">
        <f>AU153/6</f>
        <v>63.341499999999996</v>
      </c>
      <c r="BA153" s="1425">
        <v>63.341499999999996</v>
      </c>
      <c r="BB153" s="278">
        <f>AZ153-AY153</f>
        <v>63.341499999999996</v>
      </c>
      <c r="BC153" s="278">
        <f>BA153-AY153</f>
        <v>63.341499999999996</v>
      </c>
      <c r="BD153" s="302">
        <f>BA153-AZ153</f>
        <v>0</v>
      </c>
      <c r="BE153" s="278">
        <f>AX153/6</f>
        <v>20.841499999999996</v>
      </c>
    </row>
    <row r="154" spans="1:57" s="1014" customFormat="1" ht="20.100000000000001" customHeight="1">
      <c r="A154" s="750" t="s">
        <v>292</v>
      </c>
      <c r="B154" s="751"/>
      <c r="C154" s="789"/>
      <c r="D154" s="1015"/>
      <c r="E154" s="789"/>
      <c r="F154" s="1090"/>
      <c r="G154" s="1091">
        <v>53</v>
      </c>
      <c r="H154" s="1092">
        <v>5</v>
      </c>
      <c r="I154" s="1093"/>
      <c r="J154" s="1090"/>
      <c r="K154" s="1091">
        <v>200</v>
      </c>
      <c r="L154" s="1092">
        <v>17</v>
      </c>
      <c r="M154" s="1093"/>
      <c r="N154" s="1090"/>
      <c r="O154" s="1091">
        <v>31</v>
      </c>
      <c r="P154" s="1092">
        <v>123</v>
      </c>
      <c r="Q154" s="1093"/>
      <c r="R154" s="1095"/>
      <c r="S154" s="1096"/>
      <c r="T154" s="1099">
        <f>G154+K154+O154</f>
        <v>284</v>
      </c>
      <c r="U154" s="605">
        <f>H154+L154+P154</f>
        <v>145</v>
      </c>
      <c r="V154" s="630"/>
      <c r="W154" s="1097"/>
      <c r="X154" s="1098"/>
      <c r="Y154" s="1090"/>
      <c r="Z154" s="1091">
        <v>40</v>
      </c>
      <c r="AA154" s="1092">
        <v>23</v>
      </c>
      <c r="AB154" s="1093"/>
      <c r="AC154" s="1090"/>
      <c r="AD154" s="1091">
        <v>266</v>
      </c>
      <c r="AE154" s="1094">
        <v>82</v>
      </c>
      <c r="AF154" s="1093"/>
      <c r="AG154" s="1090"/>
      <c r="AH154" s="1091">
        <v>340</v>
      </c>
      <c r="AI154" s="1094">
        <v>72</v>
      </c>
      <c r="AJ154" s="1093"/>
      <c r="AK154" s="1095"/>
      <c r="AL154" s="1096"/>
      <c r="AM154" s="1099">
        <f>Z154+AD154+AH154</f>
        <v>646</v>
      </c>
      <c r="AN154" s="605">
        <f>AA154+AE154+AI154</f>
        <v>177</v>
      </c>
      <c r="AO154" s="1099"/>
      <c r="AP154" s="1099"/>
      <c r="AQ154" s="602"/>
      <c r="AR154" s="587"/>
      <c r="AS154" s="582"/>
      <c r="AT154" s="356">
        <f>T154+AM154</f>
        <v>930</v>
      </c>
      <c r="AU154" s="605">
        <f>SUM(U154,AN154)</f>
        <v>322</v>
      </c>
      <c r="AV154" s="1099"/>
      <c r="AW154" s="1099"/>
      <c r="AX154" s="602"/>
      <c r="AY154" s="471"/>
      <c r="AZ154" s="472"/>
      <c r="BA154" s="1425"/>
      <c r="BB154" s="337"/>
      <c r="BC154" s="278"/>
      <c r="BD154" s="302"/>
      <c r="BE154" s="278"/>
    </row>
    <row r="155" spans="1:57" ht="19.5" customHeight="1">
      <c r="A155" s="806" t="s">
        <v>46</v>
      </c>
      <c r="B155" s="761"/>
      <c r="C155" s="761"/>
      <c r="D155" s="765"/>
      <c r="E155" s="761"/>
      <c r="F155" s="444"/>
      <c r="G155" s="568"/>
      <c r="H155" s="569"/>
      <c r="I155" s="570">
        <f>H156/G156</f>
        <v>0.12172413793103448</v>
      </c>
      <c r="J155" s="444"/>
      <c r="K155" s="568"/>
      <c r="L155" s="569"/>
      <c r="M155" s="570">
        <f>L156/K156</f>
        <v>0.12578947368421053</v>
      </c>
      <c r="N155" s="444"/>
      <c r="O155" s="568"/>
      <c r="P155" s="569"/>
      <c r="Q155" s="611">
        <f>P156/O156</f>
        <v>3.3588105185549275</v>
      </c>
      <c r="R155" s="447"/>
      <c r="S155" s="445"/>
      <c r="T155" s="508"/>
      <c r="U155" s="298"/>
      <c r="V155" s="551">
        <f>U156/R156</f>
        <v>0.38271689497716893</v>
      </c>
      <c r="W155" s="617"/>
      <c r="X155" s="300">
        <f>U156/T156</f>
        <v>0.58065745263084967</v>
      </c>
      <c r="Y155" s="444"/>
      <c r="Z155" s="568"/>
      <c r="AA155" s="569"/>
      <c r="AB155" s="611">
        <f>AA156/Z156</f>
        <v>0.65555759018494786</v>
      </c>
      <c r="AC155" s="444"/>
      <c r="AD155" s="568"/>
      <c r="AE155" s="1053"/>
      <c r="AF155" s="611">
        <f>AE156/AD156</f>
        <v>0.30756998509193306</v>
      </c>
      <c r="AG155" s="444"/>
      <c r="AH155" s="568"/>
      <c r="AI155" s="1053"/>
      <c r="AJ155" s="611">
        <f>AI156/AH156</f>
        <v>0.22381332724783204</v>
      </c>
      <c r="AK155" s="447"/>
      <c r="AL155" s="445"/>
      <c r="AM155" s="508"/>
      <c r="AN155" s="298"/>
      <c r="AO155" s="553">
        <f>AN156/AK156</f>
        <v>0.43398994132439228</v>
      </c>
      <c r="AP155" s="553"/>
      <c r="AQ155" s="335">
        <f>AN156/AM156</f>
        <v>0.29291957794687562</v>
      </c>
      <c r="AR155" s="505"/>
      <c r="AS155" s="614"/>
      <c r="AT155" s="614"/>
      <c r="AU155" s="316"/>
      <c r="AV155" s="553">
        <f>AU156/AR156</f>
        <v>0.40945148601398601</v>
      </c>
      <c r="AW155" s="553"/>
      <c r="AX155" s="335">
        <f>AU156/AT156</f>
        <v>0.37634451798214341</v>
      </c>
      <c r="AY155" s="471"/>
      <c r="AZ155" s="472"/>
      <c r="BA155" s="1425"/>
      <c r="BB155" s="337"/>
      <c r="BC155" s="337"/>
      <c r="BD155" s="337"/>
      <c r="BE155" s="337"/>
    </row>
    <row r="156" spans="1:57" ht="19.5" customHeight="1">
      <c r="A156" s="747" t="s">
        <v>239</v>
      </c>
      <c r="B156" s="748"/>
      <c r="C156" s="759"/>
      <c r="D156" s="753"/>
      <c r="E156" s="759"/>
      <c r="F156" s="559">
        <v>5800</v>
      </c>
      <c r="G156" s="603">
        <v>5800</v>
      </c>
      <c r="H156" s="561">
        <v>706</v>
      </c>
      <c r="I156" s="562">
        <f>H156-G156</f>
        <v>-5094</v>
      </c>
      <c r="J156" s="559">
        <v>19000</v>
      </c>
      <c r="K156" s="603">
        <v>19000</v>
      </c>
      <c r="L156" s="561">
        <v>2390</v>
      </c>
      <c r="M156" s="562">
        <f>L156-K156</f>
        <v>-16610</v>
      </c>
      <c r="N156" s="559">
        <v>19000</v>
      </c>
      <c r="O156" s="603">
        <v>4069</v>
      </c>
      <c r="P156" s="561">
        <v>13667</v>
      </c>
      <c r="Q156" s="562">
        <f>P156-O156</f>
        <v>9598</v>
      </c>
      <c r="R156" s="462">
        <f>F156+J156+N156</f>
        <v>43800</v>
      </c>
      <c r="S156" s="463"/>
      <c r="T156" s="489">
        <f>G156+K156+O156</f>
        <v>28869</v>
      </c>
      <c r="U156" s="306">
        <f>H156+L156+P156</f>
        <v>16763</v>
      </c>
      <c r="V156" s="461">
        <f>U156-R156</f>
        <v>-27037</v>
      </c>
      <c r="W156" s="460"/>
      <c r="X156" s="465">
        <f>U156-T156</f>
        <v>-12106</v>
      </c>
      <c r="Y156" s="559">
        <v>19000</v>
      </c>
      <c r="Z156" s="603">
        <v>5461</v>
      </c>
      <c r="AA156" s="561">
        <v>3580</v>
      </c>
      <c r="AB156" s="562">
        <f>AA156-Z156</f>
        <v>-1881</v>
      </c>
      <c r="AC156" s="559">
        <v>17880</v>
      </c>
      <c r="AD156" s="603">
        <v>30185</v>
      </c>
      <c r="AE156" s="1051">
        <v>9284</v>
      </c>
      <c r="AF156" s="562">
        <f>AE156-AD156</f>
        <v>-20901</v>
      </c>
      <c r="AG156" s="559">
        <v>10840</v>
      </c>
      <c r="AH156" s="603">
        <v>35056</v>
      </c>
      <c r="AI156" s="1051">
        <v>7846</v>
      </c>
      <c r="AJ156" s="562">
        <f>AI156-AH156</f>
        <v>-27210</v>
      </c>
      <c r="AK156" s="462">
        <f>Y156+AC156+AG156</f>
        <v>47720</v>
      </c>
      <c r="AL156" s="463"/>
      <c r="AM156" s="489">
        <f>Z156+AD156+AH156</f>
        <v>70702</v>
      </c>
      <c r="AN156" s="306">
        <f>AA156+AE156+AI156</f>
        <v>20710</v>
      </c>
      <c r="AO156" s="489">
        <f>AN156-AK156</f>
        <v>-27010</v>
      </c>
      <c r="AP156" s="489"/>
      <c r="AQ156" s="435">
        <f>AN156-AM156</f>
        <v>-49992</v>
      </c>
      <c r="AR156" s="467">
        <f>SUM(R156,AK156)</f>
        <v>91520</v>
      </c>
      <c r="AS156" s="647"/>
      <c r="AT156" s="624">
        <f>T156+AM156</f>
        <v>99571</v>
      </c>
      <c r="AU156" s="306">
        <f>SUM(U156,AN156)</f>
        <v>37473</v>
      </c>
      <c r="AV156" s="489">
        <f>AU156-AR156</f>
        <v>-54047</v>
      </c>
      <c r="AW156" s="489"/>
      <c r="AX156" s="435">
        <f>AU156-AT156</f>
        <v>-62098</v>
      </c>
      <c r="AY156" s="471">
        <f t="shared" si="136"/>
        <v>15253.333333333334</v>
      </c>
      <c r="AZ156" s="472">
        <f>AU156/6</f>
        <v>6245.5</v>
      </c>
      <c r="BA156" s="1425">
        <v>6245.5</v>
      </c>
      <c r="BB156" s="278">
        <f>AZ156-AY156</f>
        <v>-9007.8333333333339</v>
      </c>
      <c r="BC156" s="278">
        <f>BA156-AY156</f>
        <v>-9007.8333333333339</v>
      </c>
      <c r="BD156" s="302">
        <f>BA156-AZ156</f>
        <v>0</v>
      </c>
      <c r="BE156" s="278">
        <f>AX156/6</f>
        <v>-10349.666666666666</v>
      </c>
    </row>
    <row r="157" spans="1:57" ht="20.100000000000001" customHeight="1">
      <c r="A157" s="761"/>
      <c r="B157" s="761"/>
      <c r="C157" s="761"/>
      <c r="D157" s="765"/>
      <c r="E157" s="761"/>
      <c r="F157" s="444"/>
      <c r="G157" s="612"/>
      <c r="H157" s="613"/>
      <c r="I157" s="570">
        <f>H158/G158</f>
        <v>0.849831331606406</v>
      </c>
      <c r="J157" s="444"/>
      <c r="K157" s="612"/>
      <c r="L157" s="613"/>
      <c r="M157" s="570">
        <f>L158/K158</f>
        <v>0.92565847781625421</v>
      </c>
      <c r="N157" s="444"/>
      <c r="O157" s="612"/>
      <c r="P157" s="613"/>
      <c r="Q157" s="1296">
        <f>P158/O158</f>
        <v>0.96068202332320163</v>
      </c>
      <c r="R157" s="650"/>
      <c r="S157" s="968"/>
      <c r="T157" s="968"/>
      <c r="U157" s="318"/>
      <c r="V157" s="551">
        <f>U158/R158</f>
        <v>0.8525662666120023</v>
      </c>
      <c r="W157" s="617"/>
      <c r="X157" s="300">
        <f>U158/T158</f>
        <v>0.90721108645822035</v>
      </c>
      <c r="Y157" s="444"/>
      <c r="Z157" s="612"/>
      <c r="AA157" s="613"/>
      <c r="AB157" s="1296">
        <f>AA158/Z158</f>
        <v>1.0059733491936522</v>
      </c>
      <c r="AC157" s="444"/>
      <c r="AD157" s="612"/>
      <c r="AE157" s="1067"/>
      <c r="AF157" s="1296">
        <f>AE158/AD158</f>
        <v>0.73243111464899968</v>
      </c>
      <c r="AG157" s="444"/>
      <c r="AH157" s="612"/>
      <c r="AI157" s="1067"/>
      <c r="AJ157" s="1296">
        <f>AI158/AH158</f>
        <v>0.67734891084784621</v>
      </c>
      <c r="AK157" s="650"/>
      <c r="AL157" s="968"/>
      <c r="AM157" s="968"/>
      <c r="AN157" s="318"/>
      <c r="AO157" s="553">
        <f>AN158/AK158</f>
        <v>0.88387768848776982</v>
      </c>
      <c r="AP157" s="553"/>
      <c r="AQ157" s="324">
        <f>AN158/AM158</f>
        <v>0.81167510201201076</v>
      </c>
      <c r="AR157" s="344"/>
      <c r="AS157" s="574"/>
      <c r="AT157" s="574"/>
      <c r="AU157" s="316"/>
      <c r="AV157" s="553">
        <f>AU158/AR158</f>
        <v>0.86738457934791802</v>
      </c>
      <c r="AW157" s="553"/>
      <c r="AX157" s="324">
        <f>AU158/AT158</f>
        <v>0.85848156214931537</v>
      </c>
      <c r="AY157" s="471"/>
      <c r="AZ157" s="472"/>
      <c r="BA157" s="1425"/>
      <c r="BB157" s="337"/>
      <c r="BC157" s="337"/>
      <c r="BD157" s="337"/>
      <c r="BE157" s="337"/>
    </row>
    <row r="158" spans="1:57" ht="20.100000000000001" customHeight="1" thickBot="1">
      <c r="A158" s="748" t="s">
        <v>240</v>
      </c>
      <c r="B158" s="748"/>
      <c r="C158" s="759"/>
      <c r="D158" s="753"/>
      <c r="E158" s="789"/>
      <c r="F158" s="961">
        <f>F122+F129+F150+F141+F148+F153+F156</f>
        <v>511281</v>
      </c>
      <c r="G158" s="962">
        <f>G122+G129+G150+G141+G148+G153+G156</f>
        <v>506332.8</v>
      </c>
      <c r="H158" s="618">
        <f>H122+H129+H150+H141+H148+H153+H156</f>
        <v>430297.47766000003</v>
      </c>
      <c r="I158" s="963">
        <f>H158-G158</f>
        <v>-76035.322339999955</v>
      </c>
      <c r="J158" s="961">
        <f>J122+J129+J150+J141+J148+J153+J156</f>
        <v>410621</v>
      </c>
      <c r="K158" s="962">
        <f>K122+K129+K150+K141+K148+K153+K156</f>
        <v>389560</v>
      </c>
      <c r="L158" s="618">
        <f>L122+L129+L150+L141+L148+L153+L156</f>
        <v>360599.51661809999</v>
      </c>
      <c r="M158" s="963">
        <f>L158-K158</f>
        <v>-28960.483381900005</v>
      </c>
      <c r="N158" s="961">
        <f>N122+N129+N150+N141+N148+N153+N156</f>
        <v>466573</v>
      </c>
      <c r="O158" s="1400">
        <f>O122+O129+O150+O141+O148+O153+O156</f>
        <v>408949</v>
      </c>
      <c r="P158" s="618">
        <f>P122+P129+P150+P141+P148+P153+P156</f>
        <v>392869.95275599998</v>
      </c>
      <c r="Q158" s="1401">
        <f>P158-O158</f>
        <v>-16079.047244000016</v>
      </c>
      <c r="R158" s="958">
        <f t="shared" ref="R158:AX158" si="151">R122+R129+R150+R141+R148+R153+R156</f>
        <v>1388475</v>
      </c>
      <c r="S158" s="1292"/>
      <c r="T158" s="1292">
        <f t="shared" si="151"/>
        <v>1304841.8</v>
      </c>
      <c r="U158" s="1391">
        <f t="shared" si="151"/>
        <v>1183766.9470340998</v>
      </c>
      <c r="V158" s="1391">
        <f t="shared" si="151"/>
        <v>-204708.05296590002</v>
      </c>
      <c r="W158" s="1394"/>
      <c r="X158" s="1395">
        <f t="shared" si="151"/>
        <v>-121074.85296590002</v>
      </c>
      <c r="Y158" s="961">
        <f t="shared" si="151"/>
        <v>456403</v>
      </c>
      <c r="Z158" s="1400">
        <f t="shared" si="151"/>
        <v>469150.304</v>
      </c>
      <c r="AA158" s="618">
        <f t="shared" si="151"/>
        <v>471952.70259010006</v>
      </c>
      <c r="AB158" s="1401">
        <f t="shared" si="151"/>
        <v>2802.3985901000106</v>
      </c>
      <c r="AC158" s="961">
        <f t="shared" si="151"/>
        <v>425299</v>
      </c>
      <c r="AD158" s="1400">
        <f t="shared" si="151"/>
        <v>513803</v>
      </c>
      <c r="AE158" s="1068">
        <f t="shared" si="151"/>
        <v>376325.304</v>
      </c>
      <c r="AF158" s="1401">
        <f t="shared" si="151"/>
        <v>-137477.696</v>
      </c>
      <c r="AG158" s="961">
        <f t="shared" si="151"/>
        <v>365780</v>
      </c>
      <c r="AH158" s="1400">
        <f t="shared" si="151"/>
        <v>375498.5</v>
      </c>
      <c r="AI158" s="1068">
        <f t="shared" si="151"/>
        <v>254343.5</v>
      </c>
      <c r="AJ158" s="1401">
        <f t="shared" si="151"/>
        <v>-121155</v>
      </c>
      <c r="AK158" s="958">
        <f t="shared" si="151"/>
        <v>1247482</v>
      </c>
      <c r="AL158" s="1292"/>
      <c r="AM158" s="1292">
        <f t="shared" si="151"/>
        <v>1358451.804</v>
      </c>
      <c r="AN158" s="1391">
        <f t="shared" si="151"/>
        <v>1102621.5065901</v>
      </c>
      <c r="AO158" s="1292">
        <f t="shared" si="151"/>
        <v>-144860.49340989997</v>
      </c>
      <c r="AP158" s="1292"/>
      <c r="AQ158" s="1402">
        <f t="shared" si="151"/>
        <v>-255830.29740989994</v>
      </c>
      <c r="AR158" s="975">
        <f t="shared" si="151"/>
        <v>2635957</v>
      </c>
      <c r="AS158" s="1321"/>
      <c r="AT158" s="1321">
        <f t="shared" si="151"/>
        <v>2663293.6039999998</v>
      </c>
      <c r="AU158" s="1398">
        <f>AU122+AU129+AU150+AU141+AU148+AU153+AU156</f>
        <v>2286388.4536242001</v>
      </c>
      <c r="AV158" s="1396">
        <f t="shared" si="151"/>
        <v>-349568.54637579992</v>
      </c>
      <c r="AW158" s="1396"/>
      <c r="AX158" s="1402">
        <f t="shared" si="151"/>
        <v>-376905.15037579992</v>
      </c>
      <c r="AY158" s="471">
        <f t="shared" si="136"/>
        <v>439326.16666666669</v>
      </c>
      <c r="AZ158" s="472">
        <f>AZ122+AZ129+AZ150+AZ141+AZ148+AZ153+AZ156</f>
        <v>381064.74227069999</v>
      </c>
      <c r="BA158" s="1425">
        <v>381064.74227069999</v>
      </c>
      <c r="BB158" s="278">
        <f>AZ158-AY158</f>
        <v>-58261.424395966693</v>
      </c>
      <c r="BC158" s="278">
        <f>BA158-AY158</f>
        <v>-58261.424395966693</v>
      </c>
      <c r="BD158" s="302">
        <f>BA158-AZ158</f>
        <v>0</v>
      </c>
      <c r="BE158" s="278">
        <f>AX158/6</f>
        <v>-62817.525062633322</v>
      </c>
    </row>
    <row r="159" spans="1:57" ht="14.25">
      <c r="A159" s="730"/>
      <c r="B159" s="730"/>
      <c r="C159" s="730"/>
      <c r="D159" s="730"/>
      <c r="E159" s="730"/>
      <c r="G159" s="523"/>
      <c r="H159" s="523"/>
      <c r="K159" s="523"/>
      <c r="L159" s="523"/>
      <c r="M159" s="416"/>
      <c r="O159" s="523"/>
      <c r="P159" s="523"/>
      <c r="R159" s="325">
        <f>R158/3</f>
        <v>462825</v>
      </c>
      <c r="S159" s="325"/>
      <c r="T159" s="325">
        <f>T158/3</f>
        <v>434947.26666666666</v>
      </c>
      <c r="U159" s="325">
        <f>U158/3</f>
        <v>394588.98234469997</v>
      </c>
      <c r="V159" s="325">
        <f>V158/3</f>
        <v>-68236.017655300006</v>
      </c>
      <c r="W159" s="325"/>
      <c r="X159" s="325">
        <f>X158/3</f>
        <v>-40358.284321966676</v>
      </c>
      <c r="Z159" s="523"/>
      <c r="AA159" s="523"/>
      <c r="AD159" s="523"/>
      <c r="AE159" s="523"/>
      <c r="AH159" s="523"/>
      <c r="AI159" s="523"/>
      <c r="AK159" s="325">
        <f>AK158/3</f>
        <v>415827.33333333331</v>
      </c>
      <c r="AL159" s="325"/>
      <c r="AM159" s="325">
        <f>AM158/3</f>
        <v>452817.26799999998</v>
      </c>
      <c r="AN159" s="325">
        <f>AN158/3</f>
        <v>367540.50219670002</v>
      </c>
      <c r="AO159" s="325">
        <f>AO158/3</f>
        <v>-48286.831136633322</v>
      </c>
      <c r="AP159" s="325"/>
      <c r="AQ159" s="325">
        <f>AQ158/3</f>
        <v>-85276.765803299975</v>
      </c>
      <c r="AR159" s="417">
        <f>AR158/6</f>
        <v>439326.16666666669</v>
      </c>
      <c r="AT159" s="417">
        <f>AT158/6</f>
        <v>443882.26733333332</v>
      </c>
      <c r="AU159" s="417">
        <f>AU158/6</f>
        <v>381064.74227069999</v>
      </c>
      <c r="AV159" s="417">
        <f>AV158/6</f>
        <v>-58261.424395966656</v>
      </c>
      <c r="AX159" s="417">
        <f>AX158/6</f>
        <v>-62817.525062633322</v>
      </c>
      <c r="AY159" s="416"/>
      <c r="AZ159" s="416"/>
    </row>
    <row r="160" spans="1:57" ht="20.25" thickBot="1">
      <c r="A160" s="814" t="s">
        <v>241</v>
      </c>
      <c r="B160" s="780"/>
      <c r="C160" s="781"/>
      <c r="D160" s="781"/>
      <c r="E160" s="781"/>
      <c r="F160" s="524"/>
      <c r="G160" s="524"/>
      <c r="H160" s="524"/>
      <c r="I160" s="347"/>
      <c r="J160" s="524"/>
      <c r="K160" s="524"/>
      <c r="L160" s="524"/>
      <c r="M160" s="524"/>
      <c r="N160" s="524"/>
      <c r="O160" s="524"/>
      <c r="P160" s="524"/>
      <c r="Q160" s="347"/>
      <c r="R160" s="279"/>
      <c r="S160" s="279"/>
      <c r="T160" s="279"/>
      <c r="U160" s="506"/>
      <c r="V160" s="506"/>
      <c r="W160" s="506"/>
      <c r="X160" s="524"/>
      <c r="Y160" s="524"/>
      <c r="Z160" s="524"/>
      <c r="AA160" s="524"/>
      <c r="AB160" s="524"/>
      <c r="AC160" s="524"/>
      <c r="AD160" s="524"/>
      <c r="AE160" s="524"/>
      <c r="AF160" s="524"/>
      <c r="AG160" s="524"/>
      <c r="AH160" s="524"/>
      <c r="AI160" s="524"/>
      <c r="AJ160" s="524"/>
      <c r="AK160" s="279"/>
      <c r="AL160" s="279"/>
      <c r="AM160" s="279"/>
      <c r="AN160" s="506"/>
      <c r="AO160" s="506"/>
      <c r="AP160" s="506"/>
      <c r="AQ160" s="524"/>
      <c r="AR160" s="418"/>
      <c r="AS160" s="418"/>
      <c r="AU160" s="418"/>
      <c r="AV160" s="347"/>
      <c r="AW160" s="347"/>
      <c r="AX160" s="421" t="s">
        <v>34</v>
      </c>
      <c r="AY160" s="416"/>
      <c r="AZ160" s="416"/>
      <c r="BB160" s="1557">
        <f ca="1">NOW()</f>
        <v>43137.457754513889</v>
      </c>
      <c r="BC160" s="1557"/>
      <c r="BD160" s="1557"/>
      <c r="BE160" s="1557"/>
    </row>
    <row r="161" spans="1:57" ht="20.100000000000001" customHeight="1" thickBot="1">
      <c r="A161" s="732"/>
      <c r="B161" s="732"/>
      <c r="C161" s="732"/>
      <c r="D161" s="733"/>
      <c r="E161" s="1494"/>
      <c r="F161" s="1558" t="str">
        <f>F3</f>
        <v>17/9</v>
      </c>
      <c r="G161" s="1560"/>
      <c r="H161" s="1560"/>
      <c r="I161" s="1561">
        <v>0</v>
      </c>
      <c r="J161" s="1558" t="str">
        <f>J3</f>
        <v>17/10</v>
      </c>
      <c r="K161" s="1559"/>
      <c r="L161" s="1560"/>
      <c r="M161" s="1561">
        <v>0</v>
      </c>
      <c r="N161" s="1558" t="str">
        <f>N3</f>
        <v>17/11</v>
      </c>
      <c r="O161" s="1559"/>
      <c r="P161" s="1560"/>
      <c r="Q161" s="1561">
        <v>0</v>
      </c>
      <c r="R161" s="1558" t="str">
        <f>R3</f>
        <v>17/9-17/11累計</v>
      </c>
      <c r="S161" s="1559"/>
      <c r="T161" s="1559"/>
      <c r="U161" s="1560"/>
      <c r="V161" s="1559"/>
      <c r="W161" s="1559"/>
      <c r="X161" s="1561"/>
      <c r="Y161" s="1558" t="str">
        <f>Y3</f>
        <v>17/12</v>
      </c>
      <c r="Z161" s="1559"/>
      <c r="AA161" s="1560"/>
      <c r="AB161" s="1561">
        <v>0</v>
      </c>
      <c r="AC161" s="1558" t="str">
        <f>AC3</f>
        <v>18/1</v>
      </c>
      <c r="AD161" s="1559"/>
      <c r="AE161" s="1560"/>
      <c r="AF161" s="1561">
        <v>0</v>
      </c>
      <c r="AG161" s="1558" t="str">
        <f>AG3</f>
        <v>18/2</v>
      </c>
      <c r="AH161" s="1559"/>
      <c r="AI161" s="1560"/>
      <c r="AJ161" s="1561">
        <v>0</v>
      </c>
      <c r="AK161" s="1558" t="str">
        <f>AK3</f>
        <v>17/12-18/2累計</v>
      </c>
      <c r="AL161" s="1559"/>
      <c r="AM161" s="1559"/>
      <c r="AN161" s="1560"/>
      <c r="AO161" s="1559"/>
      <c r="AP161" s="1559"/>
      <c r="AQ161" s="1561"/>
      <c r="AR161" s="1562" t="str">
        <f>AR3</f>
        <v>17/下(17/12-18/2)累計</v>
      </c>
      <c r="AS161" s="1563"/>
      <c r="AT161" s="1563"/>
      <c r="AU161" s="1563"/>
      <c r="AV161" s="1563"/>
      <c r="AW161" s="1563"/>
      <c r="AX161" s="1564"/>
      <c r="AY161" s="422"/>
      <c r="AZ161" s="423"/>
      <c r="BA161" s="1420"/>
      <c r="BB161" s="1039"/>
      <c r="BC161" s="280"/>
      <c r="BD161" s="280"/>
      <c r="BE161" s="280"/>
    </row>
    <row r="162" spans="1:57" ht="20.100000000000001" customHeight="1" thickTop="1">
      <c r="A162" s="734"/>
      <c r="B162" s="734"/>
      <c r="C162" s="734"/>
      <c r="D162" s="735"/>
      <c r="E162" s="734"/>
      <c r="F162" s="619" t="s">
        <v>38</v>
      </c>
      <c r="G162" s="526" t="str">
        <f>G4</f>
        <v>前回計画</v>
      </c>
      <c r="H162" s="527" t="str">
        <f>H4</f>
        <v>実績</v>
      </c>
      <c r="I162" s="1069" t="s">
        <v>40</v>
      </c>
      <c r="J162" s="619" t="str">
        <f>J4</f>
        <v>レビュー</v>
      </c>
      <c r="K162" s="526" t="str">
        <f>K4</f>
        <v>前回計画</v>
      </c>
      <c r="L162" s="527" t="str">
        <f>L4</f>
        <v>実績</v>
      </c>
      <c r="M162" s="620" t="s">
        <v>40</v>
      </c>
      <c r="N162" s="619" t="str">
        <f>N4</f>
        <v>レビュー</v>
      </c>
      <c r="O162" s="526" t="str">
        <f>O4</f>
        <v>計画</v>
      </c>
      <c r="P162" s="527" t="str">
        <f>P4</f>
        <v>実績</v>
      </c>
      <c r="Q162" s="1069" t="s">
        <v>40</v>
      </c>
      <c r="R162" s="619" t="str">
        <f>R4</f>
        <v>レビュー</v>
      </c>
      <c r="S162" s="285"/>
      <c r="T162" s="282" t="s">
        <v>369</v>
      </c>
      <c r="U162" s="283" t="str">
        <f>U4</f>
        <v>実績</v>
      </c>
      <c r="V162" s="282" t="str">
        <f>V4</f>
        <v>レビュー差異</v>
      </c>
      <c r="W162" s="287"/>
      <c r="X162" s="286" t="s">
        <v>372</v>
      </c>
      <c r="Y162" s="619" t="str">
        <f>Y4</f>
        <v>レビュー</v>
      </c>
      <c r="Z162" s="526" t="str">
        <f>Z4</f>
        <v>前回計画</v>
      </c>
      <c r="AA162" s="527" t="str">
        <f>AA4</f>
        <v>実績</v>
      </c>
      <c r="AB162" s="620" t="s">
        <v>40</v>
      </c>
      <c r="AC162" s="619" t="str">
        <f>AC4</f>
        <v>レビュー</v>
      </c>
      <c r="AD162" s="526" t="str">
        <f>AD4</f>
        <v>前回計画</v>
      </c>
      <c r="AE162" s="1041" t="str">
        <f>AE4</f>
        <v>今回計画</v>
      </c>
      <c r="AF162" s="620" t="s">
        <v>40</v>
      </c>
      <c r="AG162" s="619" t="str">
        <f>AG4</f>
        <v>レビュー</v>
      </c>
      <c r="AH162" s="526" t="str">
        <f>AH4</f>
        <v>前回計画</v>
      </c>
      <c r="AI162" s="1041" t="str">
        <f>AI4</f>
        <v>今回計画</v>
      </c>
      <c r="AJ162" s="620" t="s">
        <v>40</v>
      </c>
      <c r="AK162" s="284" t="str">
        <f>AK4</f>
        <v>レビュー</v>
      </c>
      <c r="AL162" s="285"/>
      <c r="AM162" s="285" t="s">
        <v>390</v>
      </c>
      <c r="AN162" s="283" t="str">
        <f>AN4</f>
        <v>今回見通</v>
      </c>
      <c r="AO162" s="285" t="str">
        <f>AO4</f>
        <v>レビュー差異</v>
      </c>
      <c r="AP162" s="285"/>
      <c r="AQ162" s="286" t="s">
        <v>395</v>
      </c>
      <c r="AR162" s="281" t="str">
        <f>AR4</f>
        <v>レビュー</v>
      </c>
      <c r="AS162" s="288"/>
      <c r="AT162" s="288" t="s">
        <v>39</v>
      </c>
      <c r="AU162" s="283" t="str">
        <f>AU4</f>
        <v>今回見通</v>
      </c>
      <c r="AV162" s="327" t="str">
        <f>AV4</f>
        <v>レビュー差異</v>
      </c>
      <c r="AW162" s="327"/>
      <c r="AX162" s="286" t="s">
        <v>395</v>
      </c>
      <c r="AY162" s="424" t="s">
        <v>45</v>
      </c>
      <c r="AZ162" s="427" t="str">
        <f>AZ4</f>
        <v>見通し平均</v>
      </c>
      <c r="BA162" s="1426" t="s">
        <v>321</v>
      </c>
      <c r="BB162" s="278" t="s">
        <v>302</v>
      </c>
      <c r="BC162" s="278" t="s">
        <v>277</v>
      </c>
      <c r="BE162" s="278" t="s">
        <v>279</v>
      </c>
    </row>
    <row r="163" spans="1:57" ht="20.100000000000001" customHeight="1">
      <c r="A163" s="815"/>
      <c r="B163" s="1565" t="s">
        <v>50</v>
      </c>
      <c r="C163" s="1566"/>
      <c r="D163" s="816"/>
      <c r="E163" s="1493"/>
      <c r="F163" s="651">
        <v>0.05</v>
      </c>
      <c r="G163" s="652">
        <v>0.05</v>
      </c>
      <c r="H163" s="653">
        <v>5.1155231836200965E-2</v>
      </c>
      <c r="I163" s="654"/>
      <c r="J163" s="651">
        <v>0.05</v>
      </c>
      <c r="K163" s="652">
        <v>0.05</v>
      </c>
      <c r="L163" s="1304">
        <f>L164/L5</f>
        <v>4.9715458770958211E-2</v>
      </c>
      <c r="M163" s="1305"/>
      <c r="N163" s="651">
        <v>0.05</v>
      </c>
      <c r="O163" s="652">
        <v>0.05</v>
      </c>
      <c r="P163" s="653">
        <f>P164/P5</f>
        <v>3.8899648073486198E-2</v>
      </c>
      <c r="Q163" s="1305"/>
      <c r="R163" s="651">
        <f>R164/R5</f>
        <v>0.05</v>
      </c>
      <c r="S163" s="976"/>
      <c r="T163" s="655">
        <f>T164/T5</f>
        <v>0.05</v>
      </c>
      <c r="U163" s="655">
        <f>U164/U5</f>
        <v>4.7203822630795415E-2</v>
      </c>
      <c r="V163" s="655"/>
      <c r="W163" s="656"/>
      <c r="X163" s="520"/>
      <c r="Y163" s="651">
        <v>0.05</v>
      </c>
      <c r="Z163" s="652">
        <v>0.05</v>
      </c>
      <c r="AA163" s="653">
        <f>AA164/AA5</f>
        <v>4.2166311720551616E-2</v>
      </c>
      <c r="AB163" s="1305"/>
      <c r="AC163" s="651">
        <v>5.0900000000000001E-2</v>
      </c>
      <c r="AD163" s="652">
        <v>0.05</v>
      </c>
      <c r="AE163" s="1074">
        <f>AD163</f>
        <v>0.05</v>
      </c>
      <c r="AF163" s="1305"/>
      <c r="AG163" s="651">
        <v>0.05</v>
      </c>
      <c r="AH163" s="652">
        <v>0.05</v>
      </c>
      <c r="AI163" s="1074">
        <f>AH163</f>
        <v>0.05</v>
      </c>
      <c r="AJ163" s="1305"/>
      <c r="AK163" s="657">
        <f>AK164/AK5</f>
        <v>4.9996732026143791E-2</v>
      </c>
      <c r="AL163" s="976"/>
      <c r="AM163" s="976">
        <f>AM164/AM5</f>
        <v>0.05</v>
      </c>
      <c r="AN163" s="655">
        <f>AN164/AN5</f>
        <v>4.6926749288561546E-2</v>
      </c>
      <c r="AO163" s="976"/>
      <c r="AP163" s="976"/>
      <c r="AQ163" s="520"/>
      <c r="AR163" s="657">
        <f>AR164/AR5</f>
        <v>4.999862258953168E-2</v>
      </c>
      <c r="AS163" s="976"/>
      <c r="AT163" s="976">
        <f>AT164/AT5</f>
        <v>0.05</v>
      </c>
      <c r="AU163" s="655">
        <f>AU164/AU5</f>
        <v>4.7081923434144975E-2</v>
      </c>
      <c r="AV163" s="658"/>
      <c r="AW163" s="658"/>
      <c r="AX163" s="335">
        <f>AU164/AT164</f>
        <v>0.88791582801229774</v>
      </c>
      <c r="AY163" s="659"/>
      <c r="AZ163" s="660"/>
      <c r="BA163" s="1430"/>
      <c r="BB163" s="661"/>
      <c r="BC163" s="661"/>
      <c r="BD163" s="661"/>
      <c r="BE163" s="661"/>
    </row>
    <row r="164" spans="1:57" ht="20.100000000000001" customHeight="1">
      <c r="A164" s="738"/>
      <c r="B164" s="1567" t="s">
        <v>242</v>
      </c>
      <c r="C164" s="1568"/>
      <c r="D164" s="783"/>
      <c r="E164" s="1492"/>
      <c r="F164" s="444">
        <f>F163*F5</f>
        <v>350.42735042735046</v>
      </c>
      <c r="G164" s="539">
        <f>G163*G5</f>
        <v>350.42735042735046</v>
      </c>
      <c r="H164" s="540">
        <f>H163*H5</f>
        <v>358.81290996939424</v>
      </c>
      <c r="I164" s="590">
        <f>H164-G164</f>
        <v>8.3855595420437794</v>
      </c>
      <c r="J164" s="444">
        <f>J163*J5</f>
        <v>277.77777777777777</v>
      </c>
      <c r="K164" s="539">
        <f>K163*K5</f>
        <v>235.04273504273507</v>
      </c>
      <c r="L164" s="1306">
        <v>219.93443000000005</v>
      </c>
      <c r="M164" s="590">
        <f>L164-K164</f>
        <v>-15.108305042735026</v>
      </c>
      <c r="N164" s="444">
        <f>N163*N5</f>
        <v>269.23076923076923</v>
      </c>
      <c r="O164" s="539">
        <f>O163*O5</f>
        <v>256.41025641025647</v>
      </c>
      <c r="P164" s="540">
        <v>181.87967994680395</v>
      </c>
      <c r="Q164" s="590">
        <f>P164-O164</f>
        <v>-74.530576463452519</v>
      </c>
      <c r="R164" s="516">
        <f>F164+J164+N164</f>
        <v>897.43589743589746</v>
      </c>
      <c r="S164" s="470"/>
      <c r="T164" s="446">
        <f>G164+K164+O164</f>
        <v>841.88034188034203</v>
      </c>
      <c r="U164" s="446">
        <f>H164+L164+P164</f>
        <v>760.62701991619815</v>
      </c>
      <c r="V164" s="446">
        <f>U164-R164</f>
        <v>-136.80887751969931</v>
      </c>
      <c r="W164" s="466"/>
      <c r="X164" s="435">
        <f>U164-T164</f>
        <v>-81.253321964143879</v>
      </c>
      <c r="Y164" s="444">
        <f>Y163*Y5</f>
        <v>269.23076923076923</v>
      </c>
      <c r="Z164" s="539">
        <f>Z163*Z5</f>
        <v>299.14529914529919</v>
      </c>
      <c r="AA164" s="540">
        <v>209.39841000000001</v>
      </c>
      <c r="AB164" s="590">
        <f>AA164-Z164</f>
        <v>-89.746889145299178</v>
      </c>
      <c r="AC164" s="444">
        <v>235</v>
      </c>
      <c r="AD164" s="539">
        <f>AD163*AD5</f>
        <v>213.67521367521368</v>
      </c>
      <c r="AE164" s="1064">
        <f>AE163*AE5</f>
        <v>213.67521367521368</v>
      </c>
      <c r="AF164" s="590">
        <f>AE164-AD164</f>
        <v>0</v>
      </c>
      <c r="AG164" s="444">
        <f>AG163*AG5</f>
        <v>149.5726495726496</v>
      </c>
      <c r="AH164" s="539">
        <f>AH163*AH5</f>
        <v>170.94017094017096</v>
      </c>
      <c r="AI164" s="1064">
        <f>AI163*AI5</f>
        <v>170.94017094017096</v>
      </c>
      <c r="AJ164" s="590">
        <f>AI164-AH164</f>
        <v>0</v>
      </c>
      <c r="AK164" s="448">
        <f>Y164+AC164+AG164</f>
        <v>653.80341880341882</v>
      </c>
      <c r="AL164" s="470"/>
      <c r="AM164" s="470">
        <f>Z164+AD164+AH164</f>
        <v>683.76068376068383</v>
      </c>
      <c r="AN164" s="446">
        <f>AA164+AE164+AI164</f>
        <v>594.01379461538465</v>
      </c>
      <c r="AO164" s="470">
        <f>AN164-AK164</f>
        <v>-59.789624188034168</v>
      </c>
      <c r="AP164" s="470"/>
      <c r="AQ164" s="435">
        <f>AN164-AM164</f>
        <v>-89.746889145299178</v>
      </c>
      <c r="AR164" s="447">
        <f>SUM(R164,AK164)</f>
        <v>1551.2393162393164</v>
      </c>
      <c r="AS164" s="986"/>
      <c r="AT164" s="624">
        <f>T164+AM164</f>
        <v>1525.6410256410259</v>
      </c>
      <c r="AU164" s="507">
        <f>SUM(U164,AN164)</f>
        <v>1354.6408145315827</v>
      </c>
      <c r="AV164" s="466">
        <f>AU164-AR164</f>
        <v>-196.5985017077337</v>
      </c>
      <c r="AW164" s="466"/>
      <c r="AX164" s="435">
        <f>AU164-AT164</f>
        <v>-171.00021110944317</v>
      </c>
      <c r="AY164" s="444"/>
      <c r="AZ164" s="445"/>
      <c r="BA164" s="1423"/>
      <c r="BB164" s="416"/>
      <c r="BC164" s="416"/>
      <c r="BD164" s="416"/>
      <c r="BE164" s="416"/>
    </row>
    <row r="165" spans="1:57" ht="20.100000000000001" customHeight="1">
      <c r="A165" s="817"/>
      <c r="B165" s="818"/>
      <c r="C165" s="819" t="s">
        <v>50</v>
      </c>
      <c r="D165" s="816"/>
      <c r="E165" s="1493"/>
      <c r="F165" s="651">
        <v>0.25009999999999999</v>
      </c>
      <c r="G165" s="652">
        <v>0.193</v>
      </c>
      <c r="H165" s="653">
        <v>0.23220225049437765</v>
      </c>
      <c r="I165" s="654"/>
      <c r="J165" s="651">
        <v>0.25330000000000003</v>
      </c>
      <c r="K165" s="652">
        <v>0.23999999999999996</v>
      </c>
      <c r="L165" s="1304">
        <f>L166/L6</f>
        <v>0.24285312894042993</v>
      </c>
      <c r="M165" s="1305"/>
      <c r="N165" s="651">
        <v>0.25240000000000001</v>
      </c>
      <c r="O165" s="652">
        <v>0.23999999999999996</v>
      </c>
      <c r="P165" s="653">
        <f>P166/P6</f>
        <v>0.22798675160588669</v>
      </c>
      <c r="Q165" s="1305"/>
      <c r="R165" s="651">
        <f>R166/R6</f>
        <v>0.2519780487804878</v>
      </c>
      <c r="S165" s="976"/>
      <c r="T165" s="655">
        <f>T166/T6</f>
        <v>0.21893103448275858</v>
      </c>
      <c r="U165" s="655">
        <f>U166/U6</f>
        <v>0.23464701432701152</v>
      </c>
      <c r="V165" s="655"/>
      <c r="W165" s="656"/>
      <c r="X165" s="520"/>
      <c r="Y165" s="651">
        <v>0.252</v>
      </c>
      <c r="Z165" s="652">
        <v>0.23285714285714287</v>
      </c>
      <c r="AA165" s="653">
        <f>AA166/AA6</f>
        <v>0.2259608372053391</v>
      </c>
      <c r="AB165" s="1305"/>
      <c r="AC165" s="651">
        <v>0.252</v>
      </c>
      <c r="AD165" s="652">
        <v>0.23333333333333328</v>
      </c>
      <c r="AE165" s="1074">
        <f>AD165</f>
        <v>0.23333333333333328</v>
      </c>
      <c r="AF165" s="1305"/>
      <c r="AG165" s="651">
        <v>0.247</v>
      </c>
      <c r="AH165" s="652">
        <v>0.23444444444444448</v>
      </c>
      <c r="AI165" s="1074">
        <f>AH165</f>
        <v>0.23444444444444448</v>
      </c>
      <c r="AJ165" s="1305"/>
      <c r="AK165" s="657">
        <f>AK166/AK6</f>
        <v>0.25097119341563789</v>
      </c>
      <c r="AL165" s="976"/>
      <c r="AM165" s="976">
        <f>AM166/AM6</f>
        <v>0.23342857142857143</v>
      </c>
      <c r="AN165" s="655">
        <f>AN166/AN6</f>
        <v>0.23140143242478509</v>
      </c>
      <c r="AO165" s="976"/>
      <c r="AP165" s="976"/>
      <c r="AQ165" s="520"/>
      <c r="AR165" s="657">
        <f>AR166/AR6</f>
        <v>0.25153360581289741</v>
      </c>
      <c r="AS165" s="1307"/>
      <c r="AT165" s="655">
        <f>AT166/AT6</f>
        <v>0.22539490445859869</v>
      </c>
      <c r="AU165" s="655">
        <f>AU166/AU6</f>
        <v>0.23294264246552854</v>
      </c>
      <c r="AV165" s="658"/>
      <c r="AW165" s="658"/>
      <c r="AX165" s="335">
        <f>AU166/AT166</f>
        <v>0.75950971286262747</v>
      </c>
      <c r="AY165" s="659"/>
      <c r="AZ165" s="660"/>
      <c r="BA165" s="1430"/>
      <c r="BB165" s="661"/>
      <c r="BC165" s="661"/>
      <c r="BD165" s="661"/>
      <c r="BE165" s="661"/>
    </row>
    <row r="166" spans="1:57" ht="20.100000000000001" customHeight="1">
      <c r="A166" s="738"/>
      <c r="B166" s="738"/>
      <c r="C166" s="820" t="s">
        <v>243</v>
      </c>
      <c r="D166" s="771"/>
      <c r="E166" s="1492"/>
      <c r="F166" s="444">
        <f>F165*F6</f>
        <v>4168.333333333333</v>
      </c>
      <c r="G166" s="539">
        <f>G165*G6</f>
        <v>3216.666666666667</v>
      </c>
      <c r="H166" s="540">
        <f>H165*H6</f>
        <v>1653.3070145507957</v>
      </c>
      <c r="I166" s="590">
        <f>H166-G166</f>
        <v>-1563.3596521158713</v>
      </c>
      <c r="J166" s="444">
        <f>J165*J6</f>
        <v>4546.4102564102568</v>
      </c>
      <c r="K166" s="539">
        <f>K165*K6</f>
        <v>2461.5384615384614</v>
      </c>
      <c r="L166" s="1306">
        <v>2057.1692099999996</v>
      </c>
      <c r="M166" s="590">
        <f>L166-K166</f>
        <v>-404.36925153846187</v>
      </c>
      <c r="N166" s="444">
        <f>N165*N6</f>
        <v>4530.2564102564102</v>
      </c>
      <c r="O166" s="539">
        <f>O165*O6</f>
        <v>2461.5384615384614</v>
      </c>
      <c r="P166" s="540">
        <v>1783.6231735132212</v>
      </c>
      <c r="Q166" s="590">
        <f>P166-O166</f>
        <v>-677.91528802524022</v>
      </c>
      <c r="R166" s="516">
        <f>F166+J166+N166</f>
        <v>13245</v>
      </c>
      <c r="S166" s="470"/>
      <c r="T166" s="446">
        <f>G166+K166+O166</f>
        <v>8139.7435897435898</v>
      </c>
      <c r="U166" s="446">
        <f>H166+L166+P166</f>
        <v>5494.0993980640169</v>
      </c>
      <c r="V166" s="446">
        <f>U166-R166</f>
        <v>-7750.9006019359831</v>
      </c>
      <c r="W166" s="466"/>
      <c r="X166" s="435">
        <f>U166-T166</f>
        <v>-2645.6441916795729</v>
      </c>
      <c r="Y166" s="444">
        <f>Y165*Y6</f>
        <v>4867.6923076923076</v>
      </c>
      <c r="Z166" s="539">
        <f>Z165*Z6</f>
        <v>2786.3247863247866</v>
      </c>
      <c r="AA166" s="540">
        <v>1795.1186399999997</v>
      </c>
      <c r="AB166" s="590">
        <f>AA166-Z166</f>
        <v>-991.20614632478691</v>
      </c>
      <c r="AC166" s="444">
        <f>AC165*AC6</f>
        <v>3446.1538461538462</v>
      </c>
      <c r="AD166" s="539">
        <f>AD165*AD6</f>
        <v>2393.1623931623931</v>
      </c>
      <c r="AE166" s="1064">
        <f>AE165*AE6</f>
        <v>2393.1623931623931</v>
      </c>
      <c r="AF166" s="590">
        <f>AE166-AD166</f>
        <v>0</v>
      </c>
      <c r="AG166" s="444">
        <f>AG165*AG6</f>
        <v>2111.1111111111109</v>
      </c>
      <c r="AH166" s="539">
        <f>AH165*AH6</f>
        <v>1803.4188034188037</v>
      </c>
      <c r="AI166" s="1064">
        <f>AI165*AI6</f>
        <v>1803.4188034188037</v>
      </c>
      <c r="AJ166" s="590">
        <f>AI166-AH166</f>
        <v>0</v>
      </c>
      <c r="AK166" s="448">
        <f>Y166+AC166+AG166</f>
        <v>10424.957264957266</v>
      </c>
      <c r="AL166" s="470"/>
      <c r="AM166" s="470">
        <f>Z166+AD166+AH166</f>
        <v>6982.9059829059834</v>
      </c>
      <c r="AN166" s="446">
        <f>AA166+AE166+AI166</f>
        <v>5991.6998365811969</v>
      </c>
      <c r="AO166" s="470">
        <f>AN166-AK166</f>
        <v>-4433.2574283760687</v>
      </c>
      <c r="AP166" s="470"/>
      <c r="AQ166" s="435">
        <f>AN166-AM166</f>
        <v>-991.20614632478646</v>
      </c>
      <c r="AR166" s="448">
        <f>SUM(R166,AK166)</f>
        <v>23669.957264957266</v>
      </c>
      <c r="AS166" s="662"/>
      <c r="AT166" s="624">
        <f>T166+AM166</f>
        <v>15122.649572649574</v>
      </c>
      <c r="AU166" s="507">
        <f>SUM(U166,AN166)</f>
        <v>11485.799234645214</v>
      </c>
      <c r="AV166" s="466">
        <f>AU166-AR166</f>
        <v>-12184.158030312052</v>
      </c>
      <c r="AW166" s="466"/>
      <c r="AX166" s="435">
        <f>AU166-AT166</f>
        <v>-3636.8503380043603</v>
      </c>
      <c r="AY166" s="444"/>
      <c r="AZ166" s="445"/>
      <c r="BA166" s="1423"/>
      <c r="BB166" s="416"/>
      <c r="BC166" s="416"/>
      <c r="BD166" s="416"/>
      <c r="BE166" s="416"/>
    </row>
    <row r="167" spans="1:57" ht="20.100000000000001" customHeight="1">
      <c r="A167" s="817"/>
      <c r="B167" s="821"/>
      <c r="C167" s="819" t="s">
        <v>50</v>
      </c>
      <c r="D167" s="816"/>
      <c r="E167" s="1493"/>
      <c r="F167" s="651">
        <v>0.18</v>
      </c>
      <c r="G167" s="652">
        <v>0.18</v>
      </c>
      <c r="H167" s="653">
        <v>0.23074957251193712</v>
      </c>
      <c r="I167" s="654"/>
      <c r="J167" s="651">
        <v>0.18</v>
      </c>
      <c r="K167" s="652">
        <v>0.20769230769230773</v>
      </c>
      <c r="L167" s="1304">
        <f>L168/L7</f>
        <v>0.22040033193003566</v>
      </c>
      <c r="M167" s="1305"/>
      <c r="N167" s="651">
        <v>0.18</v>
      </c>
      <c r="O167" s="652">
        <v>0.18947368421052632</v>
      </c>
      <c r="P167" s="653">
        <f>P168/P7</f>
        <v>0.23788213129664609</v>
      </c>
      <c r="Q167" s="1305"/>
      <c r="R167" s="651">
        <f>R168/R7</f>
        <v>0.18</v>
      </c>
      <c r="S167" s="976"/>
      <c r="T167" s="655">
        <f>T168/T7</f>
        <v>0.1852941176470588</v>
      </c>
      <c r="U167" s="655">
        <f>U168/U7</f>
        <v>0.23214385660675421</v>
      </c>
      <c r="V167" s="655"/>
      <c r="W167" s="656"/>
      <c r="X167" s="520"/>
      <c r="Y167" s="651">
        <v>0.18</v>
      </c>
      <c r="Z167" s="652">
        <v>0.18000000000000002</v>
      </c>
      <c r="AA167" s="653">
        <f>AA168/AA7</f>
        <v>0.22624984169044535</v>
      </c>
      <c r="AB167" s="1305"/>
      <c r="AC167" s="651">
        <v>0.18</v>
      </c>
      <c r="AD167" s="652">
        <v>0.18000000000000002</v>
      </c>
      <c r="AE167" s="1074">
        <f>AD167</f>
        <v>0.18000000000000002</v>
      </c>
      <c r="AF167" s="1305"/>
      <c r="AG167" s="651">
        <v>0.18</v>
      </c>
      <c r="AH167" s="652">
        <v>0.18</v>
      </c>
      <c r="AI167" s="1074">
        <f>AH167</f>
        <v>0.18</v>
      </c>
      <c r="AJ167" s="1305"/>
      <c r="AK167" s="657">
        <f>AK168/AK7</f>
        <v>0.17999999999999997</v>
      </c>
      <c r="AL167" s="976"/>
      <c r="AM167" s="655">
        <f>AM168/AM7</f>
        <v>0.18000000000000005</v>
      </c>
      <c r="AN167" s="655">
        <f>AN168/AN7</f>
        <v>0.18903073466153336</v>
      </c>
      <c r="AO167" s="976"/>
      <c r="AP167" s="976"/>
      <c r="AQ167" s="520"/>
      <c r="AR167" s="657">
        <f>AR168/AR7</f>
        <v>0.18</v>
      </c>
      <c r="AS167" s="1307"/>
      <c r="AT167" s="655">
        <f>AT168/AT7</f>
        <v>0.18346153846153845</v>
      </c>
      <c r="AU167" s="655">
        <f>AU168/AU7</f>
        <v>0.20627100846424176</v>
      </c>
      <c r="AV167" s="655"/>
      <c r="AW167" s="658"/>
      <c r="AX167" s="335">
        <f>AU168/AT168</f>
        <v>0.50740765372691443</v>
      </c>
      <c r="AY167" s="659"/>
      <c r="AZ167" s="660"/>
      <c r="BA167" s="1430"/>
      <c r="BB167" s="661"/>
      <c r="BC167" s="661"/>
      <c r="BD167" s="661"/>
      <c r="BE167" s="661"/>
    </row>
    <row r="168" spans="1:57" ht="20.100000000000001" customHeight="1">
      <c r="A168" s="738"/>
      <c r="B168" s="738"/>
      <c r="C168" s="820" t="s">
        <v>160</v>
      </c>
      <c r="D168" s="771"/>
      <c r="E168" s="1492"/>
      <c r="F168" s="444">
        <f>F167*F7</f>
        <v>1076.9230769230769</v>
      </c>
      <c r="G168" s="539">
        <f>G167*G7</f>
        <v>1076.9230769230769</v>
      </c>
      <c r="H168" s="540">
        <f>H167*H7</f>
        <v>204.07945803226468</v>
      </c>
      <c r="I168" s="590">
        <f>H168-G168</f>
        <v>-872.84361889081219</v>
      </c>
      <c r="J168" s="444">
        <f>J167*J7</f>
        <v>1384.6153846153845</v>
      </c>
      <c r="K168" s="539">
        <f>K167*K7</f>
        <v>230.7692307692308</v>
      </c>
      <c r="L168" s="1306">
        <v>94.548540000000003</v>
      </c>
      <c r="M168" s="590">
        <f>L168-K168</f>
        <v>-136.2206907692308</v>
      </c>
      <c r="N168" s="444">
        <f>N167*N7</f>
        <v>1369.2307692307693</v>
      </c>
      <c r="O168" s="539">
        <f>O167*O7</f>
        <v>307.69230769230774</v>
      </c>
      <c r="P168" s="540">
        <v>259.96369262280297</v>
      </c>
      <c r="Q168" s="590">
        <f>P168-O168</f>
        <v>-47.72861506950477</v>
      </c>
      <c r="R168" s="516">
        <f>F168+J168+N168</f>
        <v>3830.7692307692305</v>
      </c>
      <c r="S168" s="470"/>
      <c r="T168" s="446">
        <f>G168+K168+O168</f>
        <v>1615.3846153846152</v>
      </c>
      <c r="U168" s="446">
        <f>H168+L168+P168</f>
        <v>558.59169065506762</v>
      </c>
      <c r="V168" s="446">
        <f>U168-R168</f>
        <v>-3272.1775401141631</v>
      </c>
      <c r="W168" s="466"/>
      <c r="X168" s="435">
        <f>U168-T168</f>
        <v>-1056.7929247295476</v>
      </c>
      <c r="Y168" s="444">
        <f>Y167*Y7</f>
        <v>1384.6153846153845</v>
      </c>
      <c r="Z168" s="539">
        <f>Z167*Z7</f>
        <v>307.69230769230774</v>
      </c>
      <c r="AA168" s="540">
        <v>159.52856999999995</v>
      </c>
      <c r="AB168" s="590">
        <f>AA168-Z168</f>
        <v>-148.16373769230779</v>
      </c>
      <c r="AC168" s="444">
        <f>AC167*AC7</f>
        <v>1076.9230769230769</v>
      </c>
      <c r="AD168" s="539">
        <f>AD167*AD7</f>
        <v>307.69230769230774</v>
      </c>
      <c r="AE168" s="1064">
        <f>AE167*AE7</f>
        <v>307.69230769230774</v>
      </c>
      <c r="AF168" s="590">
        <f>AE168-AD168</f>
        <v>0</v>
      </c>
      <c r="AG168" s="444">
        <f>AG167*AG7</f>
        <v>676.92307692307691</v>
      </c>
      <c r="AH168" s="539">
        <f>AH167*AH7</f>
        <v>215.38461538461542</v>
      </c>
      <c r="AI168" s="1064">
        <f>AI167*AI7</f>
        <v>215.38461538461542</v>
      </c>
      <c r="AJ168" s="590">
        <f>AI168-AH168</f>
        <v>0</v>
      </c>
      <c r="AK168" s="448">
        <f>Y168+AC168+AG168</f>
        <v>3138.4615384615381</v>
      </c>
      <c r="AL168" s="470"/>
      <c r="AM168" s="470">
        <f>Z168+AD168+AH168</f>
        <v>830.76923076923094</v>
      </c>
      <c r="AN168" s="446">
        <f>AA168+AE168+AI168</f>
        <v>682.60549307692304</v>
      </c>
      <c r="AO168" s="470">
        <f>AN168-AK168</f>
        <v>-2455.8560453846148</v>
      </c>
      <c r="AP168" s="470"/>
      <c r="AQ168" s="435">
        <f>AN168-AM168</f>
        <v>-148.1637376923079</v>
      </c>
      <c r="AR168" s="448">
        <f>SUM(R168,AK168)</f>
        <v>6969.2307692307686</v>
      </c>
      <c r="AS168" s="662"/>
      <c r="AT168" s="624">
        <f>T168+AM168</f>
        <v>2446.1538461538462</v>
      </c>
      <c r="AU168" s="507">
        <f>SUM(U168,AN168)</f>
        <v>1241.1971837319907</v>
      </c>
      <c r="AV168" s="466">
        <f>AU168-AR168</f>
        <v>-5728.0335854987779</v>
      </c>
      <c r="AW168" s="466"/>
      <c r="AX168" s="435">
        <f>AU168-AT168</f>
        <v>-1204.9566624218555</v>
      </c>
      <c r="AY168" s="444"/>
      <c r="AZ168" s="445"/>
      <c r="BA168" s="1423"/>
      <c r="BB168" s="416"/>
      <c r="BC168" s="416"/>
      <c r="BD168" s="416"/>
      <c r="BE168" s="416"/>
    </row>
    <row r="169" spans="1:57" ht="18.75" customHeight="1">
      <c r="A169" s="817"/>
      <c r="B169" s="1569" t="s">
        <v>50</v>
      </c>
      <c r="C169" s="1566"/>
      <c r="D169" s="816"/>
      <c r="E169" s="1493"/>
      <c r="F169" s="651">
        <v>0.16264999999999999</v>
      </c>
      <c r="G169" s="652">
        <v>0.16264999999999999</v>
      </c>
      <c r="H169" s="653">
        <v>0.13236557062543058</v>
      </c>
      <c r="I169" s="654"/>
      <c r="J169" s="651">
        <v>0.16489999999999999</v>
      </c>
      <c r="K169" s="652">
        <v>0.1496397590361446</v>
      </c>
      <c r="L169" s="1304">
        <f>L170/L8</f>
        <v>0.15259837418596994</v>
      </c>
      <c r="M169" s="1305"/>
      <c r="N169" s="651">
        <v>0.16750000000000001</v>
      </c>
      <c r="O169" s="652">
        <v>0.14996707317073171</v>
      </c>
      <c r="P169" s="653">
        <f>P170/P8</f>
        <v>0.14792887488653966</v>
      </c>
      <c r="Q169" s="1305"/>
      <c r="R169" s="651">
        <f>R170/R8</f>
        <v>0.16499882842025698</v>
      </c>
      <c r="S169" s="976"/>
      <c r="T169" s="655">
        <f>T170/T7</f>
        <v>3.8042049019607842</v>
      </c>
      <c r="U169" s="655">
        <f>U170/U8</f>
        <v>0.14680583714567205</v>
      </c>
      <c r="V169" s="655"/>
      <c r="W169" s="656"/>
      <c r="X169" s="520"/>
      <c r="Y169" s="651">
        <v>0.16800000000000001</v>
      </c>
      <c r="Z169" s="652">
        <v>0.15024855491329481</v>
      </c>
      <c r="AA169" s="653">
        <f>AA170/AA8</f>
        <v>0.14355269735499673</v>
      </c>
      <c r="AB169" s="1305"/>
      <c r="AC169" s="651">
        <v>0.1704</v>
      </c>
      <c r="AD169" s="652">
        <v>0.15488870151770656</v>
      </c>
      <c r="AE169" s="1074">
        <f>AD169</f>
        <v>0.15488870151770656</v>
      </c>
      <c r="AF169" s="1305"/>
      <c r="AG169" s="651">
        <v>0.1691</v>
      </c>
      <c r="AH169" s="652">
        <v>0.15917112299465241</v>
      </c>
      <c r="AI169" s="1074">
        <f>AH169</f>
        <v>0.15917112299465241</v>
      </c>
      <c r="AJ169" s="1305"/>
      <c r="AK169" s="657">
        <f>AK170/AK8</f>
        <v>0.16900191256830599</v>
      </c>
      <c r="AL169" s="976"/>
      <c r="AM169" s="976">
        <f>AM170/AM7</f>
        <v>5.2100740740740745</v>
      </c>
      <c r="AN169" s="655">
        <f>AN170/AN7</f>
        <v>6.6005840437532513</v>
      </c>
      <c r="AO169" s="976"/>
      <c r="AP169" s="976"/>
      <c r="AQ169" s="520"/>
      <c r="AR169" s="657">
        <f>AR170/AR8</f>
        <v>0.16663547810545129</v>
      </c>
      <c r="AS169" s="1307"/>
      <c r="AT169" s="655">
        <f>AT170/AT7</f>
        <v>4.2908519230769233</v>
      </c>
      <c r="AU169" s="655">
        <f>AU170/AU7</f>
        <v>9.1678786432439949</v>
      </c>
      <c r="AV169" s="658"/>
      <c r="AW169" s="658"/>
      <c r="AX169" s="335">
        <f>AU170/AT170</f>
        <v>0.96424896534309057</v>
      </c>
      <c r="AY169" s="659"/>
      <c r="AZ169" s="660"/>
      <c r="BA169" s="1430"/>
      <c r="BB169" s="661"/>
      <c r="BC169" s="661"/>
      <c r="BD169" s="661"/>
      <c r="BE169" s="661"/>
    </row>
    <row r="170" spans="1:57" ht="20.100000000000001" customHeight="1">
      <c r="A170" s="738"/>
      <c r="B170" s="1567" t="s">
        <v>244</v>
      </c>
      <c r="C170" s="1568"/>
      <c r="D170" s="771"/>
      <c r="E170" s="1492"/>
      <c r="F170" s="444">
        <f>F169*F8</f>
        <v>12038.88034188034</v>
      </c>
      <c r="G170" s="539">
        <f>G169*G8</f>
        <v>12038.88034188034</v>
      </c>
      <c r="H170" s="540">
        <v>10405.272270000021</v>
      </c>
      <c r="I170" s="590">
        <f>H170-G170</f>
        <v>-1633.6080718803187</v>
      </c>
      <c r="J170" s="444">
        <f>J169*J8</f>
        <v>13107.435897435898</v>
      </c>
      <c r="K170" s="539">
        <f>K169*K8</f>
        <v>10615.470085470086</v>
      </c>
      <c r="L170" s="1306">
        <v>10487.41095</v>
      </c>
      <c r="M170" s="590">
        <f>L170-K170</f>
        <v>-128.0591354700864</v>
      </c>
      <c r="N170" s="444">
        <f>N169*N8</f>
        <v>12168.80341880342</v>
      </c>
      <c r="O170" s="539">
        <f>O169*O8</f>
        <v>10510.512820512822</v>
      </c>
      <c r="P170" s="540">
        <v>10438.0599085217</v>
      </c>
      <c r="Q170" s="590">
        <f>P170-O170</f>
        <v>-72.452911991122164</v>
      </c>
      <c r="R170" s="516">
        <f>F170+J170+N170</f>
        <v>37315.119658119656</v>
      </c>
      <c r="S170" s="470"/>
      <c r="T170" s="446">
        <f>G170+K170+O170</f>
        <v>33164.86324786325</v>
      </c>
      <c r="U170" s="446">
        <f>H170+L170+P170</f>
        <v>31330.743128521721</v>
      </c>
      <c r="V170" s="446">
        <f>U170-R170</f>
        <v>-5984.3765295979356</v>
      </c>
      <c r="W170" s="466"/>
      <c r="X170" s="435">
        <f>U170-T170</f>
        <v>-1834.1201193415291</v>
      </c>
      <c r="Y170" s="444">
        <f>Y169*Y8</f>
        <v>12406.153846153846</v>
      </c>
      <c r="Z170" s="539">
        <f>Z169*Z8</f>
        <v>11108.11965811966</v>
      </c>
      <c r="AA170" s="540">
        <v>10896.8745</v>
      </c>
      <c r="AB170" s="590">
        <f>AA170-Z170</f>
        <v>-211.24515811966012</v>
      </c>
      <c r="AC170" s="444">
        <f>AC169*AC8</f>
        <v>8636.5128205128203</v>
      </c>
      <c r="AD170" s="539">
        <f>AD169*AD8</f>
        <v>7850.3418803418799</v>
      </c>
      <c r="AE170" s="1064">
        <f>AE169*AE8</f>
        <v>7850.3418803418799</v>
      </c>
      <c r="AF170" s="590">
        <f>AE170-AD170</f>
        <v>0</v>
      </c>
      <c r="AG170" s="444">
        <f>AG169*AG8</f>
        <v>5390.9658119658125</v>
      </c>
      <c r="AH170" s="539">
        <f>AH169*AH8</f>
        <v>5088.0341880341884</v>
      </c>
      <c r="AI170" s="1064">
        <f>AI169*AI8</f>
        <v>5088.0341880341884</v>
      </c>
      <c r="AJ170" s="590">
        <f>AI170-AH170</f>
        <v>0</v>
      </c>
      <c r="AK170" s="448">
        <f>Y170+AC170+AG170</f>
        <v>26433.632478632477</v>
      </c>
      <c r="AL170" s="470"/>
      <c r="AM170" s="470">
        <f>Z170+AD170+AH170</f>
        <v>24046.495726495727</v>
      </c>
      <c r="AN170" s="446">
        <f>AA170+AE170+AI170</f>
        <v>23835.250568376068</v>
      </c>
      <c r="AO170" s="470">
        <f>AN170-AK170</f>
        <v>-2598.3819102564084</v>
      </c>
      <c r="AP170" s="470"/>
      <c r="AQ170" s="435">
        <f>AN170-AM170</f>
        <v>-211.2451581196583</v>
      </c>
      <c r="AR170" s="448">
        <f>SUM(R170,AK170)</f>
        <v>63748.752136752133</v>
      </c>
      <c r="AS170" s="662"/>
      <c r="AT170" s="624">
        <f>T170+AM170</f>
        <v>57211.358974358976</v>
      </c>
      <c r="AU170" s="507">
        <f>SUM(U170,AN170)</f>
        <v>55165.993696897785</v>
      </c>
      <c r="AV170" s="466">
        <f>AU170-AR170</f>
        <v>-8582.7584398543477</v>
      </c>
      <c r="AW170" s="466"/>
      <c r="AX170" s="435">
        <f>AU170-AT170</f>
        <v>-2045.365277461191</v>
      </c>
      <c r="AY170" s="444"/>
      <c r="AZ170" s="445"/>
      <c r="BA170" s="1423"/>
      <c r="BB170" s="416"/>
      <c r="BC170" s="416"/>
      <c r="BD170" s="416"/>
      <c r="BE170" s="416"/>
    </row>
    <row r="171" spans="1:57" ht="20.100000000000001" customHeight="1">
      <c r="A171" s="822" t="s">
        <v>50</v>
      </c>
      <c r="B171" s="823"/>
      <c r="C171" s="823"/>
      <c r="D171" s="824"/>
      <c r="E171" s="823"/>
      <c r="F171" s="663">
        <f>F172/F10</f>
        <v>0.15290601265822781</v>
      </c>
      <c r="G171" s="664">
        <f>G172/G10</f>
        <v>0.15290601265822781</v>
      </c>
      <c r="H171" s="665">
        <f>H172/H10</f>
        <v>0.13265496760293355</v>
      </c>
      <c r="I171" s="548">
        <f>H172/G172</f>
        <v>0.86882055457002272</v>
      </c>
      <c r="J171" s="663">
        <f>J172/J10</f>
        <v>0.15739396984924622</v>
      </c>
      <c r="K171" s="664">
        <f>K172/K10</f>
        <v>0.14344745762711864</v>
      </c>
      <c r="L171" s="685">
        <f>L172/L10</f>
        <v>0.1463763164683374</v>
      </c>
      <c r="M171" s="1295">
        <f>L172/K172</f>
        <v>0.98680546782616907</v>
      </c>
      <c r="N171" s="663">
        <f>N172/N10</f>
        <v>0.15939211391018618</v>
      </c>
      <c r="O171" s="664">
        <f>O172/O10</f>
        <v>0.14315113636363638</v>
      </c>
      <c r="P171" s="665">
        <f>P172/P10</f>
        <v>0.14115323626512444</v>
      </c>
      <c r="Q171" s="1295">
        <f>P172/O172</f>
        <v>0.98634860791662882</v>
      </c>
      <c r="R171" s="666">
        <f>R172/R10</f>
        <v>0.15654303221288512</v>
      </c>
      <c r="S171" s="977"/>
      <c r="T171" s="670">
        <f>T172/T10</f>
        <v>0.14665643199410244</v>
      </c>
      <c r="U171" s="667">
        <f>U172/U10</f>
        <v>0.13981348176699759</v>
      </c>
      <c r="V171" s="667">
        <f>U172/R172</f>
        <v>0.83981219475838731</v>
      </c>
      <c r="W171" s="668"/>
      <c r="X171" s="486">
        <f>U172/T172</f>
        <v>0.94367665824129821</v>
      </c>
      <c r="Y171" s="663">
        <f>Y172/Y10</f>
        <v>0.15998058252427183</v>
      </c>
      <c r="Z171" s="664">
        <f>Z172/Z10</f>
        <v>0.14274331550802138</v>
      </c>
      <c r="AA171" s="665">
        <f>AA172/AA10</f>
        <v>0.1373271783758499</v>
      </c>
      <c r="AB171" s="1295">
        <f>AA172/Z172</f>
        <v>0.9736140040235266</v>
      </c>
      <c r="AC171" s="663">
        <f>AC172/AC10</f>
        <v>0.16018009259259258</v>
      </c>
      <c r="AD171" s="664">
        <f>AD172/AD10</f>
        <v>0.14673250388802486</v>
      </c>
      <c r="AE171" s="1075">
        <f>AE172/AE10</f>
        <v>0.14673250388802486</v>
      </c>
      <c r="AF171" s="1295">
        <f>AE172/AD172</f>
        <v>1</v>
      </c>
      <c r="AG171" s="663">
        <f>AG172/AG10</f>
        <v>0.15888308823529412</v>
      </c>
      <c r="AH171" s="664">
        <f>AH172/AH10</f>
        <v>0.14862318840579708</v>
      </c>
      <c r="AI171" s="1075">
        <f>AI172/AI10</f>
        <v>0.14862318840579708</v>
      </c>
      <c r="AJ171" s="1295">
        <f>AI172/AH172</f>
        <v>1</v>
      </c>
      <c r="AK171" s="669">
        <f>AK172/AK10</f>
        <v>0.1598199697428139</v>
      </c>
      <c r="AL171" s="977"/>
      <c r="AM171" s="977">
        <f>AM172/AM10</f>
        <v>0.1452530120481928</v>
      </c>
      <c r="AN171" s="667">
        <f>AN172/AN10</f>
        <v>0.14268061301726012</v>
      </c>
      <c r="AO171" s="978">
        <f>AN172/AK172</f>
        <v>0.90186699307718277</v>
      </c>
      <c r="AP171" s="978"/>
      <c r="AQ171" s="487">
        <f>AN172/AM172</f>
        <v>0.98782899609806996</v>
      </c>
      <c r="AR171" s="669">
        <f>AR172/AR10</f>
        <v>0.15788590617896259</v>
      </c>
      <c r="AS171" s="671"/>
      <c r="AT171" s="671">
        <f>AT172/AT10</f>
        <v>0.14606225292242295</v>
      </c>
      <c r="AU171" s="667">
        <f>AU172/AU10</f>
        <v>0.14103844621148159</v>
      </c>
      <c r="AV171" s="978">
        <f>AU172/AR172</f>
        <v>0.86555347487476741</v>
      </c>
      <c r="AW171" s="978"/>
      <c r="AX171" s="487">
        <f>AU172/AT172</f>
        <v>0.96226628039275697</v>
      </c>
      <c r="AY171" s="672"/>
      <c r="AZ171" s="673"/>
      <c r="BA171" s="1431"/>
      <c r="BB171" s="674"/>
      <c r="BC171" s="674"/>
      <c r="BD171" s="674"/>
      <c r="BE171" s="674"/>
    </row>
    <row r="172" spans="1:57" ht="20.100000000000001" customHeight="1">
      <c r="A172" s="787" t="s">
        <v>245</v>
      </c>
      <c r="B172" s="759"/>
      <c r="C172" s="759"/>
      <c r="D172" s="753"/>
      <c r="E172" s="759"/>
      <c r="F172" s="559">
        <f>F170+F164</f>
        <v>12389.30769230769</v>
      </c>
      <c r="G172" s="603">
        <f>G170+G164</f>
        <v>12389.30769230769</v>
      </c>
      <c r="H172" s="561">
        <f>H170+H164</f>
        <v>10764.085179969416</v>
      </c>
      <c r="I172" s="562">
        <f>H172-G172</f>
        <v>-1625.2225123382741</v>
      </c>
      <c r="J172" s="559">
        <f>J170+J164</f>
        <v>13385.213675213676</v>
      </c>
      <c r="K172" s="603">
        <f>K170+K164</f>
        <v>10850.51282051282</v>
      </c>
      <c r="L172" s="1308">
        <f>L170+L164</f>
        <v>10707.345379999999</v>
      </c>
      <c r="M172" s="562">
        <f>L172-K172</f>
        <v>-143.16744051282149</v>
      </c>
      <c r="N172" s="559">
        <f>N170+N164</f>
        <v>12438.034188034189</v>
      </c>
      <c r="O172" s="603">
        <f>O170+O164</f>
        <v>10766.923076923078</v>
      </c>
      <c r="P172" s="561">
        <f>P164+P170</f>
        <v>10619.939588468504</v>
      </c>
      <c r="Q172" s="562">
        <f>P172-O172</f>
        <v>-146.9834884545744</v>
      </c>
      <c r="R172" s="563">
        <f>F172+J172+N172</f>
        <v>38212.555555555555</v>
      </c>
      <c r="S172" s="463"/>
      <c r="T172" s="461">
        <f>G172+K172+O172</f>
        <v>34006.743589743586</v>
      </c>
      <c r="U172" s="464">
        <f>H172+L172+P172</f>
        <v>32091.370148437916</v>
      </c>
      <c r="V172" s="461">
        <f>U172-R172</f>
        <v>-6121.1854071176385</v>
      </c>
      <c r="W172" s="460"/>
      <c r="X172" s="465">
        <f>U172-T172</f>
        <v>-1915.37344130567</v>
      </c>
      <c r="Y172" s="559">
        <f>Y170+Y164</f>
        <v>12675.384615384615</v>
      </c>
      <c r="Z172" s="603">
        <f>Z170+Z164</f>
        <v>11407.264957264959</v>
      </c>
      <c r="AA172" s="561">
        <f>AA170+AA164</f>
        <v>11106.27291</v>
      </c>
      <c r="AB172" s="562">
        <f>AA172-Z172</f>
        <v>-300.99204726495918</v>
      </c>
      <c r="AC172" s="559">
        <f>AC170+AC164</f>
        <v>8871.5128205128203</v>
      </c>
      <c r="AD172" s="603">
        <f>AD170+AD164</f>
        <v>8064.0170940170938</v>
      </c>
      <c r="AE172" s="1051">
        <f>AE170+AE164</f>
        <v>8064.0170940170938</v>
      </c>
      <c r="AF172" s="562">
        <f>AE172-AD172</f>
        <v>0</v>
      </c>
      <c r="AG172" s="559">
        <f>AG170+AG164</f>
        <v>5540.5384615384619</v>
      </c>
      <c r="AH172" s="603">
        <f>AH170+AH164</f>
        <v>5258.9743589743593</v>
      </c>
      <c r="AI172" s="1051">
        <f>AI170+AI164</f>
        <v>5258.9743589743593</v>
      </c>
      <c r="AJ172" s="562">
        <f>AI172-AH172</f>
        <v>0</v>
      </c>
      <c r="AK172" s="462">
        <f>Y172+AC172+AG172</f>
        <v>27087.435897435898</v>
      </c>
      <c r="AL172" s="463"/>
      <c r="AM172" s="463">
        <f>Z172+AD172+AH172</f>
        <v>24730.256410256414</v>
      </c>
      <c r="AN172" s="464">
        <f>AA172+AE172+AI172</f>
        <v>24429.264362991453</v>
      </c>
      <c r="AO172" s="489">
        <f>AN172-AK172</f>
        <v>-2658.1715344444456</v>
      </c>
      <c r="AP172" s="489"/>
      <c r="AQ172" s="465">
        <f>AN172-AM172</f>
        <v>-300.992047264961</v>
      </c>
      <c r="AR172" s="462">
        <f>SUM(R172,AK172)</f>
        <v>65299.991452991453</v>
      </c>
      <c r="AS172" s="1030"/>
      <c r="AT172" s="675">
        <f>T172+AM172</f>
        <v>58737</v>
      </c>
      <c r="AU172" s="464">
        <f>SUM(U172,AN172)</f>
        <v>56520.634511429365</v>
      </c>
      <c r="AV172" s="460">
        <f>AU172-AR172</f>
        <v>-8779.3569415620877</v>
      </c>
      <c r="AW172" s="460"/>
      <c r="AX172" s="465">
        <f>AU172-AT172</f>
        <v>-2216.3654885706346</v>
      </c>
      <c r="AY172" s="457">
        <f>AR172/6</f>
        <v>10883.331908831909</v>
      </c>
      <c r="AZ172" s="458">
        <f>AU172/6</f>
        <v>9420.1057519048936</v>
      </c>
      <c r="BA172" s="1424">
        <v>9420.1057519048936</v>
      </c>
      <c r="BB172" s="302">
        <f>AZ172-AY172</f>
        <v>-1463.2261569270158</v>
      </c>
      <c r="BC172" s="302">
        <f>BA172-AY172</f>
        <v>-1463.2261569270158</v>
      </c>
      <c r="BD172" s="302">
        <f>BA172-AZ172</f>
        <v>0</v>
      </c>
      <c r="BE172" s="302">
        <f>AX172/6</f>
        <v>-369.39424809510575</v>
      </c>
    </row>
    <row r="173" spans="1:57" ht="20.100000000000001" customHeight="1">
      <c r="A173" s="788"/>
      <c r="B173" s="789"/>
      <c r="C173" s="801" t="s">
        <v>51</v>
      </c>
      <c r="D173" s="802"/>
      <c r="E173" s="1504"/>
      <c r="F173" s="651">
        <v>0.19600000000000001</v>
      </c>
      <c r="G173" s="676">
        <v>0.19600000000000001</v>
      </c>
      <c r="H173" s="677">
        <v>0.16573548821159914</v>
      </c>
      <c r="I173" s="683"/>
      <c r="J173" s="651">
        <v>0.19600000000000001</v>
      </c>
      <c r="K173" s="676">
        <v>0.17</v>
      </c>
      <c r="L173" s="677">
        <v>0.18780281743607125</v>
      </c>
      <c r="M173" s="1309"/>
      <c r="N173" s="651">
        <v>0.19500000000000001</v>
      </c>
      <c r="O173" s="676">
        <v>0.19500000000000001</v>
      </c>
      <c r="P173" s="677">
        <v>0.18130896175361563</v>
      </c>
      <c r="Q173" s="1310"/>
      <c r="R173" s="659">
        <f>R174/R11</f>
        <v>0.19584415584415585</v>
      </c>
      <c r="S173" s="660"/>
      <c r="T173" s="680">
        <f>T174/T11</f>
        <v>0.1890477386934673</v>
      </c>
      <c r="U173" s="655">
        <f>U174/U11</f>
        <v>0.18227061021301474</v>
      </c>
      <c r="V173" s="655"/>
      <c r="W173" s="660"/>
      <c r="X173" s="660"/>
      <c r="Y173" s="651">
        <v>0.19600000000000001</v>
      </c>
      <c r="Z173" s="676">
        <v>0.193</v>
      </c>
      <c r="AA173" s="677">
        <v>0.18993601084482192</v>
      </c>
      <c r="AB173" s="1310"/>
      <c r="AC173" s="651">
        <v>0.19500000000000001</v>
      </c>
      <c r="AD173" s="676">
        <v>0.192</v>
      </c>
      <c r="AE173" s="1076">
        <v>0.192</v>
      </c>
      <c r="AF173" s="1310"/>
      <c r="AG173" s="651">
        <v>0.19600000000000001</v>
      </c>
      <c r="AH173" s="676">
        <v>0.192</v>
      </c>
      <c r="AI173" s="1076">
        <v>0</v>
      </c>
      <c r="AJ173" s="1310"/>
      <c r="AK173" s="679">
        <f>AK174/AK11</f>
        <v>0.19601470588235295</v>
      </c>
      <c r="AL173" s="660"/>
      <c r="AM173" s="660">
        <f>AM174/AM11</f>
        <v>0.19236535303776686</v>
      </c>
      <c r="AN173" s="680">
        <f>AN174/AN11</f>
        <v>0.19079315443295763</v>
      </c>
      <c r="AO173" s="660"/>
      <c r="AP173" s="660"/>
      <c r="AQ173" s="514"/>
      <c r="AR173" s="679">
        <f>AR174/AR11</f>
        <v>0.19593002149510391</v>
      </c>
      <c r="AS173" s="678"/>
      <c r="AT173" s="678">
        <f>AT174/AT11</f>
        <v>0.19087370085856306</v>
      </c>
      <c r="AU173" s="680">
        <f>AU174/AU11</f>
        <v>0.18511513185717085</v>
      </c>
      <c r="AV173" s="682"/>
      <c r="AW173" s="682"/>
      <c r="AX173" s="492">
        <f>AU174/AT174</f>
        <v>1.0212469814294292</v>
      </c>
      <c r="AY173" s="471"/>
      <c r="AZ173" s="472"/>
      <c r="BA173" s="1425"/>
      <c r="BB173" s="472"/>
      <c r="BC173" s="472"/>
      <c r="BD173" s="472"/>
      <c r="BE173" s="472"/>
    </row>
    <row r="174" spans="1:57" ht="20.100000000000001" customHeight="1">
      <c r="A174" s="788"/>
      <c r="B174" s="789"/>
      <c r="C174" s="803" t="s">
        <v>52</v>
      </c>
      <c r="D174" s="763"/>
      <c r="E174" s="820"/>
      <c r="F174" s="516">
        <v>1280</v>
      </c>
      <c r="G174" s="588">
        <v>1280</v>
      </c>
      <c r="H174" s="589">
        <v>1900.0791800000009</v>
      </c>
      <c r="I174" s="590">
        <f>H174-G174</f>
        <v>620.07918000000086</v>
      </c>
      <c r="J174" s="516">
        <v>995</v>
      </c>
      <c r="K174" s="588">
        <f>K173*K11</f>
        <v>733.76068376068383</v>
      </c>
      <c r="L174" s="589">
        <f>L173*L11</f>
        <v>1345.0598299999999</v>
      </c>
      <c r="M174" s="590">
        <f>L174-K174</f>
        <v>611.29914623931609</v>
      </c>
      <c r="N174" s="516">
        <v>1205</v>
      </c>
      <c r="O174" s="588">
        <f>O173*O47</f>
        <v>1201.6666666666667</v>
      </c>
      <c r="P174" s="589">
        <f>P173*P47</f>
        <v>1592.1830884654003</v>
      </c>
      <c r="Q174" s="562">
        <f>P174-O174</f>
        <v>390.51642179873352</v>
      </c>
      <c r="R174" s="516">
        <f>F174+J174+N174</f>
        <v>3480</v>
      </c>
      <c r="S174" s="470"/>
      <c r="T174" s="446">
        <f>G174+K174+O174</f>
        <v>3215.4273504273506</v>
      </c>
      <c r="U174" s="446">
        <f>H174+L174+P174</f>
        <v>4837.3220984654008</v>
      </c>
      <c r="V174" s="446">
        <f>U174-R174</f>
        <v>1357.3220984654008</v>
      </c>
      <c r="W174" s="470"/>
      <c r="X174" s="470">
        <f>U174-T174</f>
        <v>1621.8947480380502</v>
      </c>
      <c r="Y174" s="516">
        <f>Y11*Y173</f>
        <v>1296.6153846153848</v>
      </c>
      <c r="Z174" s="588">
        <f>Z11*Z173</f>
        <v>1468.1196581196582</v>
      </c>
      <c r="AA174" s="589">
        <f>AA11*AA173</f>
        <v>1476.5633599999996</v>
      </c>
      <c r="AB174" s="562">
        <v>0</v>
      </c>
      <c r="AC174" s="516">
        <v>1150</v>
      </c>
      <c r="AD174" s="588">
        <f>AD11*AD173</f>
        <v>1476.9230769230769</v>
      </c>
      <c r="AE174" s="1058">
        <f>AE11*AE173</f>
        <v>1060.1025641025642</v>
      </c>
      <c r="AF174" s="562">
        <v>0</v>
      </c>
      <c r="AG174" s="516">
        <v>1085</v>
      </c>
      <c r="AH174" s="588">
        <f>AH11*AH173</f>
        <v>1060.1025641025642</v>
      </c>
      <c r="AI174" s="1058">
        <f>AI11*AI173</f>
        <v>0</v>
      </c>
      <c r="AJ174" s="562">
        <f>AI174-AH174</f>
        <v>-1060.1025641025642</v>
      </c>
      <c r="AK174" s="448">
        <f>Y174+AC174+AG174</f>
        <v>3531.6153846153848</v>
      </c>
      <c r="AL174" s="470"/>
      <c r="AM174" s="470">
        <f>Z174+AD174+AH174</f>
        <v>4005.1452991452998</v>
      </c>
      <c r="AN174" s="446">
        <f>AA174+AE174+AI174</f>
        <v>2536.6659241025636</v>
      </c>
      <c r="AO174" s="470">
        <f>AN174-AK174</f>
        <v>-994.94946051282113</v>
      </c>
      <c r="AP174" s="470"/>
      <c r="AQ174" s="435">
        <f>AN174-AM174</f>
        <v>-1468.4793750427361</v>
      </c>
      <c r="AR174" s="467">
        <f>SUM(R174,AK174)</f>
        <v>7011.6153846153848</v>
      </c>
      <c r="AS174" s="647"/>
      <c r="AT174" s="624">
        <f>T174+AM174</f>
        <v>7220.5726495726503</v>
      </c>
      <c r="AU174" s="469">
        <f>SUM(U174,AN174)</f>
        <v>7373.9880225679644</v>
      </c>
      <c r="AV174" s="466">
        <f>AU174-AR174</f>
        <v>362.37263795257968</v>
      </c>
      <c r="AW174" s="466"/>
      <c r="AX174" s="435">
        <f>AU174-AT174</f>
        <v>153.4153729953141</v>
      </c>
      <c r="AY174" s="471"/>
      <c r="AZ174" s="472"/>
      <c r="BA174" s="1425"/>
      <c r="BB174" s="472"/>
      <c r="BC174" s="472"/>
      <c r="BD174" s="472"/>
      <c r="BE174" s="472"/>
    </row>
    <row r="175" spans="1:57" ht="20.100000000000001" customHeight="1">
      <c r="A175" s="788"/>
      <c r="B175" s="789"/>
      <c r="C175" s="760" t="s">
        <v>51</v>
      </c>
      <c r="D175" s="804"/>
      <c r="E175" s="813"/>
      <c r="F175" s="651">
        <v>0.25</v>
      </c>
      <c r="G175" s="676">
        <v>0.25</v>
      </c>
      <c r="H175" s="677">
        <v>0.25177996461762892</v>
      </c>
      <c r="I175" s="683"/>
      <c r="J175" s="651">
        <v>0.25</v>
      </c>
      <c r="K175" s="676">
        <v>0.24</v>
      </c>
      <c r="L175" s="677">
        <v>0.25374747350711374</v>
      </c>
      <c r="M175" s="1309"/>
      <c r="N175" s="651">
        <v>0.25</v>
      </c>
      <c r="O175" s="676">
        <v>0.25</v>
      </c>
      <c r="P175" s="677">
        <v>0.24703803555150314</v>
      </c>
      <c r="Q175" s="1310"/>
      <c r="R175" s="659">
        <f>R176/R12</f>
        <v>0.25</v>
      </c>
      <c r="S175" s="660"/>
      <c r="T175" s="680">
        <f>T176/T12</f>
        <v>0.24746262870987282</v>
      </c>
      <c r="U175" s="680">
        <f>U176/U12</f>
        <v>0.25137053897561179</v>
      </c>
      <c r="V175" s="680"/>
      <c r="W175" s="660"/>
      <c r="X175" s="660"/>
      <c r="Y175" s="651">
        <v>0.25</v>
      </c>
      <c r="Z175" s="676">
        <v>0.246</v>
      </c>
      <c r="AA175" s="677">
        <v>0.23638621197582887</v>
      </c>
      <c r="AB175" s="1310"/>
      <c r="AC175" s="651">
        <v>0.25</v>
      </c>
      <c r="AD175" s="676">
        <v>0.245</v>
      </c>
      <c r="AE175" s="1076">
        <v>0.245</v>
      </c>
      <c r="AF175" s="1310"/>
      <c r="AG175" s="651">
        <v>0.25</v>
      </c>
      <c r="AH175" s="676">
        <v>0.245</v>
      </c>
      <c r="AI175" s="1076">
        <v>0.24</v>
      </c>
      <c r="AJ175" s="1310"/>
      <c r="AK175" s="679">
        <f>AK176/AK12</f>
        <v>0.25</v>
      </c>
      <c r="AL175" s="660"/>
      <c r="AM175" s="660">
        <f>AM176/AM12</f>
        <v>0.24536485159428417</v>
      </c>
      <c r="AN175" s="680">
        <f>AN176/AN12</f>
        <v>0.23996777664856064</v>
      </c>
      <c r="AO175" s="660"/>
      <c r="AP175" s="660"/>
      <c r="AQ175" s="514"/>
      <c r="AR175" s="679">
        <f>AR176/AR12</f>
        <v>0.25</v>
      </c>
      <c r="AS175" s="678"/>
      <c r="AT175" s="678">
        <f>AT176/AT12</f>
        <v>0.2463145483262405</v>
      </c>
      <c r="AU175" s="680">
        <f>AU176/AU12</f>
        <v>0.24496742857589526</v>
      </c>
      <c r="AV175" s="682"/>
      <c r="AW175" s="682"/>
      <c r="AX175" s="492">
        <f>AU176/AT176</f>
        <v>0.80252648588629139</v>
      </c>
      <c r="AY175" s="471"/>
      <c r="AZ175" s="472"/>
      <c r="BA175" s="1425"/>
      <c r="BB175" s="472"/>
      <c r="BC175" s="472"/>
      <c r="BD175" s="472"/>
      <c r="BE175" s="472"/>
    </row>
    <row r="176" spans="1:57" ht="20.100000000000001" customHeight="1">
      <c r="A176" s="788"/>
      <c r="B176" s="789"/>
      <c r="C176" s="803" t="s">
        <v>246</v>
      </c>
      <c r="D176" s="763"/>
      <c r="E176" s="820"/>
      <c r="F176" s="516">
        <f>F12*F175</f>
        <v>33848.290598290601</v>
      </c>
      <c r="G176" s="539">
        <f>G12*G175</f>
        <v>33848.290598290601</v>
      </c>
      <c r="H176" s="540">
        <v>18488.963549999993</v>
      </c>
      <c r="I176" s="590">
        <f>H176-G176</f>
        <v>-15359.327048290608</v>
      </c>
      <c r="J176" s="516">
        <f>J12*J175</f>
        <v>26326.923076923078</v>
      </c>
      <c r="K176" s="539">
        <f>K12*K175</f>
        <v>21483.076923076922</v>
      </c>
      <c r="L176" s="540">
        <f>L12*L175</f>
        <v>21756.921710000002</v>
      </c>
      <c r="M176" s="590">
        <f>L176-K176</f>
        <v>273.84478692308039</v>
      </c>
      <c r="N176" s="516">
        <f>N12*N175</f>
        <v>31967.948717948719</v>
      </c>
      <c r="O176" s="539">
        <f>O175*O48</f>
        <v>31967.948717948719</v>
      </c>
      <c r="P176" s="540">
        <f>P175*P48</f>
        <v>29058.511711569143</v>
      </c>
      <c r="Q176" s="562">
        <f>P176-O176</f>
        <v>-2909.4370063795759</v>
      </c>
      <c r="R176" s="444">
        <f>F176+J176+N176</f>
        <v>92143.162393162405</v>
      </c>
      <c r="S176" s="445"/>
      <c r="T176" s="446">
        <f>G176+K176+O176</f>
        <v>87299.316239316249</v>
      </c>
      <c r="U176" s="446">
        <f>H176+L176+P176</f>
        <v>69304.396971569135</v>
      </c>
      <c r="V176" s="446">
        <f>U176-R176</f>
        <v>-22838.765421593271</v>
      </c>
      <c r="W176" s="445"/>
      <c r="X176" s="445">
        <f>U176-T176</f>
        <v>-17994.919267747115</v>
      </c>
      <c r="Y176" s="516">
        <f>Y12*Y175</f>
        <v>33824.786324786328</v>
      </c>
      <c r="Z176" s="539">
        <f>Z12*Z175</f>
        <v>38277.179487179485</v>
      </c>
      <c r="AA176" s="540">
        <f>AA12*AA175</f>
        <v>37621.152329999997</v>
      </c>
      <c r="AB176" s="562">
        <v>0</v>
      </c>
      <c r="AC176" s="516">
        <f>AC12*AC175</f>
        <v>30066.239316239316</v>
      </c>
      <c r="AD176" s="539">
        <f>AD12*AD175</f>
        <v>38739.316239316242</v>
      </c>
      <c r="AE176" s="1064">
        <f>AE12*AE175</f>
        <v>27624.273504273508</v>
      </c>
      <c r="AF176" s="562">
        <v>0</v>
      </c>
      <c r="AG176" s="516">
        <f>AG12*AG175</f>
        <v>28188.034188034191</v>
      </c>
      <c r="AH176" s="539">
        <f>AH12*AH175</f>
        <v>27624.273504273508</v>
      </c>
      <c r="AI176" s="1064">
        <f>AI12*AI175</f>
        <v>19487.179487179488</v>
      </c>
      <c r="AJ176" s="562">
        <f>AI176-AH176</f>
        <v>-8137.0940170940194</v>
      </c>
      <c r="AK176" s="448">
        <f>Y176+AC176+AG176</f>
        <v>92079.059829059828</v>
      </c>
      <c r="AL176" s="445"/>
      <c r="AM176" s="445">
        <f>Z176+AD176+AH176</f>
        <v>104640.76923076922</v>
      </c>
      <c r="AN176" s="507">
        <f>AA176+AE176+AI176</f>
        <v>84732.605321452997</v>
      </c>
      <c r="AO176" s="445">
        <f>AN176-AK176</f>
        <v>-7346.4545076068316</v>
      </c>
      <c r="AP176" s="445"/>
      <c r="AQ176" s="509">
        <f>AN176-AM176</f>
        <v>-19908.163909316223</v>
      </c>
      <c r="AR176" s="467">
        <f>SUM(R176,AK176)</f>
        <v>184222.22222222225</v>
      </c>
      <c r="AS176" s="647"/>
      <c r="AT176" s="624">
        <f>T176+AM176</f>
        <v>191940.08547008547</v>
      </c>
      <c r="AU176" s="469">
        <f>SUM(U176,AN176)</f>
        <v>154037.00229302212</v>
      </c>
      <c r="AV176" s="466">
        <f>AU176-AR176</f>
        <v>-30185.219929200131</v>
      </c>
      <c r="AW176" s="508"/>
      <c r="AX176" s="509">
        <v>34069.743589743593</v>
      </c>
      <c r="AY176" s="471"/>
      <c r="AZ176" s="472"/>
      <c r="BA176" s="1425"/>
      <c r="BB176" s="472"/>
      <c r="BC176" s="472"/>
      <c r="BD176" s="472"/>
      <c r="BE176" s="472"/>
    </row>
    <row r="177" spans="1:57" ht="20.100000000000001" customHeight="1">
      <c r="A177" s="822" t="str">
        <f>A171</f>
        <v>%=粗利率</v>
      </c>
      <c r="B177" s="823"/>
      <c r="C177" s="823"/>
      <c r="D177" s="824"/>
      <c r="E177" s="823"/>
      <c r="F177" s="663">
        <f>F178/F14</f>
        <v>0.23400000000000001</v>
      </c>
      <c r="G177" s="684">
        <f>G178/G14</f>
        <v>0.23600000000000004</v>
      </c>
      <c r="H177" s="685">
        <f>H178/H14</f>
        <v>0.21696504141526873</v>
      </c>
      <c r="I177" s="548">
        <f>H178/G178</f>
        <v>0.59383633686440673</v>
      </c>
      <c r="J177" s="663">
        <f>J178/J14</f>
        <v>0.23400000000000001</v>
      </c>
      <c r="K177" s="684">
        <f>K178/K14</f>
        <v>0.22522499999999998</v>
      </c>
      <c r="L177" s="665">
        <f>L178/L14</f>
        <v>0.23661011680697314</v>
      </c>
      <c r="M177" s="1295">
        <f>L178/K178</f>
        <v>1.0282251082251082</v>
      </c>
      <c r="N177" s="663">
        <f>N178/N14</f>
        <v>0.23399999999999999</v>
      </c>
      <c r="O177" s="684">
        <f>O178/O14</f>
        <v>0.23399999999999999</v>
      </c>
      <c r="P177" s="685">
        <f>P178/P14</f>
        <v>0.23049774210079535</v>
      </c>
      <c r="Q177" s="1310">
        <f>P178/O178</f>
        <v>0.92741235294117652</v>
      </c>
      <c r="R177" s="663">
        <f>R178/R14</f>
        <v>0.23399999999999999</v>
      </c>
      <c r="S177" s="978"/>
      <c r="T177" s="670">
        <f>T178/T14</f>
        <v>0.23252553191489361</v>
      </c>
      <c r="U177" s="686">
        <f>U178/U14</f>
        <v>0.22832510743290402</v>
      </c>
      <c r="V177" s="667">
        <f>U178/R178</f>
        <v>0.78413109183673479</v>
      </c>
      <c r="W177" s="668"/>
      <c r="X177" s="486">
        <f>U178/T178</f>
        <v>0.82268221279749654</v>
      </c>
      <c r="Y177" s="663">
        <f>Y178/Y14</f>
        <v>0.23400000000000001</v>
      </c>
      <c r="Z177" s="684">
        <f>Z178/Z14</f>
        <v>0.22999999999999998</v>
      </c>
      <c r="AA177" s="665">
        <f>AA178/AA14</f>
        <v>0.22238866142129632</v>
      </c>
      <c r="AB177" s="1310">
        <f>AA178/Z178</f>
        <v>0.96787826086956519</v>
      </c>
      <c r="AC177" s="663">
        <f>AC178/AC14</f>
        <v>0.23385375</v>
      </c>
      <c r="AD177" s="684">
        <f>AD178/AD14</f>
        <v>0.22900000000000001</v>
      </c>
      <c r="AE177" s="1077">
        <f>AE178/AE14</f>
        <v>0.22900000000000001</v>
      </c>
      <c r="AF177" s="1310">
        <f>AE178/AD178</f>
        <v>0.70093457943925241</v>
      </c>
      <c r="AG177" s="663">
        <f>AG178/AG14</f>
        <v>0.23399999999999999</v>
      </c>
      <c r="AH177" s="684">
        <f>AH178/AH14</f>
        <v>0.22900000000000001</v>
      </c>
      <c r="AI177" s="1077">
        <f>AI178/AI14</f>
        <v>0.231075</v>
      </c>
      <c r="AJ177" s="1310">
        <f>AI178/AH178</f>
        <v>0.66167943303028132</v>
      </c>
      <c r="AK177" s="687">
        <f>AK178/AK14</f>
        <v>0.23395224489795916</v>
      </c>
      <c r="AL177" s="553"/>
      <c r="AM177" s="977">
        <f>AM178/AM14</f>
        <v>0.22936426712922811</v>
      </c>
      <c r="AN177" s="686">
        <f>AN178/AN14</f>
        <v>0.22643101386623615</v>
      </c>
      <c r="AO177" s="978">
        <f>AN178/AK178</f>
        <v>0.90901178157761131</v>
      </c>
      <c r="AP177" s="978"/>
      <c r="AQ177" s="487">
        <f>AN178/AM178</f>
        <v>0.78807533928010975</v>
      </c>
      <c r="AR177" s="687">
        <f>AR178/AR14</f>
        <v>0.23397612244897956</v>
      </c>
      <c r="AS177" s="1078"/>
      <c r="AT177" s="667">
        <f>AT178/AT14</f>
        <v>0.2307840420449116</v>
      </c>
      <c r="AU177" s="667">
        <f>AU178/AU14</f>
        <v>0.227304383774695</v>
      </c>
      <c r="AV177" s="978">
        <f>AU178/AR178</f>
        <v>0.84656506459319514</v>
      </c>
      <c r="AW177" s="978"/>
      <c r="AX177" s="487">
        <f>AU178/AT178</f>
        <v>0.80373512668959146</v>
      </c>
      <c r="AY177" s="672"/>
      <c r="AZ177" s="673"/>
      <c r="BA177" s="1431"/>
      <c r="BB177" s="688"/>
      <c r="BC177" s="688"/>
      <c r="BD177" s="688"/>
      <c r="BE177" s="688"/>
    </row>
    <row r="178" spans="1:57" ht="20.100000000000001" customHeight="1">
      <c r="A178" s="787" t="s">
        <v>247</v>
      </c>
      <c r="B178" s="759"/>
      <c r="C178" s="759"/>
      <c r="D178" s="753"/>
      <c r="E178" s="759"/>
      <c r="F178" s="559">
        <f>180000*0.234/1.17</f>
        <v>36000</v>
      </c>
      <c r="G178" s="603">
        <v>36307.692307692312</v>
      </c>
      <c r="H178" s="561">
        <v>21560.827000000001</v>
      </c>
      <c r="I178" s="562">
        <f>H178-G178</f>
        <v>-14746.865307692311</v>
      </c>
      <c r="J178" s="559">
        <v>28000.000000000004</v>
      </c>
      <c r="K178" s="603">
        <v>23100</v>
      </c>
      <c r="L178" s="561">
        <v>23752</v>
      </c>
      <c r="M178" s="562">
        <f>L178-K178</f>
        <v>652</v>
      </c>
      <c r="N178" s="559">
        <v>34000</v>
      </c>
      <c r="O178" s="603">
        <v>34000</v>
      </c>
      <c r="P178" s="561">
        <v>31532.02</v>
      </c>
      <c r="Q178" s="562">
        <f>P178-O178</f>
        <v>-2467.9799999999996</v>
      </c>
      <c r="R178" s="462">
        <f>F178+J178+N178</f>
        <v>98000</v>
      </c>
      <c r="S178" s="463"/>
      <c r="T178" s="489">
        <f>G178+K178+O178</f>
        <v>93407.692307692312</v>
      </c>
      <c r="U178" s="306">
        <f>H178+L178+P178</f>
        <v>76844.847000000009</v>
      </c>
      <c r="V178" s="461">
        <f>U178-R178</f>
        <v>-21155.152999999991</v>
      </c>
      <c r="W178" s="460"/>
      <c r="X178" s="465">
        <f>U178-T178</f>
        <v>-16562.845307692303</v>
      </c>
      <c r="Y178" s="559">
        <v>36000</v>
      </c>
      <c r="Z178" s="603">
        <v>41282.051282051281</v>
      </c>
      <c r="AA178" s="561">
        <v>39956</v>
      </c>
      <c r="AB178" s="562">
        <v>0</v>
      </c>
      <c r="AC178" s="559">
        <v>31980</v>
      </c>
      <c r="AD178" s="603">
        <v>41885.470085470086</v>
      </c>
      <c r="AE178" s="1051">
        <v>29358.974358974363</v>
      </c>
      <c r="AF178" s="562">
        <v>0</v>
      </c>
      <c r="AG178" s="559">
        <v>30000</v>
      </c>
      <c r="AH178" s="603">
        <v>29848.290598290601</v>
      </c>
      <c r="AI178" s="1051">
        <v>19750</v>
      </c>
      <c r="AJ178" s="562">
        <f>AI178-AH178</f>
        <v>-10098.290598290601</v>
      </c>
      <c r="AK178" s="462">
        <f>Y178+AC178+AG178</f>
        <v>97980</v>
      </c>
      <c r="AL178" s="463"/>
      <c r="AM178" s="463">
        <f>Z178+AD178+AH178</f>
        <v>113015.81196581197</v>
      </c>
      <c r="AN178" s="306">
        <f>AA178+AE178+AI178</f>
        <v>89064.974358974359</v>
      </c>
      <c r="AO178" s="489">
        <f>AN178-AK178</f>
        <v>-8915.0256410256407</v>
      </c>
      <c r="AP178" s="489"/>
      <c r="AQ178" s="465">
        <f>AN178-AM178</f>
        <v>-23950.837606837609</v>
      </c>
      <c r="AR178" s="462">
        <f>SUM(R178,AK178)</f>
        <v>195980</v>
      </c>
      <c r="AS178" s="1030"/>
      <c r="AT178" s="675">
        <f>T178+AM178</f>
        <v>206423.50427350428</v>
      </c>
      <c r="AU178" s="464">
        <f>SUM(U178,AN178)</f>
        <v>165909.82135897438</v>
      </c>
      <c r="AV178" s="460">
        <f>AU178-AR178</f>
        <v>-30070.178641025617</v>
      </c>
      <c r="AW178" s="460"/>
      <c r="AX178" s="465">
        <f>AU178-AT178</f>
        <v>-40513.682914529898</v>
      </c>
      <c r="AY178" s="457">
        <f t="shared" ref="AY178:AY216" si="152">AR178/6</f>
        <v>32663.333333333332</v>
      </c>
      <c r="AZ178" s="458">
        <f>AU178/6</f>
        <v>27651.636893162398</v>
      </c>
      <c r="BA178" s="1424">
        <v>27651.636893162398</v>
      </c>
      <c r="BB178" s="302">
        <f>AZ178-AY178</f>
        <v>-5011.6964401709338</v>
      </c>
      <c r="BC178" s="302">
        <f>BA178-AY178</f>
        <v>-5011.6964401709338</v>
      </c>
      <c r="BD178" s="302">
        <f>BA178-AZ178</f>
        <v>0</v>
      </c>
      <c r="BE178" s="302">
        <f>AX178/6</f>
        <v>-6752.2804857549827</v>
      </c>
    </row>
    <row r="179" spans="1:57" ht="20.100000000000001" customHeight="1">
      <c r="A179" s="760"/>
      <c r="B179" s="796"/>
      <c r="C179" s="760" t="s">
        <v>51</v>
      </c>
      <c r="D179" s="804"/>
      <c r="E179" s="813"/>
      <c r="F179" s="659">
        <f>F180/F15</f>
        <v>0.12589681903234429</v>
      </c>
      <c r="G179" s="676">
        <f>G180/G15</f>
        <v>0.12623684210526315</v>
      </c>
      <c r="H179" s="677">
        <f>H180/H15</f>
        <v>8.1480993193022447E-2</v>
      </c>
      <c r="I179" s="611"/>
      <c r="J179" s="659">
        <f>J180/J15</f>
        <v>0.12589681903234429</v>
      </c>
      <c r="K179" s="676">
        <f>K180/K15</f>
        <v>0.12402000000000001</v>
      </c>
      <c r="L179" s="677">
        <f>L180/L15</f>
        <v>9.0416305962454327E-2</v>
      </c>
      <c r="M179" s="611"/>
      <c r="N179" s="659">
        <f>N180/N15</f>
        <v>0.12589681903234429</v>
      </c>
      <c r="O179" s="676">
        <f>O180/O15</f>
        <v>0.12636</v>
      </c>
      <c r="P179" s="677">
        <f>P180/P15</f>
        <v>0.11159512268335853</v>
      </c>
      <c r="Q179" s="611"/>
      <c r="R179" s="651">
        <f>R180/R15</f>
        <v>0.12589681903234429</v>
      </c>
      <c r="S179" s="976"/>
      <c r="T179" s="655"/>
      <c r="U179" s="655">
        <f>U180/U15</f>
        <v>9.3944441149310581E-2</v>
      </c>
      <c r="V179" s="689"/>
      <c r="W179" s="690"/>
      <c r="X179" s="660"/>
      <c r="Y179" s="659">
        <f>Y180/Y15</f>
        <v>0.12580026631158456</v>
      </c>
      <c r="Z179" s="676">
        <f>Z180/Z15</f>
        <v>0.12556097560975607</v>
      </c>
      <c r="AA179" s="677">
        <f>AA180/AA15</f>
        <v>9.226494327801886E-2</v>
      </c>
      <c r="AB179" s="611"/>
      <c r="AC179" s="659">
        <f>AC180/AC15</f>
        <v>0.12580026631158456</v>
      </c>
      <c r="AD179" s="676">
        <f>AD180/AD15</f>
        <v>0.12577499999999997</v>
      </c>
      <c r="AE179" s="1076">
        <f>AE180/AE15</f>
        <v>0.10468421052631578</v>
      </c>
      <c r="AF179" s="611"/>
      <c r="AG179" s="659">
        <f>AG180/AG15</f>
        <v>0.12580026631158456</v>
      </c>
      <c r="AH179" s="676">
        <f>AH180/AH15</f>
        <v>0.12655102040816327</v>
      </c>
      <c r="AI179" s="1076">
        <f>AI180/AI15</f>
        <v>0.10893103448275861</v>
      </c>
      <c r="AJ179" s="611"/>
      <c r="AK179" s="651">
        <f>AK180/AK15</f>
        <v>0.12580026631158456</v>
      </c>
      <c r="AL179" s="976"/>
      <c r="AM179" s="656">
        <f>AM180/AM15</f>
        <v>0.12597</v>
      </c>
      <c r="AN179" s="655">
        <f>AN180/AN15</f>
        <v>0.10230245214153896</v>
      </c>
      <c r="AO179" s="979"/>
      <c r="AP179" s="979"/>
      <c r="AQ179" s="492"/>
      <c r="AR179" s="651">
        <f>AR180/AR15</f>
        <v>0.12584845250800425</v>
      </c>
      <c r="AS179" s="976"/>
      <c r="AT179" s="656">
        <f>AT180/AT15</f>
        <v>0.12574545454545452</v>
      </c>
      <c r="AU179" s="655">
        <f>AU180/AU15</f>
        <v>9.7337308442613443E-2</v>
      </c>
      <c r="AV179" s="691"/>
      <c r="AW179" s="691"/>
      <c r="AX179" s="324">
        <f>AU180/AT180</f>
        <v>0.61102251370145466</v>
      </c>
      <c r="AY179" s="471"/>
      <c r="AZ179" s="472"/>
      <c r="BA179" s="1425"/>
      <c r="BB179" s="472"/>
      <c r="BC179" s="472"/>
      <c r="BD179" s="472"/>
      <c r="BE179" s="472"/>
    </row>
    <row r="180" spans="1:57" ht="20.100000000000001" customHeight="1">
      <c r="A180" s="760"/>
      <c r="B180" s="796"/>
      <c r="C180" s="803" t="s">
        <v>248</v>
      </c>
      <c r="D180" s="804"/>
      <c r="E180" s="813"/>
      <c r="F180" s="444">
        <v>6038.2051282051279</v>
      </c>
      <c r="G180" s="539">
        <v>6150</v>
      </c>
      <c r="H180" s="540">
        <v>3061.6948400000001</v>
      </c>
      <c r="I180" s="590">
        <f>H180-G180</f>
        <v>-3088.3051599999999</v>
      </c>
      <c r="J180" s="444">
        <v>6038.2051282051279</v>
      </c>
      <c r="K180" s="539">
        <v>5300</v>
      </c>
      <c r="L180" s="540">
        <v>4138.84311290599</v>
      </c>
      <c r="M180" s="590">
        <f>L180-K180</f>
        <v>-1161.15688709401</v>
      </c>
      <c r="N180" s="444">
        <v>6038.2051282051279</v>
      </c>
      <c r="O180" s="539">
        <v>4320</v>
      </c>
      <c r="P180" s="540">
        <v>3982.0090844444398</v>
      </c>
      <c r="Q180" s="590">
        <f>P180-O180</f>
        <v>-337.99091555556015</v>
      </c>
      <c r="R180" s="516">
        <f>F180+J180+N180</f>
        <v>18114.615384615383</v>
      </c>
      <c r="S180" s="470"/>
      <c r="T180" s="446">
        <f>G180+K180+O180</f>
        <v>15770</v>
      </c>
      <c r="U180" s="446">
        <f>H180+L180+P180</f>
        <v>11182.54703735043</v>
      </c>
      <c r="V180" s="446">
        <f>U180-R180</f>
        <v>-6932.0683472649525</v>
      </c>
      <c r="W180" s="470"/>
      <c r="X180" s="470">
        <f>U180-T180</f>
        <v>-4587.4529626495696</v>
      </c>
      <c r="Y180" s="444">
        <v>6056.1538461538457</v>
      </c>
      <c r="Z180" s="539">
        <v>4400</v>
      </c>
      <c r="AA180" s="540">
        <v>2221.2916</v>
      </c>
      <c r="AB180" s="590">
        <v>0</v>
      </c>
      <c r="AC180" s="444">
        <v>6056.1538461538457</v>
      </c>
      <c r="AD180" s="539">
        <v>6450</v>
      </c>
      <c r="AE180" s="1064">
        <v>3400</v>
      </c>
      <c r="AF180" s="590">
        <v>0</v>
      </c>
      <c r="AG180" s="444">
        <v>6056.1538461538457</v>
      </c>
      <c r="AH180" s="539">
        <v>5300</v>
      </c>
      <c r="AI180" s="1064">
        <v>2700</v>
      </c>
      <c r="AJ180" s="590">
        <f>AI180-AH180</f>
        <v>-2600</v>
      </c>
      <c r="AK180" s="591">
        <f>Y180+AC180+AG180</f>
        <v>18168.461538461539</v>
      </c>
      <c r="AL180" s="468"/>
      <c r="AM180" s="466">
        <f>Z180+AD180+AH180</f>
        <v>16150</v>
      </c>
      <c r="AN180" s="446">
        <f>AA180+AE180+AI180</f>
        <v>8321.2916000000005</v>
      </c>
      <c r="AO180" s="470">
        <f>AN180-AK180</f>
        <v>-9847.1699384615385</v>
      </c>
      <c r="AP180" s="470"/>
      <c r="AQ180" s="435">
        <f>AN180-AM180</f>
        <v>-7828.7083999999995</v>
      </c>
      <c r="AR180" s="591">
        <f>SUM(R180,AK180)</f>
        <v>36283.076923076922</v>
      </c>
      <c r="AS180" s="468"/>
      <c r="AT180" s="361">
        <f>SUM(T180,AM180)</f>
        <v>31920</v>
      </c>
      <c r="AU180" s="469">
        <f>SUM(U180,AN180)</f>
        <v>19503.838637350433</v>
      </c>
      <c r="AV180" s="308">
        <f>AU180-AR180</f>
        <v>-16779.238285726489</v>
      </c>
      <c r="AW180" s="308"/>
      <c r="AX180" s="291">
        <f>AU180-AT180</f>
        <v>-12416.161362649567</v>
      </c>
      <c r="AY180" s="471"/>
      <c r="AZ180" s="472"/>
      <c r="BA180" s="1425"/>
      <c r="BB180" s="472"/>
      <c r="BC180" s="472"/>
      <c r="BD180" s="472"/>
      <c r="BE180" s="472"/>
    </row>
    <row r="181" spans="1:57" ht="20.100000000000001" customHeight="1">
      <c r="A181" s="760"/>
      <c r="B181" s="796"/>
      <c r="C181" s="801" t="s">
        <v>51</v>
      </c>
      <c r="D181" s="802"/>
      <c r="E181" s="1504"/>
      <c r="F181" s="693">
        <f>F182/F16</f>
        <v>0.15986999999999998</v>
      </c>
      <c r="G181" s="694">
        <f>G182/G16</f>
        <v>0.15750967741935482</v>
      </c>
      <c r="H181" s="695">
        <f>H182/H16</f>
        <v>0.11103515155754155</v>
      </c>
      <c r="I181" s="629"/>
      <c r="J181" s="693">
        <f>J182/J16</f>
        <v>0.15986999999999998</v>
      </c>
      <c r="K181" s="694">
        <f>K182/K16</f>
        <v>0.13989130434782607</v>
      </c>
      <c r="L181" s="695">
        <f>L182/L16</f>
        <v>0.14385469338101695</v>
      </c>
      <c r="M181" s="1300"/>
      <c r="N181" s="693">
        <f>N182/N16</f>
        <v>0.15986999999999998</v>
      </c>
      <c r="O181" s="694">
        <f>O182/O16</f>
        <v>0.1611509433962264</v>
      </c>
      <c r="P181" s="695">
        <f>P182/P16</f>
        <v>0.17129980014344745</v>
      </c>
      <c r="Q181" s="1300"/>
      <c r="R181" s="651">
        <f>R182/R16</f>
        <v>0.15987000000000001</v>
      </c>
      <c r="S181" s="976"/>
      <c r="T181" s="656"/>
      <c r="U181" s="655">
        <f>U182/U16</f>
        <v>0.13739272066831554</v>
      </c>
      <c r="V181" s="689"/>
      <c r="W181" s="690"/>
      <c r="X181" s="660"/>
      <c r="Y181" s="693">
        <f>Y182/Y16</f>
        <v>0.15986999999999998</v>
      </c>
      <c r="Z181" s="694">
        <f>Z182/Z16</f>
        <v>0.15897431906614787</v>
      </c>
      <c r="AA181" s="695">
        <f>AA182/AA16</f>
        <v>0.11527337666245266</v>
      </c>
      <c r="AB181" s="1300"/>
      <c r="AC181" s="693">
        <f>AC182/AC16</f>
        <v>0.15986999999999998</v>
      </c>
      <c r="AD181" s="694">
        <f>AD182/AD16</f>
        <v>0.16007727272727271</v>
      </c>
      <c r="AE181" s="1079">
        <f>AE182/AE16</f>
        <v>0.14317105263157895</v>
      </c>
      <c r="AF181" s="1300"/>
      <c r="AG181" s="693">
        <f>AG182/AG16</f>
        <v>0.15986999999999998</v>
      </c>
      <c r="AH181" s="694">
        <f>AH182/AH16</f>
        <v>0.16019999999999998</v>
      </c>
      <c r="AI181" s="1079">
        <f>AI182/AI16</f>
        <v>0.15978358208955221</v>
      </c>
      <c r="AJ181" s="1300"/>
      <c r="AK181" s="651">
        <f>AK182/AK16</f>
        <v>0.15987000000000001</v>
      </c>
      <c r="AL181" s="976"/>
      <c r="AM181" s="656">
        <f>AM182/AM16</f>
        <v>0.15970072992700729</v>
      </c>
      <c r="AN181" s="655">
        <f>AN182/AN16</f>
        <v>0.13291382761236289</v>
      </c>
      <c r="AO181" s="979"/>
      <c r="AP181" s="979"/>
      <c r="AQ181" s="492"/>
      <c r="AR181" s="651">
        <f>AR182/AR16</f>
        <v>0.15987000000000001</v>
      </c>
      <c r="AS181" s="976"/>
      <c r="AT181" s="656">
        <f>AT182/AT16</f>
        <v>0.15674490923441198</v>
      </c>
      <c r="AU181" s="655">
        <f>AU182/AU16</f>
        <v>0.1350263267116118</v>
      </c>
      <c r="AV181" s="691"/>
      <c r="AW181" s="691"/>
      <c r="AX181" s="492">
        <f>AU182/AT182</f>
        <v>0.74443616107149724</v>
      </c>
      <c r="AY181" s="471"/>
      <c r="AZ181" s="472"/>
      <c r="BA181" s="1425"/>
      <c r="BB181" s="472"/>
      <c r="BC181" s="472"/>
      <c r="BD181" s="472"/>
      <c r="BE181" s="472"/>
    </row>
    <row r="182" spans="1:57" ht="20.100000000000001" customHeight="1">
      <c r="A182" s="760"/>
      <c r="B182" s="796"/>
      <c r="C182" s="803" t="s">
        <v>49</v>
      </c>
      <c r="D182" s="763"/>
      <c r="E182" s="820"/>
      <c r="F182" s="516">
        <v>12297.692307692307</v>
      </c>
      <c r="G182" s="588">
        <v>12520</v>
      </c>
      <c r="H182" s="589">
        <v>10275.444204326001</v>
      </c>
      <c r="I182" s="590">
        <f>H182-G182</f>
        <v>-2244.5557956739995</v>
      </c>
      <c r="J182" s="516">
        <v>12297.692307692307</v>
      </c>
      <c r="K182" s="588">
        <v>11000</v>
      </c>
      <c r="L182" s="589">
        <v>9990.5717958119694</v>
      </c>
      <c r="M182" s="590">
        <f>L182-K182</f>
        <v>-1009.4282041880306</v>
      </c>
      <c r="N182" s="516">
        <v>12297.692307692307</v>
      </c>
      <c r="O182" s="588">
        <v>14600</v>
      </c>
      <c r="P182" s="589">
        <v>10055.629999999999</v>
      </c>
      <c r="Q182" s="590">
        <f>P182-O182</f>
        <v>-4544.3700000000008</v>
      </c>
      <c r="R182" s="516">
        <f>F182+J182+N182</f>
        <v>36893.076923076922</v>
      </c>
      <c r="S182" s="470"/>
      <c r="T182" s="446">
        <f>G182+K182+O182</f>
        <v>38120</v>
      </c>
      <c r="U182" s="446">
        <f>H182+L182+P182</f>
        <v>30321.646000137967</v>
      </c>
      <c r="V182" s="446">
        <f>U182-R182</f>
        <v>-6571.4309229389546</v>
      </c>
      <c r="W182" s="445"/>
      <c r="X182" s="445">
        <f>U182-T182</f>
        <v>-7798.3539998620327</v>
      </c>
      <c r="Y182" s="516">
        <v>12297.692307692307</v>
      </c>
      <c r="Z182" s="588">
        <v>17460</v>
      </c>
      <c r="AA182" s="589">
        <v>14408.65099</v>
      </c>
      <c r="AB182" s="590">
        <v>0</v>
      </c>
      <c r="AC182" s="516">
        <v>12297.692307692307</v>
      </c>
      <c r="AD182" s="588">
        <f>14970+80</f>
        <v>15050</v>
      </c>
      <c r="AE182" s="1058">
        <v>9300</v>
      </c>
      <c r="AF182" s="590">
        <v>0</v>
      </c>
      <c r="AG182" s="516">
        <v>12297.692307692307</v>
      </c>
      <c r="AH182" s="588">
        <f>13120+1120</f>
        <v>14240</v>
      </c>
      <c r="AI182" s="1058">
        <v>9150</v>
      </c>
      <c r="AJ182" s="590">
        <f>AI182-AH182</f>
        <v>-5090</v>
      </c>
      <c r="AK182" s="591">
        <f>Y182+AC182+AG182</f>
        <v>36893.076923076922</v>
      </c>
      <c r="AL182" s="468"/>
      <c r="AM182" s="466">
        <f>Z182+AD182+AH182</f>
        <v>46750</v>
      </c>
      <c r="AN182" s="469">
        <f>AA182+AE182+AI182</f>
        <v>32858.650990000002</v>
      </c>
      <c r="AO182" s="470">
        <f>AN182-AK182</f>
        <v>-4034.42593307692</v>
      </c>
      <c r="AP182" s="470"/>
      <c r="AQ182" s="435">
        <f>AN182-AM182</f>
        <v>-13891.349009999998</v>
      </c>
      <c r="AR182" s="591">
        <f>SUM(R182,AK182)</f>
        <v>73786.153846153844</v>
      </c>
      <c r="AS182" s="468"/>
      <c r="AT182" s="594">
        <f>SUM(T182,AM182)</f>
        <v>84870</v>
      </c>
      <c r="AU182" s="469">
        <f>SUM(U182,AN182)</f>
        <v>63180.296990137969</v>
      </c>
      <c r="AV182" s="466">
        <f>AU182-AR182</f>
        <v>-10605.856856015875</v>
      </c>
      <c r="AW182" s="466"/>
      <c r="AX182" s="435">
        <f>AU182-AT182</f>
        <v>-21689.703009862031</v>
      </c>
      <c r="AY182" s="471"/>
      <c r="AZ182" s="472"/>
      <c r="BA182" s="1425"/>
      <c r="BB182" s="472"/>
      <c r="BC182" s="472"/>
      <c r="BD182" s="472"/>
      <c r="BE182" s="472"/>
    </row>
    <row r="183" spans="1:57" ht="20.100000000000001" customHeight="1">
      <c r="A183" s="788" t="str">
        <f>A171</f>
        <v>%=粗利率</v>
      </c>
      <c r="B183" s="751"/>
      <c r="C183" s="751"/>
      <c r="D183" s="755"/>
      <c r="E183" s="751"/>
      <c r="F183" s="696">
        <f>F184/F19</f>
        <v>0.14682270814084794</v>
      </c>
      <c r="G183" s="697">
        <f>G184/G19</f>
        <v>0.14562599999999998</v>
      </c>
      <c r="H183" s="698">
        <f>H184/H19</f>
        <v>0.10250046926177699</v>
      </c>
      <c r="I183" s="548">
        <f>H184/G184</f>
        <v>0.71436202701264062</v>
      </c>
      <c r="J183" s="696">
        <f>J184/J19</f>
        <v>0.14682270814084794</v>
      </c>
      <c r="K183" s="697">
        <f>K184/K19</f>
        <v>0.13430281690140844</v>
      </c>
      <c r="L183" s="698">
        <f>L184/L19</f>
        <v>0.12262513878753273</v>
      </c>
      <c r="M183" s="1295">
        <f>L184/K184</f>
        <v>0.8668352704734944</v>
      </c>
      <c r="N183" s="696">
        <f>N184/N19</f>
        <v>0.14682270814084794</v>
      </c>
      <c r="O183" s="697">
        <f>O184/O19</f>
        <v>0.15161917808219177</v>
      </c>
      <c r="P183" s="698">
        <f>P184/P19</f>
        <v>0.14872809664159486</v>
      </c>
      <c r="Q183" s="1296">
        <f>P184/O184</f>
        <v>0.74194709748649257</v>
      </c>
      <c r="R183" s="699">
        <f>R184/R19</f>
        <v>0.14682270814084791</v>
      </c>
      <c r="S183" s="978"/>
      <c r="T183" s="668">
        <f>T184/T19</f>
        <v>0.1439527397260274</v>
      </c>
      <c r="U183" s="667">
        <f>U184/U19</f>
        <v>0.12216929710422697</v>
      </c>
      <c r="V183" s="667">
        <f>U184/R184</f>
        <v>0.75451616485435502</v>
      </c>
      <c r="W183" s="668"/>
      <c r="X183" s="486">
        <f>U184/T184</f>
        <v>0.77016502203541282</v>
      </c>
      <c r="Y183" s="696">
        <f>Y184/Y19</f>
        <v>0.14675550999487438</v>
      </c>
      <c r="Z183" s="697">
        <f>Z184/Z19</f>
        <v>0.1508920353982301</v>
      </c>
      <c r="AA183" s="698">
        <f>AA184/AA19</f>
        <v>0.11155747816394539</v>
      </c>
      <c r="AB183" s="1296">
        <f>AA184/Z184</f>
        <v>0.76074760247026529</v>
      </c>
      <c r="AC183" s="696">
        <f>AC184/AC19</f>
        <v>0.14675550999487438</v>
      </c>
      <c r="AD183" s="697">
        <f>AD184/AD19</f>
        <v>0.1479705882352941</v>
      </c>
      <c r="AE183" s="1080">
        <f>AE184/AE19</f>
        <v>0.1303421052631579</v>
      </c>
      <c r="AF183" s="1296">
        <f>AE184/AD184</f>
        <v>0.59069767441860466</v>
      </c>
      <c r="AG183" s="696">
        <f>AG184/AG19</f>
        <v>0.14675550999487438</v>
      </c>
      <c r="AH183" s="697">
        <f>AH184/AH19</f>
        <v>0.14942352941176471</v>
      </c>
      <c r="AI183" s="1080">
        <f>AI184/AI19</f>
        <v>0.14442187499999998</v>
      </c>
      <c r="AJ183" s="1296">
        <f>AI184/AH184</f>
        <v>0.6064483111566018</v>
      </c>
      <c r="AK183" s="699">
        <f>AK184/AK19</f>
        <v>0.14675550999487438</v>
      </c>
      <c r="AL183" s="978"/>
      <c r="AM183" s="668">
        <f>AM184/AM19</f>
        <v>0.14942741116751268</v>
      </c>
      <c r="AN183" s="667">
        <f>AN184/AN19</f>
        <v>0.12533545842081117</v>
      </c>
      <c r="AO183" s="978">
        <f>AN184/AK184</f>
        <v>0.74788942954735971</v>
      </c>
      <c r="AP183" s="978"/>
      <c r="AQ183" s="487">
        <f>AN184/AM184</f>
        <v>0.6546890713831478</v>
      </c>
      <c r="AR183" s="699">
        <f>AR184/AR19</f>
        <v>0.14678908494050055</v>
      </c>
      <c r="AS183" s="1311"/>
      <c r="AT183" s="667">
        <f>AT184/AT19</f>
        <v>0.14685040300913485</v>
      </c>
      <c r="AU183" s="667">
        <f>AU184/AU19</f>
        <v>0.12372591966818401</v>
      </c>
      <c r="AV183" s="978">
        <f>AU184/AR184</f>
        <v>0.75120117629278738</v>
      </c>
      <c r="AW183" s="978"/>
      <c r="AX183" s="487">
        <f>AU184/AT184</f>
        <v>0.70797273420231532</v>
      </c>
      <c r="AY183" s="457"/>
      <c r="AZ183" s="700"/>
      <c r="BA183" s="1432"/>
      <c r="BB183" s="302"/>
      <c r="BC183" s="302"/>
      <c r="BD183" s="302"/>
      <c r="BE183" s="302"/>
    </row>
    <row r="184" spans="1:57" ht="20.100000000000001" customHeight="1">
      <c r="A184" s="747" t="s">
        <v>249</v>
      </c>
      <c r="B184" s="748"/>
      <c r="C184" s="759"/>
      <c r="D184" s="753"/>
      <c r="E184" s="759"/>
      <c r="F184" s="701">
        <f>F180+F182</f>
        <v>18335.897435897434</v>
      </c>
      <c r="G184" s="575">
        <f>G180+G182</f>
        <v>18670</v>
      </c>
      <c r="H184" s="576">
        <f>H180+H182</f>
        <v>13337.139044326001</v>
      </c>
      <c r="I184" s="1081">
        <f>H184-G184</f>
        <v>-5332.8609556739993</v>
      </c>
      <c r="J184" s="701">
        <f>J180+J182</f>
        <v>18335.897435897434</v>
      </c>
      <c r="K184" s="575">
        <f>K180+K182</f>
        <v>16300</v>
      </c>
      <c r="L184" s="576">
        <f>L180+L182</f>
        <v>14129.414908717959</v>
      </c>
      <c r="M184" s="562">
        <f>L184-K184</f>
        <v>-2170.5850912820406</v>
      </c>
      <c r="N184" s="701">
        <f>N180+N182</f>
        <v>18335.897435897434</v>
      </c>
      <c r="O184" s="575">
        <f>O180+O182</f>
        <v>18920</v>
      </c>
      <c r="P184" s="576">
        <f>P180+P182</f>
        <v>14037.63908444444</v>
      </c>
      <c r="Q184" s="1081">
        <f>P184-O184</f>
        <v>-4882.3609155555605</v>
      </c>
      <c r="R184" s="462">
        <f>F184+J184+N184</f>
        <v>55007.692307692298</v>
      </c>
      <c r="S184" s="463"/>
      <c r="T184" s="489">
        <f>G184+K184+O184</f>
        <v>53890</v>
      </c>
      <c r="U184" s="306">
        <f>H184+L184+P184</f>
        <v>41504.193037488396</v>
      </c>
      <c r="V184" s="461">
        <f>U184-R184</f>
        <v>-13503.499270203902</v>
      </c>
      <c r="W184" s="460"/>
      <c r="X184" s="465">
        <f>U184-T184</f>
        <v>-12385.806962511604</v>
      </c>
      <c r="Y184" s="701">
        <f>Y180+Y182</f>
        <v>18353.846153846152</v>
      </c>
      <c r="Z184" s="575">
        <f>Z180+Z182</f>
        <v>21860</v>
      </c>
      <c r="AA184" s="576">
        <f>AA180+AA182</f>
        <v>16629.942589999999</v>
      </c>
      <c r="AB184" s="562">
        <f>AA184-Z184</f>
        <v>-5230.0574100000013</v>
      </c>
      <c r="AC184" s="701">
        <f>AC180+AC182</f>
        <v>18353.846153846152</v>
      </c>
      <c r="AD184" s="575">
        <f>AD180+AD182</f>
        <v>21500</v>
      </c>
      <c r="AE184" s="1054">
        <f>AE180+AE182</f>
        <v>12700</v>
      </c>
      <c r="AF184" s="562">
        <f>AE184-AD184</f>
        <v>-8800</v>
      </c>
      <c r="AG184" s="701">
        <f>AG180+AG182</f>
        <v>18353.846153846152</v>
      </c>
      <c r="AH184" s="575">
        <f>AH180+AH182</f>
        <v>19540</v>
      </c>
      <c r="AI184" s="1054">
        <f>AI180+AI182</f>
        <v>11850</v>
      </c>
      <c r="AJ184" s="562">
        <f>AI184-AH184</f>
        <v>-7690</v>
      </c>
      <c r="AK184" s="462">
        <f>Y184+AC184+AG184</f>
        <v>55061.538461538454</v>
      </c>
      <c r="AL184" s="463"/>
      <c r="AM184" s="463">
        <f>Z184+AD184+AH184</f>
        <v>62900</v>
      </c>
      <c r="AN184" s="464">
        <f>AA184+AE184+AI184</f>
        <v>41179.942589999999</v>
      </c>
      <c r="AO184" s="489">
        <f>AN184-AK184</f>
        <v>-13881.595871538455</v>
      </c>
      <c r="AP184" s="489"/>
      <c r="AQ184" s="465">
        <f>AN184-AM184</f>
        <v>-21720.057410000001</v>
      </c>
      <c r="AR184" s="462">
        <f>SUM(R184,AK184)</f>
        <v>110069.23076923075</v>
      </c>
      <c r="AS184" s="1030"/>
      <c r="AT184" s="675">
        <f>T184+AM184</f>
        <v>116790</v>
      </c>
      <c r="AU184" s="306">
        <f>SUM(U184,AN184)</f>
        <v>82684.135627488402</v>
      </c>
      <c r="AV184" s="303">
        <f>AU184-AR184</f>
        <v>-27385.095141742349</v>
      </c>
      <c r="AW184" s="303"/>
      <c r="AX184" s="465">
        <f>AU184-AT184</f>
        <v>-34105.864372511598</v>
      </c>
      <c r="AY184" s="457">
        <f t="shared" si="152"/>
        <v>18344.871794871793</v>
      </c>
      <c r="AZ184" s="458">
        <f>AU184/6</f>
        <v>13780.689271248068</v>
      </c>
      <c r="BA184" s="1424">
        <v>13780.689271248068</v>
      </c>
      <c r="BB184" s="302">
        <f>AZ184-AY184</f>
        <v>-4564.1825236237255</v>
      </c>
      <c r="BC184" s="302">
        <f>BA184-AY184</f>
        <v>-4564.1825236237255</v>
      </c>
      <c r="BD184" s="302">
        <f>BA184-AZ184</f>
        <v>0</v>
      </c>
      <c r="BE184" s="302">
        <f>AX184/6</f>
        <v>-5684.3107287519333</v>
      </c>
    </row>
    <row r="185" spans="1:57" ht="20.100000000000001" customHeight="1">
      <c r="A185" s="788"/>
      <c r="B185" s="751"/>
      <c r="C185" s="801" t="s">
        <v>51</v>
      </c>
      <c r="D185" s="804"/>
      <c r="E185" s="813"/>
      <c r="F185" s="659" t="e">
        <f>F186/F20</f>
        <v>#DIV/0!</v>
      </c>
      <c r="G185" s="676"/>
      <c r="H185" s="677"/>
      <c r="I185" s="1082"/>
      <c r="J185" s="659" t="e">
        <f>J186/J20</f>
        <v>#DIV/0!</v>
      </c>
      <c r="K185" s="676"/>
      <c r="L185" s="677"/>
      <c r="M185" s="611"/>
      <c r="N185" s="659" t="e">
        <f>N186/N20</f>
        <v>#DIV/0!</v>
      </c>
      <c r="O185" s="676"/>
      <c r="P185" s="677"/>
      <c r="Q185" s="1083"/>
      <c r="R185" s="704" t="e">
        <f>R186/R20</f>
        <v>#DIV/0!</v>
      </c>
      <c r="S185" s="703"/>
      <c r="T185" s="703" t="e">
        <f>T186/T20</f>
        <v>#DIV/0!</v>
      </c>
      <c r="U185" s="680" t="e">
        <f>U186/U20</f>
        <v>#DIV/0!</v>
      </c>
      <c r="V185" s="692"/>
      <c r="W185" s="658"/>
      <c r="X185" s="515"/>
      <c r="Y185" s="659" t="e">
        <f>Y186/Y20</f>
        <v>#DIV/0!</v>
      </c>
      <c r="Z185" s="676"/>
      <c r="AA185" s="677"/>
      <c r="AB185" s="573" t="e">
        <f>AA186/Z186</f>
        <v>#DIV/0!</v>
      </c>
      <c r="AC185" s="659" t="e">
        <f>AC186/AC20</f>
        <v>#DIV/0!</v>
      </c>
      <c r="AD185" s="676"/>
      <c r="AE185" s="1076"/>
      <c r="AF185" s="573" t="e">
        <f>AE186/AD186</f>
        <v>#DIV/0!</v>
      </c>
      <c r="AG185" s="659" t="e">
        <f>AG186/AG20</f>
        <v>#DIV/0!</v>
      </c>
      <c r="AH185" s="676"/>
      <c r="AI185" s="1076"/>
      <c r="AJ185" s="573" t="e">
        <f>AI186/AH186</f>
        <v>#DIV/0!</v>
      </c>
      <c r="AK185" s="704" t="e">
        <f>AK186/AK20</f>
        <v>#DIV/0!</v>
      </c>
      <c r="AL185" s="703"/>
      <c r="AM185" s="703" t="e">
        <f>AM186/AM20</f>
        <v>#DIV/0!</v>
      </c>
      <c r="AN185" s="551" t="e">
        <f>AN186/AN20</f>
        <v>#DIV/0!</v>
      </c>
      <c r="AO185" s="690"/>
      <c r="AP185" s="690"/>
      <c r="AQ185" s="515" t="e">
        <f>AN186/AM186</f>
        <v>#DIV/0!</v>
      </c>
      <c r="AR185" s="704" t="e">
        <f>AR186/AR20</f>
        <v>#DIV/0!</v>
      </c>
      <c r="AS185" s="724"/>
      <c r="AT185" s="678" t="e">
        <f>AT186/AT20</f>
        <v>#DIV/0!</v>
      </c>
      <c r="AU185" s="680" t="e">
        <f>AU186/AU20</f>
        <v>#DIV/0!</v>
      </c>
      <c r="AV185" s="658"/>
      <c r="AW185" s="658"/>
      <c r="AX185" s="515" t="e">
        <f>AU186/AT186</f>
        <v>#DIV/0!</v>
      </c>
      <c r="AY185" s="471" t="e">
        <f t="shared" si="152"/>
        <v>#DIV/0!</v>
      </c>
      <c r="AZ185" s="472"/>
      <c r="BA185" s="1425"/>
      <c r="BB185" s="337"/>
      <c r="BC185" s="337"/>
      <c r="BD185" s="337"/>
      <c r="BE185" s="337"/>
    </row>
    <row r="186" spans="1:57" ht="20.100000000000001" customHeight="1">
      <c r="A186" s="788"/>
      <c r="B186" s="751"/>
      <c r="C186" s="803" t="s">
        <v>250</v>
      </c>
      <c r="D186" s="763"/>
      <c r="E186" s="820"/>
      <c r="F186" s="516"/>
      <c r="G186" s="588">
        <f>G20*G185</f>
        <v>0</v>
      </c>
      <c r="H186" s="589">
        <f>H20*H185</f>
        <v>0</v>
      </c>
      <c r="I186" s="590">
        <f>H186-G186</f>
        <v>0</v>
      </c>
      <c r="J186" s="516"/>
      <c r="K186" s="588">
        <f>K20*K185</f>
        <v>0</v>
      </c>
      <c r="L186" s="589">
        <f>L20*L185</f>
        <v>0</v>
      </c>
      <c r="M186" s="590">
        <f>L186-K186</f>
        <v>0</v>
      </c>
      <c r="N186" s="516"/>
      <c r="O186" s="588">
        <f>O20*O185</f>
        <v>0</v>
      </c>
      <c r="P186" s="589">
        <f>P20*P185</f>
        <v>0</v>
      </c>
      <c r="Q186" s="562">
        <f>P186-O186</f>
        <v>0</v>
      </c>
      <c r="R186" s="467">
        <f>F186+J186+N186</f>
        <v>0</v>
      </c>
      <c r="S186" s="468"/>
      <c r="T186" s="470">
        <f>G186+K186+O186</f>
        <v>0</v>
      </c>
      <c r="U186" s="311">
        <f>H186+L186+P186</f>
        <v>0</v>
      </c>
      <c r="V186" s="446">
        <f>U186-R186</f>
        <v>0</v>
      </c>
      <c r="W186" s="466"/>
      <c r="X186" s="435">
        <f>U186-T186</f>
        <v>0</v>
      </c>
      <c r="Y186" s="516"/>
      <c r="Z186" s="588">
        <f>Z20*Z185</f>
        <v>0</v>
      </c>
      <c r="AA186" s="589">
        <f>AA20*AA185</f>
        <v>0</v>
      </c>
      <c r="AB186" s="562">
        <f>AA186-Z186</f>
        <v>0</v>
      </c>
      <c r="AC186" s="516"/>
      <c r="AD186" s="588">
        <f>AD20*AD185</f>
        <v>0</v>
      </c>
      <c r="AE186" s="1058">
        <f>AE20*AE185</f>
        <v>0</v>
      </c>
      <c r="AF186" s="562">
        <f>AE186-AD186</f>
        <v>0</v>
      </c>
      <c r="AG186" s="516"/>
      <c r="AH186" s="588">
        <f>AH20*AH185</f>
        <v>0</v>
      </c>
      <c r="AI186" s="1058">
        <f>AI20*AI185</f>
        <v>0</v>
      </c>
      <c r="AJ186" s="562">
        <f>AI186-AH186</f>
        <v>0</v>
      </c>
      <c r="AK186" s="467">
        <f>Y186+AC186+AG186</f>
        <v>0</v>
      </c>
      <c r="AL186" s="468"/>
      <c r="AM186" s="468">
        <f>Z186+AD186+AH186</f>
        <v>0</v>
      </c>
      <c r="AN186" s="464">
        <f>AA186+AE186+AI186</f>
        <v>0</v>
      </c>
      <c r="AO186" s="470">
        <f>AN186-AK186</f>
        <v>0</v>
      </c>
      <c r="AP186" s="470"/>
      <c r="AQ186" s="435">
        <f>AN186-AM186</f>
        <v>0</v>
      </c>
      <c r="AR186" s="467">
        <f>SUM(R186,AK186)</f>
        <v>0</v>
      </c>
      <c r="AS186" s="647"/>
      <c r="AT186" s="624">
        <f>T186+AM186</f>
        <v>0</v>
      </c>
      <c r="AU186" s="469">
        <f>SUM(U186,AN186)</f>
        <v>0</v>
      </c>
      <c r="AV186" s="466">
        <f>AU186-AR186</f>
        <v>0</v>
      </c>
      <c r="AW186" s="466"/>
      <c r="AX186" s="435">
        <f>AU186-AT186</f>
        <v>0</v>
      </c>
      <c r="AY186" s="471">
        <f t="shared" si="152"/>
        <v>0</v>
      </c>
      <c r="AZ186" s="472"/>
      <c r="BA186" s="1425"/>
      <c r="BB186" s="337"/>
      <c r="BC186" s="337"/>
      <c r="BD186" s="337"/>
      <c r="BE186" s="337"/>
    </row>
    <row r="187" spans="1:57" ht="20.100000000000001" customHeight="1">
      <c r="A187" s="788"/>
      <c r="B187" s="751"/>
      <c r="C187" s="760" t="s">
        <v>51</v>
      </c>
      <c r="D187" s="804"/>
      <c r="E187" s="813"/>
      <c r="F187" s="659" t="e">
        <f>F188/F21</f>
        <v>#DIV/0!</v>
      </c>
      <c r="G187" s="676"/>
      <c r="H187" s="677"/>
      <c r="I187" s="1082"/>
      <c r="J187" s="659" t="e">
        <f>J188/J21</f>
        <v>#DIV/0!</v>
      </c>
      <c r="K187" s="676"/>
      <c r="L187" s="677"/>
      <c r="M187" s="611"/>
      <c r="N187" s="659" t="e">
        <f>N188/N21</f>
        <v>#DIV/0!</v>
      </c>
      <c r="O187" s="676"/>
      <c r="P187" s="677"/>
      <c r="Q187" s="1083"/>
      <c r="R187" s="704" t="e">
        <f>R188/R21</f>
        <v>#DIV/0!</v>
      </c>
      <c r="S187" s="703"/>
      <c r="T187" s="703" t="e">
        <f>T188/T21</f>
        <v>#DIV/0!</v>
      </c>
      <c r="U187" s="680" t="e">
        <f>U188/U21</f>
        <v>#DIV/0!</v>
      </c>
      <c r="V187" s="692"/>
      <c r="W187" s="658"/>
      <c r="X187" s="515"/>
      <c r="Y187" s="659" t="e">
        <f>Y188/Y21</f>
        <v>#DIV/0!</v>
      </c>
      <c r="Z187" s="676"/>
      <c r="AA187" s="677"/>
      <c r="AB187" s="573" t="e">
        <f>AA188/Z188</f>
        <v>#DIV/0!</v>
      </c>
      <c r="AC187" s="659" t="e">
        <f>AC188/AC21</f>
        <v>#DIV/0!</v>
      </c>
      <c r="AD187" s="676"/>
      <c r="AE187" s="1076"/>
      <c r="AF187" s="573" t="e">
        <f>AE188/AD188</f>
        <v>#DIV/0!</v>
      </c>
      <c r="AG187" s="659" t="e">
        <f>AG188/AG21</f>
        <v>#DIV/0!</v>
      </c>
      <c r="AH187" s="676"/>
      <c r="AI187" s="1076"/>
      <c r="AJ187" s="573" t="e">
        <f>AI188/AH188</f>
        <v>#DIV/0!</v>
      </c>
      <c r="AK187" s="704" t="e">
        <f>AK188/AK21</f>
        <v>#DIV/0!</v>
      </c>
      <c r="AL187" s="703"/>
      <c r="AM187" s="703" t="e">
        <f>AM188/AM21</f>
        <v>#DIV/0!</v>
      </c>
      <c r="AN187" s="551" t="e">
        <f>AN188/AN21</f>
        <v>#DIV/0!</v>
      </c>
      <c r="AO187" s="690"/>
      <c r="AP187" s="690"/>
      <c r="AQ187" s="515" t="e">
        <f>AN188/AM188</f>
        <v>#DIV/0!</v>
      </c>
      <c r="AR187" s="704" t="e">
        <f>AR188/AR21</f>
        <v>#DIV/0!</v>
      </c>
      <c r="AS187" s="724"/>
      <c r="AT187" s="678" t="e">
        <f>AT188/AT21</f>
        <v>#DIV/0!</v>
      </c>
      <c r="AU187" s="680" t="e">
        <f>AU188/AU21</f>
        <v>#DIV/0!</v>
      </c>
      <c r="AV187" s="658"/>
      <c r="AW187" s="658"/>
      <c r="AX187" s="515" t="e">
        <f>AU188/AT188</f>
        <v>#DIV/0!</v>
      </c>
      <c r="AY187" s="471" t="e">
        <f t="shared" si="152"/>
        <v>#DIV/0!</v>
      </c>
      <c r="AZ187" s="472"/>
      <c r="BA187" s="1425"/>
      <c r="BB187" s="337"/>
      <c r="BC187" s="337"/>
      <c r="BD187" s="337"/>
      <c r="BE187" s="337"/>
    </row>
    <row r="188" spans="1:57" ht="20.100000000000001" customHeight="1">
      <c r="A188" s="788"/>
      <c r="B188" s="751"/>
      <c r="C188" s="803" t="s">
        <v>251</v>
      </c>
      <c r="D188" s="763"/>
      <c r="E188" s="813"/>
      <c r="F188" s="444"/>
      <c r="G188" s="539">
        <f>G21*G187</f>
        <v>0</v>
      </c>
      <c r="H188" s="540">
        <f>H21*H187</f>
        <v>0</v>
      </c>
      <c r="I188" s="607">
        <f>H188-G188</f>
        <v>0</v>
      </c>
      <c r="J188" s="444"/>
      <c r="K188" s="539">
        <f>K21*K187</f>
        <v>0</v>
      </c>
      <c r="L188" s="540">
        <f>L21*L187</f>
        <v>0</v>
      </c>
      <c r="M188" s="607">
        <f>L188-K188</f>
        <v>0</v>
      </c>
      <c r="N188" s="444"/>
      <c r="O188" s="539">
        <f>O21*O187</f>
        <v>0</v>
      </c>
      <c r="P188" s="540">
        <f>P21*P187</f>
        <v>0</v>
      </c>
      <c r="Q188" s="706">
        <f>P188-O188</f>
        <v>0</v>
      </c>
      <c r="R188" s="521">
        <f>F188+J188+N188</f>
        <v>0</v>
      </c>
      <c r="S188" s="572"/>
      <c r="T188" s="470">
        <f>G188+K188+O188</f>
        <v>0</v>
      </c>
      <c r="U188" s="355">
        <f>H188+L188+P188</f>
        <v>0</v>
      </c>
      <c r="V188" s="507">
        <f>U188-R188</f>
        <v>0</v>
      </c>
      <c r="W188" s="508"/>
      <c r="X188" s="509">
        <f>U188-T188</f>
        <v>0</v>
      </c>
      <c r="Y188" s="444"/>
      <c r="Z188" s="539">
        <f>Z21*Z187</f>
        <v>0</v>
      </c>
      <c r="AA188" s="540">
        <f>AA21*AA187</f>
        <v>0</v>
      </c>
      <c r="AB188" s="706">
        <f>AA188-Z188</f>
        <v>0</v>
      </c>
      <c r="AC188" s="444"/>
      <c r="AD188" s="539">
        <f>AD21*AD187</f>
        <v>0</v>
      </c>
      <c r="AE188" s="1064">
        <f>AE21*AE187</f>
        <v>0</v>
      </c>
      <c r="AF188" s="706">
        <f>AE188-AD188</f>
        <v>0</v>
      </c>
      <c r="AG188" s="444"/>
      <c r="AH188" s="539">
        <f>AH21*AH187</f>
        <v>0</v>
      </c>
      <c r="AI188" s="1064">
        <f>AI21*AI187</f>
        <v>0</v>
      </c>
      <c r="AJ188" s="706">
        <f>AI188-AH188</f>
        <v>0</v>
      </c>
      <c r="AK188" s="521">
        <f>Y188+AC188+AG188</f>
        <v>0</v>
      </c>
      <c r="AL188" s="572"/>
      <c r="AM188" s="572">
        <f>Z188+AD188+AH188</f>
        <v>0</v>
      </c>
      <c r="AN188" s="481">
        <f>AA188+AE188+AI188</f>
        <v>0</v>
      </c>
      <c r="AO188" s="445">
        <f>AN188-AK188</f>
        <v>0</v>
      </c>
      <c r="AP188" s="445"/>
      <c r="AQ188" s="509">
        <f>AN188-AM188</f>
        <v>0</v>
      </c>
      <c r="AR188" s="521">
        <f>SUM(R188,AK188)</f>
        <v>0</v>
      </c>
      <c r="AS188" s="648"/>
      <c r="AT188" s="634">
        <f>T188+AM188</f>
        <v>0</v>
      </c>
      <c r="AU188" s="469">
        <f>SUM(U188,AN188)</f>
        <v>0</v>
      </c>
      <c r="AV188" s="446">
        <f>AU188-AR188</f>
        <v>0</v>
      </c>
      <c r="AW188" s="508"/>
      <c r="AX188" s="509">
        <f>AU188-AT188</f>
        <v>0</v>
      </c>
      <c r="AY188" s="471">
        <f t="shared" si="152"/>
        <v>0</v>
      </c>
      <c r="AZ188" s="472"/>
      <c r="BA188" s="1425"/>
      <c r="BB188" s="337"/>
      <c r="BC188" s="337"/>
      <c r="BD188" s="337"/>
      <c r="BE188" s="337"/>
    </row>
    <row r="189" spans="1:57" ht="20.100000000000001" customHeight="1">
      <c r="A189" s="788" t="str">
        <f>A171</f>
        <v>%=粗利率</v>
      </c>
      <c r="B189" s="751"/>
      <c r="C189" s="751"/>
      <c r="D189" s="755"/>
      <c r="E189" s="751"/>
      <c r="F189" s="663" t="e">
        <f>F190/F23</f>
        <v>#DIV/0!</v>
      </c>
      <c r="G189" s="664">
        <f>G190/G23</f>
        <v>0.2015871951219512</v>
      </c>
      <c r="H189" s="665" t="e">
        <f>H190/H23</f>
        <v>#DIV/0!</v>
      </c>
      <c r="I189" s="548">
        <f>H190/G190</f>
        <v>0</v>
      </c>
      <c r="J189" s="663" t="e">
        <f>J190/J23</f>
        <v>#DIV/0!</v>
      </c>
      <c r="K189" s="664">
        <f>K190/K23</f>
        <v>9.9993636363636354E-2</v>
      </c>
      <c r="L189" s="665">
        <f>L190/L23</f>
        <v>0.51163243902439015</v>
      </c>
      <c r="M189" s="1295">
        <f>L190/K190</f>
        <v>12.714099988181065</v>
      </c>
      <c r="N189" s="663" t="e">
        <f>N190/N23</f>
        <v>#DIV/0!</v>
      </c>
      <c r="O189" s="664" t="e">
        <f>O190/O23</f>
        <v>#DIV/0!</v>
      </c>
      <c r="P189" s="665" t="e">
        <f>P190/P23</f>
        <v>#DIV/0!</v>
      </c>
      <c r="Q189" s="1312" t="e">
        <f>P190/O190</f>
        <v>#DIV/0!</v>
      </c>
      <c r="R189" s="669" t="e">
        <f>R190/R23</f>
        <v>#DIV/0!</v>
      </c>
      <c r="S189" s="977"/>
      <c r="T189" s="977">
        <f>T190/T23</f>
        <v>0.17243426086956518</v>
      </c>
      <c r="U189" s="667">
        <f>U190/U23</f>
        <v>0.31776439024390241</v>
      </c>
      <c r="V189" s="667" t="e">
        <f>U190/R190</f>
        <v>#DIV/0!</v>
      </c>
      <c r="W189" s="668"/>
      <c r="X189" s="486">
        <f>U190/T190</f>
        <v>1.3140070015340439</v>
      </c>
      <c r="Y189" s="663" t="e">
        <f>Y190/Y23</f>
        <v>#DIV/0!</v>
      </c>
      <c r="Z189" s="664" t="e">
        <f>Z190/Z23</f>
        <v>#DIV/0!</v>
      </c>
      <c r="AA189" s="665">
        <f>AA190/AA23</f>
        <v>-1.0537012807377049</v>
      </c>
      <c r="AB189" s="1296" t="e">
        <f>AA190/Z190</f>
        <v>#DIV/0!</v>
      </c>
      <c r="AC189" s="663" t="e">
        <f>AC190/AC23</f>
        <v>#DIV/0!</v>
      </c>
      <c r="AD189" s="664" t="e">
        <f>AD190/AD23</f>
        <v>#DIV/0!</v>
      </c>
      <c r="AE189" s="1075" t="e">
        <f>AE190/AE23</f>
        <v>#DIV/0!</v>
      </c>
      <c r="AF189" s="1296" t="e">
        <f>AE190/AD190</f>
        <v>#DIV/0!</v>
      </c>
      <c r="AG189" s="663" t="e">
        <f>AG190/AG23</f>
        <v>#DIV/0!</v>
      </c>
      <c r="AH189" s="664" t="e">
        <f>AH190/AH23</f>
        <v>#DIV/0!</v>
      </c>
      <c r="AI189" s="1075" t="e">
        <f>AI190/AI23</f>
        <v>#DIV/0!</v>
      </c>
      <c r="AJ189" s="1296" t="e">
        <f>AI190/AH190</f>
        <v>#DIV/0!</v>
      </c>
      <c r="AK189" s="669" t="e">
        <f>AK190/AK23</f>
        <v>#DIV/0!</v>
      </c>
      <c r="AL189" s="977"/>
      <c r="AM189" s="977" t="e">
        <f>AM190/AM23</f>
        <v>#DIV/0!</v>
      </c>
      <c r="AN189" s="667">
        <f>AN190/AN23</f>
        <v>0</v>
      </c>
      <c r="AO189" s="978" t="e">
        <f>AN190/AK190</f>
        <v>#DIV/0!</v>
      </c>
      <c r="AP189" s="978"/>
      <c r="AQ189" s="487" t="e">
        <f>AN190/AM190</f>
        <v>#DIV/0!</v>
      </c>
      <c r="AR189" s="669" t="e">
        <f>AR190/AR23</f>
        <v>#DIV/0!</v>
      </c>
      <c r="AS189" s="1313"/>
      <c r="AT189" s="667">
        <f>AT190/AT23</f>
        <v>0</v>
      </c>
      <c r="AU189" s="551">
        <f>AU190/AU23</f>
        <v>0</v>
      </c>
      <c r="AV189" s="978" t="e">
        <f>AU190/AR190</f>
        <v>#DIV/0!</v>
      </c>
      <c r="AW189" s="978"/>
      <c r="AX189" s="487" t="e">
        <f>AU190/AT190</f>
        <v>#DIV/0!</v>
      </c>
      <c r="AY189" s="457"/>
      <c r="AZ189" s="700"/>
      <c r="BA189" s="1432"/>
      <c r="BB189" s="302"/>
      <c r="BC189" s="302"/>
      <c r="BD189" s="302"/>
      <c r="BE189" s="302"/>
    </row>
    <row r="190" spans="1:57" ht="20.100000000000001" customHeight="1">
      <c r="A190" s="787" t="s">
        <v>252</v>
      </c>
      <c r="B190" s="759"/>
      <c r="C190" s="759"/>
      <c r="D190" s="753"/>
      <c r="E190" s="759"/>
      <c r="F190" s="559">
        <f>F186+F188</f>
        <v>0</v>
      </c>
      <c r="G190" s="603">
        <v>42.384999999999998</v>
      </c>
      <c r="H190" s="561">
        <v>0</v>
      </c>
      <c r="I190" s="562">
        <f>H190-G190</f>
        <v>-42.384999999999998</v>
      </c>
      <c r="J190" s="559">
        <f>J186+J188</f>
        <v>0</v>
      </c>
      <c r="K190" s="603">
        <v>8.4610000000000003</v>
      </c>
      <c r="L190" s="561">
        <v>107.574</v>
      </c>
      <c r="M190" s="562">
        <f>L190-K190</f>
        <v>99.113</v>
      </c>
      <c r="N190" s="559">
        <f>N186+N188</f>
        <v>0</v>
      </c>
      <c r="O190" s="603">
        <v>0</v>
      </c>
      <c r="P190" s="561">
        <v>-40.762</v>
      </c>
      <c r="Q190" s="706">
        <f>P190-O190</f>
        <v>-40.762</v>
      </c>
      <c r="R190" s="462">
        <f>F190+J190+N190</f>
        <v>0</v>
      </c>
      <c r="S190" s="463"/>
      <c r="T190" s="489">
        <f>G190+K190+O190</f>
        <v>50.845999999999997</v>
      </c>
      <c r="U190" s="306">
        <f>H190+L190+P190</f>
        <v>66.811999999999998</v>
      </c>
      <c r="V190" s="461">
        <f>U190-R190</f>
        <v>66.811999999999998</v>
      </c>
      <c r="W190" s="460"/>
      <c r="X190" s="465">
        <f>U190-T190</f>
        <v>15.966000000000001</v>
      </c>
      <c r="Y190" s="559">
        <f t="shared" ref="Y190:AR190" si="153">Y186+Y188</f>
        <v>0</v>
      </c>
      <c r="Z190" s="603">
        <f t="shared" si="153"/>
        <v>0</v>
      </c>
      <c r="AA190" s="561">
        <v>-175.797</v>
      </c>
      <c r="AB190" s="706">
        <f t="shared" si="153"/>
        <v>0</v>
      </c>
      <c r="AC190" s="559">
        <f t="shared" si="153"/>
        <v>0</v>
      </c>
      <c r="AD190" s="603">
        <f t="shared" si="153"/>
        <v>0</v>
      </c>
      <c r="AE190" s="1051">
        <f t="shared" si="153"/>
        <v>0</v>
      </c>
      <c r="AF190" s="706">
        <f t="shared" si="153"/>
        <v>0</v>
      </c>
      <c r="AG190" s="559">
        <f t="shared" si="153"/>
        <v>0</v>
      </c>
      <c r="AH190" s="603">
        <f t="shared" si="153"/>
        <v>0</v>
      </c>
      <c r="AI190" s="1051">
        <f t="shared" si="153"/>
        <v>0</v>
      </c>
      <c r="AJ190" s="706">
        <f t="shared" si="153"/>
        <v>0</v>
      </c>
      <c r="AK190" s="459">
        <f t="shared" si="153"/>
        <v>0</v>
      </c>
      <c r="AL190" s="559"/>
      <c r="AM190" s="559">
        <f t="shared" si="153"/>
        <v>0</v>
      </c>
      <c r="AN190" s="461">
        <f t="shared" si="153"/>
        <v>0</v>
      </c>
      <c r="AO190" s="649">
        <f t="shared" si="153"/>
        <v>0</v>
      </c>
      <c r="AP190" s="649"/>
      <c r="AQ190" s="459">
        <f t="shared" si="153"/>
        <v>0</v>
      </c>
      <c r="AR190" s="559">
        <f t="shared" si="153"/>
        <v>0</v>
      </c>
      <c r="AS190" s="489"/>
      <c r="AT190" s="707">
        <f>AT186+AT188</f>
        <v>0</v>
      </c>
      <c r="AU190" s="481">
        <f>AU186+AU188</f>
        <v>0</v>
      </c>
      <c r="AV190" s="508">
        <f>AV186+AV188</f>
        <v>0</v>
      </c>
      <c r="AW190" s="508"/>
      <c r="AX190" s="708">
        <f>AX186+AX188</f>
        <v>0</v>
      </c>
      <c r="AY190" s="457">
        <f t="shared" si="152"/>
        <v>0</v>
      </c>
      <c r="AZ190" s="458">
        <f>AU190/6</f>
        <v>0</v>
      </c>
      <c r="BA190" s="1424">
        <v>0</v>
      </c>
      <c r="BB190" s="302">
        <f>AZ190-AY190</f>
        <v>0</v>
      </c>
      <c r="BC190" s="302">
        <f>BA190-AY190</f>
        <v>0</v>
      </c>
      <c r="BD190" s="302">
        <f>BA190-AZ190</f>
        <v>0</v>
      </c>
      <c r="BE190" s="302">
        <f>AX190/6</f>
        <v>0</v>
      </c>
    </row>
    <row r="191" spans="1:57" ht="20.100000000000001" customHeight="1">
      <c r="A191" s="799" t="str">
        <f>A171</f>
        <v>%=粗利率</v>
      </c>
      <c r="B191" s="751"/>
      <c r="C191" s="751"/>
      <c r="D191" s="755"/>
      <c r="E191" s="751"/>
      <c r="F191" s="663">
        <f>F192/F25</f>
        <v>0.58499999999999996</v>
      </c>
      <c r="G191" s="709">
        <f>G192/G25</f>
        <v>0.57994818652849733</v>
      </c>
      <c r="H191" s="710">
        <f>H192/H25</f>
        <v>0.58993860801963971</v>
      </c>
      <c r="I191" s="548">
        <f>H192/G192</f>
        <v>1.7177177700348432</v>
      </c>
      <c r="J191" s="663">
        <f>J192/J25</f>
        <v>0.59734466588511137</v>
      </c>
      <c r="K191" s="709">
        <f>K192/K25</f>
        <v>0.58019929660023439</v>
      </c>
      <c r="L191" s="710">
        <f>L192/L25</f>
        <v>0.53243271715862484</v>
      </c>
      <c r="M191" s="1295">
        <f>L192/K192</f>
        <v>1.4576560283687943</v>
      </c>
      <c r="N191" s="663">
        <f>N192/N25</f>
        <v>0.58848025959978367</v>
      </c>
      <c r="O191" s="709">
        <f>O192/O25</f>
        <v>0.57989010989010981</v>
      </c>
      <c r="P191" s="710">
        <f>P192/P25</f>
        <v>0.54655584875414687</v>
      </c>
      <c r="Q191" s="1295">
        <f>P192/O192</f>
        <v>1.3184570778851621</v>
      </c>
      <c r="R191" s="699">
        <f>R192/R25</f>
        <v>0.59002558947176009</v>
      </c>
      <c r="S191" s="978"/>
      <c r="T191" s="977">
        <f>T192/T25</f>
        <v>0.57997754589882433</v>
      </c>
      <c r="U191" s="667">
        <f>U192/U25</f>
        <v>0.55789714252935829</v>
      </c>
      <c r="V191" s="667">
        <f>U192/R192</f>
        <v>2.0022772743747734</v>
      </c>
      <c r="W191" s="668"/>
      <c r="X191" s="486">
        <f>U192/T192</f>
        <v>1.4719645616839863</v>
      </c>
      <c r="Y191" s="663">
        <f t="shared" ref="Y191:AN191" si="154">Y192/Y25</f>
        <v>0.57956656346749225</v>
      </c>
      <c r="Z191" s="709">
        <f t="shared" si="154"/>
        <v>0.57956656346749225</v>
      </c>
      <c r="AA191" s="710">
        <f t="shared" si="154"/>
        <v>0.6001379572601635</v>
      </c>
      <c r="AB191" s="1295">
        <f t="shared" si="154"/>
        <v>0.65278717831732247</v>
      </c>
      <c r="AC191" s="663">
        <f t="shared" si="154"/>
        <v>0.56345609065155799</v>
      </c>
      <c r="AD191" s="709">
        <f t="shared" si="154"/>
        <v>0.56345609065155799</v>
      </c>
      <c r="AE191" s="1084">
        <v>0.56345609065155799</v>
      </c>
      <c r="AF191" s="1295" t="e">
        <f t="shared" si="154"/>
        <v>#DIV/0!</v>
      </c>
      <c r="AG191" s="663">
        <f t="shared" si="154"/>
        <v>0.60331629392971242</v>
      </c>
      <c r="AH191" s="709">
        <f t="shared" si="154"/>
        <v>0.57968181818181819</v>
      </c>
      <c r="AI191" s="1084">
        <v>0.57968181818181819</v>
      </c>
      <c r="AJ191" s="1295" t="e">
        <f t="shared" si="154"/>
        <v>#DIV/0!</v>
      </c>
      <c r="AK191" s="699">
        <f t="shared" si="154"/>
        <v>0.58010852161537085</v>
      </c>
      <c r="AL191" s="978"/>
      <c r="AM191" s="977">
        <f t="shared" si="154"/>
        <v>0.57297323506594255</v>
      </c>
      <c r="AN191" s="667">
        <f t="shared" si="154"/>
        <v>0.58319391592207748</v>
      </c>
      <c r="AO191" s="978">
        <f>AN192/AK192</f>
        <v>1.0575834230355219</v>
      </c>
      <c r="AP191" s="978"/>
      <c r="AQ191" s="487">
        <f>AQ192/AQ25</f>
        <v>0.65278717831732236</v>
      </c>
      <c r="AR191" s="699">
        <f>AR192/AR25</f>
        <v>0.58499999999999985</v>
      </c>
      <c r="AS191" s="1311"/>
      <c r="AT191" s="667">
        <f>AT192/AT25</f>
        <v>0.57713993871297231</v>
      </c>
      <c r="AU191" s="667">
        <f>AU192/AU25</f>
        <v>0.56644560294925983</v>
      </c>
      <c r="AV191" s="978">
        <f>AU192/AR192</f>
        <v>1.5275456184637577</v>
      </c>
      <c r="AW191" s="978"/>
      <c r="AX191" s="487">
        <f>AX192/AX25</f>
        <v>0.53792086330479927</v>
      </c>
      <c r="AY191" s="457"/>
      <c r="AZ191" s="458">
        <f t="shared" ref="AZ191:BB191" si="155">AZ192/AZ25</f>
        <v>0.56644560294925983</v>
      </c>
      <c r="BA191" s="1424">
        <v>0.56644560294925983</v>
      </c>
      <c r="BB191" s="336">
        <f t="shared" si="155"/>
        <v>0.53432131857872989</v>
      </c>
      <c r="BC191" s="336"/>
      <c r="BD191" s="336"/>
      <c r="BE191" s="336">
        <f>BE192/BE25</f>
        <v>0.53792086330479927</v>
      </c>
    </row>
    <row r="192" spans="1:57" ht="20.100000000000001" customHeight="1">
      <c r="A192" s="747" t="s">
        <v>253</v>
      </c>
      <c r="B192" s="748"/>
      <c r="C192" s="759"/>
      <c r="D192" s="753"/>
      <c r="E192" s="759"/>
      <c r="F192" s="559">
        <v>958</v>
      </c>
      <c r="G192" s="603">
        <v>1148</v>
      </c>
      <c r="H192" s="561">
        <v>1971.94</v>
      </c>
      <c r="I192" s="562">
        <f>H192-G192</f>
        <v>823.94</v>
      </c>
      <c r="J192" s="559">
        <v>871</v>
      </c>
      <c r="K192" s="603">
        <v>846</v>
      </c>
      <c r="L192" s="561">
        <v>1233.1769999999999</v>
      </c>
      <c r="M192" s="562">
        <f>L192-K192</f>
        <v>387.17699999999991</v>
      </c>
      <c r="N192" s="559">
        <v>930</v>
      </c>
      <c r="O192" s="603">
        <v>1759</v>
      </c>
      <c r="P192" s="561">
        <v>2319.1660000000002</v>
      </c>
      <c r="Q192" s="562">
        <f>P192-O192</f>
        <v>560.16600000000017</v>
      </c>
      <c r="R192" s="462">
        <f>F192+J192+N192</f>
        <v>2759</v>
      </c>
      <c r="S192" s="463"/>
      <c r="T192" s="489">
        <f>G192+K192+O192</f>
        <v>3753</v>
      </c>
      <c r="U192" s="306">
        <f>H192+L192+P192</f>
        <v>5524.2830000000004</v>
      </c>
      <c r="V192" s="461">
        <f>U192-R192</f>
        <v>2765.2830000000004</v>
      </c>
      <c r="W192" s="460"/>
      <c r="X192" s="465">
        <f>U192-T192</f>
        <v>1771.2830000000004</v>
      </c>
      <c r="Y192" s="559">
        <v>960</v>
      </c>
      <c r="Z192" s="603">
        <v>960</v>
      </c>
      <c r="AA192" s="561">
        <v>1382.4849999999999</v>
      </c>
      <c r="AB192" s="562">
        <f>AA192-Z192</f>
        <v>422.4849999999999</v>
      </c>
      <c r="AC192" s="559">
        <v>1020</v>
      </c>
      <c r="AD192" s="603">
        <v>1020</v>
      </c>
      <c r="AE192" s="1051">
        <v>1020</v>
      </c>
      <c r="AF192" s="562">
        <f>AE192-AD192</f>
        <v>0</v>
      </c>
      <c r="AG192" s="559">
        <v>807</v>
      </c>
      <c r="AH192" s="603">
        <v>545</v>
      </c>
      <c r="AI192" s="1051">
        <v>545</v>
      </c>
      <c r="AJ192" s="562">
        <f>AI192-AH192</f>
        <v>0</v>
      </c>
      <c r="AK192" s="462">
        <f>Y192+AC192+AG192</f>
        <v>2787</v>
      </c>
      <c r="AL192" s="463"/>
      <c r="AM192" s="463">
        <f>Z192+AD192+AH192</f>
        <v>2525</v>
      </c>
      <c r="AN192" s="464">
        <f>AA192+AE192+AI192</f>
        <v>2947.4849999999997</v>
      </c>
      <c r="AO192" s="489">
        <f>AN192-AK192</f>
        <v>160.48499999999967</v>
      </c>
      <c r="AP192" s="489"/>
      <c r="AQ192" s="465">
        <f>AN192-AM192</f>
        <v>422.48499999999967</v>
      </c>
      <c r="AR192" s="462">
        <f>SUM(R192,AK192)</f>
        <v>5546</v>
      </c>
      <c r="AS192" s="1030"/>
      <c r="AT192" s="675">
        <f>T192+AM192</f>
        <v>6278</v>
      </c>
      <c r="AU192" s="306">
        <f>SUM(U192,AN192)</f>
        <v>8471.768</v>
      </c>
      <c r="AV192" s="303">
        <f>AU192-AR192</f>
        <v>2925.768</v>
      </c>
      <c r="AW192" s="303"/>
      <c r="AX192" s="465">
        <f>AU192-AT192</f>
        <v>2193.768</v>
      </c>
      <c r="AY192" s="457">
        <f t="shared" si="152"/>
        <v>924.33333333333337</v>
      </c>
      <c r="AZ192" s="458">
        <f>AU192/6</f>
        <v>1411.9613333333334</v>
      </c>
      <c r="BA192" s="1424">
        <v>1411.9613333333334</v>
      </c>
      <c r="BB192" s="302">
        <f>AZ192-AY192</f>
        <v>487.62800000000004</v>
      </c>
      <c r="BC192" s="302">
        <f>BA192-AY192</f>
        <v>487.62800000000004</v>
      </c>
      <c r="BD192" s="302">
        <f>BA192-AZ192</f>
        <v>0</v>
      </c>
      <c r="BE192" s="302">
        <f>AX192/6</f>
        <v>365.62799999999999</v>
      </c>
    </row>
    <row r="193" spans="1:57" ht="20.100000000000001" customHeight="1">
      <c r="A193" s="799" t="str">
        <f>A191</f>
        <v>%=粗利率</v>
      </c>
      <c r="B193" s="751"/>
      <c r="C193" s="751"/>
      <c r="D193" s="755"/>
      <c r="E193" s="751"/>
      <c r="F193" s="663"/>
      <c r="G193" s="664"/>
      <c r="H193" s="665">
        <v>-1.73</v>
      </c>
      <c r="I193" s="548" t="e">
        <f>H194/G194</f>
        <v>#DIV/0!</v>
      </c>
      <c r="J193" s="663"/>
      <c r="K193" s="664"/>
      <c r="L193" s="665"/>
      <c r="M193" s="1295" t="e">
        <f>L194/K194</f>
        <v>#DIV/0!</v>
      </c>
      <c r="N193" s="663"/>
      <c r="O193" s="664"/>
      <c r="P193" s="665"/>
      <c r="Q193" s="1295" t="e">
        <f>P194/O194</f>
        <v>#DIV/0!</v>
      </c>
      <c r="R193" s="699" t="e">
        <f>R194/R27</f>
        <v>#DIV/0!</v>
      </c>
      <c r="S193" s="978"/>
      <c r="T193" s="977" t="e">
        <f>T194/T27</f>
        <v>#DIV/0!</v>
      </c>
      <c r="U193" s="667">
        <f>U194/U27</f>
        <v>-1.73</v>
      </c>
      <c r="V193" s="667" t="e">
        <f>U194/R194</f>
        <v>#DIV/0!</v>
      </c>
      <c r="W193" s="668"/>
      <c r="X193" s="486" t="e">
        <f>U194/T194</f>
        <v>#DIV/0!</v>
      </c>
      <c r="Y193" s="663"/>
      <c r="Z193" s="664"/>
      <c r="AA193" s="665">
        <v>-0.56499999999999995</v>
      </c>
      <c r="AB193" s="1295" t="e">
        <f>AA194/Z194</f>
        <v>#DIV/0!</v>
      </c>
      <c r="AC193" s="663"/>
      <c r="AD193" s="664"/>
      <c r="AE193" s="1084">
        <f>AE194/AE27</f>
        <v>9.3599999999999989E-2</v>
      </c>
      <c r="AF193" s="1295" t="e">
        <f>AE194/AD194</f>
        <v>#DIV/0!</v>
      </c>
      <c r="AG193" s="663"/>
      <c r="AH193" s="664"/>
      <c r="AI193" s="1075"/>
      <c r="AJ193" s="1295" t="e">
        <f>AI194/AH194</f>
        <v>#DIV/0!</v>
      </c>
      <c r="AK193" s="699" t="e">
        <f>AK194/AK27</f>
        <v>#DIV/0!</v>
      </c>
      <c r="AL193" s="978"/>
      <c r="AM193" s="977" t="e">
        <f>AM194/AM27</f>
        <v>#DIV/0!</v>
      </c>
      <c r="AN193" s="667">
        <f>AN194/AN27</f>
        <v>-0.30434277651789493</v>
      </c>
      <c r="AO193" s="978" t="e">
        <f>AN194/AK194</f>
        <v>#DIV/0!</v>
      </c>
      <c r="AP193" s="978"/>
      <c r="AQ193" s="487" t="e">
        <f>AN194/AM194</f>
        <v>#DIV/0!</v>
      </c>
      <c r="AR193" s="699" t="e">
        <f>AR194/AR27</f>
        <v>#DIV/0!</v>
      </c>
      <c r="AS193" s="1311"/>
      <c r="AT193" s="667" t="e">
        <f>AT194/AT27</f>
        <v>#DIV/0!</v>
      </c>
      <c r="AU193" s="667">
        <f>AU194/AU27</f>
        <v>-0.867548190073958</v>
      </c>
      <c r="AV193" s="978" t="e">
        <f>AU194/AR194</f>
        <v>#DIV/0!</v>
      </c>
      <c r="AW193" s="978"/>
      <c r="AX193" s="487" t="e">
        <f>AU194/AT194</f>
        <v>#DIV/0!</v>
      </c>
      <c r="AY193" s="457"/>
      <c r="AZ193" s="458"/>
      <c r="BA193" s="1424"/>
      <c r="BB193" s="336"/>
      <c r="BC193" s="336"/>
      <c r="BD193" s="336"/>
      <c r="BE193" s="336"/>
    </row>
    <row r="194" spans="1:57" ht="20.100000000000001" customHeight="1">
      <c r="A194" s="747" t="s">
        <v>254</v>
      </c>
      <c r="B194" s="748"/>
      <c r="C194" s="759"/>
      <c r="D194" s="753"/>
      <c r="E194" s="759"/>
      <c r="F194" s="559">
        <f>F193*F27</f>
        <v>0</v>
      </c>
      <c r="G194" s="603">
        <f>G27*G193</f>
        <v>0</v>
      </c>
      <c r="H194" s="561">
        <f>H27*H193</f>
        <v>-243.97435897435898</v>
      </c>
      <c r="I194" s="562">
        <f>H194-G194</f>
        <v>-243.97435897435898</v>
      </c>
      <c r="J194" s="559">
        <f>J193*J27</f>
        <v>0</v>
      </c>
      <c r="K194" s="603">
        <f>K27*K193</f>
        <v>0</v>
      </c>
      <c r="L194" s="561">
        <v>0</v>
      </c>
      <c r="M194" s="562">
        <f>L194-K194</f>
        <v>0</v>
      </c>
      <c r="N194" s="559">
        <f>N193*N27</f>
        <v>0</v>
      </c>
      <c r="O194" s="603">
        <f>O27*O193</f>
        <v>0</v>
      </c>
      <c r="P194" s="561">
        <f>P27*P193</f>
        <v>0</v>
      </c>
      <c r="Q194" s="562">
        <f>P194-O194</f>
        <v>0</v>
      </c>
      <c r="R194" s="462">
        <f>F194+J194+N194</f>
        <v>0</v>
      </c>
      <c r="S194" s="463"/>
      <c r="T194" s="489">
        <f>G194+K194+O194</f>
        <v>0</v>
      </c>
      <c r="U194" s="306">
        <f>H194+L194+P194</f>
        <v>-243.97435897435898</v>
      </c>
      <c r="V194" s="461">
        <f>U194-R194</f>
        <v>-243.97435897435898</v>
      </c>
      <c r="W194" s="460"/>
      <c r="X194" s="465">
        <f>U194-T194</f>
        <v>-243.97435897435898</v>
      </c>
      <c r="Y194" s="559">
        <f>Y193*Y27</f>
        <v>0</v>
      </c>
      <c r="Z194" s="603">
        <f>Z27*Z193</f>
        <v>0</v>
      </c>
      <c r="AA194" s="561">
        <f>AA27*AA193</f>
        <v>-73.724773504273514</v>
      </c>
      <c r="AB194" s="562">
        <f>AA194-Z194</f>
        <v>-73.724773504273514</v>
      </c>
      <c r="AC194" s="559">
        <f>AC193*AC27</f>
        <v>0</v>
      </c>
      <c r="AD194" s="603">
        <f>AD27*AD193</f>
        <v>0</v>
      </c>
      <c r="AE194" s="1051">
        <v>8</v>
      </c>
      <c r="AF194" s="562">
        <f>AE194-AD194</f>
        <v>8</v>
      </c>
      <c r="AG194" s="559">
        <f>AG193*AG27</f>
        <v>0</v>
      </c>
      <c r="AH194" s="603">
        <f>AH27*AH193</f>
        <v>0</v>
      </c>
      <c r="AI194" s="1051"/>
      <c r="AJ194" s="562">
        <f>AI194-AH194</f>
        <v>0</v>
      </c>
      <c r="AK194" s="462">
        <f>Y194+AC194+AG194</f>
        <v>0</v>
      </c>
      <c r="AL194" s="463"/>
      <c r="AM194" s="463">
        <f>Z194+AD194+AH194</f>
        <v>0</v>
      </c>
      <c r="AN194" s="306">
        <f>AA194+AE194+AI194</f>
        <v>-65.724773504273514</v>
      </c>
      <c r="AO194" s="489">
        <f>AN194-AK194</f>
        <v>-65.724773504273514</v>
      </c>
      <c r="AP194" s="489"/>
      <c r="AQ194" s="465">
        <f>AN194-AM194</f>
        <v>-65.724773504273514</v>
      </c>
      <c r="AR194" s="462">
        <f>SUM(R194,AK194)</f>
        <v>0</v>
      </c>
      <c r="AS194" s="1030"/>
      <c r="AT194" s="675">
        <f>T194+AM194</f>
        <v>0</v>
      </c>
      <c r="AU194" s="306">
        <f>SUM(U194,AN194)</f>
        <v>-309.69913247863246</v>
      </c>
      <c r="AV194" s="303">
        <f>AU194-AR194</f>
        <v>-309.69913247863246</v>
      </c>
      <c r="AW194" s="303"/>
      <c r="AX194" s="465">
        <f>AU194-AT194</f>
        <v>-309.69913247863246</v>
      </c>
      <c r="AY194" s="457">
        <f t="shared" si="152"/>
        <v>0</v>
      </c>
      <c r="AZ194" s="458">
        <f>AU194/6</f>
        <v>-51.616522079772075</v>
      </c>
      <c r="BA194" s="1424">
        <v>-51.616522079772075</v>
      </c>
      <c r="BB194" s="302">
        <f>AZ194-AY194</f>
        <v>-51.616522079772075</v>
      </c>
      <c r="BC194" s="302">
        <f>BA194-AY194</f>
        <v>-51.616522079772075</v>
      </c>
      <c r="BD194" s="302">
        <f>BA194-AZ194</f>
        <v>0</v>
      </c>
      <c r="BE194" s="302">
        <f>AX194/6</f>
        <v>-51.616522079772075</v>
      </c>
    </row>
    <row r="195" spans="1:57" ht="20.100000000000001" customHeight="1">
      <c r="A195" s="799" t="str">
        <f>A193</f>
        <v>%=粗利率</v>
      </c>
      <c r="B195" s="751"/>
      <c r="C195" s="751"/>
      <c r="D195" s="755"/>
      <c r="E195" s="751"/>
      <c r="F195" s="663">
        <f>F196/F29</f>
        <v>0.15524052631578947</v>
      </c>
      <c r="G195" s="664">
        <v>0.15</v>
      </c>
      <c r="H195" s="665">
        <v>0.27700000000000002</v>
      </c>
      <c r="I195" s="548">
        <f>H196/G196</f>
        <v>0.11186912280701755</v>
      </c>
      <c r="J195" s="663">
        <f>J196/J29</f>
        <v>0.15524052631578947</v>
      </c>
      <c r="K195" s="664">
        <v>0.15</v>
      </c>
      <c r="L195" s="665">
        <f>L196/L29</f>
        <v>0.16892141296431173</v>
      </c>
      <c r="M195" s="1295">
        <f>L196/K196</f>
        <v>0.48827178947368421</v>
      </c>
      <c r="N195" s="663">
        <f>N196/N29</f>
        <v>0.15524052631578947</v>
      </c>
      <c r="O195" s="664">
        <v>0.222</v>
      </c>
      <c r="P195" s="665">
        <f>P196/P29</f>
        <v>0.23489641386644855</v>
      </c>
      <c r="Q195" s="1295">
        <f>P196/O196</f>
        <v>1.8684822899505762</v>
      </c>
      <c r="R195" s="699">
        <f>R196/R29</f>
        <v>0.15524052631578947</v>
      </c>
      <c r="S195" s="978"/>
      <c r="T195" s="977">
        <f>T196/T29</f>
        <v>0.16158130907163679</v>
      </c>
      <c r="U195" s="667">
        <f>U196/U29</f>
        <v>0.21264918740402367</v>
      </c>
      <c r="V195" s="667">
        <f>U196/R196</f>
        <v>0.53474768073538403</v>
      </c>
      <c r="W195" s="668"/>
      <c r="X195" s="486">
        <f>U196/T196</f>
        <v>0.64668526843065666</v>
      </c>
      <c r="Y195" s="663">
        <f>Y196/Y29</f>
        <v>0.15517894736842106</v>
      </c>
      <c r="Z195" s="664">
        <v>0.15</v>
      </c>
      <c r="AA195" s="665">
        <v>0.207256</v>
      </c>
      <c r="AB195" s="1295">
        <f>AA196/Z196</f>
        <v>1.0897605843772376</v>
      </c>
      <c r="AC195" s="663">
        <f>AC196/AC29</f>
        <v>0.15517894736842106</v>
      </c>
      <c r="AD195" s="664">
        <v>0.15</v>
      </c>
      <c r="AE195" s="1075">
        <v>0.16200000000000001</v>
      </c>
      <c r="AF195" s="1295">
        <f>AE196/AD196</f>
        <v>0.61172086043021512</v>
      </c>
      <c r="AG195" s="663">
        <f>AG196/AG29</f>
        <v>0.15548684210526315</v>
      </c>
      <c r="AH195" s="664">
        <v>0.15</v>
      </c>
      <c r="AI195" s="1075">
        <v>0.20799999999999999</v>
      </c>
      <c r="AJ195" s="1295">
        <f>AI196/AH196</f>
        <v>3.0079573333333331</v>
      </c>
      <c r="AK195" s="699">
        <f>AK196/AK29</f>
        <v>0.15524052631578947</v>
      </c>
      <c r="AL195" s="978"/>
      <c r="AM195" s="977">
        <f>AM196/AM29</f>
        <v>0.15</v>
      </c>
      <c r="AN195" s="667">
        <f>AN196/AN29</f>
        <v>0.19529312779022617</v>
      </c>
      <c r="AO195" s="978">
        <f>AN196/AK196</f>
        <v>2.7243787647501838</v>
      </c>
      <c r="AP195" s="978"/>
      <c r="AQ195" s="487">
        <f>AN196/AM196</f>
        <v>1.4911870163058181</v>
      </c>
      <c r="AR195" s="699">
        <f>AR196/AR29</f>
        <v>0.15524052631578947</v>
      </c>
      <c r="AS195" s="1311"/>
      <c r="AT195" s="667">
        <f>AT196/AT29</f>
        <v>0.15447729542835187</v>
      </c>
      <c r="AU195" s="667">
        <f>AU196/AU29</f>
        <v>0.19898722956648762</v>
      </c>
      <c r="AV195" s="978">
        <f>AU196/AR196</f>
        <v>1.4106001143413041</v>
      </c>
      <c r="AW195" s="978"/>
      <c r="AX195" s="487">
        <f>AU196/AT196</f>
        <v>1.149691412163298</v>
      </c>
      <c r="AY195" s="457"/>
      <c r="AZ195" s="458"/>
      <c r="BA195" s="1424"/>
      <c r="BB195" s="336"/>
      <c r="BC195" s="336"/>
      <c r="BD195" s="336"/>
      <c r="BE195" s="336"/>
    </row>
    <row r="196" spans="1:57" ht="20.100000000000001" customHeight="1">
      <c r="A196" s="747" t="s">
        <v>255</v>
      </c>
      <c r="B196" s="748"/>
      <c r="C196" s="759"/>
      <c r="D196" s="753"/>
      <c r="E196" s="759"/>
      <c r="F196" s="559">
        <v>2521</v>
      </c>
      <c r="G196" s="603">
        <f>G29*G195</f>
        <v>2435.897435897436</v>
      </c>
      <c r="H196" s="561">
        <f>H29*H195</f>
        <v>272.50170940170943</v>
      </c>
      <c r="I196" s="562">
        <f>H196-G196</f>
        <v>-2163.3957264957266</v>
      </c>
      <c r="J196" s="559">
        <v>2521</v>
      </c>
      <c r="K196" s="603">
        <v>2435.897435897436</v>
      </c>
      <c r="L196" s="561">
        <v>1189.3800000000001</v>
      </c>
      <c r="M196" s="562">
        <f>L196-K196</f>
        <v>-1246.5174358974359</v>
      </c>
      <c r="N196" s="559">
        <v>2521</v>
      </c>
      <c r="O196" s="603">
        <f>O29*O195</f>
        <v>1382.0923076923079</v>
      </c>
      <c r="P196" s="561">
        <v>2582.415</v>
      </c>
      <c r="Q196" s="562">
        <f>P196-O196</f>
        <v>1200.322692307692</v>
      </c>
      <c r="R196" s="462">
        <f>F196+J196+N196</f>
        <v>7563</v>
      </c>
      <c r="S196" s="463"/>
      <c r="T196" s="489">
        <f>G196+K196+O196</f>
        <v>6253.8871794871802</v>
      </c>
      <c r="U196" s="306">
        <f>H196+L196+P196</f>
        <v>4044.2967094017094</v>
      </c>
      <c r="V196" s="461">
        <f>U196-R196</f>
        <v>-3518.7032905982906</v>
      </c>
      <c r="W196" s="460"/>
      <c r="X196" s="465">
        <f>U196-T196</f>
        <v>-2209.5904700854708</v>
      </c>
      <c r="Y196" s="559">
        <v>2520</v>
      </c>
      <c r="Z196" s="603">
        <f>Z29*Z195</f>
        <v>880.89743589743591</v>
      </c>
      <c r="AA196" s="561">
        <f>AA29*AA195</f>
        <v>959.96730451999997</v>
      </c>
      <c r="AB196" s="562">
        <f>AA196-Z196</f>
        <v>79.069868622564059</v>
      </c>
      <c r="AC196" s="559">
        <v>1512</v>
      </c>
      <c r="AD196" s="603">
        <f>AD29*AD195</f>
        <v>5125.6410256410254</v>
      </c>
      <c r="AE196" s="1051">
        <f>AE29*AE195</f>
        <v>3135.4615384615386</v>
      </c>
      <c r="AF196" s="562">
        <f>AE196-AD196</f>
        <v>-1990.1794871794868</v>
      </c>
      <c r="AG196" s="559">
        <v>1010</v>
      </c>
      <c r="AH196" s="603">
        <f>AH29*AH195</f>
        <v>3205.1282051282051</v>
      </c>
      <c r="AI196" s="1051">
        <f>AI29*AI195</f>
        <v>9640.8888888888887</v>
      </c>
      <c r="AJ196" s="562">
        <f>AI196-AH196</f>
        <v>6435.7606837606836</v>
      </c>
      <c r="AK196" s="462">
        <f>Y196+AC196+AG196</f>
        <v>5042</v>
      </c>
      <c r="AL196" s="463"/>
      <c r="AM196" s="463">
        <f>Z196+AD196+AH196</f>
        <v>9211.6666666666661</v>
      </c>
      <c r="AN196" s="306">
        <f>AA196+AE196+AI196</f>
        <v>13736.317731870427</v>
      </c>
      <c r="AO196" s="489">
        <f>AN196-AK196</f>
        <v>8694.3177318704275</v>
      </c>
      <c r="AP196" s="489"/>
      <c r="AQ196" s="465">
        <f>AN196-AM196</f>
        <v>4524.6510652037614</v>
      </c>
      <c r="AR196" s="462">
        <f>SUM(R196,AK196)</f>
        <v>12605</v>
      </c>
      <c r="AS196" s="1030"/>
      <c r="AT196" s="675">
        <f>T196+AM196</f>
        <v>15465.553846153845</v>
      </c>
      <c r="AU196" s="306">
        <f>SUM(U196,AN196)</f>
        <v>17780.614441272137</v>
      </c>
      <c r="AV196" s="303">
        <f>AU196-AR196</f>
        <v>5175.6144412721369</v>
      </c>
      <c r="AW196" s="303"/>
      <c r="AX196" s="465">
        <f>AU196-AT196</f>
        <v>2315.0605951182915</v>
      </c>
      <c r="AY196" s="457">
        <f t="shared" si="152"/>
        <v>2100.8333333333335</v>
      </c>
      <c r="AZ196" s="458">
        <f>AU196/6</f>
        <v>2963.4357402120227</v>
      </c>
      <c r="BA196" s="1424">
        <v>2963.4357402120227</v>
      </c>
      <c r="BB196" s="302">
        <f>AZ196-AY196</f>
        <v>862.60240687868918</v>
      </c>
      <c r="BC196" s="302">
        <f>BA196-AY196</f>
        <v>862.60240687868918</v>
      </c>
      <c r="BD196" s="302">
        <f>BA196-AZ196</f>
        <v>0</v>
      </c>
      <c r="BE196" s="302">
        <f>AX196/6</f>
        <v>385.84343251971524</v>
      </c>
    </row>
    <row r="197" spans="1:57" ht="20.100000000000001" customHeight="1">
      <c r="A197" s="751"/>
      <c r="B197" s="751"/>
      <c r="C197" s="751"/>
      <c r="D197" s="755"/>
      <c r="E197" s="751"/>
      <c r="F197" s="711">
        <f>F198/F31</f>
        <v>0.18590574224081149</v>
      </c>
      <c r="G197" s="712">
        <f>G198/G31</f>
        <v>0.18608694389307331</v>
      </c>
      <c r="H197" s="713">
        <f>H198/H31</f>
        <v>0.15125994344152621</v>
      </c>
      <c r="I197" s="548">
        <f>H198/G198</f>
        <v>0.6713665989139056</v>
      </c>
      <c r="J197" s="711">
        <f>J198/J31</f>
        <v>0.18173399848887947</v>
      </c>
      <c r="K197" s="712">
        <f>K198/K31</f>
        <v>0.16870987293464942</v>
      </c>
      <c r="L197" s="713">
        <f>L198/L31</f>
        <v>0.17135254042327239</v>
      </c>
      <c r="M197" s="1295">
        <f>L198/K198</f>
        <v>0.95476390445547099</v>
      </c>
      <c r="N197" s="711">
        <f>N198/N31</f>
        <v>0.18638776549044514</v>
      </c>
      <c r="O197" s="712">
        <f>O198/O31</f>
        <v>0.18848254116716845</v>
      </c>
      <c r="P197" s="713">
        <f>P198/P31</f>
        <v>0.18979897555487593</v>
      </c>
      <c r="Q197" s="573">
        <f>P198/O198</f>
        <v>0.91354527471075375</v>
      </c>
      <c r="R197" s="687">
        <f>R198/R31</f>
        <v>0.18473948148565983</v>
      </c>
      <c r="S197" s="553"/>
      <c r="T197" s="617">
        <f>T198/T31</f>
        <v>0.18165820512778905</v>
      </c>
      <c r="U197" s="551">
        <f>U198/U31</f>
        <v>0.17092713002089999</v>
      </c>
      <c r="V197" s="667">
        <f>U198/R198</f>
        <v>0.79304378725002656</v>
      </c>
      <c r="W197" s="668"/>
      <c r="X197" s="486">
        <f>U198/T198</f>
        <v>0.83523210625870903</v>
      </c>
      <c r="Y197" s="711">
        <f>Y198/Y31</f>
        <v>0.18750622211413231</v>
      </c>
      <c r="Z197" s="712">
        <f>Z198/Z31</f>
        <v>0.18550203503878093</v>
      </c>
      <c r="AA197" s="713">
        <f>AA198/AA31</f>
        <v>0.1674125655048278</v>
      </c>
      <c r="AB197" s="573">
        <f>AA198/Z198</f>
        <v>0.91353515946060115</v>
      </c>
      <c r="AC197" s="711">
        <f>AC198/AC31</f>
        <v>0.18779156256580776</v>
      </c>
      <c r="AD197" s="712">
        <f>AD198/AD31</f>
        <v>0.18512779415903002</v>
      </c>
      <c r="AE197" s="1085">
        <f>AE198/AE31</f>
        <v>0.17984655810489775</v>
      </c>
      <c r="AF197" s="573">
        <f>AE198/AD198</f>
        <v>0.69961161540893269</v>
      </c>
      <c r="AG197" s="711">
        <f>AG198/AG31</f>
        <v>0.18823044269254091</v>
      </c>
      <c r="AH197" s="712">
        <f>AH198/AH31</f>
        <v>0.18317680965147451</v>
      </c>
      <c r="AI197" s="1085">
        <f>AI198/AI31</f>
        <v>0.18803159908448058</v>
      </c>
      <c r="AJ197" s="573">
        <f>AI198/AH198</f>
        <v>0.80559868686329084</v>
      </c>
      <c r="AK197" s="687">
        <f>AK198/AK31</f>
        <v>0.1878141440401197</v>
      </c>
      <c r="AL197" s="553"/>
      <c r="AM197" s="617">
        <f>AM198/AM31</f>
        <v>0.18472086452122241</v>
      </c>
      <c r="AN197" s="551">
        <f>AN198/AN31</f>
        <v>0.17679215197805856</v>
      </c>
      <c r="AO197" s="978">
        <f>AN198/AK198</f>
        <v>0.91133275858350582</v>
      </c>
      <c r="AP197" s="553"/>
      <c r="AQ197" s="456">
        <f>AN198/AM198</f>
        <v>0.8065262896057207</v>
      </c>
      <c r="AR197" s="687">
        <f>AR198/AR31</f>
        <v>0.18621052812228267</v>
      </c>
      <c r="AS197" s="553"/>
      <c r="AT197" s="617">
        <f>AT198/AT31</f>
        <v>0.18323341171048532</v>
      </c>
      <c r="AU197" s="617">
        <f>AU198/AU31</f>
        <v>0.17387661386372613</v>
      </c>
      <c r="AV197" s="667">
        <f>AU198/AR198</f>
        <v>0.84995400751737449</v>
      </c>
      <c r="AW197" s="668"/>
      <c r="AX197" s="487">
        <f>AU198/AT198</f>
        <v>0.82006972396050903</v>
      </c>
      <c r="AY197" s="457"/>
      <c r="AZ197" s="458"/>
      <c r="BA197" s="1424"/>
      <c r="BB197" s="336"/>
      <c r="BC197" s="336"/>
      <c r="BD197" s="336"/>
      <c r="BE197" s="336"/>
    </row>
    <row r="198" spans="1:57" ht="20.100000000000001" customHeight="1" thickBot="1">
      <c r="A198" s="748" t="s">
        <v>256</v>
      </c>
      <c r="B198" s="748"/>
      <c r="C198" s="759"/>
      <c r="D198" s="753"/>
      <c r="E198" s="789"/>
      <c r="F198" s="961">
        <f>F172+F178+F192+F184+F190+F194+F196</f>
        <v>70204.205128205125</v>
      </c>
      <c r="G198" s="962">
        <f>G172+G178+G192+G184+G190+G194+G196</f>
        <v>70993.282435897432</v>
      </c>
      <c r="H198" s="618">
        <f>H172+H178+H192+H184+H190+H194+H196</f>
        <v>47662.518574722773</v>
      </c>
      <c r="I198" s="963">
        <f>H198-G198</f>
        <v>-23330.763861174659</v>
      </c>
      <c r="J198" s="961">
        <f>J172+J178+J192+J184+J190+J194+J196</f>
        <v>63113.111111111109</v>
      </c>
      <c r="K198" s="962">
        <f>K172+K178+K192+K184+K190+K194+K196</f>
        <v>53540.871256410261</v>
      </c>
      <c r="L198" s="618">
        <f>L172+L178+L192+L184+L190+L194+L196</f>
        <v>51118.891288717961</v>
      </c>
      <c r="M198" s="963">
        <f>L198-K198</f>
        <v>-2421.9799676922994</v>
      </c>
      <c r="N198" s="961">
        <f t="shared" ref="N198:X198" si="156">N172+N178+N192+N184+N190+N194+N196</f>
        <v>68224.931623931625</v>
      </c>
      <c r="O198" s="1400">
        <f t="shared" si="156"/>
        <v>66828.015384615384</v>
      </c>
      <c r="P198" s="618">
        <f t="shared" si="156"/>
        <v>61050.417672912939</v>
      </c>
      <c r="Q198" s="1401">
        <f t="shared" si="156"/>
        <v>-5777.5977117024422</v>
      </c>
      <c r="R198" s="958">
        <f t="shared" si="156"/>
        <v>201542.24786324787</v>
      </c>
      <c r="S198" s="1292"/>
      <c r="T198" s="1404">
        <f t="shared" si="156"/>
        <v>191362.16907692308</v>
      </c>
      <c r="U198" s="1391">
        <f t="shared" si="156"/>
        <v>159831.82753635367</v>
      </c>
      <c r="V198" s="1391">
        <f t="shared" si="156"/>
        <v>-41710.420326894186</v>
      </c>
      <c r="W198" s="1394"/>
      <c r="X198" s="1395">
        <f t="shared" si="156"/>
        <v>-31530.341540569407</v>
      </c>
      <c r="Y198" s="961">
        <f>Y172+Y178+Y192+Y184+Y190+Y194+Y196</f>
        <v>70509.230769230766</v>
      </c>
      <c r="Z198" s="1400">
        <f t="shared" ref="Z198:AX198" si="157">Z172+Z178+Z192+Z184+Z190+Z194+Z196</f>
        <v>76390.213675213687</v>
      </c>
      <c r="AA198" s="618">
        <f t="shared" si="157"/>
        <v>69785.146031015727</v>
      </c>
      <c r="AB198" s="1401">
        <f t="shared" si="157"/>
        <v>-5103.2193621466704</v>
      </c>
      <c r="AC198" s="961">
        <f>AC172+AC178+AC192+AC184+AC190+AC194+AC196</f>
        <v>61737.358974358969</v>
      </c>
      <c r="AD198" s="1400">
        <f t="shared" ref="AD198" si="158">AD172+AD178+AD192+AD184+AD190+AD194+AD196</f>
        <v>77595.128205128218</v>
      </c>
      <c r="AE198" s="1068">
        <f t="shared" si="157"/>
        <v>54286.452991452992</v>
      </c>
      <c r="AF198" s="1401">
        <f t="shared" si="157"/>
        <v>-10782.179487179486</v>
      </c>
      <c r="AG198" s="961">
        <f>AG172+AG178+AG192+AG184+AG190+AG194+AG196</f>
        <v>55711.38461538461</v>
      </c>
      <c r="AH198" s="1400">
        <f t="shared" ref="AH198" si="159">AH172+AH178+AH192+AH184+AH190+AH194+AH196</f>
        <v>58397.393162393164</v>
      </c>
      <c r="AI198" s="1068">
        <f t="shared" si="157"/>
        <v>47044.86324786325</v>
      </c>
      <c r="AJ198" s="1401">
        <f t="shared" si="157"/>
        <v>-11352.529914529918</v>
      </c>
      <c r="AK198" s="958">
        <f>AK172+AK178+AK192+AK184+AK190+AK194+AK196</f>
        <v>187957.97435897437</v>
      </c>
      <c r="AL198" s="1292"/>
      <c r="AM198" s="1404">
        <f t="shared" si="157"/>
        <v>212382.73504273503</v>
      </c>
      <c r="AN198" s="1391">
        <f t="shared" si="157"/>
        <v>171292.25927033197</v>
      </c>
      <c r="AO198" s="1292">
        <f t="shared" si="157"/>
        <v>-16665.715088642384</v>
      </c>
      <c r="AP198" s="1292"/>
      <c r="AQ198" s="1395">
        <f t="shared" si="157"/>
        <v>-41090.475772403086</v>
      </c>
      <c r="AR198" s="969">
        <f t="shared" si="157"/>
        <v>389500.22222222219</v>
      </c>
      <c r="AS198" s="1322"/>
      <c r="AT198" s="1320">
        <f t="shared" si="157"/>
        <v>403694.05811965809</v>
      </c>
      <c r="AU198" s="1398">
        <f>AU172+AU178+AU192+AU184+AU190+AU194+AU196</f>
        <v>331057.27480668569</v>
      </c>
      <c r="AV198" s="1396">
        <f t="shared" si="157"/>
        <v>-58442.947415536561</v>
      </c>
      <c r="AW198" s="1396"/>
      <c r="AX198" s="1395">
        <f t="shared" si="157"/>
        <v>-72636.783312972475</v>
      </c>
      <c r="AY198" s="457">
        <f t="shared" si="152"/>
        <v>64916.703703703701</v>
      </c>
      <c r="AZ198" s="458">
        <f t="shared" ref="AZ198" si="160">AZ172+AZ178+AZ192+AZ184+AZ190+AZ194+AZ196</f>
        <v>55176.212467780948</v>
      </c>
      <c r="BA198" s="1424">
        <v>55176.212467780948</v>
      </c>
      <c r="BB198" s="302">
        <f>AZ198-AY198</f>
        <v>-9740.4912359227528</v>
      </c>
      <c r="BC198" s="302">
        <f>BA198-AY198</f>
        <v>-9740.4912359227528</v>
      </c>
      <c r="BD198" s="302">
        <f>BA198-AZ198</f>
        <v>0</v>
      </c>
      <c r="BE198" s="302">
        <f>AX198/6</f>
        <v>-12106.13055216208</v>
      </c>
    </row>
    <row r="199" spans="1:57" ht="20.100000000000001" customHeight="1">
      <c r="A199" s="761"/>
      <c r="B199" s="761"/>
      <c r="C199" s="761"/>
      <c r="D199" s="761"/>
      <c r="E199" s="761"/>
      <c r="F199" s="445"/>
      <c r="G199" s="714"/>
      <c r="H199" s="714"/>
      <c r="I199" s="714"/>
      <c r="J199" s="445"/>
      <c r="K199" s="714"/>
      <c r="L199" s="714"/>
      <c r="M199" s="714"/>
      <c r="N199" s="445"/>
      <c r="O199" s="445"/>
      <c r="P199" s="714"/>
      <c r="Q199" s="714"/>
      <c r="R199" s="445"/>
      <c r="S199" s="445"/>
      <c r="T199" s="445"/>
      <c r="U199" s="714"/>
      <c r="V199" s="445"/>
      <c r="W199" s="445"/>
      <c r="X199" s="445"/>
      <c r="Y199" s="445"/>
      <c r="Z199" s="445"/>
      <c r="AA199" s="714"/>
      <c r="AB199" s="714"/>
      <c r="AC199" s="445"/>
      <c r="AD199" s="445"/>
      <c r="AE199" s="714"/>
      <c r="AF199" s="714"/>
      <c r="AG199" s="445"/>
      <c r="AH199" s="445"/>
      <c r="AI199" s="714"/>
      <c r="AJ199" s="714"/>
      <c r="AK199" s="445"/>
      <c r="AL199" s="445"/>
      <c r="AM199" s="445"/>
      <c r="AN199" s="714"/>
      <c r="AO199" s="445"/>
      <c r="AP199" s="445"/>
      <c r="AQ199" s="445"/>
      <c r="AR199" s="506"/>
      <c r="AS199" s="506"/>
      <c r="AT199" s="445"/>
      <c r="AU199" s="715"/>
      <c r="AV199" s="506"/>
      <c r="AW199" s="506"/>
      <c r="AX199" s="445"/>
      <c r="AY199" s="472"/>
      <c r="AZ199" s="472"/>
      <c r="BA199" s="1425"/>
    </row>
    <row r="200" spans="1:57" ht="20.25" thickBot="1">
      <c r="A200" s="814" t="s">
        <v>257</v>
      </c>
      <c r="B200" s="780"/>
      <c r="C200" s="781"/>
      <c r="D200" s="781"/>
      <c r="E200" s="781"/>
      <c r="F200" s="524"/>
      <c r="G200" s="524"/>
      <c r="H200" s="524"/>
      <c r="I200" s="347"/>
      <c r="J200" s="524"/>
      <c r="K200" s="524"/>
      <c r="L200" s="524"/>
      <c r="M200" s="524"/>
      <c r="N200" s="524"/>
      <c r="O200" s="524"/>
      <c r="P200" s="524"/>
      <c r="Q200" s="347"/>
      <c r="R200" s="279"/>
      <c r="S200" s="279"/>
      <c r="T200" s="279"/>
      <c r="U200" s="506"/>
      <c r="V200" s="506"/>
      <c r="W200" s="506"/>
      <c r="X200" s="524"/>
      <c r="Y200" s="524"/>
      <c r="Z200" s="524"/>
      <c r="AA200" s="524"/>
      <c r="AB200" s="524"/>
      <c r="AC200" s="524"/>
      <c r="AD200" s="524"/>
      <c r="AE200" s="524"/>
      <c r="AF200" s="524"/>
      <c r="AG200" s="524"/>
      <c r="AH200" s="524"/>
      <c r="AI200" s="524"/>
      <c r="AJ200" s="524"/>
      <c r="AK200" s="279"/>
      <c r="AL200" s="279"/>
      <c r="AM200" s="279"/>
      <c r="AN200" s="506"/>
      <c r="AO200" s="506"/>
      <c r="AP200" s="506"/>
      <c r="AQ200" s="524"/>
      <c r="AR200" s="418"/>
      <c r="AS200" s="418"/>
      <c r="AU200" s="418"/>
      <c r="AV200" s="347"/>
      <c r="AW200" s="347"/>
      <c r="AX200" s="421" t="s">
        <v>34</v>
      </c>
      <c r="AY200" s="416"/>
    </row>
    <row r="201" spans="1:57" ht="20.100000000000001" customHeight="1" thickBot="1">
      <c r="A201" s="732"/>
      <c r="B201" s="732"/>
      <c r="C201" s="732"/>
      <c r="D201" s="733"/>
      <c r="E201" s="1494"/>
      <c r="F201" s="1558" t="str">
        <f>F3</f>
        <v>17/9</v>
      </c>
      <c r="G201" s="1560"/>
      <c r="H201" s="1560"/>
      <c r="I201" s="1561">
        <v>0</v>
      </c>
      <c r="J201" s="1558" t="str">
        <f>J3</f>
        <v>17/10</v>
      </c>
      <c r="K201" s="1559"/>
      <c r="L201" s="1560"/>
      <c r="M201" s="1561">
        <v>0</v>
      </c>
      <c r="N201" s="1558" t="str">
        <f>N3</f>
        <v>17/11</v>
      </c>
      <c r="O201" s="1559"/>
      <c r="P201" s="1560"/>
      <c r="Q201" s="1561">
        <v>0</v>
      </c>
      <c r="R201" s="1558" t="str">
        <f>R3</f>
        <v>17/9-17/11累計</v>
      </c>
      <c r="S201" s="1559"/>
      <c r="T201" s="1559"/>
      <c r="U201" s="1560"/>
      <c r="V201" s="1559"/>
      <c r="W201" s="1559"/>
      <c r="X201" s="1561"/>
      <c r="Y201" s="1558" t="str">
        <f>Y3</f>
        <v>17/12</v>
      </c>
      <c r="Z201" s="1559"/>
      <c r="AA201" s="1560"/>
      <c r="AB201" s="1561">
        <v>0</v>
      </c>
      <c r="AC201" s="1558" t="str">
        <f>AC3</f>
        <v>18/1</v>
      </c>
      <c r="AD201" s="1559"/>
      <c r="AE201" s="1560"/>
      <c r="AF201" s="1561">
        <v>0</v>
      </c>
      <c r="AG201" s="1558" t="str">
        <f>AG3</f>
        <v>18/2</v>
      </c>
      <c r="AH201" s="1559"/>
      <c r="AI201" s="1560"/>
      <c r="AJ201" s="1561">
        <v>0</v>
      </c>
      <c r="AK201" s="1558" t="str">
        <f>AK3</f>
        <v>17/12-18/2累計</v>
      </c>
      <c r="AL201" s="1559"/>
      <c r="AM201" s="1559"/>
      <c r="AN201" s="1560"/>
      <c r="AO201" s="1559"/>
      <c r="AP201" s="1559"/>
      <c r="AQ201" s="1561"/>
      <c r="AR201" s="1562" t="str">
        <f>AR3</f>
        <v>17/下(17/12-18/2)累計</v>
      </c>
      <c r="AS201" s="1563"/>
      <c r="AT201" s="1563"/>
      <c r="AU201" s="1563"/>
      <c r="AV201" s="1563"/>
      <c r="AW201" s="1563"/>
      <c r="AX201" s="1564"/>
      <c r="AY201" s="422"/>
      <c r="AZ201" s="423"/>
      <c r="BA201" s="1420"/>
      <c r="BB201" s="1039"/>
      <c r="BC201" s="280"/>
      <c r="BD201" s="280"/>
      <c r="BE201" s="280"/>
    </row>
    <row r="202" spans="1:57" ht="20.100000000000001" customHeight="1" thickTop="1">
      <c r="A202" s="734"/>
      <c r="B202" s="734"/>
      <c r="C202" s="734"/>
      <c r="D202" s="735"/>
      <c r="E202" s="734"/>
      <c r="F202" s="619" t="s">
        <v>38</v>
      </c>
      <c r="G202" s="526" t="str">
        <f>G4</f>
        <v>前回計画</v>
      </c>
      <c r="H202" s="527" t="str">
        <f>H4</f>
        <v>実績</v>
      </c>
      <c r="I202" s="1069" t="s">
        <v>40</v>
      </c>
      <c r="J202" s="619" t="str">
        <f>J4</f>
        <v>レビュー</v>
      </c>
      <c r="K202" s="526" t="str">
        <f>K4</f>
        <v>前回計画</v>
      </c>
      <c r="L202" s="527" t="str">
        <f>L4</f>
        <v>実績</v>
      </c>
      <c r="M202" s="620" t="s">
        <v>40</v>
      </c>
      <c r="N202" s="619" t="str">
        <f>N4</f>
        <v>レビュー</v>
      </c>
      <c r="O202" s="526" t="str">
        <f>O4</f>
        <v>計画</v>
      </c>
      <c r="P202" s="527" t="str">
        <f>P4</f>
        <v>実績</v>
      </c>
      <c r="Q202" s="1069" t="s">
        <v>40</v>
      </c>
      <c r="R202" s="619" t="str">
        <f>R4</f>
        <v>レビュー</v>
      </c>
      <c r="S202" s="285"/>
      <c r="T202" s="282" t="str">
        <f>T35</f>
        <v>前回見通</v>
      </c>
      <c r="U202" s="283" t="str">
        <f>U4</f>
        <v>実績</v>
      </c>
      <c r="V202" s="282" t="str">
        <f>V4</f>
        <v>レビュー差異</v>
      </c>
      <c r="W202" s="287"/>
      <c r="X202" s="427" t="str">
        <f>X35</f>
        <v>計画差異</v>
      </c>
      <c r="Y202" s="619" t="str">
        <f>Y4</f>
        <v>レビュー</v>
      </c>
      <c r="Z202" s="526" t="str">
        <f>Z4</f>
        <v>前回計画</v>
      </c>
      <c r="AA202" s="527" t="str">
        <f>AA4</f>
        <v>実績</v>
      </c>
      <c r="AB202" s="620" t="s">
        <v>40</v>
      </c>
      <c r="AC202" s="619" t="str">
        <f>AC4</f>
        <v>レビュー</v>
      </c>
      <c r="AD202" s="526" t="str">
        <f>AD4</f>
        <v>前回計画</v>
      </c>
      <c r="AE202" s="1041" t="str">
        <f>AE4</f>
        <v>今回計画</v>
      </c>
      <c r="AF202" s="620" t="s">
        <v>40</v>
      </c>
      <c r="AG202" s="619" t="str">
        <f>AG4</f>
        <v>レビュー</v>
      </c>
      <c r="AH202" s="526" t="str">
        <f>AH4</f>
        <v>前回計画</v>
      </c>
      <c r="AI202" s="1041" t="str">
        <f>AI4</f>
        <v>今回計画</v>
      </c>
      <c r="AJ202" s="620" t="s">
        <v>40</v>
      </c>
      <c r="AK202" s="619" t="str">
        <f>AK4</f>
        <v>レビュー</v>
      </c>
      <c r="AL202" s="285"/>
      <c r="AM202" s="282" t="str">
        <f>AM35</f>
        <v>前回見通</v>
      </c>
      <c r="AN202" s="283" t="str">
        <f>AN4</f>
        <v>今回見通</v>
      </c>
      <c r="AO202" s="285" t="s">
        <v>396</v>
      </c>
      <c r="AP202" s="285"/>
      <c r="AQ202" s="427" t="str">
        <f>AQ35</f>
        <v>計画差異</v>
      </c>
      <c r="AR202" s="619" t="str">
        <f>AR4</f>
        <v>レビュー</v>
      </c>
      <c r="AS202" s="716"/>
      <c r="AT202" s="282" t="str">
        <f>AT35</f>
        <v>前回見通</v>
      </c>
      <c r="AU202" s="283" t="str">
        <f>AU4</f>
        <v>今回見通</v>
      </c>
      <c r="AV202" s="327" t="str">
        <f>AV35</f>
        <v>レビュー差異</v>
      </c>
      <c r="AW202" s="327"/>
      <c r="AX202" s="427" t="str">
        <f>AX35</f>
        <v>計画差異</v>
      </c>
      <c r="AY202" s="424" t="s">
        <v>303</v>
      </c>
      <c r="AZ202" s="427" t="str">
        <f>AZ4</f>
        <v>見通し平均</v>
      </c>
      <c r="BA202" s="1426" t="s">
        <v>321</v>
      </c>
      <c r="BB202" s="278" t="s">
        <v>302</v>
      </c>
      <c r="BC202" s="278" t="s">
        <v>277</v>
      </c>
      <c r="BE202" s="278" t="s">
        <v>279</v>
      </c>
    </row>
    <row r="203" spans="1:57" ht="20.100000000000001" customHeight="1">
      <c r="A203" s="815"/>
      <c r="B203" s="1565" t="s">
        <v>50</v>
      </c>
      <c r="C203" s="1566"/>
      <c r="D203" s="816"/>
      <c r="E203" s="1493"/>
      <c r="F203" s="651">
        <v>0.05</v>
      </c>
      <c r="G203" s="652">
        <v>0.05</v>
      </c>
      <c r="H203" s="653">
        <f>H204/H36</f>
        <v>4.3915318319763447E-2</v>
      </c>
      <c r="I203" s="654"/>
      <c r="J203" s="651">
        <f>J204/J36</f>
        <v>4.9500000000000002E-2</v>
      </c>
      <c r="K203" s="652">
        <f>K204/K36</f>
        <v>4.9990909090909086E-2</v>
      </c>
      <c r="L203" s="1304">
        <f>L204/L36</f>
        <v>3.9145893427355159E-2</v>
      </c>
      <c r="M203" s="1305"/>
      <c r="N203" s="651">
        <f>N204/N36</f>
        <v>4.9585714285714282E-2</v>
      </c>
      <c r="O203" s="652">
        <v>0.05</v>
      </c>
      <c r="P203" s="653">
        <v>5.0363940426707124E-2</v>
      </c>
      <c r="Q203" s="1305"/>
      <c r="R203" s="657">
        <f>R204/R36</f>
        <v>4.9975714285714283E-2</v>
      </c>
      <c r="S203" s="976"/>
      <c r="T203" s="976">
        <f>T204/T36</f>
        <v>5.0249999999999996E-2</v>
      </c>
      <c r="U203" s="655">
        <f>U204/U36</f>
        <v>4.510415765150276E-2</v>
      </c>
      <c r="V203" s="655"/>
      <c r="W203" s="656"/>
      <c r="X203" s="520"/>
      <c r="Y203" s="651">
        <f>Y204/Y36</f>
        <v>4.9999999999999996E-2</v>
      </c>
      <c r="Z203" s="652">
        <v>0.05</v>
      </c>
      <c r="AA203" s="653">
        <f>AA204/AA36</f>
        <v>6.5791073965347419E-2</v>
      </c>
      <c r="AB203" s="1305"/>
      <c r="AC203" s="651">
        <f>AC204/AC36</f>
        <v>5.0909090909090918E-2</v>
      </c>
      <c r="AD203" s="652">
        <v>0.05</v>
      </c>
      <c r="AE203" s="1074">
        <v>0.05</v>
      </c>
      <c r="AF203" s="1305">
        <v>4.8000000000000001E-2</v>
      </c>
      <c r="AG203" s="651">
        <f>AG204/AG36</f>
        <v>0.05</v>
      </c>
      <c r="AH203" s="652">
        <v>0.05</v>
      </c>
      <c r="AI203" s="1074">
        <f>AH203</f>
        <v>0.05</v>
      </c>
      <c r="AJ203" s="1305"/>
      <c r="AK203" s="657">
        <f>AK204/AK36</f>
        <v>5.0326797385620917E-2</v>
      </c>
      <c r="AL203" s="976"/>
      <c r="AM203" s="976">
        <f>AM204/AM36</f>
        <v>0.05</v>
      </c>
      <c r="AN203" s="655">
        <f>AN204/AN36</f>
        <v>5.6575538663656784E-2</v>
      </c>
      <c r="AO203" s="976"/>
      <c r="AP203" s="976"/>
      <c r="AQ203" s="520"/>
      <c r="AR203" s="657">
        <f>AR204/AR36</f>
        <v>5.0123691460055096E-2</v>
      </c>
      <c r="AS203" s="976"/>
      <c r="AT203" s="976">
        <f>AT204/AT36</f>
        <v>5.0142473118279574E-2</v>
      </c>
      <c r="AU203" s="655">
        <f>AU204/AU36</f>
        <v>5.0224237295412436E-2</v>
      </c>
      <c r="AV203" s="717"/>
      <c r="AW203" s="717"/>
      <c r="AX203" s="324">
        <f>AU204/AT204</f>
        <v>0.93033049828770664</v>
      </c>
      <c r="AY203" s="659"/>
      <c r="AZ203" s="660"/>
      <c r="BA203" s="1430"/>
      <c r="BB203" s="661"/>
      <c r="BC203" s="661"/>
      <c r="BD203" s="661"/>
      <c r="BE203" s="661"/>
    </row>
    <row r="204" spans="1:57" ht="20.100000000000001" customHeight="1">
      <c r="A204" s="738"/>
      <c r="B204" s="1567" t="s">
        <v>185</v>
      </c>
      <c r="C204" s="1568"/>
      <c r="D204" s="783"/>
      <c r="E204" s="1492"/>
      <c r="F204" s="444">
        <v>355</v>
      </c>
      <c r="G204" s="539">
        <v>355</v>
      </c>
      <c r="H204" s="540">
        <v>240.24216000000007</v>
      </c>
      <c r="I204" s="590">
        <f>H204-G204</f>
        <v>-114.75783999999993</v>
      </c>
      <c r="J204" s="444">
        <v>275</v>
      </c>
      <c r="K204" s="539">
        <v>235</v>
      </c>
      <c r="L204" s="1306">
        <v>177</v>
      </c>
      <c r="M204" s="590">
        <f>L204-K204</f>
        <v>-58</v>
      </c>
      <c r="N204" s="444">
        <v>267</v>
      </c>
      <c r="O204" s="539">
        <f>O203*O36</f>
        <v>320.51282051282055</v>
      </c>
      <c r="P204" s="540">
        <f>P203*P36</f>
        <v>320.23797878609986</v>
      </c>
      <c r="Q204" s="590">
        <f>P204-O204</f>
        <v>-0.27484172672069462</v>
      </c>
      <c r="R204" s="448">
        <f>F204+J204+N204</f>
        <v>897</v>
      </c>
      <c r="S204" s="470"/>
      <c r="T204" s="470">
        <f>G204+K204+O204</f>
        <v>910.51282051282055</v>
      </c>
      <c r="U204" s="446">
        <f>H204+L204+P204</f>
        <v>737.48013878609993</v>
      </c>
      <c r="V204" s="446">
        <f>U204-R204</f>
        <v>-159.51986121390007</v>
      </c>
      <c r="W204" s="466"/>
      <c r="X204" s="435">
        <f>U204-T204</f>
        <v>-173.03268172672063</v>
      </c>
      <c r="Y204" s="444">
        <v>269.23076923076923</v>
      </c>
      <c r="Z204" s="539">
        <f>Z203*Z36</f>
        <v>299.14529914529919</v>
      </c>
      <c r="AA204" s="540">
        <v>361.10574023617301</v>
      </c>
      <c r="AB204" s="590">
        <f>AA204-Z204</f>
        <v>61.960441090873815</v>
      </c>
      <c r="AC204" s="444">
        <v>239.31623931623938</v>
      </c>
      <c r="AD204" s="539">
        <f>AD203*AD36</f>
        <v>213.67521367521368</v>
      </c>
      <c r="AE204" s="1064">
        <v>213.67521367521368</v>
      </c>
      <c r="AF204" s="590">
        <f>AE204-AD204</f>
        <v>0</v>
      </c>
      <c r="AG204" s="444">
        <v>149.5726495726496</v>
      </c>
      <c r="AH204" s="539">
        <f>AH203*AH36</f>
        <v>170.94017094017096</v>
      </c>
      <c r="AI204" s="1064">
        <f>AI203*AI36</f>
        <v>170.94017094017096</v>
      </c>
      <c r="AJ204" s="590">
        <f>AI204-AH204</f>
        <v>0</v>
      </c>
      <c r="AK204" s="448">
        <f>Y204+AC204+AG204</f>
        <v>658.1196581196582</v>
      </c>
      <c r="AL204" s="470"/>
      <c r="AM204" s="470">
        <f>Z204+AD204+AH204</f>
        <v>683.76068376068383</v>
      </c>
      <c r="AN204" s="446">
        <f>AA204+AE204+AI204</f>
        <v>745.72112485155753</v>
      </c>
      <c r="AO204" s="470">
        <f>AN204-AK204</f>
        <v>87.601466731899336</v>
      </c>
      <c r="AP204" s="470"/>
      <c r="AQ204" s="435">
        <f>AN204-AM204</f>
        <v>61.960441090873701</v>
      </c>
      <c r="AR204" s="447">
        <f>SUM(R204,AK204)</f>
        <v>1555.1196581196582</v>
      </c>
      <c r="AS204" s="986"/>
      <c r="AT204" s="624">
        <f>T204+AM204</f>
        <v>1594.2735042735044</v>
      </c>
      <c r="AU204" s="507">
        <f>SUM(U204,AN204)</f>
        <v>1483.2012636376576</v>
      </c>
      <c r="AV204" s="466">
        <f>AU204-AR204</f>
        <v>-71.918394482000622</v>
      </c>
      <c r="AW204" s="466"/>
      <c r="AX204" s="435">
        <f>AU204-AT204</f>
        <v>-111.07224063584681</v>
      </c>
      <c r="AY204" s="444"/>
      <c r="AZ204" s="445"/>
      <c r="BA204" s="1423"/>
      <c r="BB204" s="416"/>
      <c r="BC204" s="416"/>
      <c r="BD204" s="416"/>
      <c r="BE204" s="416"/>
    </row>
    <row r="205" spans="1:57" ht="20.100000000000001" customHeight="1">
      <c r="A205" s="817"/>
      <c r="B205" s="825"/>
      <c r="C205" s="825" t="s">
        <v>50</v>
      </c>
      <c r="D205" s="816"/>
      <c r="E205" s="1493"/>
      <c r="F205" s="651">
        <f>F206/F37</f>
        <v>0.18953999999999999</v>
      </c>
      <c r="G205" s="652">
        <f>G206/G37</f>
        <v>0.18953999999999999</v>
      </c>
      <c r="H205" s="653">
        <f>H206/H37</f>
        <v>0.18047691300863472</v>
      </c>
      <c r="I205" s="654"/>
      <c r="J205" s="651">
        <f>J206/J37</f>
        <v>0.19</v>
      </c>
      <c r="K205" s="652">
        <f>K206/K37</f>
        <v>0.19188</v>
      </c>
      <c r="L205" s="1304">
        <f>L206/L37</f>
        <v>0.31976747321853782</v>
      </c>
      <c r="M205" s="1305"/>
      <c r="N205" s="651">
        <f>N206/N37</f>
        <v>0.19</v>
      </c>
      <c r="O205" s="652">
        <v>0.19</v>
      </c>
      <c r="P205" s="653">
        <f>P206/P37</f>
        <v>0.25182969230665436</v>
      </c>
      <c r="Q205" s="1305"/>
      <c r="R205" s="657">
        <f>R206/R37</f>
        <v>0.18984666666666666</v>
      </c>
      <c r="S205" s="976"/>
      <c r="T205" s="976">
        <f>T206/T37</f>
        <v>0.19047333333333333</v>
      </c>
      <c r="U205" s="655">
        <f>U206/U37</f>
        <v>0.239968200388433</v>
      </c>
      <c r="V205" s="655"/>
      <c r="W205" s="656"/>
      <c r="X205" s="520"/>
      <c r="Y205" s="651">
        <f>Y206/Y37</f>
        <v>0.19012499999999999</v>
      </c>
      <c r="Z205" s="652">
        <v>0.19</v>
      </c>
      <c r="AA205" s="653">
        <f>AA206/AA37</f>
        <v>0.21781981475781709</v>
      </c>
      <c r="AB205" s="1305">
        <v>0.14599999999999999</v>
      </c>
      <c r="AC205" s="651">
        <f>AC206/AC37</f>
        <v>0.19</v>
      </c>
      <c r="AD205" s="652">
        <v>0.19</v>
      </c>
      <c r="AE205" s="1074">
        <v>0.19</v>
      </c>
      <c r="AF205" s="1305">
        <v>0.14599999999999999</v>
      </c>
      <c r="AG205" s="651">
        <f>AG206/AG37</f>
        <v>0.19</v>
      </c>
      <c r="AH205" s="652">
        <v>0.19</v>
      </c>
      <c r="AI205" s="1074">
        <f>AH205</f>
        <v>0.19</v>
      </c>
      <c r="AJ205" s="1305"/>
      <c r="AK205" s="657">
        <f>AK206/AK37</f>
        <v>0.19005555555555553</v>
      </c>
      <c r="AL205" s="976"/>
      <c r="AM205" s="976">
        <f>AM206/AM37</f>
        <v>0.19</v>
      </c>
      <c r="AN205" s="655">
        <f>AN206/AN37</f>
        <v>0.20979489134187973</v>
      </c>
      <c r="AO205" s="976"/>
      <c r="AP205" s="976"/>
      <c r="AQ205" s="520"/>
      <c r="AR205" s="657">
        <f>AR206/AR37</f>
        <v>0.18993410852713177</v>
      </c>
      <c r="AS205" s="976"/>
      <c r="AT205" s="976">
        <f>AT206/AT37</f>
        <v>0.19027307692307688</v>
      </c>
      <c r="AU205" s="655">
        <f>AU206/AU37</f>
        <v>0.22322449235265837</v>
      </c>
      <c r="AV205" s="717"/>
      <c r="AW205" s="717"/>
      <c r="AX205" s="324">
        <f>AU206/AT206</f>
        <v>1.6913248934440532</v>
      </c>
      <c r="AY205" s="659"/>
      <c r="AZ205" s="660"/>
      <c r="BA205" s="1430"/>
      <c r="BB205" s="661"/>
      <c r="BC205" s="661"/>
      <c r="BD205" s="661"/>
      <c r="BE205" s="661"/>
    </row>
    <row r="206" spans="1:57" ht="20.100000000000001" customHeight="1">
      <c r="A206" s="738"/>
      <c r="B206" s="760"/>
      <c r="C206" s="803" t="s">
        <v>42</v>
      </c>
      <c r="D206" s="804"/>
      <c r="E206" s="813"/>
      <c r="F206" s="444">
        <v>40.5</v>
      </c>
      <c r="G206" s="539">
        <v>40.5</v>
      </c>
      <c r="H206" s="540">
        <v>34.700329999999994</v>
      </c>
      <c r="I206" s="590">
        <f>H206-G206</f>
        <v>-5.7996700000000061</v>
      </c>
      <c r="J206" s="444">
        <v>40.598290598290603</v>
      </c>
      <c r="K206" s="539">
        <v>41</v>
      </c>
      <c r="L206" s="1306">
        <v>24.768619999999999</v>
      </c>
      <c r="M206" s="590">
        <f>L206-K206</f>
        <v>-16.231380000000001</v>
      </c>
      <c r="N206" s="444">
        <v>40.598290598290603</v>
      </c>
      <c r="O206" s="539">
        <f>O205*O37</f>
        <v>40.598290598290603</v>
      </c>
      <c r="P206" s="540">
        <v>111.61682148514943</v>
      </c>
      <c r="Q206" s="590">
        <f>P206-O206</f>
        <v>71.018530886858827</v>
      </c>
      <c r="R206" s="448">
        <f>F206+J206+N206</f>
        <v>121.69658119658121</v>
      </c>
      <c r="S206" s="470"/>
      <c r="T206" s="470">
        <f>G206+K206+O206</f>
        <v>122.0982905982906</v>
      </c>
      <c r="U206" s="446">
        <f>H206+L206+P206</f>
        <v>171.08577148514942</v>
      </c>
      <c r="V206" s="446">
        <f>U206-R206</f>
        <v>49.389190288568216</v>
      </c>
      <c r="W206" s="466"/>
      <c r="X206" s="435">
        <f>U206-T206</f>
        <v>48.987480886858819</v>
      </c>
      <c r="Y206" s="444">
        <v>39</v>
      </c>
      <c r="Z206" s="539">
        <f>Z205*Z37</f>
        <v>40.598290598290603</v>
      </c>
      <c r="AA206" s="540">
        <v>137.76693707711874</v>
      </c>
      <c r="AB206" s="590">
        <f>AA206-Z206</f>
        <v>97.168646478828137</v>
      </c>
      <c r="AC206" s="444">
        <v>24.358974358974358</v>
      </c>
      <c r="AD206" s="539">
        <f>AD205*AD37</f>
        <v>24.358974358974358</v>
      </c>
      <c r="AE206" s="1064">
        <v>24.358974358974358</v>
      </c>
      <c r="AF206" s="590">
        <f>AE206-AD206</f>
        <v>0</v>
      </c>
      <c r="AG206" s="444">
        <v>24.358974358974358</v>
      </c>
      <c r="AH206" s="539">
        <f>AH205*AH37</f>
        <v>24.358974358974358</v>
      </c>
      <c r="AI206" s="1064">
        <f>AI205*AI37</f>
        <v>24.358974358974358</v>
      </c>
      <c r="AJ206" s="590">
        <f>AI206-AH206</f>
        <v>0</v>
      </c>
      <c r="AK206" s="448">
        <f>Y206+AC206+AG206</f>
        <v>87.717948717948715</v>
      </c>
      <c r="AL206" s="470"/>
      <c r="AM206" s="470">
        <f>Z206+AD206+AH206</f>
        <v>89.316239316239319</v>
      </c>
      <c r="AN206" s="446">
        <f>AA206+AE206+AI206</f>
        <v>186.48488579506747</v>
      </c>
      <c r="AO206" s="470">
        <f>AN206-AK206</f>
        <v>98.766937077118754</v>
      </c>
      <c r="AP206" s="470"/>
      <c r="AQ206" s="435">
        <f>AN206-AM206</f>
        <v>97.168646478828151</v>
      </c>
      <c r="AR206" s="447">
        <f>SUM(R206,AK206)</f>
        <v>209.41452991452991</v>
      </c>
      <c r="AS206" s="986"/>
      <c r="AT206" s="624">
        <f>T206+AM206</f>
        <v>211.41452991452991</v>
      </c>
      <c r="AU206" s="507">
        <f>SUM(U206,AN206)</f>
        <v>357.57065728021689</v>
      </c>
      <c r="AV206" s="466">
        <f>AU206-AR206</f>
        <v>148.15612736568698</v>
      </c>
      <c r="AW206" s="466"/>
      <c r="AX206" s="435">
        <f>AU206-AT206</f>
        <v>146.15612736568698</v>
      </c>
      <c r="AY206" s="444"/>
      <c r="AZ206" s="445"/>
      <c r="BA206" s="1423"/>
      <c r="BB206" s="416"/>
      <c r="BC206" s="416"/>
      <c r="BD206" s="416"/>
      <c r="BE206" s="416"/>
    </row>
    <row r="207" spans="1:57" ht="20.100000000000001" customHeight="1">
      <c r="A207" s="817"/>
      <c r="B207" s="826"/>
      <c r="C207" s="815"/>
      <c r="D207" s="816" t="s">
        <v>50</v>
      </c>
      <c r="E207" s="1493"/>
      <c r="F207" s="651">
        <v>0.247</v>
      </c>
      <c r="G207" s="652">
        <f>G208/G38</f>
        <v>0.19306643785729563</v>
      </c>
      <c r="H207" s="653">
        <f>H208/H38</f>
        <v>0.1910592620269328</v>
      </c>
      <c r="I207" s="718"/>
      <c r="J207" s="651">
        <v>0.247</v>
      </c>
      <c r="K207" s="652">
        <f>K208/K38</f>
        <v>0.24004499999999998</v>
      </c>
      <c r="L207" s="1304">
        <f>L208/L38</f>
        <v>0.23363429701930011</v>
      </c>
      <c r="M207" s="718"/>
      <c r="N207" s="651">
        <v>0.247</v>
      </c>
      <c r="O207" s="652">
        <v>0.23999999999999996</v>
      </c>
      <c r="P207" s="653">
        <f>P208/P38</f>
        <v>0.23355668705884253</v>
      </c>
      <c r="Q207" s="718"/>
      <c r="R207" s="679">
        <f>R208/R38</f>
        <v>0.247</v>
      </c>
      <c r="S207" s="660"/>
      <c r="T207" s="660">
        <f>T208/T38</f>
        <v>0.21989847336741239</v>
      </c>
      <c r="U207" s="680">
        <f>U208/U38</f>
        <v>0.22011786164776131</v>
      </c>
      <c r="V207" s="680"/>
      <c r="W207" s="681"/>
      <c r="X207" s="514"/>
      <c r="Y207" s="651">
        <v>0.251</v>
      </c>
      <c r="Z207" s="652">
        <v>0.23285714285714287</v>
      </c>
      <c r="AA207" s="653">
        <f>AA208/AA38</f>
        <v>0.22682812569017491</v>
      </c>
      <c r="AB207" s="1305">
        <v>0.13200000000000001</v>
      </c>
      <c r="AC207" s="651">
        <v>0.251</v>
      </c>
      <c r="AD207" s="652">
        <v>0.23333333333333328</v>
      </c>
      <c r="AE207" s="1074">
        <v>0.23333333333333328</v>
      </c>
      <c r="AF207" s="1305">
        <v>0.13200000000000001</v>
      </c>
      <c r="AG207" s="651">
        <v>0.251</v>
      </c>
      <c r="AH207" s="652">
        <v>0.23444444444444448</v>
      </c>
      <c r="AI207" s="1074">
        <f>AH207</f>
        <v>0.23444444444444448</v>
      </c>
      <c r="AJ207" s="1305"/>
      <c r="AK207" s="657">
        <f>AK208/AK38</f>
        <v>0.251</v>
      </c>
      <c r="AL207" s="976"/>
      <c r="AM207" s="976">
        <f>AM208/AM38</f>
        <v>0.23342857142857143</v>
      </c>
      <c r="AN207" s="655">
        <f>AN208/AN38</f>
        <v>0.23142452376457409</v>
      </c>
      <c r="AO207" s="976"/>
      <c r="AP207" s="976"/>
      <c r="AQ207" s="520"/>
      <c r="AR207" s="657">
        <f>AR208/AR38</f>
        <v>0.24877777777777774</v>
      </c>
      <c r="AS207" s="976"/>
      <c r="AT207" s="976">
        <f>AT208/AT38</f>
        <v>0.22604851794066649</v>
      </c>
      <c r="AU207" s="655">
        <f>AU208/AU38</f>
        <v>0.22612851213189639</v>
      </c>
      <c r="AV207" s="717"/>
      <c r="AW207" s="717"/>
      <c r="AX207" s="324">
        <f>AU208/AT208</f>
        <v>0.77950685868762037</v>
      </c>
      <c r="AY207" s="659"/>
      <c r="AZ207" s="660"/>
      <c r="BA207" s="1430"/>
      <c r="BB207" s="661"/>
      <c r="BC207" s="661"/>
      <c r="BD207" s="661"/>
      <c r="BE207" s="661"/>
    </row>
    <row r="208" spans="1:57" ht="20.100000000000001" customHeight="1">
      <c r="A208" s="738"/>
      <c r="B208" s="738"/>
      <c r="C208" s="738"/>
      <c r="D208" s="804" t="s">
        <v>159</v>
      </c>
      <c r="E208" s="813"/>
      <c r="F208" s="444">
        <f>F207*F38</f>
        <v>3800</v>
      </c>
      <c r="G208" s="539">
        <v>2970.2528901122405</v>
      </c>
      <c r="H208" s="589">
        <v>1454.07366</v>
      </c>
      <c r="I208" s="590">
        <f>H208-G208</f>
        <v>-1516.1792301122405</v>
      </c>
      <c r="J208" s="516">
        <f>J207*J38</f>
        <v>4222.2222222222217</v>
      </c>
      <c r="K208" s="588">
        <v>2462</v>
      </c>
      <c r="L208" s="1314">
        <v>1867.85169</v>
      </c>
      <c r="M208" s="590">
        <f>L208-K208</f>
        <v>-594.14831000000004</v>
      </c>
      <c r="N208" s="516">
        <f>N207*N38</f>
        <v>4644.4444444444443</v>
      </c>
      <c r="O208" s="588">
        <f>O207*O38</f>
        <v>2461.5384615384614</v>
      </c>
      <c r="P208" s="589">
        <v>1965.4597692823802</v>
      </c>
      <c r="Q208" s="590">
        <f>P208-O208</f>
        <v>-496.07869225608124</v>
      </c>
      <c r="R208" s="448">
        <f>F208+J208+N208</f>
        <v>12666.666666666666</v>
      </c>
      <c r="S208" s="470"/>
      <c r="T208" s="470">
        <f>G208+K208+O208</f>
        <v>7893.7913516507015</v>
      </c>
      <c r="U208" s="446">
        <f>H208+L208+P208</f>
        <v>5287.3851192823804</v>
      </c>
      <c r="V208" s="446">
        <f>U208-R208</f>
        <v>-7379.2815473842857</v>
      </c>
      <c r="W208" s="466"/>
      <c r="X208" s="435">
        <f>U208-T208</f>
        <v>-2606.4062323683211</v>
      </c>
      <c r="Y208" s="448">
        <f>Y207*Y38</f>
        <v>4719.6581196581201</v>
      </c>
      <c r="Z208" s="588">
        <f>Z207*Z38</f>
        <v>2786.3247863247866</v>
      </c>
      <c r="AA208" s="589">
        <v>2112.5212910431992</v>
      </c>
      <c r="AB208" s="590">
        <f>AA208-Z208</f>
        <v>-673.8034952815874</v>
      </c>
      <c r="AC208" s="516">
        <f>AC207*AC38</f>
        <v>3432.4786324786328</v>
      </c>
      <c r="AD208" s="588">
        <f>AD207*AD38</f>
        <v>2393.1623931623931</v>
      </c>
      <c r="AE208" s="1064">
        <v>2393.1623931623931</v>
      </c>
      <c r="AF208" s="590">
        <f>AE208-AD208</f>
        <v>0</v>
      </c>
      <c r="AG208" s="516">
        <f>AG207*AG38</f>
        <v>2145.2991452991455</v>
      </c>
      <c r="AH208" s="588">
        <f>AH207*AH38</f>
        <v>1803.4188034188037</v>
      </c>
      <c r="AI208" s="1058">
        <f>AI207*AI38</f>
        <v>1803.4188034188037</v>
      </c>
      <c r="AJ208" s="590">
        <f>AI208-AH208</f>
        <v>0</v>
      </c>
      <c r="AK208" s="448">
        <f>Y208+AC208+AG208</f>
        <v>10297.435897435898</v>
      </c>
      <c r="AL208" s="470"/>
      <c r="AM208" s="470">
        <f>Z208+AD208+AH208</f>
        <v>6982.9059829059834</v>
      </c>
      <c r="AN208" s="446">
        <f>AA208+AE208+AI208</f>
        <v>6309.1024876243964</v>
      </c>
      <c r="AO208" s="470">
        <f>AN208-AK208</f>
        <v>-3988.333409811502</v>
      </c>
      <c r="AP208" s="470"/>
      <c r="AQ208" s="435">
        <f>AN208-AM208</f>
        <v>-673.80349528158695</v>
      </c>
      <c r="AR208" s="448">
        <f>SUM(R208,AK208)</f>
        <v>22964.102564102563</v>
      </c>
      <c r="AS208" s="662"/>
      <c r="AT208" s="624">
        <f>T208+AM208</f>
        <v>14876.697334556684</v>
      </c>
      <c r="AU208" s="446">
        <f>SUM(U208,AN208)</f>
        <v>11596.487606906776</v>
      </c>
      <c r="AV208" s="466">
        <f>AU208-AR208</f>
        <v>-11367.614957195787</v>
      </c>
      <c r="AW208" s="508"/>
      <c r="AX208" s="509">
        <f>AU208-AT208</f>
        <v>-3280.209727649908</v>
      </c>
      <c r="AY208" s="444"/>
      <c r="AZ208" s="445"/>
      <c r="BA208" s="1423"/>
      <c r="BB208" s="416"/>
      <c r="BC208" s="416"/>
      <c r="BD208" s="416"/>
      <c r="BE208" s="416"/>
    </row>
    <row r="209" spans="1:57" ht="20.100000000000001" customHeight="1">
      <c r="A209" s="817"/>
      <c r="B209" s="826"/>
      <c r="C209" s="817"/>
      <c r="D209" s="816" t="s">
        <v>50</v>
      </c>
      <c r="E209" s="1493"/>
      <c r="F209" s="651">
        <f>F210/F39</f>
        <v>0.18051428571428571</v>
      </c>
      <c r="G209" s="652">
        <f>G210/G39</f>
        <v>0.18187317138664777</v>
      </c>
      <c r="H209" s="677">
        <f>H210/H39</f>
        <v>0.22604980565035346</v>
      </c>
      <c r="I209" s="718"/>
      <c r="J209" s="659">
        <f>J210/J39</f>
        <v>0.18</v>
      </c>
      <c r="K209" s="676">
        <f>K210/K39</f>
        <v>0.2079</v>
      </c>
      <c r="L209" s="1315">
        <f>L210/L39</f>
        <v>0.22382857922995195</v>
      </c>
      <c r="M209" s="718"/>
      <c r="N209" s="659">
        <f>N210/N39</f>
        <v>0.18</v>
      </c>
      <c r="O209" s="676">
        <v>0.18947368421052632</v>
      </c>
      <c r="P209" s="677">
        <f>P210/P39</f>
        <v>0.23074339967206561</v>
      </c>
      <c r="Q209" s="718"/>
      <c r="R209" s="679">
        <f>R210/R39</f>
        <v>0.18014285714285713</v>
      </c>
      <c r="S209" s="660"/>
      <c r="T209" s="660">
        <f>T210/T38</f>
        <v>4.5318623802536533E-2</v>
      </c>
      <c r="U209" s="680">
        <f>U210/U39</f>
        <v>0.2272603772288477</v>
      </c>
      <c r="V209" s="680"/>
      <c r="W209" s="681"/>
      <c r="X209" s="514"/>
      <c r="Y209" s="659">
        <f>Y210/Y39</f>
        <v>0.18</v>
      </c>
      <c r="Z209" s="676">
        <v>0.18000000000000002</v>
      </c>
      <c r="AA209" s="677">
        <f>AA210/AA39</f>
        <v>0.23987099270626308</v>
      </c>
      <c r="AB209" s="718">
        <v>0.13200000000000001</v>
      </c>
      <c r="AC209" s="659">
        <f>AC210/AC39</f>
        <v>0.18</v>
      </c>
      <c r="AD209" s="676">
        <v>0.18000000000000002</v>
      </c>
      <c r="AE209" s="1074">
        <v>0.18000000000000002</v>
      </c>
      <c r="AF209" s="718">
        <v>0.13200000000000001</v>
      </c>
      <c r="AG209" s="659">
        <f>AG210/AG39</f>
        <v>0.17948863636363635</v>
      </c>
      <c r="AH209" s="676">
        <v>0.18</v>
      </c>
      <c r="AI209" s="1074">
        <f>AH209</f>
        <v>0.18</v>
      </c>
      <c r="AJ209" s="718"/>
      <c r="AK209" s="679">
        <f>AK210/AK39</f>
        <v>0.17988970588235292</v>
      </c>
      <c r="AL209" s="660"/>
      <c r="AM209" s="660">
        <f>AM210/AM39</f>
        <v>0.18000000000000005</v>
      </c>
      <c r="AN209" s="680">
        <f>AN210/AN39</f>
        <v>0.19348578865665558</v>
      </c>
      <c r="AO209" s="660"/>
      <c r="AP209" s="660"/>
      <c r="AQ209" s="514"/>
      <c r="AR209" s="679">
        <f>AR210/AR39</f>
        <v>0.18002960526315787</v>
      </c>
      <c r="AS209" s="678"/>
      <c r="AT209" s="678">
        <f>AT210/AT39</f>
        <v>0.18431937177605992</v>
      </c>
      <c r="AU209" s="680">
        <f>AU210/AU39</f>
        <v>0.20567281688421976</v>
      </c>
      <c r="AV209" s="717"/>
      <c r="AW209" s="717"/>
      <c r="AX209" s="324">
        <f>AU210/AT210</f>
        <v>0.49111559363106821</v>
      </c>
      <c r="AY209" s="659"/>
      <c r="AZ209" s="660"/>
      <c r="BA209" s="1430"/>
      <c r="BB209" s="661"/>
      <c r="BC209" s="661"/>
      <c r="BD209" s="661"/>
      <c r="BE209" s="661"/>
    </row>
    <row r="210" spans="1:57" ht="20.100000000000001" customHeight="1">
      <c r="A210" s="738"/>
      <c r="B210" s="738"/>
      <c r="C210" s="738"/>
      <c r="D210" s="804" t="s">
        <v>160</v>
      </c>
      <c r="E210" s="813"/>
      <c r="F210" s="444">
        <v>1080</v>
      </c>
      <c r="G210" s="588">
        <v>1088.1300852192603</v>
      </c>
      <c r="H210" s="589">
        <v>135.24869000000001</v>
      </c>
      <c r="I210" s="590">
        <f>H210-G210</f>
        <v>-952.8813952192603</v>
      </c>
      <c r="J210" s="516">
        <v>1400</v>
      </c>
      <c r="K210" s="588">
        <v>231</v>
      </c>
      <c r="L210" s="1314">
        <v>147.83341999999999</v>
      </c>
      <c r="M210" s="590">
        <f>L210-K210</f>
        <v>-83.16658000000001</v>
      </c>
      <c r="N210" s="516">
        <v>1400</v>
      </c>
      <c r="O210" s="588">
        <f>O209*O39</f>
        <v>307.69230769230774</v>
      </c>
      <c r="P210" s="589">
        <v>198.14270998027834</v>
      </c>
      <c r="Q210" s="590">
        <f>P210-O210</f>
        <v>-109.5495977120294</v>
      </c>
      <c r="R210" s="448">
        <f>F210+J210+N210</f>
        <v>3880</v>
      </c>
      <c r="S210" s="470"/>
      <c r="T210" s="470">
        <f>G210+K210+O210</f>
        <v>1626.8223929115679</v>
      </c>
      <c r="U210" s="446">
        <f>H210+L210+P210</f>
        <v>481.22481998027831</v>
      </c>
      <c r="V210" s="446">
        <f>U210-R210</f>
        <v>-3398.7751800197216</v>
      </c>
      <c r="W210" s="466"/>
      <c r="X210" s="435">
        <f>U210-T210</f>
        <v>-1145.5975729312895</v>
      </c>
      <c r="Y210" s="448">
        <v>1384.6153846153845</v>
      </c>
      <c r="Z210" s="588">
        <f>Z209*Z39</f>
        <v>307.69230769230774</v>
      </c>
      <c r="AA210" s="589">
        <v>202.65982610953475</v>
      </c>
      <c r="AB210" s="590">
        <f>AA210-Z210</f>
        <v>-105.03248158277299</v>
      </c>
      <c r="AC210" s="516">
        <v>1076.9230769230769</v>
      </c>
      <c r="AD210" s="588">
        <f>AD209*AD39</f>
        <v>307.69230769230774</v>
      </c>
      <c r="AE210" s="1064">
        <v>307.69230769230774</v>
      </c>
      <c r="AF210" s="590">
        <f>AE210-AD210</f>
        <v>0</v>
      </c>
      <c r="AG210" s="516">
        <v>675</v>
      </c>
      <c r="AH210" s="588">
        <f>AH209*AH39</f>
        <v>215.38461538461542</v>
      </c>
      <c r="AI210" s="1058">
        <f>AI209*AI39</f>
        <v>215.38461538461542</v>
      </c>
      <c r="AJ210" s="590">
        <f>AI210-AH210</f>
        <v>0</v>
      </c>
      <c r="AK210" s="448">
        <f>Y210+AC210+AG210</f>
        <v>3136.5384615384614</v>
      </c>
      <c r="AL210" s="470"/>
      <c r="AM210" s="470">
        <f>Z210+AD210+AH210</f>
        <v>830.76923076923094</v>
      </c>
      <c r="AN210" s="446">
        <f>AA210+AE210+AI210</f>
        <v>725.73674918645793</v>
      </c>
      <c r="AO210" s="470">
        <f>AN210-AK210</f>
        <v>-2410.8017123520035</v>
      </c>
      <c r="AP210" s="470"/>
      <c r="AQ210" s="435">
        <f>AN210-AM210</f>
        <v>-105.03248158277302</v>
      </c>
      <c r="AR210" s="448">
        <f>SUM(R210,AK210)</f>
        <v>7016.538461538461</v>
      </c>
      <c r="AS210" s="662"/>
      <c r="AT210" s="624">
        <f>T210+AM210</f>
        <v>2457.5916236807989</v>
      </c>
      <c r="AU210" s="507">
        <f>SUM(U210,AN210)</f>
        <v>1206.9615691667364</v>
      </c>
      <c r="AV210" s="466">
        <f>AU210-AR210</f>
        <v>-5809.5768923717242</v>
      </c>
      <c r="AW210" s="508"/>
      <c r="AX210" s="509">
        <f>AU210-AT210</f>
        <v>-1250.6300545140625</v>
      </c>
      <c r="AY210" s="444"/>
      <c r="AZ210" s="445"/>
      <c r="BA210" s="1423"/>
      <c r="BB210" s="416"/>
      <c r="BC210" s="416"/>
      <c r="BD210" s="416"/>
      <c r="BE210" s="416"/>
    </row>
    <row r="211" spans="1:57" ht="20.100000000000001" customHeight="1">
      <c r="A211" s="817"/>
      <c r="B211" s="826"/>
      <c r="C211" s="826" t="s">
        <v>50</v>
      </c>
      <c r="D211" s="816"/>
      <c r="E211" s="1493"/>
      <c r="F211" s="651">
        <f>F212/F40</f>
        <v>0.14486078431372548</v>
      </c>
      <c r="G211" s="676">
        <f>G212/G40</f>
        <v>0.14493972752043596</v>
      </c>
      <c r="H211" s="677">
        <f>H212/H40</f>
        <v>0.1367402408310785</v>
      </c>
      <c r="I211" s="718"/>
      <c r="J211" s="659">
        <f>J212/J40</f>
        <v>0.16636527545909849</v>
      </c>
      <c r="K211" s="676">
        <f>K212/K40</f>
        <v>0.14823476323119775</v>
      </c>
      <c r="L211" s="1315">
        <f>L212/L40</f>
        <v>0.14444647117232848</v>
      </c>
      <c r="M211" s="718"/>
      <c r="N211" s="659">
        <f>N212/N40</f>
        <v>0.1694041450777202</v>
      </c>
      <c r="O211" s="676">
        <v>0.14887377521613832</v>
      </c>
      <c r="P211" s="677">
        <f>P212/P40</f>
        <v>0.14889876458316731</v>
      </c>
      <c r="Q211" s="718"/>
      <c r="R211" s="679">
        <f>R212/R40</f>
        <v>0.15999586592178769</v>
      </c>
      <c r="S211" s="660"/>
      <c r="T211" s="660">
        <f>T212/T40</f>
        <v>0.14731440820130476</v>
      </c>
      <c r="U211" s="680">
        <f>U212/U40</f>
        <v>0.14321107580939815</v>
      </c>
      <c r="V211" s="680"/>
      <c r="W211" s="681"/>
      <c r="X211" s="514"/>
      <c r="Y211" s="659">
        <f>Y212/Y40</f>
        <v>0.16847459584295613</v>
      </c>
      <c r="Z211" s="676">
        <v>0.15003458213256485</v>
      </c>
      <c r="AA211" s="677">
        <f>AA212/AA40</f>
        <v>0.1455406055100528</v>
      </c>
      <c r="AB211" s="718">
        <v>0.13200000000000001</v>
      </c>
      <c r="AC211" s="659">
        <f>AC212/AC40</f>
        <v>0.16433035714285713</v>
      </c>
      <c r="AD211" s="676">
        <v>0.15070006863417984</v>
      </c>
      <c r="AE211" s="1075">
        <v>0.15070006863417984</v>
      </c>
      <c r="AF211" s="718">
        <v>0.13200000000000001</v>
      </c>
      <c r="AG211" s="659">
        <f>AG212/AG40</f>
        <v>0.16874278074866308</v>
      </c>
      <c r="AH211" s="676">
        <v>0.15904697986577182</v>
      </c>
      <c r="AI211" s="1074">
        <f>AH211</f>
        <v>0.15904697986577182</v>
      </c>
      <c r="AJ211" s="718"/>
      <c r="AK211" s="679">
        <f>AK212/AK40</f>
        <v>0.16699253048780485</v>
      </c>
      <c r="AL211" s="660"/>
      <c r="AM211" s="660">
        <f>AM212/AM40</f>
        <v>0.15198628397256794</v>
      </c>
      <c r="AN211" s="680">
        <f>AN212/AN40</f>
        <v>0.14999966568944834</v>
      </c>
      <c r="AO211" s="660"/>
      <c r="AP211" s="660"/>
      <c r="AQ211" s="514"/>
      <c r="AR211" s="679">
        <f>AR212/AR40</f>
        <v>0.16295512572533846</v>
      </c>
      <c r="AS211" s="660"/>
      <c r="AT211" s="660">
        <f>AT212/AT40</f>
        <v>0.14929174371102988</v>
      </c>
      <c r="AU211" s="655">
        <f>AU212/AU40</f>
        <v>0.14607112302301911</v>
      </c>
      <c r="AV211" s="717"/>
      <c r="AW211" s="717"/>
      <c r="AX211" s="324">
        <f>AU212/AT212</f>
        <v>0.98429196162543642</v>
      </c>
      <c r="AY211" s="659"/>
      <c r="AZ211" s="660"/>
      <c r="BA211" s="1430"/>
      <c r="BB211" s="661"/>
      <c r="BC211" s="661"/>
      <c r="BD211" s="661"/>
      <c r="BE211" s="661"/>
    </row>
    <row r="212" spans="1:57" ht="20.100000000000001" customHeight="1">
      <c r="A212" s="738"/>
      <c r="B212" s="738"/>
      <c r="C212" s="803" t="s">
        <v>258</v>
      </c>
      <c r="D212" s="804"/>
      <c r="E212" s="813"/>
      <c r="F212" s="444">
        <v>11366</v>
      </c>
      <c r="G212" s="539">
        <v>11366</v>
      </c>
      <c r="H212" s="540">
        <v>10939.57965999999</v>
      </c>
      <c r="I212" s="607">
        <f>H212-G212</f>
        <v>-426.42034000000967</v>
      </c>
      <c r="J212" s="444">
        <v>12776</v>
      </c>
      <c r="K212" s="539">
        <v>11371</v>
      </c>
      <c r="L212" s="1306">
        <v>11145.904839999992</v>
      </c>
      <c r="M212" s="607">
        <f>L212-K212</f>
        <v>-225.09516000000804</v>
      </c>
      <c r="N212" s="444">
        <v>12575</v>
      </c>
      <c r="O212" s="539">
        <f>O211*O40</f>
        <v>11038.2905982906</v>
      </c>
      <c r="P212" s="540">
        <f>11075.4454895039-18.5</f>
        <v>11056.9454895039</v>
      </c>
      <c r="Q212" s="607">
        <f>P212-O212</f>
        <v>18.654891213300289</v>
      </c>
      <c r="R212" s="447">
        <f>F212+J212+N212</f>
        <v>36717</v>
      </c>
      <c r="S212" s="445"/>
      <c r="T212" s="470">
        <f>G212+K212+O212</f>
        <v>33775.290598290601</v>
      </c>
      <c r="U212" s="507">
        <f>H212+L212+P212</f>
        <v>33142.429989503886</v>
      </c>
      <c r="V212" s="507">
        <f>U212-R212</f>
        <v>-3574.5700104961143</v>
      </c>
      <c r="W212" s="508"/>
      <c r="X212" s="509">
        <f>U212-T212</f>
        <v>-632.8606087867156</v>
      </c>
      <c r="Y212" s="444">
        <v>12470</v>
      </c>
      <c r="Z212" s="539">
        <f>Z211*Z40</f>
        <v>11124.358974358976</v>
      </c>
      <c r="AA212" s="540">
        <v>10825</v>
      </c>
      <c r="AB212" s="607">
        <f>AA212-Z212</f>
        <v>-299.35897435897641</v>
      </c>
      <c r="AC212" s="444">
        <v>10225</v>
      </c>
      <c r="AD212" s="539">
        <f>AD211*AD40</f>
        <v>9383.3333333333339</v>
      </c>
      <c r="AE212" s="1051">
        <v>9383.3333333333339</v>
      </c>
      <c r="AF212" s="607">
        <f>AE212-AD212</f>
        <v>0</v>
      </c>
      <c r="AG212" s="444">
        <v>5394</v>
      </c>
      <c r="AH212" s="539">
        <f>AH211*AH40</f>
        <v>5063.6752136752139</v>
      </c>
      <c r="AI212" s="1064">
        <f>AI211*AI40</f>
        <v>5063.6752136752139</v>
      </c>
      <c r="AJ212" s="607">
        <f>AI212-AH212</f>
        <v>0</v>
      </c>
      <c r="AK212" s="447">
        <f>Y212+AC212+AG212</f>
        <v>28089</v>
      </c>
      <c r="AL212" s="445"/>
      <c r="AM212" s="470">
        <f>Z212+AD212+AH212</f>
        <v>25571.367521367527</v>
      </c>
      <c r="AN212" s="507">
        <f>AA212+AE212+AI212</f>
        <v>25272.008547008551</v>
      </c>
      <c r="AO212" s="445">
        <f>AN212-AK212</f>
        <v>-2816.9914529914495</v>
      </c>
      <c r="AP212" s="445"/>
      <c r="AQ212" s="509">
        <f>AN212-AM212</f>
        <v>-299.35897435897641</v>
      </c>
      <c r="AR212" s="447">
        <f>SUM(R212,AK212)</f>
        <v>64806</v>
      </c>
      <c r="AS212" s="986"/>
      <c r="AT212" s="624">
        <f>T212+AM212</f>
        <v>59346.658119658125</v>
      </c>
      <c r="AU212" s="507">
        <f>SUM(U212,AN212)</f>
        <v>58414.438536512433</v>
      </c>
      <c r="AV212" s="466">
        <f>AU212-AR212</f>
        <v>-6391.5614634875674</v>
      </c>
      <c r="AW212" s="508"/>
      <c r="AX212" s="509">
        <f>AU212-AT212</f>
        <v>-932.21958314569201</v>
      </c>
      <c r="AY212" s="444"/>
      <c r="AZ212" s="445"/>
      <c r="BA212" s="1423"/>
      <c r="BB212" s="416"/>
      <c r="BC212" s="416"/>
      <c r="BD212" s="416"/>
      <c r="BE212" s="416"/>
    </row>
    <row r="213" spans="1:57" ht="20.100000000000001" customHeight="1">
      <c r="A213" s="817"/>
      <c r="B213" s="1569" t="s">
        <v>50</v>
      </c>
      <c r="C213" s="1566"/>
      <c r="D213" s="816"/>
      <c r="E213" s="1493"/>
      <c r="F213" s="651">
        <f>F214/F41</f>
        <v>0.14498212927756651</v>
      </c>
      <c r="G213" s="652">
        <f>G214/G41</f>
        <v>0.14506092391304345</v>
      </c>
      <c r="H213" s="653">
        <f>H214/H41</f>
        <v>0.13684510108498388</v>
      </c>
      <c r="I213" s="654"/>
      <c r="J213" s="651">
        <f>J214/J41</f>
        <v>0.16643085460599333</v>
      </c>
      <c r="K213" s="652">
        <f>K214/K41</f>
        <v>0.14835600000000002</v>
      </c>
      <c r="L213" s="1304">
        <f>L214/L41</f>
        <v>0.14232201879932382</v>
      </c>
      <c r="M213" s="1305"/>
      <c r="N213" s="651">
        <f>N214/N41</f>
        <v>0.16946326061997702</v>
      </c>
      <c r="O213" s="652">
        <f>O214/O41</f>
        <v>0.14899195402298854</v>
      </c>
      <c r="P213" s="653">
        <f>P214/P41</f>
        <v>0.14950948166510133</v>
      </c>
      <c r="Q213" s="1305"/>
      <c r="R213" s="657">
        <f>R214/R41</f>
        <v>0.1600790157845868</v>
      </c>
      <c r="S213" s="976"/>
      <c r="T213" s="976">
        <f>T214/T41</f>
        <v>0.14743473977695168</v>
      </c>
      <c r="U213" s="655">
        <f>U214/U41</f>
        <v>0.14274285887077545</v>
      </c>
      <c r="V213" s="655"/>
      <c r="W213" s="656"/>
      <c r="X213" s="520"/>
      <c r="Y213" s="651">
        <f>Y214/Y41</f>
        <v>0.16853443113772454</v>
      </c>
      <c r="Z213" s="652">
        <f>Z214/Z41</f>
        <v>0.15014942528735636</v>
      </c>
      <c r="AA213" s="653">
        <f>AA214/AA41</f>
        <v>0.14615005795246133</v>
      </c>
      <c r="AB213" s="1305"/>
      <c r="AC213" s="651">
        <f>AC214/AC41</f>
        <v>0.1643831391363948</v>
      </c>
      <c r="AD213" s="652">
        <f>AD214/AD41</f>
        <v>0.15078082191780823</v>
      </c>
      <c r="AE213" s="1074">
        <v>0.15078082191780823</v>
      </c>
      <c r="AF213" s="1305"/>
      <c r="AG213" s="651">
        <f>AG214/AG41</f>
        <v>0.16882769640479359</v>
      </c>
      <c r="AH213" s="652">
        <f>AH214/AH41</f>
        <v>0.15917112299465241</v>
      </c>
      <c r="AI213" s="1074">
        <f>AI214/AI41</f>
        <v>0.15917112299465241</v>
      </c>
      <c r="AJ213" s="1305"/>
      <c r="AK213" s="657">
        <f>AK214/AK41</f>
        <v>0.16705564001216175</v>
      </c>
      <c r="AL213" s="976"/>
      <c r="AM213" s="976">
        <f>AM214/AM41</f>
        <v>0.15209219858156031</v>
      </c>
      <c r="AN213" s="655">
        <f>AN214/AN41</f>
        <v>0.15031348559365718</v>
      </c>
      <c r="AO213" s="976"/>
      <c r="AP213" s="976"/>
      <c r="AQ213" s="520"/>
      <c r="AR213" s="657">
        <f>AR214/AR41</f>
        <v>0.16302971559613363</v>
      </c>
      <c r="AS213" s="976"/>
      <c r="AT213" s="976">
        <f>AT214/AT41</f>
        <v>0.14940597126929675</v>
      </c>
      <c r="AU213" s="655">
        <f>AU214/AU41</f>
        <v>0.14593641554110826</v>
      </c>
      <c r="AV213" s="717"/>
      <c r="AW213" s="717"/>
      <c r="AX213" s="324">
        <f>AU214/AT214</f>
        <v>0.98381853419853882</v>
      </c>
      <c r="AY213" s="659"/>
      <c r="AZ213" s="660"/>
      <c r="BA213" s="1430"/>
      <c r="BB213" s="661"/>
      <c r="BC213" s="661"/>
      <c r="BD213" s="661"/>
      <c r="BE213" s="661"/>
    </row>
    <row r="214" spans="1:57" ht="20.100000000000001" customHeight="1">
      <c r="A214" s="738"/>
      <c r="B214" s="1567" t="s">
        <v>211</v>
      </c>
      <c r="C214" s="1568"/>
      <c r="D214" s="771"/>
      <c r="E214" s="1492"/>
      <c r="F214" s="444">
        <f>F212+F206</f>
        <v>11406.5</v>
      </c>
      <c r="G214" s="539">
        <f>G212+G206</f>
        <v>11406.5</v>
      </c>
      <c r="H214" s="540">
        <f>H212+H206</f>
        <v>10974.27998999999</v>
      </c>
      <c r="I214" s="590">
        <f>H214-G214</f>
        <v>-432.22001000001001</v>
      </c>
      <c r="J214" s="444">
        <f>J212+J206</f>
        <v>12816.598290598291</v>
      </c>
      <c r="K214" s="539">
        <f>K212+K206</f>
        <v>11412</v>
      </c>
      <c r="L214" s="1306">
        <v>10993</v>
      </c>
      <c r="M214" s="590">
        <f>L214-K214</f>
        <v>-419</v>
      </c>
      <c r="N214" s="444">
        <f>N212+N206</f>
        <v>12615.598290598291</v>
      </c>
      <c r="O214" s="539">
        <f>O212+O206</f>
        <v>11078.888888888891</v>
      </c>
      <c r="P214" s="1405">
        <f>P206+P212</f>
        <v>11168.562310989049</v>
      </c>
      <c r="Q214" s="590">
        <f>P214-O214</f>
        <v>89.673422100158859</v>
      </c>
      <c r="R214" s="448">
        <f>F214+J214+N214</f>
        <v>36838.696581196578</v>
      </c>
      <c r="S214" s="470"/>
      <c r="T214" s="470">
        <f>G214+K214+O214</f>
        <v>33897.388888888891</v>
      </c>
      <c r="U214" s="446">
        <f>H214+L214+P214</f>
        <v>33135.842300989039</v>
      </c>
      <c r="V214" s="446">
        <f>U214-R214</f>
        <v>-3702.854280207539</v>
      </c>
      <c r="W214" s="466"/>
      <c r="X214" s="435">
        <f>U214-T214</f>
        <v>-761.54658789985115</v>
      </c>
      <c r="Y214" s="444">
        <f>Y212+Y206</f>
        <v>12509</v>
      </c>
      <c r="Z214" s="539">
        <f>Z212+Z206</f>
        <v>11164.957264957267</v>
      </c>
      <c r="AA214" s="540">
        <f>AA206+AA212</f>
        <v>10962.766937077118</v>
      </c>
      <c r="AB214" s="590">
        <f>AA214-Z214</f>
        <v>-202.1903278801492</v>
      </c>
      <c r="AC214" s="444">
        <f>AC212+AC206</f>
        <v>10249.358974358975</v>
      </c>
      <c r="AD214" s="539">
        <f>AD212+AD206</f>
        <v>9407.6923076923085</v>
      </c>
      <c r="AE214" s="1064">
        <v>9407.6923076923085</v>
      </c>
      <c r="AF214" s="590">
        <f>AE214-AD214</f>
        <v>0</v>
      </c>
      <c r="AG214" s="444">
        <f>AG212+AG206</f>
        <v>5418.3589743589746</v>
      </c>
      <c r="AH214" s="539">
        <f>AH212+AH206</f>
        <v>5088.0341880341884</v>
      </c>
      <c r="AI214" s="1064">
        <f>AI212+AI206</f>
        <v>5088.0341880341884</v>
      </c>
      <c r="AJ214" s="590">
        <f>AI214-AH214</f>
        <v>0</v>
      </c>
      <c r="AK214" s="448">
        <f>Y214+AC214+AG214</f>
        <v>28176.717948717953</v>
      </c>
      <c r="AL214" s="470"/>
      <c r="AM214" s="470">
        <f>Z214+AD214+AH214</f>
        <v>25660.683760683765</v>
      </c>
      <c r="AN214" s="446">
        <f>AA214+AE214+AI214</f>
        <v>25458.493432803614</v>
      </c>
      <c r="AO214" s="470">
        <f>AN214-AK214</f>
        <v>-2718.2245159143386</v>
      </c>
      <c r="AP214" s="470"/>
      <c r="AQ214" s="435">
        <f>AN214-AM214</f>
        <v>-202.19032788015102</v>
      </c>
      <c r="AR214" s="447">
        <f>SUM(R214,AK214)</f>
        <v>65015.414529914531</v>
      </c>
      <c r="AS214" s="986"/>
      <c r="AT214" s="624">
        <f>T214+AM214</f>
        <v>59558.072649572656</v>
      </c>
      <c r="AU214" s="507">
        <f>SUM(U214,AN214)</f>
        <v>58594.335733792657</v>
      </c>
      <c r="AV214" s="466">
        <f>AU214-AR214</f>
        <v>-6421.0787961218739</v>
      </c>
      <c r="AW214" s="466"/>
      <c r="AX214" s="435">
        <f>AU214-AT214</f>
        <v>-963.73691577999853</v>
      </c>
      <c r="AY214" s="444"/>
      <c r="AZ214" s="445"/>
      <c r="BA214" s="1423"/>
      <c r="BB214" s="416"/>
      <c r="BC214" s="416"/>
      <c r="BD214" s="416"/>
      <c r="BE214" s="416"/>
    </row>
    <row r="215" spans="1:57" ht="20.100000000000001" customHeight="1">
      <c r="A215" s="822" t="s">
        <v>50</v>
      </c>
      <c r="B215" s="823"/>
      <c r="C215" s="823"/>
      <c r="D215" s="824"/>
      <c r="E215" s="823"/>
      <c r="F215" s="663">
        <f>F216/F43</f>
        <v>0.13726638403990024</v>
      </c>
      <c r="G215" s="664">
        <f>G216/G43</f>
        <v>0.13733488023952095</v>
      </c>
      <c r="H215" s="665">
        <f>H216/H43</f>
        <v>0.13091062696116249</v>
      </c>
      <c r="I215" s="548">
        <f>H216/G216</f>
        <v>0.95349420992220291</v>
      </c>
      <c r="J215" s="663">
        <f>J216/J43</f>
        <v>0.15856283643892341</v>
      </c>
      <c r="K215" s="664">
        <f>K216/K43</f>
        <v>0.14269099476439789</v>
      </c>
      <c r="L215" s="685">
        <f>L216/L43</f>
        <v>0.13661623374805043</v>
      </c>
      <c r="M215" s="1295">
        <f>L216/K216</f>
        <v>0.95904524770327126</v>
      </c>
      <c r="N215" s="663">
        <f>N216/N43</f>
        <v>0.16137730192719488</v>
      </c>
      <c r="O215" s="664">
        <f>O216/O43</f>
        <v>0.14113544973544973</v>
      </c>
      <c r="P215" s="665">
        <f>P216/P43</f>
        <v>0.14173232998947244</v>
      </c>
      <c r="Q215" s="1296">
        <f>P216/O216</f>
        <v>1.0078423923160551</v>
      </c>
      <c r="R215" s="699">
        <f>R216/R43</f>
        <v>0.15211288544358312</v>
      </c>
      <c r="S215" s="978"/>
      <c r="T215" s="978">
        <f>T216/T43</f>
        <v>0.14033509648518264</v>
      </c>
      <c r="U215" s="667">
        <f>U216/U43</f>
        <v>0.13631817570338553</v>
      </c>
      <c r="V215" s="667">
        <f>U216/R216</f>
        <v>0.89764667168364842</v>
      </c>
      <c r="W215" s="668"/>
      <c r="X215" s="486">
        <f>U216/T216</f>
        <v>0.97315037035472496</v>
      </c>
      <c r="Y215" s="663">
        <f>Y216/Y43</f>
        <v>0.16051674898003007</v>
      </c>
      <c r="Z215" s="664">
        <f>Z216/Z43</f>
        <v>0.14269148936170215</v>
      </c>
      <c r="AA215" s="665">
        <f>AA216/AA43</f>
        <v>0.14067093252582225</v>
      </c>
      <c r="AB215" s="1296">
        <f>AA216/Z216</f>
        <v>0.98776791414721155</v>
      </c>
      <c r="AC215" s="663">
        <f>AC216/AC43</f>
        <v>0.15642766093052898</v>
      </c>
      <c r="AD215" s="664">
        <f>AD216/AD43</f>
        <v>0.14432051282051281</v>
      </c>
      <c r="AE215" s="1075">
        <v>0.14432051282051281</v>
      </c>
      <c r="AF215" s="1296">
        <f>AE216/AD216</f>
        <v>1</v>
      </c>
      <c r="AG215" s="663">
        <f>AG216/AG43</f>
        <v>0.15869622411693057</v>
      </c>
      <c r="AH215" s="664">
        <f>AH216/AH43</f>
        <v>0.14862318840579708</v>
      </c>
      <c r="AI215" s="1075">
        <f>AI216/AI43</f>
        <v>0.14862318840579708</v>
      </c>
      <c r="AJ215" s="1296">
        <f>AI216/AH216</f>
        <v>1</v>
      </c>
      <c r="AK215" s="699">
        <f>AK216/AK43</f>
        <v>0.15865669676448454</v>
      </c>
      <c r="AL215" s="978"/>
      <c r="AM215" s="978">
        <f>AM216/AM43</f>
        <v>0.14443767572633553</v>
      </c>
      <c r="AN215" s="667">
        <f>AN216/AN43</f>
        <v>0.14354516967199399</v>
      </c>
      <c r="AO215" s="978">
        <f>AN216/AK216</f>
        <v>0.90876927815405351</v>
      </c>
      <c r="AP215" s="978"/>
      <c r="AQ215" s="487">
        <f>AN216/AM216</f>
        <v>0.99467706039180315</v>
      </c>
      <c r="AR215" s="699">
        <f>AR216/AR43</f>
        <v>0.15487984449879694</v>
      </c>
      <c r="AS215" s="978"/>
      <c r="AT215" s="978">
        <f>AT216/AT43</f>
        <v>0.14207356036536936</v>
      </c>
      <c r="AU215" s="667">
        <f>AU216/AU43</f>
        <v>0.1393789069038793</v>
      </c>
      <c r="AV215" s="978">
        <f>AU216/AR216</f>
        <v>0.90246439705194714</v>
      </c>
      <c r="AW215" s="978"/>
      <c r="AX215" s="487">
        <f>AU216/AT216</f>
        <v>0.98242407325285841</v>
      </c>
      <c r="AY215" s="672"/>
      <c r="AZ215" s="673"/>
      <c r="BA215" s="1431"/>
      <c r="BB215" s="674"/>
      <c r="BC215" s="674"/>
      <c r="BD215" s="674"/>
      <c r="BE215" s="674"/>
    </row>
    <row r="216" spans="1:57" ht="20.100000000000001" customHeight="1">
      <c r="A216" s="787" t="s">
        <v>47</v>
      </c>
      <c r="B216" s="759"/>
      <c r="C216" s="759"/>
      <c r="D216" s="753"/>
      <c r="E216" s="759"/>
      <c r="F216" s="559">
        <f>F214+F204</f>
        <v>11761.5</v>
      </c>
      <c r="G216" s="603">
        <f>G214+G204</f>
        <v>11761.5</v>
      </c>
      <c r="H216" s="561">
        <f>H214+H204</f>
        <v>11214.52214999999</v>
      </c>
      <c r="I216" s="562">
        <f>H216-G216</f>
        <v>-546.97785000001022</v>
      </c>
      <c r="J216" s="559">
        <f>J214+J204</f>
        <v>13091.598290598291</v>
      </c>
      <c r="K216" s="603">
        <f>K214+K204</f>
        <v>11647</v>
      </c>
      <c r="L216" s="1308">
        <f>L214+L204</f>
        <v>11170</v>
      </c>
      <c r="M216" s="562">
        <f>L216-K216</f>
        <v>-477</v>
      </c>
      <c r="N216" s="559">
        <f>N214+N204</f>
        <v>12882.598290598291</v>
      </c>
      <c r="O216" s="603">
        <f>O214+O204</f>
        <v>11399.401709401711</v>
      </c>
      <c r="P216" s="561">
        <f>P214+P204</f>
        <v>11488.800289775148</v>
      </c>
      <c r="Q216" s="562">
        <f>P216-O216</f>
        <v>89.398580373437653</v>
      </c>
      <c r="R216" s="462">
        <f>F216+J216+N216</f>
        <v>37735.696581196578</v>
      </c>
      <c r="S216" s="463"/>
      <c r="T216" s="489">
        <f>G216+K216+O216</f>
        <v>34807.901709401711</v>
      </c>
      <c r="U216" s="464">
        <f>H216+L216+P216</f>
        <v>33873.32243977514</v>
      </c>
      <c r="V216" s="461">
        <f>U216-R216</f>
        <v>-3862.3741414214383</v>
      </c>
      <c r="W216" s="460"/>
      <c r="X216" s="465">
        <f>U216-T216</f>
        <v>-934.57926962657075</v>
      </c>
      <c r="Y216" s="559">
        <f>Y214+Y204</f>
        <v>12778.23076923077</v>
      </c>
      <c r="Z216" s="603">
        <f>Z214+Z204</f>
        <v>11464.102564102566</v>
      </c>
      <c r="AA216" s="561">
        <f>AA214+AA204</f>
        <v>11323.872677313291</v>
      </c>
      <c r="AB216" s="562">
        <f>AA216-Z216</f>
        <v>-140.22988678927504</v>
      </c>
      <c r="AC216" s="559">
        <f>AC214+AC204</f>
        <v>10488.675213675215</v>
      </c>
      <c r="AD216" s="603">
        <f>AD214+AD204</f>
        <v>9621.3675213675215</v>
      </c>
      <c r="AE216" s="1051">
        <v>9621.3675213675215</v>
      </c>
      <c r="AF216" s="562">
        <f>AE216-AD216</f>
        <v>0</v>
      </c>
      <c r="AG216" s="559">
        <f>AG214+AG204</f>
        <v>5567.931623931624</v>
      </c>
      <c r="AH216" s="603">
        <f>AH214+AH204</f>
        <v>5258.9743589743593</v>
      </c>
      <c r="AI216" s="1051">
        <f>AI214+AI204</f>
        <v>5258.9743589743593</v>
      </c>
      <c r="AJ216" s="562">
        <f>AI216-AH216</f>
        <v>0</v>
      </c>
      <c r="AK216" s="462">
        <f>Y216+AC216+AG216</f>
        <v>28834.837606837609</v>
      </c>
      <c r="AL216" s="463"/>
      <c r="AM216" s="489">
        <f>Z216+AD216+AH216</f>
        <v>26344.444444444445</v>
      </c>
      <c r="AN216" s="464">
        <f>AA216+AE216+AI216</f>
        <v>26204.21455765517</v>
      </c>
      <c r="AO216" s="489">
        <f>AN216-AK216</f>
        <v>-2630.623049182439</v>
      </c>
      <c r="AP216" s="489"/>
      <c r="AQ216" s="465">
        <f>AN216-AM216</f>
        <v>-140.22988678927504</v>
      </c>
      <c r="AR216" s="462">
        <f>SUM(R216,AK216)</f>
        <v>66570.534188034188</v>
      </c>
      <c r="AS216" s="1030"/>
      <c r="AT216" s="675">
        <f>T216+AM216</f>
        <v>61152.346153846156</v>
      </c>
      <c r="AU216" s="464">
        <f>SUM(U216,AN216)</f>
        <v>60077.53699743031</v>
      </c>
      <c r="AV216" s="460">
        <f>AU216-AR216</f>
        <v>-6492.9971906038772</v>
      </c>
      <c r="AW216" s="460"/>
      <c r="AX216" s="465">
        <f>AU216-AT216</f>
        <v>-1074.8091564158458</v>
      </c>
      <c r="AY216" s="457">
        <f t="shared" si="152"/>
        <v>11095.089031339032</v>
      </c>
      <c r="AZ216" s="458">
        <f>AU216/6</f>
        <v>10012.922832905051</v>
      </c>
      <c r="BA216" s="1424">
        <v>10012.922832905051</v>
      </c>
      <c r="BB216" s="302">
        <f>AZ216-AY216</f>
        <v>-1082.1661984339808</v>
      </c>
      <c r="BC216" s="302">
        <f>BA216-AY216</f>
        <v>-1082.1661984339808</v>
      </c>
      <c r="BD216" s="302">
        <f>BA216-AZ216</f>
        <v>0</v>
      </c>
      <c r="BE216" s="302">
        <f>AX216/6</f>
        <v>-179.13485940264096</v>
      </c>
    </row>
    <row r="217" spans="1:57" ht="20.100000000000001" customHeight="1">
      <c r="A217" s="826"/>
      <c r="B217" s="827" t="s">
        <v>50</v>
      </c>
      <c r="C217" s="825"/>
      <c r="D217" s="816"/>
      <c r="E217" s="1493"/>
      <c r="F217" s="651">
        <v>6.3600000000000004E-2</v>
      </c>
      <c r="G217" s="652">
        <v>6.5000000000000002E-2</v>
      </c>
      <c r="H217" s="653">
        <v>7.7448884379494265E-2</v>
      </c>
      <c r="I217" s="976"/>
      <c r="J217" s="651">
        <v>6.2799999999999995E-2</v>
      </c>
      <c r="K217" s="652">
        <v>0.06</v>
      </c>
      <c r="L217" s="653">
        <v>1.9020908897604979E-2</v>
      </c>
      <c r="M217" s="976"/>
      <c r="N217" s="651">
        <v>6.2600000000000003E-2</v>
      </c>
      <c r="O217" s="652">
        <v>6.3E-2</v>
      </c>
      <c r="P217" s="653">
        <v>5.7309868289305885E-2</v>
      </c>
      <c r="Q217" s="1305"/>
      <c r="R217" s="721">
        <f>R218/R44</f>
        <v>6.308777727478497E-2</v>
      </c>
      <c r="S217" s="980"/>
      <c r="T217" s="980">
        <f>T218/T44</f>
        <v>6.3233912635039913E-2</v>
      </c>
      <c r="U217" s="719">
        <f>U218/U44</f>
        <v>5.212129021021903E-2</v>
      </c>
      <c r="V217" s="655"/>
      <c r="W217" s="656"/>
      <c r="X217" s="520"/>
      <c r="Y217" s="651">
        <v>6.3500000000000001E-2</v>
      </c>
      <c r="Z217" s="652">
        <v>6.2E-2</v>
      </c>
      <c r="AA217" s="653">
        <v>4.1009519617478021E-2</v>
      </c>
      <c r="AB217" s="1305"/>
      <c r="AC217" s="651">
        <v>6.3E-2</v>
      </c>
      <c r="AD217" s="652">
        <v>0.05</v>
      </c>
      <c r="AE217" s="1074">
        <v>0.05</v>
      </c>
      <c r="AF217" s="720"/>
      <c r="AG217" s="651">
        <v>6.3E-2</v>
      </c>
      <c r="AH217" s="652">
        <v>0.05</v>
      </c>
      <c r="AI217" s="1074">
        <v>0.05</v>
      </c>
      <c r="AJ217" s="1305"/>
      <c r="AK217" s="721">
        <f>AK218/AK44</f>
        <v>6.3183641491695391E-2</v>
      </c>
      <c r="AL217" s="980"/>
      <c r="AM217" s="980">
        <f>AM218/AM44</f>
        <v>5.4436115843270856E-2</v>
      </c>
      <c r="AN217" s="719">
        <f>AN218/AN44</f>
        <v>4.6160350608505665E-2</v>
      </c>
      <c r="AO217" s="976"/>
      <c r="AP217" s="976"/>
      <c r="AQ217" s="520"/>
      <c r="AR217" s="721">
        <f>AR218/AR44</f>
        <v>6.3127980023656202E-2</v>
      </c>
      <c r="AS217" s="980"/>
      <c r="AT217" s="980">
        <f>AT218/AT44</f>
        <v>5.8619834710743793E-2</v>
      </c>
      <c r="AU217" s="719">
        <f>AU218/AU44</f>
        <v>4.9618821744249315E-2</v>
      </c>
      <c r="AV217" s="717"/>
      <c r="AW217" s="717"/>
      <c r="AX217" s="324">
        <f>AU218/AT218</f>
        <v>0.66816757240675095</v>
      </c>
      <c r="AY217" s="722"/>
      <c r="AZ217" s="661"/>
      <c r="BA217" s="1433"/>
      <c r="BB217" s="615"/>
      <c r="BC217" s="615"/>
      <c r="BD217" s="615"/>
      <c r="BE217" s="615"/>
    </row>
    <row r="218" spans="1:57" ht="20.100000000000001" customHeight="1">
      <c r="A218" s="760"/>
      <c r="B218" s="828" t="s">
        <v>42</v>
      </c>
      <c r="C218" s="803"/>
      <c r="D218" s="763"/>
      <c r="E218" s="820"/>
      <c r="F218" s="516">
        <f>F217*F44</f>
        <v>1053.4769230769232</v>
      </c>
      <c r="G218" s="588">
        <f>G217*G44</f>
        <v>1076.6666666666667</v>
      </c>
      <c r="H218" s="589">
        <v>921.77424999999994</v>
      </c>
      <c r="I218" s="312">
        <f>H218-G218</f>
        <v>-154.8924166666668</v>
      </c>
      <c r="J218" s="516">
        <f>J217*J44</f>
        <v>582.37606837606836</v>
      </c>
      <c r="K218" s="588">
        <f>K217*K44</f>
        <v>492.30769230769226</v>
      </c>
      <c r="L218" s="589">
        <f>L217*L44</f>
        <v>209.41294000000076</v>
      </c>
      <c r="M218" s="470">
        <f>L218-K218</f>
        <v>-282.89475230769153</v>
      </c>
      <c r="N218" s="516">
        <f>N217*N44</f>
        <v>746.38461538461547</v>
      </c>
      <c r="O218" s="588">
        <f>O217*O44</f>
        <v>732.30769230769238</v>
      </c>
      <c r="P218" s="589">
        <f>P217*P44</f>
        <v>695.64795000000049</v>
      </c>
      <c r="Q218" s="359">
        <f>P218-O218</f>
        <v>-36.659742307691886</v>
      </c>
      <c r="R218" s="591">
        <f>F218+J218+N218</f>
        <v>2382.237606837607</v>
      </c>
      <c r="S218" s="468"/>
      <c r="T218" s="446">
        <f>G218+K218+O218</f>
        <v>2301.2820512820513</v>
      </c>
      <c r="U218" s="311">
        <f>H218+L218+P218</f>
        <v>1826.8351400000013</v>
      </c>
      <c r="V218" s="446">
        <f>U218-R218</f>
        <v>-555.40246683760574</v>
      </c>
      <c r="W218" s="466"/>
      <c r="X218" s="291">
        <f>U218-T218</f>
        <v>-474.44691128205</v>
      </c>
      <c r="Y218" s="516">
        <f>Y217*Y44</f>
        <v>636.08547008547009</v>
      </c>
      <c r="Z218" s="588">
        <f>Z217*Z44</f>
        <v>919.9316239316239</v>
      </c>
      <c r="AA218" s="589">
        <f>AA217*AA44</f>
        <v>444.18308000000025</v>
      </c>
      <c r="AB218" s="590">
        <f>AA218-Z218</f>
        <v>-475.74854393162366</v>
      </c>
      <c r="AC218" s="516">
        <f>AC217*AC44</f>
        <v>561.07692307692309</v>
      </c>
      <c r="AD218" s="588">
        <f>AD217*AD44</f>
        <v>752.13675213675219</v>
      </c>
      <c r="AE218" s="1058">
        <f>AE217*AE44</f>
        <v>512.82051282051293</v>
      </c>
      <c r="AF218" s="723">
        <f>AE218-AD218</f>
        <v>-239.31623931623926</v>
      </c>
      <c r="AG218" s="516">
        <f>AG217*AG44</f>
        <v>526.07692307692309</v>
      </c>
      <c r="AH218" s="588">
        <f>AH217*AH44</f>
        <v>512.82051282051293</v>
      </c>
      <c r="AI218" s="1058">
        <f>AI217*AI44</f>
        <v>213.67521367521368</v>
      </c>
      <c r="AJ218" s="590">
        <f>AI218-AH218</f>
        <v>-299.14529914529925</v>
      </c>
      <c r="AK218" s="467">
        <f>Y218+AC218+AG218</f>
        <v>1723.2393162393162</v>
      </c>
      <c r="AL218" s="468"/>
      <c r="AM218" s="470">
        <f>Z218+AD218+AH218</f>
        <v>2184.8888888888887</v>
      </c>
      <c r="AN218" s="311">
        <f>AA218+AE218+AI218</f>
        <v>1170.6788064957268</v>
      </c>
      <c r="AO218" s="470">
        <f>AN218-AK218</f>
        <v>-552.56050974358936</v>
      </c>
      <c r="AP218" s="470"/>
      <c r="AQ218" s="291">
        <f>AN218-AM218</f>
        <v>-1014.2100823931619</v>
      </c>
      <c r="AR218" s="467">
        <f>SUM(R218,AK218)</f>
        <v>4105.4769230769234</v>
      </c>
      <c r="AS218" s="647"/>
      <c r="AT218" s="624">
        <f>T218+AM218</f>
        <v>4486.1709401709395</v>
      </c>
      <c r="AU218" s="311">
        <f>SUM(U218,AN218)</f>
        <v>2997.5139464957283</v>
      </c>
      <c r="AV218" s="466">
        <f>AU218-AR218</f>
        <v>-1107.9629765811951</v>
      </c>
      <c r="AW218" s="466"/>
      <c r="AX218" s="435">
        <f>AU218-AT218</f>
        <v>-1488.6569936752112</v>
      </c>
      <c r="AY218" s="471"/>
      <c r="AZ218" s="472"/>
      <c r="BA218" s="1425"/>
      <c r="BB218" s="337"/>
      <c r="BC218" s="337"/>
      <c r="BD218" s="337"/>
      <c r="BE218" s="337"/>
    </row>
    <row r="219" spans="1:57" ht="20.100000000000001" customHeight="1">
      <c r="A219" s="826"/>
      <c r="B219" s="829" t="s">
        <v>50</v>
      </c>
      <c r="C219" s="826"/>
      <c r="D219" s="830"/>
      <c r="E219" s="1506"/>
      <c r="F219" s="651">
        <v>0.24798999999999999</v>
      </c>
      <c r="G219" s="652">
        <v>0.25</v>
      </c>
      <c r="H219" s="653">
        <v>0.25024633937632595</v>
      </c>
      <c r="I219" s="976"/>
      <c r="J219" s="651">
        <v>0.24704999999999999</v>
      </c>
      <c r="K219" s="652">
        <v>0.23599999999999999</v>
      </c>
      <c r="L219" s="653">
        <v>0.2569344522969807</v>
      </c>
      <c r="M219" s="976"/>
      <c r="N219" s="651">
        <v>0.24660000000000001</v>
      </c>
      <c r="O219" s="652">
        <v>0.249</v>
      </c>
      <c r="P219" s="653">
        <v>0.24483406061752747</v>
      </c>
      <c r="Q219" s="1305"/>
      <c r="R219" s="702">
        <f>R220/R45</f>
        <v>0.24732016906926324</v>
      </c>
      <c r="S219" s="703"/>
      <c r="T219" s="705">
        <f>T220/T45</f>
        <v>0.24657834425636282</v>
      </c>
      <c r="U219" s="725">
        <f>U220/U45</f>
        <v>0.25003437203472756</v>
      </c>
      <c r="V219" s="655"/>
      <c r="W219" s="656"/>
      <c r="X219" s="520"/>
      <c r="Y219" s="651">
        <v>0.24759999999999999</v>
      </c>
      <c r="Z219" s="652">
        <v>0.245</v>
      </c>
      <c r="AA219" s="653">
        <v>0.23586391915395399</v>
      </c>
      <c r="AB219" s="1305"/>
      <c r="AC219" s="651">
        <v>0.24759999999999999</v>
      </c>
      <c r="AD219" s="652">
        <v>0.245</v>
      </c>
      <c r="AE219" s="1074">
        <v>0.245</v>
      </c>
      <c r="AF219" s="720"/>
      <c r="AG219" s="651">
        <v>0.2475</v>
      </c>
      <c r="AH219" s="652">
        <v>0.245</v>
      </c>
      <c r="AI219" s="1074">
        <v>0.24</v>
      </c>
      <c r="AJ219" s="1305"/>
      <c r="AK219" s="704">
        <f>AK220/AK45</f>
        <v>0.24756748237245954</v>
      </c>
      <c r="AL219" s="703"/>
      <c r="AM219" s="703">
        <f>AM220/AM45</f>
        <v>0.24500000000000002</v>
      </c>
      <c r="AN219" s="725">
        <f>AN220/AN45</f>
        <v>0.23979212970366939</v>
      </c>
      <c r="AO219" s="976"/>
      <c r="AP219" s="976"/>
      <c r="AQ219" s="520"/>
      <c r="AR219" s="704">
        <f>AR220/AR45</f>
        <v>0.2474353134941204</v>
      </c>
      <c r="AS219" s="703"/>
      <c r="AT219" s="703">
        <f>AT220/AT45</f>
        <v>0.2457567520675496</v>
      </c>
      <c r="AU219" s="719">
        <f>AU220/AU45</f>
        <v>0.24494263341865494</v>
      </c>
      <c r="AV219" s="717"/>
      <c r="AW219" s="717"/>
      <c r="AX219" s="492">
        <f>AU220/AT220</f>
        <v>0.81354255117687779</v>
      </c>
      <c r="AY219" s="722"/>
      <c r="AZ219" s="661"/>
      <c r="BA219" s="1433"/>
      <c r="BB219" s="615"/>
      <c r="BC219" s="615"/>
      <c r="BD219" s="615"/>
      <c r="BE219" s="615"/>
    </row>
    <row r="220" spans="1:57" ht="20.100000000000001" customHeight="1">
      <c r="A220" s="760"/>
      <c r="B220" s="828" t="s">
        <v>43</v>
      </c>
      <c r="C220" s="803"/>
      <c r="D220" s="763"/>
      <c r="E220" s="820"/>
      <c r="F220" s="516">
        <f>F219*F45</f>
        <v>48881.584444444445</v>
      </c>
      <c r="G220" s="588">
        <f>G219*G45</f>
        <v>49277.777777777781</v>
      </c>
      <c r="H220" s="589">
        <v>36166.27990000003</v>
      </c>
      <c r="I220" s="312">
        <f>H220-G220</f>
        <v>-13111.497877777751</v>
      </c>
      <c r="J220" s="516">
        <f>J219*J45</f>
        <v>27270.51923076923</v>
      </c>
      <c r="K220" s="588">
        <f>K219*K45</f>
        <v>22268.717948717949</v>
      </c>
      <c r="L220" s="589">
        <f>L219*L45</f>
        <v>23580.771720000044</v>
      </c>
      <c r="M220" s="470">
        <f>L220-K220</f>
        <v>1312.0537712820951</v>
      </c>
      <c r="N220" s="516">
        <f>N219*N45</f>
        <v>34998.230769230773</v>
      </c>
      <c r="O220" s="588">
        <f>O219*O45</f>
        <v>33285.128205128211</v>
      </c>
      <c r="P220" s="589">
        <f>P219*P45</f>
        <v>31257.103310000017</v>
      </c>
      <c r="Q220" s="359">
        <f>P220-O220</f>
        <v>-2028.0248951281937</v>
      </c>
      <c r="R220" s="591">
        <f>F220+J220+N220</f>
        <v>111150.33444444445</v>
      </c>
      <c r="S220" s="468"/>
      <c r="T220" s="446">
        <f>G220+K220+O220</f>
        <v>104831.62393162394</v>
      </c>
      <c r="U220" s="311">
        <f>H220+L220+P220</f>
        <v>91004.154930000092</v>
      </c>
      <c r="V220" s="446">
        <f>U220-R220</f>
        <v>-20146.17951444436</v>
      </c>
      <c r="W220" s="466"/>
      <c r="X220" s="291">
        <f>U220-T220</f>
        <v>-13827.469001623846</v>
      </c>
      <c r="Y220" s="516">
        <f>Y219*Y45</f>
        <v>35612.075213675213</v>
      </c>
      <c r="Z220" s="588">
        <f>Z219*Z45</f>
        <v>41804.957264957273</v>
      </c>
      <c r="AA220" s="589">
        <f>AA219*AA45</f>
        <v>37895.919229999992</v>
      </c>
      <c r="AB220" s="590">
        <f>AA220-Z220</f>
        <v>-3909.0380349572806</v>
      </c>
      <c r="AC220" s="516">
        <v>31642</v>
      </c>
      <c r="AD220" s="588">
        <f>AD219*AD45</f>
        <v>42382.905982905984</v>
      </c>
      <c r="AE220" s="1058">
        <f>AE219*AE45</f>
        <v>28897.435897435898</v>
      </c>
      <c r="AF220" s="723">
        <f>AE220-AD220</f>
        <v>-13485.470085470086</v>
      </c>
      <c r="AG220" s="516">
        <v>29676</v>
      </c>
      <c r="AH220" s="588">
        <f>AH219*AH45</f>
        <v>28897.435897435898</v>
      </c>
      <c r="AI220" s="1058">
        <f>AI219*AI45</f>
        <v>19487.179487179488</v>
      </c>
      <c r="AJ220" s="590">
        <f>AI220-AH220</f>
        <v>-9410.2564102564102</v>
      </c>
      <c r="AK220" s="591">
        <f>Y220+AC220+AG220</f>
        <v>96930.075213675213</v>
      </c>
      <c r="AL220" s="468"/>
      <c r="AM220" s="466">
        <f>Z220+AD220+AH220</f>
        <v>113085.29914529916</v>
      </c>
      <c r="AN220" s="311">
        <f>AA220+AE220+AI220</f>
        <v>86280.534614615375</v>
      </c>
      <c r="AO220" s="470">
        <f>AN220-AK220</f>
        <v>-10649.540599059837</v>
      </c>
      <c r="AP220" s="470"/>
      <c r="AQ220" s="291">
        <f>AN220-AM220</f>
        <v>-26804.76453068378</v>
      </c>
      <c r="AR220" s="467">
        <f>SUM(R220,AK220)</f>
        <v>208080.40965811966</v>
      </c>
      <c r="AS220" s="647"/>
      <c r="AT220" s="624">
        <f>T220+AM220</f>
        <v>217916.92307692309</v>
      </c>
      <c r="AU220" s="311">
        <f>SUM(U220,AN220)</f>
        <v>177284.68954461545</v>
      </c>
      <c r="AV220" s="308">
        <f>AU220-AR220</f>
        <v>-30795.720113504212</v>
      </c>
      <c r="AW220" s="308"/>
      <c r="AX220" s="291">
        <f>AU220-AT220</f>
        <v>-40632.23353230764</v>
      </c>
      <c r="AY220" s="471"/>
      <c r="AZ220" s="445"/>
      <c r="BA220" s="1423"/>
      <c r="BB220" s="337"/>
      <c r="BC220" s="337"/>
      <c r="BD220" s="337"/>
      <c r="BE220" s="337"/>
    </row>
    <row r="221" spans="1:57" ht="20.100000000000001" customHeight="1">
      <c r="A221" s="826"/>
      <c r="B221" s="827" t="s">
        <v>50</v>
      </c>
      <c r="C221" s="825"/>
      <c r="D221" s="816"/>
      <c r="E221" s="1493"/>
      <c r="F221" s="651"/>
      <c r="G221" s="652">
        <v>-0.09</v>
      </c>
      <c r="H221" s="653">
        <v>-0.09</v>
      </c>
      <c r="I221" s="654"/>
      <c r="J221" s="651"/>
      <c r="K221" s="652">
        <v>-0.09</v>
      </c>
      <c r="L221" s="653">
        <v>-0.09</v>
      </c>
      <c r="M221" s="1305"/>
      <c r="N221" s="651"/>
      <c r="O221" s="652">
        <v>-0.09</v>
      </c>
      <c r="P221" s="653">
        <v>-0.09</v>
      </c>
      <c r="Q221" s="1305"/>
      <c r="R221" s="702" t="e">
        <f>R222/R46</f>
        <v>#DIV/0!</v>
      </c>
      <c r="S221" s="703"/>
      <c r="T221" s="705" t="e">
        <f>T222/T46</f>
        <v>#DIV/0!</v>
      </c>
      <c r="U221" s="725" t="e">
        <f>U222/U46</f>
        <v>#DIV/0!</v>
      </c>
      <c r="V221" s="655"/>
      <c r="W221" s="656"/>
      <c r="X221" s="520"/>
      <c r="Y221" s="651"/>
      <c r="Z221" s="652">
        <v>-0.09</v>
      </c>
      <c r="AA221" s="653">
        <v>-0.09</v>
      </c>
      <c r="AB221" s="1305"/>
      <c r="AC221" s="651"/>
      <c r="AD221" s="652">
        <v>-0.09</v>
      </c>
      <c r="AE221" s="1074">
        <v>-0.09</v>
      </c>
      <c r="AF221" s="1305"/>
      <c r="AG221" s="651"/>
      <c r="AH221" s="652">
        <v>-0.09</v>
      </c>
      <c r="AI221" s="1074">
        <v>-0.09</v>
      </c>
      <c r="AJ221" s="1305"/>
      <c r="AK221" s="702" t="e">
        <f>AK222/AK46</f>
        <v>#DIV/0!</v>
      </c>
      <c r="AL221" s="703"/>
      <c r="AM221" s="726" t="e">
        <f>AM222/AM46</f>
        <v>#DIV/0!</v>
      </c>
      <c r="AN221" s="725" t="e">
        <f>AN222/AN46</f>
        <v>#DIV/0!</v>
      </c>
      <c r="AO221" s="976"/>
      <c r="AP221" s="976"/>
      <c r="AQ221" s="520"/>
      <c r="AR221" s="704"/>
      <c r="AS221" s="703"/>
      <c r="AT221" s="703" t="e">
        <f>AT222/AT46</f>
        <v>#DIV/0!</v>
      </c>
      <c r="AU221" s="719" t="e">
        <f>AU222/AU46</f>
        <v>#DIV/0!</v>
      </c>
      <c r="AV221" s="717" t="e">
        <f>AU222/AR222</f>
        <v>#DIV/0!</v>
      </c>
      <c r="AW221" s="717"/>
      <c r="AX221" s="324" t="e">
        <f>AU222/AT222</f>
        <v>#DIV/0!</v>
      </c>
      <c r="AY221" s="722"/>
      <c r="AZ221" s="661"/>
      <c r="BA221" s="1433"/>
      <c r="BB221" s="615"/>
      <c r="BC221" s="615"/>
      <c r="BD221" s="615"/>
      <c r="BE221" s="615"/>
    </row>
    <row r="222" spans="1:57" ht="20.100000000000001" customHeight="1">
      <c r="A222" s="760"/>
      <c r="B222" s="828" t="s">
        <v>44</v>
      </c>
      <c r="C222" s="803"/>
      <c r="D222" s="763"/>
      <c r="E222" s="820"/>
      <c r="F222" s="516"/>
      <c r="G222" s="588">
        <f>G221*G46</f>
        <v>0</v>
      </c>
      <c r="H222" s="589">
        <f>H221*H46</f>
        <v>0</v>
      </c>
      <c r="I222" s="359"/>
      <c r="J222" s="516"/>
      <c r="K222" s="588">
        <f>K221*K46</f>
        <v>0</v>
      </c>
      <c r="L222" s="589">
        <f>L221*L46</f>
        <v>0</v>
      </c>
      <c r="M222" s="590"/>
      <c r="N222" s="516"/>
      <c r="O222" s="588">
        <f>O221*O46</f>
        <v>0</v>
      </c>
      <c r="P222" s="589">
        <f>P221*P46</f>
        <v>0</v>
      </c>
      <c r="Q222" s="359"/>
      <c r="R222" s="591">
        <f>F222+J222+N222</f>
        <v>0</v>
      </c>
      <c r="S222" s="468"/>
      <c r="T222" s="446">
        <f>G222+K222+O222</f>
        <v>0</v>
      </c>
      <c r="U222" s="311">
        <f>H222+L222+P222</f>
        <v>0</v>
      </c>
      <c r="V222" s="446">
        <f>U222-R222</f>
        <v>0</v>
      </c>
      <c r="W222" s="466"/>
      <c r="X222" s="291">
        <f>U222-T222</f>
        <v>0</v>
      </c>
      <c r="Y222" s="516"/>
      <c r="Z222" s="588">
        <f>Z221*Z46</f>
        <v>0</v>
      </c>
      <c r="AA222" s="589">
        <f>AA221*AA46</f>
        <v>0</v>
      </c>
      <c r="AB222" s="590"/>
      <c r="AC222" s="516"/>
      <c r="AD222" s="588">
        <f>AD221*AD46</f>
        <v>0</v>
      </c>
      <c r="AE222" s="1058">
        <f>AE221*AE46</f>
        <v>0</v>
      </c>
      <c r="AF222" s="590"/>
      <c r="AG222" s="516"/>
      <c r="AH222" s="588">
        <f>AH221*AH46</f>
        <v>0</v>
      </c>
      <c r="AI222" s="1058">
        <f>AI221*AI46</f>
        <v>0</v>
      </c>
      <c r="AJ222" s="590"/>
      <c r="AK222" s="591">
        <f>Y222+AC222+AG222</f>
        <v>0</v>
      </c>
      <c r="AL222" s="468"/>
      <c r="AM222" s="466">
        <f>Z222+AD222+AH222</f>
        <v>0</v>
      </c>
      <c r="AN222" s="311">
        <f>AA222+AE222+AI222</f>
        <v>0</v>
      </c>
      <c r="AO222" s="470">
        <f>AN222-AK222</f>
        <v>0</v>
      </c>
      <c r="AP222" s="470"/>
      <c r="AQ222" s="291">
        <f>AN222-AM222</f>
        <v>0</v>
      </c>
      <c r="AR222" s="467">
        <f>SUM(R222,AK222)</f>
        <v>0</v>
      </c>
      <c r="AS222" s="647"/>
      <c r="AT222" s="727">
        <f>T222+AM222</f>
        <v>0</v>
      </c>
      <c r="AU222" s="311">
        <f>SUM(U222,AN222)</f>
        <v>0</v>
      </c>
      <c r="AV222" s="466">
        <f>AU222-AR222</f>
        <v>0</v>
      </c>
      <c r="AW222" s="466"/>
      <c r="AX222" s="435">
        <f>AU222-AT222</f>
        <v>0</v>
      </c>
      <c r="AY222" s="471"/>
      <c r="AZ222" s="472"/>
      <c r="BA222" s="1425"/>
      <c r="BB222" s="337"/>
      <c r="BC222" s="337"/>
      <c r="BD222" s="337"/>
      <c r="BE222" s="337"/>
    </row>
    <row r="223" spans="1:57" ht="20.100000000000001" customHeight="1">
      <c r="A223" s="760"/>
      <c r="B223" s="813"/>
      <c r="C223" s="801" t="s">
        <v>51</v>
      </c>
      <c r="D223" s="802"/>
      <c r="E223" s="1504"/>
      <c r="F223" s="651">
        <f>F224/F47</f>
        <v>0.19595570216776625</v>
      </c>
      <c r="G223" s="676">
        <f>G173</f>
        <v>0.19600000000000001</v>
      </c>
      <c r="H223" s="677">
        <v>0.16707389338376766</v>
      </c>
      <c r="I223" s="718"/>
      <c r="J223" s="651">
        <f>J224/J47</f>
        <v>0.19600000000000001</v>
      </c>
      <c r="K223" s="676">
        <v>0.17</v>
      </c>
      <c r="L223" s="677">
        <v>0.18160569002365787</v>
      </c>
      <c r="M223" s="718"/>
      <c r="N223" s="651">
        <f>N224/N47</f>
        <v>0.19525557011795547</v>
      </c>
      <c r="O223" s="676">
        <v>0.19500000000000001</v>
      </c>
      <c r="P223" s="677">
        <v>0.16450542598093096</v>
      </c>
      <c r="Q223" s="718"/>
      <c r="R223" s="702">
        <f>R224/R47</f>
        <v>0.19574565756823825</v>
      </c>
      <c r="S223" s="703"/>
      <c r="T223" s="725">
        <f>T224/T47</f>
        <v>0.18994359422824664</v>
      </c>
      <c r="U223" s="725">
        <f>U224/U47</f>
        <v>0.17127852445178993</v>
      </c>
      <c r="V223" s="507"/>
      <c r="W223" s="508"/>
      <c r="X223" s="509"/>
      <c r="Y223" s="651">
        <f>Y224/Y47</f>
        <v>0.1984308131241084</v>
      </c>
      <c r="Z223" s="676">
        <v>0.193</v>
      </c>
      <c r="AA223" s="677">
        <v>0.18032475654598906</v>
      </c>
      <c r="AB223" s="718"/>
      <c r="AC223" s="651">
        <f>AC224/AC47</f>
        <v>0.20399429386590584</v>
      </c>
      <c r="AD223" s="676">
        <v>0.192</v>
      </c>
      <c r="AE223" s="1076">
        <v>0.192</v>
      </c>
      <c r="AF223" s="718"/>
      <c r="AG223" s="651">
        <f>AG224/AG47</f>
        <v>0.18544935805991442</v>
      </c>
      <c r="AH223" s="676">
        <v>0.192</v>
      </c>
      <c r="AI223" s="1076">
        <v>0</v>
      </c>
      <c r="AJ223" s="718"/>
      <c r="AK223" s="704">
        <f>AK224/AK47</f>
        <v>0.19595815501664288</v>
      </c>
      <c r="AL223" s="703"/>
      <c r="AM223" s="681">
        <f>AM224/AM47</f>
        <v>0.19236794766966478</v>
      </c>
      <c r="AN223" s="725">
        <f>AN224/AN47</f>
        <v>0.18528832858180783</v>
      </c>
      <c r="AO223" s="445"/>
      <c r="AP223" s="445"/>
      <c r="AQ223" s="509"/>
      <c r="AR223" s="704">
        <f>AR224/AR47</f>
        <v>0.19583895886978914</v>
      </c>
      <c r="AS223" s="703"/>
      <c r="AT223" s="703">
        <f>AT224/AT47</f>
        <v>0.19119649271075431</v>
      </c>
      <c r="AU223" s="725">
        <f>AU224/AU47</f>
        <v>0.17569229269861347</v>
      </c>
      <c r="AV223" s="717"/>
      <c r="AW223" s="717"/>
      <c r="AX223" s="324">
        <f>AU224/AT224</f>
        <v>0.93640334425863536</v>
      </c>
      <c r="AY223" s="471"/>
      <c r="AZ223" s="472"/>
      <c r="BA223" s="1425"/>
      <c r="BB223" s="337"/>
      <c r="BC223" s="337"/>
      <c r="BD223" s="337"/>
      <c r="BE223" s="337"/>
    </row>
    <row r="224" spans="1:57" ht="20.100000000000001" customHeight="1">
      <c r="A224" s="760"/>
      <c r="B224" s="813"/>
      <c r="C224" s="803" t="s">
        <v>52</v>
      </c>
      <c r="D224" s="763"/>
      <c r="E224" s="820"/>
      <c r="F224" s="516">
        <v>1777</v>
      </c>
      <c r="G224" s="588">
        <f>G223*G47</f>
        <v>1777.4017094017095</v>
      </c>
      <c r="H224" s="589">
        <v>1626.0203999999999</v>
      </c>
      <c r="I224" s="359">
        <f>H224-G224</f>
        <v>-151.38130940170959</v>
      </c>
      <c r="J224" s="516">
        <v>995.07692307692321</v>
      </c>
      <c r="K224" s="588">
        <f>K223*K47</f>
        <v>733.76068376068383</v>
      </c>
      <c r="L224" s="589">
        <f>L223*L47</f>
        <v>1765.5503399999996</v>
      </c>
      <c r="M224" s="590">
        <f>L224-K224</f>
        <v>1031.7896562393157</v>
      </c>
      <c r="N224" s="516">
        <v>1273.3333333333335</v>
      </c>
      <c r="O224" s="588">
        <f>O223*O47</f>
        <v>1201.6666666666667</v>
      </c>
      <c r="P224" s="589">
        <f>P223*P47</f>
        <v>1444.6211299999998</v>
      </c>
      <c r="Q224" s="359">
        <f>P224-O224</f>
        <v>242.95446333333302</v>
      </c>
      <c r="R224" s="591">
        <f>F224+J224+N224</f>
        <v>4045.4102564102568</v>
      </c>
      <c r="S224" s="468"/>
      <c r="T224" s="446">
        <f>G224+K224+O224</f>
        <v>3712.8290598290605</v>
      </c>
      <c r="U224" s="311">
        <f>H224+L224+P224</f>
        <v>4836.1918699999987</v>
      </c>
      <c r="V224" s="446">
        <f>U224-R224</f>
        <v>790.78161358974194</v>
      </c>
      <c r="W224" s="466"/>
      <c r="X224" s="435">
        <f>U224-T224</f>
        <v>1123.3628101709382</v>
      </c>
      <c r="Y224" s="516">
        <v>1070</v>
      </c>
      <c r="Z224" s="588">
        <f>Z223*Z47</f>
        <v>1484.6153846153848</v>
      </c>
      <c r="AA224" s="589">
        <f>AA223*AA47</f>
        <v>1346.2892200000001</v>
      </c>
      <c r="AB224" s="590">
        <f>AA224-Z224</f>
        <v>-138.32616461538464</v>
      </c>
      <c r="AC224" s="516">
        <v>1100</v>
      </c>
      <c r="AD224" s="588">
        <f>AD223*AD47</f>
        <v>1476.9230769230769</v>
      </c>
      <c r="AE224" s="1058">
        <f>AE223*AE47</f>
        <v>1060.1025641025642</v>
      </c>
      <c r="AF224" s="590">
        <f>AE224-AD224</f>
        <v>-416.8205128205127</v>
      </c>
      <c r="AG224" s="516">
        <v>1000</v>
      </c>
      <c r="AH224" s="588">
        <f>AH223*AH47</f>
        <v>1060.1025641025642</v>
      </c>
      <c r="AI224" s="1058">
        <f>AI223*AI47</f>
        <v>0</v>
      </c>
      <c r="AJ224" s="590">
        <f>AI224-AH224</f>
        <v>-1060.1025641025642</v>
      </c>
      <c r="AK224" s="591">
        <f>Y224+AC224+AG224</f>
        <v>3170</v>
      </c>
      <c r="AL224" s="468"/>
      <c r="AM224" s="466">
        <f>Z224+AD224+AH224</f>
        <v>4021.6410256410263</v>
      </c>
      <c r="AN224" s="311">
        <f>AA224+AE224+AI224</f>
        <v>2406.3917841025641</v>
      </c>
      <c r="AO224" s="470">
        <f>AN224-AK224</f>
        <v>-763.60821589743591</v>
      </c>
      <c r="AP224" s="470"/>
      <c r="AQ224" s="291">
        <f>AN224-AM224</f>
        <v>-1615.2492415384622</v>
      </c>
      <c r="AR224" s="467">
        <f>SUM(R224,AK224)</f>
        <v>7215.4102564102568</v>
      </c>
      <c r="AS224" s="468"/>
      <c r="AT224" s="728">
        <f>T224+AM224</f>
        <v>7734.4700854700868</v>
      </c>
      <c r="AU224" s="311">
        <f>SUM(U224,AN224)</f>
        <v>7242.5836541025628</v>
      </c>
      <c r="AV224" s="466">
        <f>AU224-AR224</f>
        <v>27.173397692306025</v>
      </c>
      <c r="AW224" s="466"/>
      <c r="AX224" s="435">
        <f>AU224-AT224</f>
        <v>-491.88643136752398</v>
      </c>
      <c r="AY224" s="471"/>
      <c r="AZ224" s="472"/>
      <c r="BA224" s="1425"/>
      <c r="BB224" s="337"/>
      <c r="BC224" s="337"/>
      <c r="BD224" s="337"/>
      <c r="BE224" s="337"/>
    </row>
    <row r="225" spans="1:57" ht="20.100000000000001" customHeight="1">
      <c r="A225" s="760"/>
      <c r="B225" s="813"/>
      <c r="C225" s="760" t="s">
        <v>51</v>
      </c>
      <c r="D225" s="804"/>
      <c r="E225" s="813"/>
      <c r="F225" s="651">
        <f>F226/F48</f>
        <v>0.24993395145895828</v>
      </c>
      <c r="G225" s="676">
        <f>G175</f>
        <v>0.25</v>
      </c>
      <c r="H225" s="677">
        <v>0.25365914490111474</v>
      </c>
      <c r="I225" s="718"/>
      <c r="J225" s="651">
        <f>J226/J48</f>
        <v>0.24974813732651571</v>
      </c>
      <c r="K225" s="676">
        <v>0.24</v>
      </c>
      <c r="L225" s="677">
        <v>0.2602826808588391</v>
      </c>
      <c r="M225" s="718"/>
      <c r="N225" s="651">
        <f>N226/N48</f>
        <v>0.24964628495675778</v>
      </c>
      <c r="O225" s="676">
        <v>0.25</v>
      </c>
      <c r="P225" s="677">
        <v>0.2500840333096776</v>
      </c>
      <c r="Q225" s="718"/>
      <c r="R225" s="702">
        <f>R226/R48</f>
        <v>0.24979747229088592</v>
      </c>
      <c r="S225" s="703"/>
      <c r="T225" s="725">
        <f>T226/T48</f>
        <v>0.24779218315203644</v>
      </c>
      <c r="U225" s="725">
        <f>U226/U48</f>
        <v>0.25403867925860796</v>
      </c>
      <c r="V225" s="507"/>
      <c r="W225" s="508"/>
      <c r="X225" s="509"/>
      <c r="Y225" s="651">
        <v>0.24959999999999999</v>
      </c>
      <c r="Z225" s="676">
        <v>0.246</v>
      </c>
      <c r="AA225" s="677">
        <v>0.23748575843990105</v>
      </c>
      <c r="AB225" s="718"/>
      <c r="AC225" s="651">
        <v>0.24979999999999999</v>
      </c>
      <c r="AD225" s="676">
        <v>0.245</v>
      </c>
      <c r="AE225" s="1076">
        <v>0.245</v>
      </c>
      <c r="AF225" s="718"/>
      <c r="AG225" s="651">
        <v>0.25002000000000002</v>
      </c>
      <c r="AH225" s="676">
        <v>0.245</v>
      </c>
      <c r="AI225" s="1076">
        <v>0.24</v>
      </c>
      <c r="AJ225" s="718"/>
      <c r="AK225" s="704">
        <f>AK226/AK48</f>
        <v>0.24980034611531104</v>
      </c>
      <c r="AL225" s="703"/>
      <c r="AM225" s="681">
        <f>AM226/AM48</f>
        <v>0.24536868528396605</v>
      </c>
      <c r="AN225" s="725">
        <f>AN226/AN48</f>
        <v>0.24051702898558491</v>
      </c>
      <c r="AO225" s="445"/>
      <c r="AP225" s="445"/>
      <c r="AQ225" s="509"/>
      <c r="AR225" s="704">
        <f>AR226/AR48</f>
        <v>0.24979881377551025</v>
      </c>
      <c r="AS225" s="703"/>
      <c r="AT225" s="703">
        <f>AT226/AT48</f>
        <v>0.24653665623603038</v>
      </c>
      <c r="AU225" s="725">
        <f>AU226/AU48</f>
        <v>0.24715304047067202</v>
      </c>
      <c r="AV225" s="717"/>
      <c r="AW225" s="717"/>
      <c r="AX225" s="324">
        <f>AU226/AT226</f>
        <v>0.81166751928347836</v>
      </c>
      <c r="AY225" s="471"/>
      <c r="AZ225" s="472"/>
      <c r="BA225" s="1425"/>
      <c r="BB225" s="337"/>
      <c r="BC225" s="337"/>
      <c r="BD225" s="337"/>
      <c r="BE225" s="337"/>
    </row>
    <row r="226" spans="1:57" ht="20.100000000000001" customHeight="1">
      <c r="A226" s="760"/>
      <c r="B226" s="813"/>
      <c r="C226" s="803" t="s">
        <v>259</v>
      </c>
      <c r="D226" s="763"/>
      <c r="E226" s="820"/>
      <c r="F226" s="516">
        <v>47000.4</v>
      </c>
      <c r="G226" s="539">
        <f>G225*G48</f>
        <v>47012.820512820515</v>
      </c>
      <c r="H226" s="540">
        <v>33990.968950000002</v>
      </c>
      <c r="I226" s="607">
        <f>H226-G226</f>
        <v>-13021.851562820513</v>
      </c>
      <c r="J226" s="516">
        <v>26300.400000000001</v>
      </c>
      <c r="K226" s="539">
        <f>K225*K48</f>
        <v>21483.076923076922</v>
      </c>
      <c r="L226" s="540">
        <f>L225*L48</f>
        <v>21511.013440000032</v>
      </c>
      <c r="M226" s="607">
        <f>L226-K226</f>
        <v>27.936516923109593</v>
      </c>
      <c r="N226" s="516">
        <v>33800.400000000001</v>
      </c>
      <c r="O226" s="539">
        <f>O225*O48</f>
        <v>31967.948717948719</v>
      </c>
      <c r="P226" s="540">
        <f>P225*P48</f>
        <v>29416.805370000024</v>
      </c>
      <c r="Q226" s="607">
        <f>P226-O226</f>
        <v>-2551.143347948695</v>
      </c>
      <c r="R226" s="571">
        <f>F226+J226+N226</f>
        <v>107101.20000000001</v>
      </c>
      <c r="S226" s="572"/>
      <c r="T226" s="446">
        <f>G226+K226+O226</f>
        <v>100463.84615384616</v>
      </c>
      <c r="U226" s="355">
        <f>H226+L226+P226</f>
        <v>84918.787760000065</v>
      </c>
      <c r="V226" s="507">
        <f>U226-R226</f>
        <v>-22182.412239999947</v>
      </c>
      <c r="W226" s="508"/>
      <c r="X226" s="509">
        <f>U226-T226</f>
        <v>-15545.058393846091</v>
      </c>
      <c r="Y226" s="516">
        <f>Y225*Y12</f>
        <v>33770.666666666672</v>
      </c>
      <c r="Z226" s="539">
        <f>Z225*Z48</f>
        <v>39528.205128205125</v>
      </c>
      <c r="AA226" s="540">
        <f>AA225*AA48</f>
        <v>36311.753319999996</v>
      </c>
      <c r="AB226" s="607">
        <f>AA226-Z226</f>
        <v>-3216.4518082051291</v>
      </c>
      <c r="AC226" s="516">
        <v>31827</v>
      </c>
      <c r="AD226" s="539">
        <f>AD225*AD48</f>
        <v>39786.324786324789</v>
      </c>
      <c r="AE226" s="1064">
        <f>AE225*AE48</f>
        <v>27624.273504273508</v>
      </c>
      <c r="AF226" s="607">
        <f>AE226-AD226</f>
        <v>-12162.051282051281</v>
      </c>
      <c r="AG226" s="516">
        <v>28165</v>
      </c>
      <c r="AH226" s="539">
        <f>AH225*AH48</f>
        <v>27624.273504273508</v>
      </c>
      <c r="AI226" s="1064">
        <f>AI225*AI48</f>
        <v>19487.179487179488</v>
      </c>
      <c r="AJ226" s="607">
        <f>AI226-AH226</f>
        <v>-8137.0940170940194</v>
      </c>
      <c r="AK226" s="571">
        <f>Y226+AC226+AG226</f>
        <v>93762.666666666672</v>
      </c>
      <c r="AL226" s="572"/>
      <c r="AM226" s="508">
        <f>Z226+AD226+AH226</f>
        <v>106938.80341880341</v>
      </c>
      <c r="AN226" s="355">
        <f>AA226+AE226+AI226</f>
        <v>83423.206311452988</v>
      </c>
      <c r="AO226" s="445">
        <f>AN226-AK226</f>
        <v>-10339.460355213683</v>
      </c>
      <c r="AP226" s="445"/>
      <c r="AQ226" s="509">
        <f>AN226-AM226</f>
        <v>-23515.597107350419</v>
      </c>
      <c r="AR226" s="521">
        <f>SUM(R226,AK226)</f>
        <v>200863.8666666667</v>
      </c>
      <c r="AS226" s="572"/>
      <c r="AT226" s="729">
        <f>T226+AM226</f>
        <v>207402.64957264956</v>
      </c>
      <c r="AU226" s="355">
        <f>SUM(U226,AN226)</f>
        <v>168341.99407145305</v>
      </c>
      <c r="AV226" s="508">
        <f>AU226-AR226</f>
        <v>-32521.872595213645</v>
      </c>
      <c r="AW226" s="508"/>
      <c r="AX226" s="509">
        <f>AU226-AT226</f>
        <v>-39060.65550119651</v>
      </c>
      <c r="AY226" s="471"/>
      <c r="AZ226" s="472"/>
      <c r="BA226" s="1425"/>
      <c r="BB226" s="337"/>
      <c r="BC226" s="337"/>
      <c r="BD226" s="337"/>
      <c r="BE226" s="337"/>
    </row>
    <row r="227" spans="1:57" ht="20.100000000000001" customHeight="1">
      <c r="A227" s="822" t="str">
        <f>A215</f>
        <v>%=粗利率</v>
      </c>
      <c r="B227" s="823"/>
      <c r="C227" s="823"/>
      <c r="D227" s="824"/>
      <c r="E227" s="823"/>
      <c r="F227" s="663">
        <f>F228/F50</f>
        <v>0.23369608719999999</v>
      </c>
      <c r="G227" s="684">
        <f>G228/G50</f>
        <v>0.2356588</v>
      </c>
      <c r="H227" s="685">
        <f>H228/H50</f>
        <v>0.23709886997066337</v>
      </c>
      <c r="I227" s="548">
        <f>H228/G228</f>
        <v>0.73653983395485401</v>
      </c>
      <c r="J227" s="663">
        <f>J228/J50</f>
        <v>0.23277062499999995</v>
      </c>
      <c r="K227" s="684">
        <f>K228/K50</f>
        <v>0.22191999999999998</v>
      </c>
      <c r="L227" s="685">
        <f>L228/L50</f>
        <v>0.23145129601279946</v>
      </c>
      <c r="M227" s="1295">
        <f>L228/K228</f>
        <v>1.0452158455073921</v>
      </c>
      <c r="N227" s="663">
        <f>N228/N50</f>
        <v>0.23234000000000005</v>
      </c>
      <c r="O227" s="684">
        <f>O228/O50</f>
        <v>0.23412000000000005</v>
      </c>
      <c r="P227" s="685">
        <f>P228/P50</f>
        <v>0.22855253184753091</v>
      </c>
      <c r="Q227" s="1296">
        <f>P228/O228</f>
        <v>0.93930510683812252</v>
      </c>
      <c r="R227" s="663">
        <f>R228/R50</f>
        <v>0.23304054263157892</v>
      </c>
      <c r="S227" s="978"/>
      <c r="T227" s="667">
        <f>T228/T50</f>
        <v>0.23212129629629633</v>
      </c>
      <c r="U227" s="686">
        <f>U228/U50</f>
        <v>0.23264963619181619</v>
      </c>
      <c r="V227" s="667">
        <f>U228/R228</f>
        <v>0.81765953499290789</v>
      </c>
      <c r="W227" s="668"/>
      <c r="X227" s="486">
        <f>U228/T228</f>
        <v>0.86650305261776528</v>
      </c>
      <c r="Y227" s="663">
        <f>Y228/Y50</f>
        <v>0.23561304444444442</v>
      </c>
      <c r="Z227" s="684">
        <f>Z228/Z50</f>
        <v>0.23036000000000004</v>
      </c>
      <c r="AA227" s="685">
        <f>AA228/AA50</f>
        <v>0.223557719721829</v>
      </c>
      <c r="AB227" s="1296">
        <f>AA228/Z228</f>
        <v>0.89737160954842843</v>
      </c>
      <c r="AC227" s="663">
        <f>AC228/AC50</f>
        <v>0.235485</v>
      </c>
      <c r="AD227" s="684">
        <f>AD228/AD50</f>
        <v>0.22939999999999999</v>
      </c>
      <c r="AE227" s="1077">
        <f>AE228/AE50</f>
        <v>0.22939999999999997</v>
      </c>
      <c r="AF227" s="1296">
        <f>AE228/AD228</f>
        <v>0.68181818181818188</v>
      </c>
      <c r="AG227" s="663">
        <f>AG228/AG50</f>
        <v>0.23557619999999996</v>
      </c>
      <c r="AH227" s="684">
        <f>AH228/AH50</f>
        <v>0.22939999999999997</v>
      </c>
      <c r="AI227" s="1077">
        <f>AI228/AI50</f>
        <v>0.23050000000000004</v>
      </c>
      <c r="AJ227" s="1296">
        <f>AI228/AH228</f>
        <v>0.66986341179889575</v>
      </c>
      <c r="AK227" s="663">
        <f>AK228/AK50</f>
        <v>0.23555995510204078</v>
      </c>
      <c r="AL227" s="978"/>
      <c r="AM227" s="668">
        <f>AM228/AM50</f>
        <v>0.22975488926746165</v>
      </c>
      <c r="AN227" s="686">
        <f>AN228/AN50</f>
        <v>0.22704280458697743</v>
      </c>
      <c r="AO227" s="978">
        <f>AN228/AK228</f>
        <v>0.88644982520676874</v>
      </c>
      <c r="AP227" s="978"/>
      <c r="AQ227" s="487">
        <f>AN228/AM228</f>
        <v>0.75866288510932178</v>
      </c>
      <c r="AR227" s="699">
        <f>AR228/AR50</f>
        <v>0.23420517669811317</v>
      </c>
      <c r="AS227" s="978"/>
      <c r="AT227" s="978">
        <f>AT228/AT50</f>
        <v>0.2308887488908607</v>
      </c>
      <c r="AU227" s="667">
        <f>AU228/AU50</f>
        <v>0.22989570171127979</v>
      </c>
      <c r="AV227" s="978">
        <f>AU228/AR228</f>
        <v>0.84964276557632001</v>
      </c>
      <c r="AW227" s="978"/>
      <c r="AX227" s="487">
        <f>AU228/AT228</f>
        <v>0.81061014140951937</v>
      </c>
      <c r="AY227" s="672"/>
      <c r="AZ227" s="673"/>
      <c r="BA227" s="1431"/>
      <c r="BB227" s="688"/>
      <c r="BC227" s="688"/>
      <c r="BD227" s="688"/>
      <c r="BE227" s="688"/>
    </row>
    <row r="228" spans="1:57" ht="20.100000000000001" customHeight="1">
      <c r="A228" s="787" t="s">
        <v>260</v>
      </c>
      <c r="B228" s="759"/>
      <c r="C228" s="759"/>
      <c r="D228" s="753"/>
      <c r="E228" s="759"/>
      <c r="F228" s="701">
        <f>F218+F220+F222</f>
        <v>49935.061367521368</v>
      </c>
      <c r="G228" s="575">
        <f>G218+G220+G222</f>
        <v>50354.444444444445</v>
      </c>
      <c r="H228" s="576">
        <f>H218+H220+H222</f>
        <v>37088.054150000033</v>
      </c>
      <c r="I228" s="562">
        <f>H228-G228</f>
        <v>-13266.390294444413</v>
      </c>
      <c r="J228" s="701">
        <f>J218+J220+J222</f>
        <v>27852.895299145297</v>
      </c>
      <c r="K228" s="575">
        <f>K218+K220+K222</f>
        <v>22761.025641025641</v>
      </c>
      <c r="L228" s="576">
        <f>L218+L220</f>
        <v>23790.184660000046</v>
      </c>
      <c r="M228" s="562">
        <f>L228-K228</f>
        <v>1029.1590189744056</v>
      </c>
      <c r="N228" s="701">
        <f>N218+N220+N222</f>
        <v>35744.61538461539</v>
      </c>
      <c r="O228" s="575">
        <f>O218+O220+O222</f>
        <v>34017.435897435906</v>
      </c>
      <c r="P228" s="576">
        <f>P218+P220+P222</f>
        <v>31952.751260000019</v>
      </c>
      <c r="Q228" s="562">
        <f>P228-O228</f>
        <v>-2064.6846374358865</v>
      </c>
      <c r="R228" s="563">
        <f>F228+J228+N228</f>
        <v>113532.57205128206</v>
      </c>
      <c r="S228" s="463"/>
      <c r="T228" s="461">
        <f>G228+K228+O228</f>
        <v>107132.905982906</v>
      </c>
      <c r="U228" s="306">
        <f>H228+L228+P228</f>
        <v>92830.990070000102</v>
      </c>
      <c r="V228" s="461">
        <f>U228-R228</f>
        <v>-20701.581981281954</v>
      </c>
      <c r="W228" s="460"/>
      <c r="X228" s="465">
        <f>U228-T228</f>
        <v>-14301.915912905897</v>
      </c>
      <c r="Y228" s="701">
        <f>Y218+Y220+Y222</f>
        <v>36248.160683760681</v>
      </c>
      <c r="Z228" s="575">
        <f>Z218+Z220+Z222</f>
        <v>42724.888888888898</v>
      </c>
      <c r="AA228" s="576">
        <f>AA218+AA220+AA222</f>
        <v>38340.102309999995</v>
      </c>
      <c r="AB228" s="562">
        <f>AA228-Z228</f>
        <v>-4384.786578888903</v>
      </c>
      <c r="AC228" s="701">
        <f>AC218+AC220+AC222</f>
        <v>32203.076923076922</v>
      </c>
      <c r="AD228" s="575">
        <f>AD218+AD220+AD222</f>
        <v>43135.042735042734</v>
      </c>
      <c r="AE228" s="1054">
        <f>AE218+AE220+AE222</f>
        <v>29410.25641025641</v>
      </c>
      <c r="AF228" s="562">
        <f>AE228-AD228</f>
        <v>-13724.786324786324</v>
      </c>
      <c r="AG228" s="701">
        <f>AG218+AG220+AG222</f>
        <v>30202.076923076922</v>
      </c>
      <c r="AH228" s="575">
        <f>AH218+AH220+AH222</f>
        <v>29410.25641025641</v>
      </c>
      <c r="AI228" s="1054">
        <f>AI218+AI220+AI222</f>
        <v>19700.854700854703</v>
      </c>
      <c r="AJ228" s="562">
        <f>AI228-AH228</f>
        <v>-9709.4017094017072</v>
      </c>
      <c r="AK228" s="563">
        <f>Y228+AC228+AG228</f>
        <v>98653.314529914525</v>
      </c>
      <c r="AL228" s="463"/>
      <c r="AM228" s="460">
        <f>Z228+AD228+AH228</f>
        <v>115270.18803418803</v>
      </c>
      <c r="AN228" s="306">
        <f>AA228+AE228+AI228</f>
        <v>87451.213421111112</v>
      </c>
      <c r="AO228" s="489">
        <f>AN228-AK228</f>
        <v>-11202.101108803414</v>
      </c>
      <c r="AP228" s="489"/>
      <c r="AQ228" s="465">
        <f>AN228-AM228</f>
        <v>-27818.97461307692</v>
      </c>
      <c r="AR228" s="462">
        <f>SUM(R228,AK228)</f>
        <v>212185.88658119657</v>
      </c>
      <c r="AS228" s="463"/>
      <c r="AT228" s="463">
        <f>T228+AM228</f>
        <v>222403.09401709403</v>
      </c>
      <c r="AU228" s="464">
        <f>SUM(U228,AN228)</f>
        <v>180282.20349111123</v>
      </c>
      <c r="AV228" s="460">
        <f>AU228-AR228</f>
        <v>-31903.683090085338</v>
      </c>
      <c r="AW228" s="460"/>
      <c r="AX228" s="465">
        <f>AU228-AT228</f>
        <v>-42120.890525982803</v>
      </c>
      <c r="AY228" s="457">
        <f t="shared" ref="AY228:AY250" si="161">AR228/6</f>
        <v>35364.314430199425</v>
      </c>
      <c r="AZ228" s="458">
        <f>AU228/6</f>
        <v>30047.033915185206</v>
      </c>
      <c r="BA228" s="1424">
        <v>30047.033915185206</v>
      </c>
      <c r="BB228" s="302">
        <f>AZ228-AY228</f>
        <v>-5317.2805150142194</v>
      </c>
      <c r="BC228" s="302">
        <f>BA228-AY228</f>
        <v>-5317.2805150142194</v>
      </c>
      <c r="BD228" s="302">
        <f>BA228-AZ228</f>
        <v>0</v>
      </c>
      <c r="BE228" s="302">
        <f>AX228/6</f>
        <v>-7020.1484209971341</v>
      </c>
    </row>
    <row r="229" spans="1:57" ht="20.100000000000001" customHeight="1">
      <c r="A229" s="760"/>
      <c r="B229" s="796"/>
      <c r="C229" s="760" t="s">
        <v>51</v>
      </c>
      <c r="D229" s="804"/>
      <c r="E229" s="813"/>
      <c r="F229" s="659">
        <f>F230/F51</f>
        <v>0.12589681903234429</v>
      </c>
      <c r="G229" s="676">
        <f>G230/G51</f>
        <v>0.12535714285714283</v>
      </c>
      <c r="H229" s="677">
        <f>H230/H51</f>
        <v>0.12289864855803737</v>
      </c>
      <c r="I229" s="611"/>
      <c r="J229" s="659">
        <f>J230/J51</f>
        <v>0.12589681903234429</v>
      </c>
      <c r="K229" s="676">
        <f>K230/K51</f>
        <v>0.12617647058823528</v>
      </c>
      <c r="L229" s="677">
        <f>L230/L51</f>
        <v>0.11541890757666773</v>
      </c>
      <c r="M229" s="611"/>
      <c r="N229" s="659">
        <f>N230/N51</f>
        <v>0.12589681903234429</v>
      </c>
      <c r="O229" s="676">
        <f>O230/O51</f>
        <v>0.10313804347826086</v>
      </c>
      <c r="P229" s="677">
        <f>P230/P51</f>
        <v>9.1160237858549154E-2</v>
      </c>
      <c r="Q229" s="611"/>
      <c r="R229" s="651">
        <f>R230/R51</f>
        <v>0.12589681903234429</v>
      </c>
      <c r="S229" s="976"/>
      <c r="T229" s="655">
        <f>T230/T51</f>
        <v>0.11894999999999999</v>
      </c>
      <c r="U229" s="655">
        <f>U230/U51</f>
        <v>0.11081685611510506</v>
      </c>
      <c r="V229" s="689"/>
      <c r="W229" s="691"/>
      <c r="X229" s="492"/>
      <c r="Y229" s="659">
        <f>Y230/Y51</f>
        <v>0.12580026631158456</v>
      </c>
      <c r="Z229" s="676">
        <f>Z230/Z51</f>
        <v>0.10935918367346938</v>
      </c>
      <c r="AA229" s="677">
        <f>AA230/AA51</f>
        <v>9.9473668901022494E-2</v>
      </c>
      <c r="AB229" s="611"/>
      <c r="AC229" s="659">
        <f>AC230/AC51</f>
        <v>0.12580026631158456</v>
      </c>
      <c r="AD229" s="676">
        <f>AD230/AD51</f>
        <v>0.11965360824742267</v>
      </c>
      <c r="AE229" s="1076">
        <f>AE230/AE51</f>
        <v>0.11972093023255813</v>
      </c>
      <c r="AF229" s="611"/>
      <c r="AG229" s="659">
        <f>AG230/AG51</f>
        <v>0.12580026631158456</v>
      </c>
      <c r="AH229" s="676">
        <f>AH230/AH51</f>
        <v>0.11852608695652173</v>
      </c>
      <c r="AI229" s="1076">
        <f>AI230/AI51</f>
        <v>0.11849999999999999</v>
      </c>
      <c r="AJ229" s="611"/>
      <c r="AK229" s="651">
        <f>AK230/AK51</f>
        <v>0.12580026631158456</v>
      </c>
      <c r="AL229" s="976"/>
      <c r="AM229" s="656">
        <f>AM230/AM51</f>
        <v>0.11577700348432055</v>
      </c>
      <c r="AN229" s="655">
        <f>AN230/AN51</f>
        <v>0.11281456584447547</v>
      </c>
      <c r="AO229" s="979"/>
      <c r="AP229" s="979"/>
      <c r="AQ229" s="492"/>
      <c r="AR229" s="651">
        <f>AR230/AR51</f>
        <v>0.12584845250800425</v>
      </c>
      <c r="AS229" s="976"/>
      <c r="AT229" s="656">
        <f>AT230/AT51</f>
        <v>0.11741433389544688</v>
      </c>
      <c r="AU229" s="655">
        <f>AU230/AU51</f>
        <v>0.11170850379164587</v>
      </c>
      <c r="AV229" s="691"/>
      <c r="AW229" s="691"/>
      <c r="AX229" s="324">
        <f>AU230/AT230</f>
        <v>0.86903461798017134</v>
      </c>
      <c r="AY229" s="471"/>
      <c r="AZ229" s="472"/>
      <c r="BA229" s="1425"/>
      <c r="BB229" s="472"/>
      <c r="BC229" s="472"/>
      <c r="BD229" s="472"/>
      <c r="BE229" s="472"/>
    </row>
    <row r="230" spans="1:57" ht="20.100000000000001" customHeight="1">
      <c r="A230" s="760"/>
      <c r="B230" s="796"/>
      <c r="C230" s="803" t="s">
        <v>261</v>
      </c>
      <c r="D230" s="804"/>
      <c r="E230" s="813"/>
      <c r="F230" s="444">
        <v>6038.2051282051279</v>
      </c>
      <c r="G230" s="539">
        <v>6000</v>
      </c>
      <c r="H230" s="540">
        <v>6025.9334479999998</v>
      </c>
      <c r="I230" s="590">
        <f>H230-G230</f>
        <v>25.933447999999771</v>
      </c>
      <c r="J230" s="444">
        <v>6038.2051282051279</v>
      </c>
      <c r="K230" s="539">
        <v>5500</v>
      </c>
      <c r="L230" s="540">
        <v>4581.9648500000003</v>
      </c>
      <c r="M230" s="590">
        <f>L230-K230</f>
        <v>-918.0351499999997</v>
      </c>
      <c r="N230" s="444">
        <v>6038.2051282051279</v>
      </c>
      <c r="O230" s="539">
        <v>4055</v>
      </c>
      <c r="P230" s="540">
        <v>3594.5667600000002</v>
      </c>
      <c r="Q230" s="590">
        <f>P230-O230</f>
        <v>-460.43323999999984</v>
      </c>
      <c r="R230" s="591">
        <f>F230+J230+N230</f>
        <v>18114.615384615383</v>
      </c>
      <c r="S230" s="468"/>
      <c r="T230" s="446">
        <f>G230+K230+O230</f>
        <v>15555</v>
      </c>
      <c r="U230" s="311">
        <f>H230+L230+P230</f>
        <v>14202.465058</v>
      </c>
      <c r="V230" s="446">
        <f>U230-R230</f>
        <v>-3912.1503266153832</v>
      </c>
      <c r="W230" s="466"/>
      <c r="X230" s="435">
        <f>U230-T230</f>
        <v>-1352.5349420000002</v>
      </c>
      <c r="Y230" s="444">
        <v>6056.1538461538457</v>
      </c>
      <c r="Z230" s="539">
        <v>4580</v>
      </c>
      <c r="AA230" s="540">
        <v>3305.66</v>
      </c>
      <c r="AB230" s="590">
        <f>AA230-Z230</f>
        <v>-1274.3400000000001</v>
      </c>
      <c r="AC230" s="444">
        <v>6056.1538461538457</v>
      </c>
      <c r="AD230" s="539">
        <v>4960</v>
      </c>
      <c r="AE230" s="1064">
        <v>4400</v>
      </c>
      <c r="AF230" s="590">
        <f>AE230-AD230</f>
        <v>-560</v>
      </c>
      <c r="AG230" s="444">
        <v>6056.1538461538457</v>
      </c>
      <c r="AH230" s="539">
        <v>4660</v>
      </c>
      <c r="AI230" s="1064">
        <v>3950</v>
      </c>
      <c r="AJ230" s="590">
        <f>AI230-AH230</f>
        <v>-710</v>
      </c>
      <c r="AK230" s="591">
        <f>Y230+AC230+AG230</f>
        <v>18168.461538461539</v>
      </c>
      <c r="AL230" s="468"/>
      <c r="AM230" s="466">
        <f>Z230+AD230+AH230</f>
        <v>14200</v>
      </c>
      <c r="AN230" s="311">
        <f>AA230+AE230+AI230</f>
        <v>11655.66</v>
      </c>
      <c r="AO230" s="470">
        <f>AN230-AK230</f>
        <v>-6512.8015384615392</v>
      </c>
      <c r="AP230" s="470"/>
      <c r="AQ230" s="435">
        <f>AN230-AM230</f>
        <v>-2544.34</v>
      </c>
      <c r="AR230" s="591">
        <f>SUM(R230,AK230)</f>
        <v>36283.076923076922</v>
      </c>
      <c r="AS230" s="468"/>
      <c r="AT230" s="361">
        <f>T230+AM230</f>
        <v>29755</v>
      </c>
      <c r="AU230" s="311">
        <f>SUM(U230,AN230)</f>
        <v>25858.125057999998</v>
      </c>
      <c r="AV230" s="308">
        <f>AU230-AR230</f>
        <v>-10424.951865076924</v>
      </c>
      <c r="AW230" s="308"/>
      <c r="AX230" s="291">
        <f>AU230-AT230</f>
        <v>-3896.8749420000022</v>
      </c>
      <c r="AY230" s="471"/>
      <c r="AZ230" s="472"/>
      <c r="BA230" s="1425"/>
      <c r="BB230" s="472"/>
      <c r="BC230" s="472"/>
      <c r="BD230" s="472"/>
      <c r="BE230" s="472"/>
    </row>
    <row r="231" spans="1:57" ht="20.100000000000001" customHeight="1">
      <c r="A231" s="760"/>
      <c r="B231" s="796"/>
      <c r="C231" s="801" t="s">
        <v>51</v>
      </c>
      <c r="D231" s="802"/>
      <c r="E231" s="1504"/>
      <c r="F231" s="693">
        <f>F232/F52</f>
        <v>0.16953703703703704</v>
      </c>
      <c r="G231" s="694">
        <f>G232/G52</f>
        <v>0.16137931034482758</v>
      </c>
      <c r="H231" s="695">
        <f>H232/H52</f>
        <v>0.15853882794464721</v>
      </c>
      <c r="I231" s="629"/>
      <c r="J231" s="693">
        <f>J232/J52</f>
        <v>0.16953703703703704</v>
      </c>
      <c r="K231" s="694">
        <f>K232/K52</f>
        <v>0.16058823529411764</v>
      </c>
      <c r="L231" s="695">
        <f>L232/L52</f>
        <v>0.1380306630305641</v>
      </c>
      <c r="M231" s="1300"/>
      <c r="N231" s="693">
        <f>N232/N52</f>
        <v>0.16953703703703704</v>
      </c>
      <c r="O231" s="694">
        <f>O232/O52</f>
        <v>0.15769565217391301</v>
      </c>
      <c r="P231" s="695">
        <f>P232/P52</f>
        <v>0.19121560515953395</v>
      </c>
      <c r="Q231" s="1300"/>
      <c r="R231" s="651">
        <f>R232/R52</f>
        <v>0.16953703703703704</v>
      </c>
      <c r="S231" s="976"/>
      <c r="T231" s="656">
        <f>T232/T52</f>
        <v>0.15988612099644128</v>
      </c>
      <c r="U231" s="655">
        <f>U232/U52</f>
        <v>0.16031528223906721</v>
      </c>
      <c r="V231" s="689"/>
      <c r="W231" s="691"/>
      <c r="X231" s="492"/>
      <c r="Y231" s="693">
        <f>Y232/Y52</f>
        <v>0.15196698113207546</v>
      </c>
      <c r="Z231" s="694">
        <f>Z232/Z52</f>
        <v>0.14552238805970147</v>
      </c>
      <c r="AA231" s="695">
        <f>AA232/AA52</f>
        <v>0.12548362995332143</v>
      </c>
      <c r="AB231" s="1300"/>
      <c r="AC231" s="693">
        <f>AC232/AC52</f>
        <v>0.15196698113207546</v>
      </c>
      <c r="AD231" s="694">
        <f>AD232/AD52</f>
        <v>0.15079999999999999</v>
      </c>
      <c r="AE231" s="1079">
        <f>AE232/AE52</f>
        <v>0.1369431818181818</v>
      </c>
      <c r="AF231" s="1300"/>
      <c r="AG231" s="693">
        <f>AG232/AG52</f>
        <v>0.15196698113207546</v>
      </c>
      <c r="AH231" s="694">
        <f>AH232/AH52</f>
        <v>0.15051891891891891</v>
      </c>
      <c r="AI231" s="1079">
        <f>AI232/AI52</f>
        <v>0.15103636363636364</v>
      </c>
      <c r="AJ231" s="1300"/>
      <c r="AK231" s="651">
        <f>AK232/AK52</f>
        <v>0.15196698113207546</v>
      </c>
      <c r="AL231" s="976"/>
      <c r="AM231" s="656">
        <f>AM232/AM52</f>
        <v>0.14910365853658536</v>
      </c>
      <c r="AN231" s="655">
        <f>AN232/AN52</f>
        <v>0.13428291539055978</v>
      </c>
      <c r="AO231" s="979"/>
      <c r="AP231" s="979"/>
      <c r="AQ231" s="492"/>
      <c r="AR231" s="651">
        <f>AR232/AR52</f>
        <v>0.16037155511811024</v>
      </c>
      <c r="AS231" s="976"/>
      <c r="AT231" s="656">
        <f>AT232/AT52</f>
        <v>0.15407881773399013</v>
      </c>
      <c r="AU231" s="655">
        <f>AU232/AU52</f>
        <v>0.1467370050366755</v>
      </c>
      <c r="AV231" s="691"/>
      <c r="AW231" s="691"/>
      <c r="AX231" s="492">
        <f>AU232/AT232</f>
        <v>0.8224502644638404</v>
      </c>
      <c r="AY231" s="471"/>
      <c r="AZ231" s="472"/>
      <c r="BA231" s="1425"/>
      <c r="BB231" s="472"/>
      <c r="BC231" s="472"/>
      <c r="BD231" s="472"/>
      <c r="BE231" s="472"/>
    </row>
    <row r="232" spans="1:57" ht="20.100000000000001" customHeight="1">
      <c r="A232" s="760"/>
      <c r="B232" s="796"/>
      <c r="C232" s="803" t="s">
        <v>49</v>
      </c>
      <c r="D232" s="763"/>
      <c r="E232" s="820"/>
      <c r="F232" s="516">
        <v>14084.615384615385</v>
      </c>
      <c r="G232" s="588">
        <v>12000</v>
      </c>
      <c r="H232" s="589">
        <v>11675</v>
      </c>
      <c r="I232" s="590">
        <f>H232-G232</f>
        <v>-325</v>
      </c>
      <c r="J232" s="516">
        <v>14084.615384615385</v>
      </c>
      <c r="K232" s="588">
        <v>14000</v>
      </c>
      <c r="L232" s="589">
        <v>11000.953</v>
      </c>
      <c r="M232" s="590">
        <f>L232-K232</f>
        <v>-2999.0470000000005</v>
      </c>
      <c r="N232" s="516">
        <v>14084.615384615385</v>
      </c>
      <c r="O232" s="588">
        <v>12400</v>
      </c>
      <c r="P232" s="589">
        <v>11800.10621</v>
      </c>
      <c r="Q232" s="590">
        <f>P232-O232</f>
        <v>-599.89379000000008</v>
      </c>
      <c r="R232" s="591">
        <f>F232+J232+N232</f>
        <v>42253.846153846156</v>
      </c>
      <c r="S232" s="468"/>
      <c r="T232" s="446">
        <f>G232+K232+O232</f>
        <v>38400</v>
      </c>
      <c r="U232" s="311">
        <f>H232+L232+P232</f>
        <v>34476.059209999999</v>
      </c>
      <c r="V232" s="446">
        <f>U232-R232</f>
        <v>-7777.7869438461566</v>
      </c>
      <c r="W232" s="466"/>
      <c r="X232" s="435">
        <f>U232-T232</f>
        <v>-3923.9407900000006</v>
      </c>
      <c r="Y232" s="516">
        <v>13767.948717948719</v>
      </c>
      <c r="Z232" s="588">
        <f>12900-400</f>
        <v>12500</v>
      </c>
      <c r="AA232" s="589">
        <v>14084.451999999999</v>
      </c>
      <c r="AB232" s="590">
        <f>AA232-Z232</f>
        <v>1584.4519999999993</v>
      </c>
      <c r="AC232" s="516">
        <v>13767.948717948719</v>
      </c>
      <c r="AD232" s="588">
        <v>17400</v>
      </c>
      <c r="AE232" s="1058">
        <v>10300</v>
      </c>
      <c r="AF232" s="590">
        <f>AE232-AD232</f>
        <v>-7100</v>
      </c>
      <c r="AG232" s="516">
        <v>13767.948717948719</v>
      </c>
      <c r="AH232" s="588">
        <v>11900</v>
      </c>
      <c r="AI232" s="1058">
        <v>7100</v>
      </c>
      <c r="AJ232" s="590">
        <f>AI232-AH232</f>
        <v>-4800</v>
      </c>
      <c r="AK232" s="591">
        <f>Y232+AC232+AG232</f>
        <v>41303.846153846156</v>
      </c>
      <c r="AL232" s="468"/>
      <c r="AM232" s="466">
        <f>Z232+AD232+AH232</f>
        <v>41800</v>
      </c>
      <c r="AN232" s="311">
        <f>AA232+AE232+AI232</f>
        <v>31484.451999999997</v>
      </c>
      <c r="AO232" s="470">
        <f>AN232-AK232</f>
        <v>-9819.3941538461586</v>
      </c>
      <c r="AP232" s="470"/>
      <c r="AQ232" s="435">
        <f>AN232-AM232</f>
        <v>-10315.548000000003</v>
      </c>
      <c r="AR232" s="591">
        <f>SUM(R232,AK232)</f>
        <v>83557.692307692312</v>
      </c>
      <c r="AS232" s="468"/>
      <c r="AT232" s="594">
        <f>T232+AM232</f>
        <v>80200</v>
      </c>
      <c r="AU232" s="469">
        <f>SUM(U232,AN232)</f>
        <v>65960.511209999997</v>
      </c>
      <c r="AV232" s="466">
        <f>AU232-AR232</f>
        <v>-17597.181097692315</v>
      </c>
      <c r="AW232" s="466"/>
      <c r="AX232" s="435">
        <f>AU232-AT232</f>
        <v>-14239.488790000003</v>
      </c>
      <c r="AY232" s="471"/>
      <c r="AZ232" s="472"/>
      <c r="BA232" s="1425"/>
      <c r="BB232" s="472"/>
      <c r="BC232" s="472"/>
      <c r="BD232" s="472"/>
      <c r="BE232" s="472"/>
    </row>
    <row r="233" spans="1:57" ht="20.100000000000001" customHeight="1">
      <c r="A233" s="760"/>
      <c r="B233" s="796"/>
      <c r="C233" s="801" t="s">
        <v>51</v>
      </c>
      <c r="D233" s="802"/>
      <c r="E233" s="1504"/>
      <c r="F233" s="693"/>
      <c r="G233" s="694"/>
      <c r="H233" s="695"/>
      <c r="I233" s="629"/>
      <c r="J233" s="693"/>
      <c r="K233" s="694"/>
      <c r="L233" s="695"/>
      <c r="M233" s="1300"/>
      <c r="N233" s="693"/>
      <c r="O233" s="694"/>
      <c r="P233" s="695"/>
      <c r="Q233" s="1300"/>
      <c r="R233" s="651" t="e">
        <f>R234/R53</f>
        <v>#DIV/0!</v>
      </c>
      <c r="S233" s="976"/>
      <c r="T233" s="656">
        <f>T234/T53</f>
        <v>0</v>
      </c>
      <c r="U233" s="655">
        <f>U234/U53</f>
        <v>0</v>
      </c>
      <c r="V233" s="689"/>
      <c r="W233" s="691"/>
      <c r="X233" s="492"/>
      <c r="Y233" s="693"/>
      <c r="Z233" s="694"/>
      <c r="AA233" s="695"/>
      <c r="AB233" s="1300"/>
      <c r="AC233" s="693"/>
      <c r="AD233" s="694"/>
      <c r="AE233" s="1079"/>
      <c r="AF233" s="1300"/>
      <c r="AG233" s="693"/>
      <c r="AH233" s="694"/>
      <c r="AI233" s="1079"/>
      <c r="AJ233" s="1300"/>
      <c r="AK233" s="651" t="e">
        <f>AK234/AK53</f>
        <v>#DIV/0!</v>
      </c>
      <c r="AL233" s="976"/>
      <c r="AM233" s="656">
        <f>AM234/AM53</f>
        <v>0</v>
      </c>
      <c r="AN233" s="655">
        <f>AN234/AN53</f>
        <v>0</v>
      </c>
      <c r="AO233" s="979"/>
      <c r="AP233" s="979"/>
      <c r="AQ233" s="492"/>
      <c r="AR233" s="651" t="e">
        <f>AR234/AR53</f>
        <v>#DIV/0!</v>
      </c>
      <c r="AS233" s="976"/>
      <c r="AT233" s="656">
        <f>AT234/AT53</f>
        <v>0</v>
      </c>
      <c r="AU233" s="655">
        <f>AU234/AU53</f>
        <v>0</v>
      </c>
      <c r="AV233" s="691" t="e">
        <f>AU234/AR234</f>
        <v>#DIV/0!</v>
      </c>
      <c r="AW233" s="691"/>
      <c r="AX233" s="324"/>
      <c r="AY233" s="471"/>
      <c r="AZ233" s="472"/>
      <c r="BA233" s="1425"/>
      <c r="BB233" s="472"/>
      <c r="BC233" s="472"/>
      <c r="BD233" s="472"/>
      <c r="BE233" s="472"/>
    </row>
    <row r="234" spans="1:57" ht="20.100000000000001" customHeight="1">
      <c r="A234" s="760"/>
      <c r="B234" s="796"/>
      <c r="C234" s="803" t="s">
        <v>174</v>
      </c>
      <c r="D234" s="763"/>
      <c r="E234" s="820"/>
      <c r="F234" s="516">
        <f t="shared" ref="F234:Q234" si="162">F233*F53</f>
        <v>0</v>
      </c>
      <c r="G234" s="588">
        <f t="shared" si="162"/>
        <v>0</v>
      </c>
      <c r="H234" s="589">
        <f t="shared" si="162"/>
        <v>0</v>
      </c>
      <c r="I234" s="590">
        <f t="shared" si="162"/>
        <v>0</v>
      </c>
      <c r="J234" s="516">
        <f t="shared" si="162"/>
        <v>0</v>
      </c>
      <c r="K234" s="588">
        <f t="shared" si="162"/>
        <v>0</v>
      </c>
      <c r="L234" s="589">
        <f t="shared" si="162"/>
        <v>0</v>
      </c>
      <c r="M234" s="590">
        <f t="shared" si="162"/>
        <v>0</v>
      </c>
      <c r="N234" s="516">
        <f t="shared" si="162"/>
        <v>0</v>
      </c>
      <c r="O234" s="588">
        <f t="shared" si="162"/>
        <v>0</v>
      </c>
      <c r="P234" s="589">
        <f t="shared" si="162"/>
        <v>0</v>
      </c>
      <c r="Q234" s="590">
        <f t="shared" si="162"/>
        <v>0</v>
      </c>
      <c r="R234" s="591">
        <f>F234+J234+N234</f>
        <v>0</v>
      </c>
      <c r="S234" s="468"/>
      <c r="T234" s="446">
        <f>G234+K234+O234</f>
        <v>0</v>
      </c>
      <c r="U234" s="311">
        <f>H234+L234+P234</f>
        <v>0</v>
      </c>
      <c r="V234" s="446">
        <f>U234-R234</f>
        <v>0</v>
      </c>
      <c r="W234" s="466"/>
      <c r="X234" s="435">
        <f>U234-T234</f>
        <v>0</v>
      </c>
      <c r="Y234" s="516">
        <f t="shared" ref="Y234:AJ234" si="163">Y233*Y53</f>
        <v>0</v>
      </c>
      <c r="Z234" s="588">
        <f t="shared" si="163"/>
        <v>0</v>
      </c>
      <c r="AA234" s="589">
        <f t="shared" si="163"/>
        <v>0</v>
      </c>
      <c r="AB234" s="590">
        <f t="shared" si="163"/>
        <v>0</v>
      </c>
      <c r="AC234" s="516">
        <f t="shared" si="163"/>
        <v>0</v>
      </c>
      <c r="AD234" s="588">
        <f t="shared" si="163"/>
        <v>0</v>
      </c>
      <c r="AE234" s="1058">
        <f t="shared" si="163"/>
        <v>0</v>
      </c>
      <c r="AF234" s="590">
        <f t="shared" si="163"/>
        <v>0</v>
      </c>
      <c r="AG234" s="516">
        <f t="shared" si="163"/>
        <v>0</v>
      </c>
      <c r="AH234" s="588">
        <f t="shared" si="163"/>
        <v>0</v>
      </c>
      <c r="AI234" s="1058">
        <f t="shared" si="163"/>
        <v>0</v>
      </c>
      <c r="AJ234" s="590">
        <f t="shared" si="163"/>
        <v>0</v>
      </c>
      <c r="AK234" s="591">
        <f>Y234+AC234+AG234</f>
        <v>0</v>
      </c>
      <c r="AL234" s="468"/>
      <c r="AM234" s="466">
        <f>Z234+AD234+AH234</f>
        <v>0</v>
      </c>
      <c r="AN234" s="311">
        <f>AA234+AE234+AI234</f>
        <v>0</v>
      </c>
      <c r="AO234" s="470">
        <f>AN234-AK234</f>
        <v>0</v>
      </c>
      <c r="AP234" s="470"/>
      <c r="AQ234" s="435">
        <f>AN234-AM234</f>
        <v>0</v>
      </c>
      <c r="AR234" s="591">
        <f>SUM(R234,AK234)</f>
        <v>0</v>
      </c>
      <c r="AS234" s="468"/>
      <c r="AT234" s="594">
        <f>T234+AM234</f>
        <v>0</v>
      </c>
      <c r="AU234" s="469">
        <f>SUM(U234,AN234)</f>
        <v>0</v>
      </c>
      <c r="AV234" s="308">
        <f>AU234-AR234</f>
        <v>0</v>
      </c>
      <c r="AW234" s="308"/>
      <c r="AX234" s="291">
        <f>AU234-AT234</f>
        <v>0</v>
      </c>
      <c r="AY234" s="471"/>
      <c r="AZ234" s="472"/>
      <c r="BA234" s="1425"/>
      <c r="BB234" s="472"/>
      <c r="BC234" s="472"/>
      <c r="BD234" s="472"/>
      <c r="BE234" s="472"/>
    </row>
    <row r="235" spans="1:57" ht="20.100000000000001" customHeight="1">
      <c r="A235" s="788" t="str">
        <f>A215</f>
        <v>%=粗利率</v>
      </c>
      <c r="B235" s="789"/>
      <c r="C235" s="751"/>
      <c r="D235" s="755"/>
      <c r="E235" s="751"/>
      <c r="F235" s="663">
        <f>F236/F55</f>
        <v>0.15356423050582133</v>
      </c>
      <c r="G235" s="664">
        <f>G236/G55</f>
        <v>0.14727272727272725</v>
      </c>
      <c r="H235" s="665">
        <f>H236/H55</f>
        <v>0.14429364174822051</v>
      </c>
      <c r="I235" s="548">
        <f>H236/G236</f>
        <v>0.98338519155555559</v>
      </c>
      <c r="J235" s="663">
        <f>J236/J55</f>
        <v>0.15356423050582133</v>
      </c>
      <c r="K235" s="664">
        <f>K236/K55</f>
        <v>0.14911764705882352</v>
      </c>
      <c r="L235" s="665">
        <f>L236/L55</f>
        <v>0.13051248916107003</v>
      </c>
      <c r="M235" s="1295">
        <f>L236/K236</f>
        <v>0.79912399230769227</v>
      </c>
      <c r="N235" s="663">
        <f>N236/N55</f>
        <v>0.15356423050582135</v>
      </c>
      <c r="O235" s="664">
        <f>O236/O55</f>
        <v>0.13950978260869562</v>
      </c>
      <c r="P235" s="665">
        <f>P236/P55</f>
        <v>0.152208055860244</v>
      </c>
      <c r="Q235" s="1296">
        <f>P236/O236</f>
        <v>0.93556201580066845</v>
      </c>
      <c r="R235" s="663">
        <f>R236/R55</f>
        <v>0.15356423050582135</v>
      </c>
      <c r="S235" s="978"/>
      <c r="T235" s="668">
        <f>T236/T55</f>
        <v>0.14545472350230412</v>
      </c>
      <c r="U235" s="667">
        <f>U236/U55</f>
        <v>0.14183173557976619</v>
      </c>
      <c r="V235" s="667">
        <f>U236/R236</f>
        <v>0.80635687952700719</v>
      </c>
      <c r="W235" s="668"/>
      <c r="X235" s="486">
        <f>U236/T236</f>
        <v>0.90220599143730884</v>
      </c>
      <c r="Y235" s="663">
        <f>Y236/Y55</f>
        <v>0.14288741721854303</v>
      </c>
      <c r="Z235" s="664">
        <f>Z236/Z55</f>
        <v>0.13366956521739129</v>
      </c>
      <c r="AA235" s="665">
        <f>AA236/AA55</f>
        <v>0.11954197020164907</v>
      </c>
      <c r="AB235" s="1296">
        <f>AA236/Z236</f>
        <v>1.0181564402810306</v>
      </c>
      <c r="AC235" s="663">
        <f>AC236/AC55</f>
        <v>0.14288741721854303</v>
      </c>
      <c r="AD235" s="664">
        <f>AD236/AD55</f>
        <v>0.14256784741144413</v>
      </c>
      <c r="AE235" s="1075">
        <f>AE236/AE55</f>
        <v>0.13129007633587786</v>
      </c>
      <c r="AF235" s="1296">
        <f>AE236/AD236</f>
        <v>0.65742397137745978</v>
      </c>
      <c r="AG235" s="663">
        <f>AG236/AG55</f>
        <v>0.14288741721854303</v>
      </c>
      <c r="AH235" s="664">
        <f>AH236/AH55</f>
        <v>0.13989314079422382</v>
      </c>
      <c r="AI235" s="1075">
        <f>AI236/AI55</f>
        <v>0.13753723404255319</v>
      </c>
      <c r="AJ235" s="1296">
        <f>AI236/AH236</f>
        <v>0.66727053140096615</v>
      </c>
      <c r="AK235" s="663">
        <f>AK236/AK55</f>
        <v>0.14288741721854303</v>
      </c>
      <c r="AL235" s="978"/>
      <c r="AM235" s="668">
        <f>AM236/AM55</f>
        <v>0.13896076352067868</v>
      </c>
      <c r="AN235" s="667">
        <f>AN236/AN55</f>
        <v>0.12771638870482435</v>
      </c>
      <c r="AO235" s="978">
        <f>AN236/AK236</f>
        <v>0.72538150399668877</v>
      </c>
      <c r="AP235" s="978"/>
      <c r="AQ235" s="487">
        <f>AN236/AM236</f>
        <v>0.77035914285714291</v>
      </c>
      <c r="AR235" s="699">
        <f>AR236/AR55</f>
        <v>0.14807343809403117</v>
      </c>
      <c r="AS235" s="978"/>
      <c r="AT235" s="978">
        <f>AT236/AT55</f>
        <v>0.14207327443401435</v>
      </c>
      <c r="AU235" s="667">
        <f>AU236/AU55</f>
        <v>0.13483036499732409</v>
      </c>
      <c r="AV235" s="978">
        <f>AU236/AR236</f>
        <v>0.76617195347929623</v>
      </c>
      <c r="AW235" s="978"/>
      <c r="AX235" s="487">
        <f>AU236/AT236</f>
        <v>0.83505648918193809</v>
      </c>
      <c r="AY235" s="457"/>
      <c r="AZ235" s="700"/>
      <c r="BA235" s="1432"/>
      <c r="BB235" s="302"/>
      <c r="BC235" s="302"/>
      <c r="BD235" s="302"/>
      <c r="BE235" s="302"/>
    </row>
    <row r="236" spans="1:57" ht="20.100000000000001" customHeight="1">
      <c r="A236" s="747" t="s">
        <v>249</v>
      </c>
      <c r="B236" s="748"/>
      <c r="C236" s="759"/>
      <c r="D236" s="753"/>
      <c r="E236" s="759"/>
      <c r="F236" s="559">
        <f>F230+F232+F234</f>
        <v>20122.820512820512</v>
      </c>
      <c r="G236" s="603">
        <f>G230+G232+G234</f>
        <v>18000</v>
      </c>
      <c r="H236" s="561">
        <f>H230+H232+H234</f>
        <v>17700.933448</v>
      </c>
      <c r="I236" s="1081">
        <f>H236-G236</f>
        <v>-299.06655200000023</v>
      </c>
      <c r="J236" s="559">
        <f>J230+J232+J234</f>
        <v>20122.820512820512</v>
      </c>
      <c r="K236" s="603">
        <f>K230+K232+K234</f>
        <v>19500</v>
      </c>
      <c r="L236" s="561">
        <f>L230+L232+L234</f>
        <v>15582.91785</v>
      </c>
      <c r="M236" s="562">
        <f>L236-K236</f>
        <v>-3917.0821500000002</v>
      </c>
      <c r="N236" s="559">
        <f>N230+N232+N234</f>
        <v>20122.820512820512</v>
      </c>
      <c r="O236" s="603">
        <f>O230+O232+O234</f>
        <v>16455</v>
      </c>
      <c r="P236" s="561">
        <f>P230+P232+P234</f>
        <v>15394.67297</v>
      </c>
      <c r="Q236" s="1081">
        <f>P236-O236</f>
        <v>-1060.3270300000004</v>
      </c>
      <c r="R236" s="563">
        <f>R232+R230+R234</f>
        <v>60368.461538461539</v>
      </c>
      <c r="S236" s="463"/>
      <c r="T236" s="460">
        <f>G236+K236+O236</f>
        <v>53955</v>
      </c>
      <c r="U236" s="306">
        <f>H236+L236+P236</f>
        <v>48678.524268000001</v>
      </c>
      <c r="V236" s="461">
        <f>U236-R236</f>
        <v>-11689.937270461538</v>
      </c>
      <c r="W236" s="460"/>
      <c r="X236" s="465">
        <f>U236-T236</f>
        <v>-5276.475731999999</v>
      </c>
      <c r="Y236" s="559">
        <f t="shared" ref="Y236:AG236" si="164">Y230+Y232+Y234</f>
        <v>19824.102564102563</v>
      </c>
      <c r="Z236" s="603">
        <f t="shared" si="164"/>
        <v>17080</v>
      </c>
      <c r="AA236" s="561">
        <f t="shared" si="164"/>
        <v>17390.112000000001</v>
      </c>
      <c r="AB236" s="562">
        <f t="shared" si="164"/>
        <v>310.11199999999917</v>
      </c>
      <c r="AC236" s="559">
        <f t="shared" si="164"/>
        <v>19824.102564102563</v>
      </c>
      <c r="AD236" s="603">
        <f t="shared" si="164"/>
        <v>22360</v>
      </c>
      <c r="AE236" s="1051">
        <f t="shared" si="164"/>
        <v>14700</v>
      </c>
      <c r="AF236" s="562">
        <f t="shared" si="164"/>
        <v>-7660</v>
      </c>
      <c r="AG236" s="559">
        <f t="shared" si="164"/>
        <v>19824.102564102563</v>
      </c>
      <c r="AH236" s="603">
        <f>AH230+AH232+AH234</f>
        <v>16560</v>
      </c>
      <c r="AI236" s="1051">
        <f>AI230+AI232+AI234</f>
        <v>11050</v>
      </c>
      <c r="AJ236" s="562">
        <f>AJ230+AJ232+AJ234</f>
        <v>-5510</v>
      </c>
      <c r="AK236" s="563">
        <f>AK232+AK230+AK234</f>
        <v>59472.307692307695</v>
      </c>
      <c r="AL236" s="463"/>
      <c r="AM236" s="460">
        <f>Z236+AD236+AH236</f>
        <v>56000</v>
      </c>
      <c r="AN236" s="306">
        <f>AA236+AE236+AI236</f>
        <v>43140.112000000001</v>
      </c>
      <c r="AO236" s="489">
        <f>AN236-AK236</f>
        <v>-16332.195692307694</v>
      </c>
      <c r="AP236" s="489"/>
      <c r="AQ236" s="465">
        <f>AN236-AM236</f>
        <v>-12859.887999999999</v>
      </c>
      <c r="AR236" s="462">
        <f>AR232+AR230+AR234</f>
        <v>119840.76923076923</v>
      </c>
      <c r="AS236" s="1030"/>
      <c r="AT236" s="675">
        <f>T236+AM236</f>
        <v>109955</v>
      </c>
      <c r="AU236" s="306">
        <f>AU230+AU232+AU234</f>
        <v>91818.636268000002</v>
      </c>
      <c r="AV236" s="303">
        <f>AU236-AR236</f>
        <v>-28022.132962769232</v>
      </c>
      <c r="AW236" s="303"/>
      <c r="AX236" s="465">
        <f>AU236-AT236</f>
        <v>-18136.363731999998</v>
      </c>
      <c r="AY236" s="457">
        <f t="shared" si="161"/>
        <v>19973.461538461539</v>
      </c>
      <c r="AZ236" s="458">
        <f>AU236/6</f>
        <v>15303.106044666667</v>
      </c>
      <c r="BA236" s="1424">
        <v>15303.106044666667</v>
      </c>
      <c r="BB236" s="302">
        <f>AZ236-AY236</f>
        <v>-4670.355493794872</v>
      </c>
      <c r="BC236" s="302">
        <f>BA236-AY236</f>
        <v>-4670.355493794872</v>
      </c>
      <c r="BD236" s="302">
        <f>BA236-AZ236</f>
        <v>0</v>
      </c>
      <c r="BE236" s="302">
        <f>AX236/6</f>
        <v>-3022.7272886666665</v>
      </c>
    </row>
    <row r="237" spans="1:57" ht="20.100000000000001" customHeight="1">
      <c r="A237" s="788"/>
      <c r="B237" s="751"/>
      <c r="C237" s="801" t="s">
        <v>51</v>
      </c>
      <c r="D237" s="804"/>
      <c r="E237" s="813"/>
      <c r="F237" s="659" t="e">
        <f>F238/F56</f>
        <v>#DIV/0!</v>
      </c>
      <c r="G237" s="676" t="e">
        <f>G238/G56</f>
        <v>#DIV/0!</v>
      </c>
      <c r="H237" s="677" t="e">
        <f>H238/H56</f>
        <v>#DIV/0!</v>
      </c>
      <c r="I237" s="1082"/>
      <c r="J237" s="659" t="e">
        <f>J238/J56</f>
        <v>#DIV/0!</v>
      </c>
      <c r="K237" s="676" t="e">
        <f>K238/K56</f>
        <v>#DIV/0!</v>
      </c>
      <c r="L237" s="677" t="e">
        <f>L238/L56</f>
        <v>#DIV/0!</v>
      </c>
      <c r="M237" s="611"/>
      <c r="N237" s="659" t="e">
        <f>N238/N56</f>
        <v>#DIV/0!</v>
      </c>
      <c r="O237" s="676" t="e">
        <f>O238/O56</f>
        <v>#DIV/0!</v>
      </c>
      <c r="P237" s="677" t="e">
        <f>P238/P56</f>
        <v>#DIV/0!</v>
      </c>
      <c r="Q237" s="1083"/>
      <c r="R237" s="704" t="e">
        <f>R238/R56</f>
        <v>#DIV/0!</v>
      </c>
      <c r="S237" s="703"/>
      <c r="T237" s="703" t="e">
        <f>T238/T56</f>
        <v>#DIV/0!</v>
      </c>
      <c r="U237" s="680" t="e">
        <f>U238/U56</f>
        <v>#DIV/0!</v>
      </c>
      <c r="V237" s="692"/>
      <c r="W237" s="658"/>
      <c r="X237" s="515"/>
      <c r="Y237" s="659" t="e">
        <f>Y238/Y56</f>
        <v>#DIV/0!</v>
      </c>
      <c r="Z237" s="676" t="e">
        <f>Z238/Z56</f>
        <v>#DIV/0!</v>
      </c>
      <c r="AA237" s="677" t="e">
        <f>AA238/AA56</f>
        <v>#DIV/0!</v>
      </c>
      <c r="AB237" s="573" t="e">
        <f>AA238/Z238</f>
        <v>#DIV/0!</v>
      </c>
      <c r="AC237" s="659" t="e">
        <f>AC238/AC56</f>
        <v>#DIV/0!</v>
      </c>
      <c r="AD237" s="676" t="e">
        <f>AD238/AD56</f>
        <v>#DIV/0!</v>
      </c>
      <c r="AE237" s="1076" t="e">
        <f>AE238/AE56</f>
        <v>#DIV/0!</v>
      </c>
      <c r="AF237" s="573" t="e">
        <f>AE238/AD238</f>
        <v>#DIV/0!</v>
      </c>
      <c r="AG237" s="659" t="e">
        <f>AG238/AG56</f>
        <v>#DIV/0!</v>
      </c>
      <c r="AH237" s="676" t="e">
        <f>AH238/AH56</f>
        <v>#DIV/0!</v>
      </c>
      <c r="AI237" s="1076" t="e">
        <f>AI238/AI56</f>
        <v>#DIV/0!</v>
      </c>
      <c r="AJ237" s="573" t="e">
        <f>AI238/AH238</f>
        <v>#DIV/0!</v>
      </c>
      <c r="AK237" s="704" t="e">
        <f>AK238/AK56</f>
        <v>#DIV/0!</v>
      </c>
      <c r="AL237" s="703"/>
      <c r="AM237" s="703" t="e">
        <f>AM238/AM56</f>
        <v>#DIV/0!</v>
      </c>
      <c r="AN237" s="551" t="e">
        <f>AN238/AN56</f>
        <v>#DIV/0!</v>
      </c>
      <c r="AO237" s="690"/>
      <c r="AP237" s="690"/>
      <c r="AQ237" s="515" t="e">
        <f>AN238/AM238</f>
        <v>#DIV/0!</v>
      </c>
      <c r="AR237" s="704" t="e">
        <f>AR238/AR56</f>
        <v>#DIV/0!</v>
      </c>
      <c r="AS237" s="724"/>
      <c r="AT237" s="678" t="e">
        <f>AT238/AT56</f>
        <v>#DIV/0!</v>
      </c>
      <c r="AU237" s="680" t="e">
        <f>AU238/AU56</f>
        <v>#DIV/0!</v>
      </c>
      <c r="AV237" s="658"/>
      <c r="AW237" s="658"/>
      <c r="AX237" s="515" t="e">
        <f>AU238/AT238</f>
        <v>#DIV/0!</v>
      </c>
      <c r="AY237" s="471" t="e">
        <f t="shared" si="161"/>
        <v>#DIV/0!</v>
      </c>
      <c r="AZ237" s="472"/>
      <c r="BA237" s="1425"/>
      <c r="BB237" s="337"/>
      <c r="BC237" s="337"/>
      <c r="BD237" s="337"/>
      <c r="BE237" s="337"/>
    </row>
    <row r="238" spans="1:57" ht="20.100000000000001" customHeight="1">
      <c r="A238" s="788"/>
      <c r="B238" s="751"/>
      <c r="C238" s="803" t="s">
        <v>250</v>
      </c>
      <c r="D238" s="763"/>
      <c r="E238" s="820"/>
      <c r="F238" s="516"/>
      <c r="G238" s="588"/>
      <c r="H238" s="589"/>
      <c r="I238" s="590">
        <f>H238-G238</f>
        <v>0</v>
      </c>
      <c r="J238" s="516"/>
      <c r="K238" s="588"/>
      <c r="L238" s="589"/>
      <c r="M238" s="590">
        <f>L238-K238</f>
        <v>0</v>
      </c>
      <c r="N238" s="516"/>
      <c r="O238" s="588"/>
      <c r="P238" s="589"/>
      <c r="Q238" s="562">
        <f>P238-O238</f>
        <v>0</v>
      </c>
      <c r="R238" s="467">
        <f>F238+J238+N238</f>
        <v>0</v>
      </c>
      <c r="S238" s="647"/>
      <c r="T238" s="446">
        <f>G238+K238+O238</f>
        <v>0</v>
      </c>
      <c r="U238" s="311">
        <f>H238+L238+P238</f>
        <v>0</v>
      </c>
      <c r="V238" s="446">
        <f>U238-R238</f>
        <v>0</v>
      </c>
      <c r="W238" s="466"/>
      <c r="X238" s="435">
        <f>U238-T238</f>
        <v>0</v>
      </c>
      <c r="Y238" s="516"/>
      <c r="Z238" s="588"/>
      <c r="AA238" s="589"/>
      <c r="AB238" s="562">
        <f>AA238-Z238</f>
        <v>0</v>
      </c>
      <c r="AC238" s="516"/>
      <c r="AD238" s="588"/>
      <c r="AE238" s="1058"/>
      <c r="AF238" s="562">
        <f>AE238-AD238</f>
        <v>0</v>
      </c>
      <c r="AG238" s="516"/>
      <c r="AH238" s="588"/>
      <c r="AI238" s="1058"/>
      <c r="AJ238" s="562">
        <f>AI238-AH238</f>
        <v>0</v>
      </c>
      <c r="AK238" s="467">
        <f>Y238+AC238+AG238</f>
        <v>0</v>
      </c>
      <c r="AL238" s="468"/>
      <c r="AM238" s="468">
        <f>Z238+AD238+AH238</f>
        <v>0</v>
      </c>
      <c r="AN238" s="306">
        <f>AA238+AE238+AI238</f>
        <v>0</v>
      </c>
      <c r="AO238" s="470">
        <f>AN238-AK238</f>
        <v>0</v>
      </c>
      <c r="AP238" s="470"/>
      <c r="AQ238" s="435">
        <f>AN238-AM238</f>
        <v>0</v>
      </c>
      <c r="AR238" s="467">
        <f>SUM(R238,AK238)</f>
        <v>0</v>
      </c>
      <c r="AS238" s="647"/>
      <c r="AT238" s="624">
        <f>T238+AM238</f>
        <v>0</v>
      </c>
      <c r="AU238" s="469">
        <f>SUM(U238,AN238)</f>
        <v>0</v>
      </c>
      <c r="AV238" s="466">
        <f>AU238-AR238</f>
        <v>0</v>
      </c>
      <c r="AW238" s="466"/>
      <c r="AX238" s="435">
        <f>AU238-AT238</f>
        <v>0</v>
      </c>
      <c r="AY238" s="471">
        <f t="shared" si="161"/>
        <v>0</v>
      </c>
      <c r="AZ238" s="472"/>
      <c r="BA238" s="1425"/>
      <c r="BB238" s="337"/>
      <c r="BC238" s="337"/>
      <c r="BD238" s="337"/>
      <c r="BE238" s="337"/>
    </row>
    <row r="239" spans="1:57" ht="20.100000000000001" customHeight="1">
      <c r="A239" s="788"/>
      <c r="B239" s="751"/>
      <c r="C239" s="760" t="s">
        <v>51</v>
      </c>
      <c r="D239" s="804"/>
      <c r="E239" s="813"/>
      <c r="F239" s="659" t="e">
        <f>F240/F57</f>
        <v>#DIV/0!</v>
      </c>
      <c r="G239" s="676" t="e">
        <f>G240/G57</f>
        <v>#DIV/0!</v>
      </c>
      <c r="H239" s="677" t="e">
        <f>H240/H57</f>
        <v>#DIV/0!</v>
      </c>
      <c r="I239" s="1082"/>
      <c r="J239" s="659" t="e">
        <f>J240/J57</f>
        <v>#DIV/0!</v>
      </c>
      <c r="K239" s="676" t="e">
        <f>K240/K57</f>
        <v>#DIV/0!</v>
      </c>
      <c r="L239" s="677" t="e">
        <f>L240/L57</f>
        <v>#DIV/0!</v>
      </c>
      <c r="M239" s="611"/>
      <c r="N239" s="659" t="e">
        <f>N240/N57</f>
        <v>#DIV/0!</v>
      </c>
      <c r="O239" s="676" t="e">
        <f>O240/O57</f>
        <v>#DIV/0!</v>
      </c>
      <c r="P239" s="677" t="e">
        <f>P240/P57</f>
        <v>#DIV/0!</v>
      </c>
      <c r="Q239" s="1083"/>
      <c r="R239" s="704" t="e">
        <f>R240/R57</f>
        <v>#DIV/0!</v>
      </c>
      <c r="S239" s="703"/>
      <c r="T239" s="703" t="e">
        <f>T240/T57</f>
        <v>#DIV/0!</v>
      </c>
      <c r="U239" s="680" t="e">
        <f>U240/U57</f>
        <v>#DIV/0!</v>
      </c>
      <c r="V239" s="692"/>
      <c r="W239" s="658"/>
      <c r="X239" s="515"/>
      <c r="Y239" s="659" t="e">
        <f>Y240/Y57</f>
        <v>#DIV/0!</v>
      </c>
      <c r="Z239" s="676" t="e">
        <f>Z240/Z57</f>
        <v>#DIV/0!</v>
      </c>
      <c r="AA239" s="677" t="e">
        <f>AA240/AA57</f>
        <v>#DIV/0!</v>
      </c>
      <c r="AB239" s="573" t="e">
        <f>AA240/Z240</f>
        <v>#DIV/0!</v>
      </c>
      <c r="AC239" s="659" t="e">
        <f>AC240/AC57</f>
        <v>#DIV/0!</v>
      </c>
      <c r="AD239" s="676" t="e">
        <f>AD240/AD57</f>
        <v>#DIV/0!</v>
      </c>
      <c r="AE239" s="1076" t="e">
        <f>AE240/AE57</f>
        <v>#DIV/0!</v>
      </c>
      <c r="AF239" s="573" t="e">
        <f>AE240/AD240</f>
        <v>#DIV/0!</v>
      </c>
      <c r="AG239" s="659" t="e">
        <f>AG240/AG57</f>
        <v>#DIV/0!</v>
      </c>
      <c r="AH239" s="676" t="e">
        <f>AH240/AH57</f>
        <v>#DIV/0!</v>
      </c>
      <c r="AI239" s="1076" t="e">
        <f>AI240/AI57</f>
        <v>#DIV/0!</v>
      </c>
      <c r="AJ239" s="573" t="e">
        <f>AI240/AH240</f>
        <v>#DIV/0!</v>
      </c>
      <c r="AK239" s="704" t="e">
        <f>AK240/AK57</f>
        <v>#DIV/0!</v>
      </c>
      <c r="AL239" s="703"/>
      <c r="AM239" s="703" t="e">
        <f>AM240/AM57</f>
        <v>#DIV/0!</v>
      </c>
      <c r="AN239" s="551" t="e">
        <f>AN240/AN57</f>
        <v>#DIV/0!</v>
      </c>
      <c r="AO239" s="690"/>
      <c r="AP239" s="690"/>
      <c r="AQ239" s="515" t="e">
        <f>AN240/AM240</f>
        <v>#DIV/0!</v>
      </c>
      <c r="AR239" s="704" t="e">
        <f>AR240/AR57</f>
        <v>#DIV/0!</v>
      </c>
      <c r="AS239" s="724"/>
      <c r="AT239" s="678" t="e">
        <f>AT240/AT57</f>
        <v>#DIV/0!</v>
      </c>
      <c r="AU239" s="680" t="e">
        <f>AU240/AU57</f>
        <v>#DIV/0!</v>
      </c>
      <c r="AV239" s="658"/>
      <c r="AW239" s="658"/>
      <c r="AX239" s="515" t="e">
        <f>AU240/AT240</f>
        <v>#DIV/0!</v>
      </c>
      <c r="AY239" s="471" t="e">
        <f t="shared" si="161"/>
        <v>#DIV/0!</v>
      </c>
      <c r="AZ239" s="472"/>
      <c r="BA239" s="1425"/>
      <c r="BB239" s="337"/>
      <c r="BC239" s="337"/>
      <c r="BD239" s="337"/>
      <c r="BE239" s="337"/>
    </row>
    <row r="240" spans="1:57" ht="20.100000000000001" customHeight="1">
      <c r="A240" s="788"/>
      <c r="B240" s="751"/>
      <c r="C240" s="803" t="s">
        <v>251</v>
      </c>
      <c r="D240" s="804"/>
      <c r="E240" s="813"/>
      <c r="F240" s="444"/>
      <c r="G240" s="539"/>
      <c r="H240" s="540"/>
      <c r="I240" s="607">
        <f>H240-G240</f>
        <v>0</v>
      </c>
      <c r="J240" s="444"/>
      <c r="K240" s="539"/>
      <c r="L240" s="540"/>
      <c r="M240" s="607">
        <f>L240-K240</f>
        <v>0</v>
      </c>
      <c r="N240" s="444"/>
      <c r="O240" s="539"/>
      <c r="P240" s="540"/>
      <c r="Q240" s="706">
        <f>P240-O240</f>
        <v>0</v>
      </c>
      <c r="R240" s="521">
        <f>F240+J240+N240</f>
        <v>0</v>
      </c>
      <c r="S240" s="648"/>
      <c r="T240" s="446">
        <f>G240+K240+O240</f>
        <v>0</v>
      </c>
      <c r="U240" s="355">
        <f>H240+L240+P240</f>
        <v>0</v>
      </c>
      <c r="V240" s="507">
        <f>U240-R240</f>
        <v>0</v>
      </c>
      <c r="W240" s="508"/>
      <c r="X240" s="509">
        <f>U240-T240</f>
        <v>0</v>
      </c>
      <c r="Y240" s="444"/>
      <c r="Z240" s="539"/>
      <c r="AA240" s="540"/>
      <c r="AB240" s="706">
        <f>AA240-Z240</f>
        <v>0</v>
      </c>
      <c r="AC240" s="444"/>
      <c r="AD240" s="539"/>
      <c r="AE240" s="1064"/>
      <c r="AF240" s="706">
        <f>AE240-AD240</f>
        <v>0</v>
      </c>
      <c r="AG240" s="444"/>
      <c r="AH240" s="539"/>
      <c r="AI240" s="1064"/>
      <c r="AJ240" s="706">
        <f>AI240-AH240</f>
        <v>0</v>
      </c>
      <c r="AK240" s="521">
        <f>Y240+AC240+AG240</f>
        <v>0</v>
      </c>
      <c r="AL240" s="572"/>
      <c r="AM240" s="572">
        <f>Z240+AD240+AH240</f>
        <v>0</v>
      </c>
      <c r="AN240" s="316">
        <f>AA240+AE240+AI240</f>
        <v>0</v>
      </c>
      <c r="AO240" s="445">
        <f>AN240-AK240</f>
        <v>0</v>
      </c>
      <c r="AP240" s="445"/>
      <c r="AQ240" s="509">
        <f>AN240-AM240</f>
        <v>0</v>
      </c>
      <c r="AR240" s="521">
        <f>SUM(R240,AK240)</f>
        <v>0</v>
      </c>
      <c r="AS240" s="648"/>
      <c r="AT240" s="634">
        <f>T240+AM240</f>
        <v>0</v>
      </c>
      <c r="AU240" s="522">
        <f>SUM(U240,AN240)</f>
        <v>0</v>
      </c>
      <c r="AV240" s="508">
        <f>AU240-AR240</f>
        <v>0</v>
      </c>
      <c r="AW240" s="508"/>
      <c r="AX240" s="509">
        <f>AU240-AT240</f>
        <v>0</v>
      </c>
      <c r="AY240" s="471">
        <f t="shared" si="161"/>
        <v>0</v>
      </c>
      <c r="AZ240" s="472"/>
      <c r="BA240" s="1425"/>
      <c r="BB240" s="337"/>
      <c r="BC240" s="337"/>
      <c r="BD240" s="337"/>
      <c r="BE240" s="337"/>
    </row>
    <row r="241" spans="1:57" ht="20.100000000000001" customHeight="1">
      <c r="A241" s="788" t="str">
        <f>A215</f>
        <v>%=粗利率</v>
      </c>
      <c r="B241" s="751"/>
      <c r="C241" s="751"/>
      <c r="D241" s="831"/>
      <c r="E241" s="1507"/>
      <c r="F241" s="663" t="e">
        <f>F242/F59</f>
        <v>#DIV/0!</v>
      </c>
      <c r="G241" s="664">
        <f>G242/G59</f>
        <v>2.9647335423197488E-2</v>
      </c>
      <c r="H241" s="665" t="e">
        <f>H242/H59</f>
        <v>#DIV/0!</v>
      </c>
      <c r="I241" s="548">
        <f>H242/G242</f>
        <v>0</v>
      </c>
      <c r="J241" s="663" t="e">
        <f>J242/J59</f>
        <v>#DIV/0!</v>
      </c>
      <c r="K241" s="664">
        <f>K242/K59</f>
        <v>9.9993636363636354E-2</v>
      </c>
      <c r="L241" s="665">
        <f>L242/L59</f>
        <v>0.51163243902439015</v>
      </c>
      <c r="M241" s="1295">
        <f>L242/K242</f>
        <v>12.714099988181065</v>
      </c>
      <c r="N241" s="663">
        <f>N242/N59</f>
        <v>-1.8280288284496814E-2</v>
      </c>
      <c r="O241" s="664" t="e">
        <f>O242/O59</f>
        <v>#DIV/0!</v>
      </c>
      <c r="P241" s="665" t="e">
        <f>P242/P59</f>
        <v>#DIV/0!</v>
      </c>
      <c r="Q241" s="1312" t="e">
        <f>P242/O242</f>
        <v>#DIV/0!</v>
      </c>
      <c r="R241" s="663">
        <f>R242/R59</f>
        <v>-1.8280288284496814E-2</v>
      </c>
      <c r="S241" s="978"/>
      <c r="T241" s="668">
        <f>T242/T59</f>
        <v>3.0969634313055362E-2</v>
      </c>
      <c r="U241" s="667">
        <f>U242/U59</f>
        <v>0.20065499999999994</v>
      </c>
      <c r="V241" s="667">
        <f>U242/R242</f>
        <v>-0.14205050505050504</v>
      </c>
      <c r="W241" s="668"/>
      <c r="X241" s="486">
        <f>U242/T242</f>
        <v>0.30262317894570723</v>
      </c>
      <c r="Y241" s="663" t="e">
        <f>Y242/Y59</f>
        <v>#DIV/0!</v>
      </c>
      <c r="Z241" s="664">
        <f>Z242/Z59</f>
        <v>-0.23799982146900528</v>
      </c>
      <c r="AA241" s="665">
        <f>AA242/AA59</f>
        <v>-1.0536174960044258</v>
      </c>
      <c r="AB241" s="1296">
        <f>AA242/Z242</f>
        <v>1.8815749590606972</v>
      </c>
      <c r="AC241" s="663">
        <f>AC242/AC59</f>
        <v>0.1171034025629695</v>
      </c>
      <c r="AD241" s="664" t="e">
        <f>AD242/AD59</f>
        <v>#DIV/0!</v>
      </c>
      <c r="AE241" s="1075">
        <f>AE242/AE59</f>
        <v>0.11403216477696411</v>
      </c>
      <c r="AF241" s="1296" t="e">
        <f>AE242/AD242</f>
        <v>#DIV/0!</v>
      </c>
      <c r="AG241" s="663" t="e">
        <f>AG242/AG59</f>
        <v>#DIV/0!</v>
      </c>
      <c r="AH241" s="664">
        <f>AH242/AH59</f>
        <v>9.9815218427323257E-2</v>
      </c>
      <c r="AI241" s="1075">
        <f>AI242/AI59</f>
        <v>7.6888222055513885E-4</v>
      </c>
      <c r="AJ241" s="1296">
        <f>AI242/AH242</f>
        <v>8.1558170713540903E-3</v>
      </c>
      <c r="AK241" s="663">
        <f>AK242/AK59</f>
        <v>0.1171034025629695</v>
      </c>
      <c r="AL241" s="978"/>
      <c r="AM241" s="668">
        <f>AM242/AM59</f>
        <v>8.4145366844263922E-2</v>
      </c>
      <c r="AN241" s="667">
        <f>AN242/AN59</f>
        <v>2.701247291776751E-2</v>
      </c>
      <c r="AO241" s="978">
        <f>AN242/AK242</f>
        <v>0.79670103752759402</v>
      </c>
      <c r="AP241" s="978"/>
      <c r="AQ241" s="487">
        <f>AN242/AM242</f>
        <v>0.50679802395352547</v>
      </c>
      <c r="AR241" s="699">
        <f>AR242/AR59</f>
        <v>7.7552581261950276E-3</v>
      </c>
      <c r="AS241" s="978"/>
      <c r="AT241" s="978">
        <f>AT242/AT59</f>
        <v>6.5681838618768071E-2</v>
      </c>
      <c r="AU241" s="667">
        <f>AU242/AU59</f>
        <v>2.9702736669937439E-2</v>
      </c>
      <c r="AV241" s="978">
        <f>AU242/AR242</f>
        <v>2.583939551282052</v>
      </c>
      <c r="AW241" s="978"/>
      <c r="AX241" s="487">
        <f>AU242/AT242</f>
        <v>0.47337126852526024</v>
      </c>
      <c r="AY241" s="457"/>
      <c r="AZ241" s="700"/>
      <c r="BA241" s="1432"/>
      <c r="BB241" s="302"/>
      <c r="BC241" s="302"/>
      <c r="BD241" s="302"/>
      <c r="BE241" s="302"/>
    </row>
    <row r="242" spans="1:57" ht="20.100000000000001" customHeight="1">
      <c r="A242" s="787" t="s">
        <v>252</v>
      </c>
      <c r="B242" s="759"/>
      <c r="C242" s="759"/>
      <c r="D242" s="753"/>
      <c r="E242" s="759"/>
      <c r="F242" s="559">
        <f>F238+F240</f>
        <v>0</v>
      </c>
      <c r="G242" s="603">
        <v>130.94999999999999</v>
      </c>
      <c r="H242" s="561">
        <v>0</v>
      </c>
      <c r="I242" s="562">
        <f>H242-G242</f>
        <v>-130.94999999999999</v>
      </c>
      <c r="J242" s="559">
        <f>J238+J240</f>
        <v>0</v>
      </c>
      <c r="K242" s="603">
        <v>8.4610000000000003</v>
      </c>
      <c r="L242" s="561">
        <v>107.574</v>
      </c>
      <c r="M242" s="562">
        <f>L242-K242</f>
        <v>99.113</v>
      </c>
      <c r="N242" s="559">
        <v>-297</v>
      </c>
      <c r="O242" s="603">
        <v>0</v>
      </c>
      <c r="P242" s="561">
        <v>-65.385000000000005</v>
      </c>
      <c r="Q242" s="562">
        <f>P242-O242</f>
        <v>-65.385000000000005</v>
      </c>
      <c r="R242" s="563">
        <f>F242+J242+N242</f>
        <v>-297</v>
      </c>
      <c r="S242" s="463"/>
      <c r="T242" s="460">
        <f>G242+K242+O242</f>
        <v>139.411</v>
      </c>
      <c r="U242" s="306">
        <f>H242+L242+P242</f>
        <v>42.188999999999993</v>
      </c>
      <c r="V242" s="461">
        <f>U242-R242</f>
        <v>339.18899999999996</v>
      </c>
      <c r="W242" s="460"/>
      <c r="X242" s="465">
        <f>U242-T242</f>
        <v>-97.222000000000008</v>
      </c>
      <c r="Y242" s="559">
        <f>Y238+Y240</f>
        <v>0</v>
      </c>
      <c r="Z242" s="603">
        <v>-93.430999999999997</v>
      </c>
      <c r="AA242" s="561">
        <v>-175.79742999999999</v>
      </c>
      <c r="AB242" s="562">
        <f>AA242-Z242</f>
        <v>-82.366429999999994</v>
      </c>
      <c r="AC242" s="559">
        <v>453</v>
      </c>
      <c r="AD242" s="603">
        <v>0</v>
      </c>
      <c r="AE242" s="1051">
        <v>530.13300000000004</v>
      </c>
      <c r="AF242" s="562">
        <f>AE242-AD242</f>
        <v>530.13300000000004</v>
      </c>
      <c r="AG242" s="559">
        <f>AG238+AG240</f>
        <v>0</v>
      </c>
      <c r="AH242" s="603">
        <v>805.56</v>
      </c>
      <c r="AI242" s="1051">
        <v>6.57</v>
      </c>
      <c r="AJ242" s="562">
        <f>AI242-AH242</f>
        <v>-798.9899999999999</v>
      </c>
      <c r="AK242" s="563">
        <f>Y242+AC242+AG242</f>
        <v>453</v>
      </c>
      <c r="AL242" s="463"/>
      <c r="AM242" s="460">
        <f>Z242+AD242+AH242</f>
        <v>712.12899999999991</v>
      </c>
      <c r="AN242" s="306">
        <f>AA242+AE242+AI242</f>
        <v>360.90557000000007</v>
      </c>
      <c r="AO242" s="489">
        <f>AN242-AK242</f>
        <v>-92.094429999999932</v>
      </c>
      <c r="AP242" s="489"/>
      <c r="AQ242" s="465">
        <f>AN242-AM242</f>
        <v>-351.22342999999984</v>
      </c>
      <c r="AR242" s="462">
        <f>SUM(R242,AK242)</f>
        <v>156</v>
      </c>
      <c r="AS242" s="1030"/>
      <c r="AT242" s="675">
        <f>T242+AM242</f>
        <v>851.54</v>
      </c>
      <c r="AU242" s="464">
        <f>SUM(U242,AN242)</f>
        <v>403.09457000000009</v>
      </c>
      <c r="AV242" s="460">
        <f>AU242-AR242</f>
        <v>247.09457000000009</v>
      </c>
      <c r="AW242" s="460"/>
      <c r="AX242" s="465">
        <f>AU242-AT242</f>
        <v>-448.44542999999987</v>
      </c>
      <c r="AY242" s="457">
        <f t="shared" si="161"/>
        <v>26</v>
      </c>
      <c r="AZ242" s="458">
        <f>AU242/6</f>
        <v>67.182428333333348</v>
      </c>
      <c r="BA242" s="1424">
        <v>67.182428333333348</v>
      </c>
      <c r="BB242" s="302">
        <f>AZ242-AY242</f>
        <v>41.182428333333348</v>
      </c>
      <c r="BC242" s="302">
        <f>BA242-AY242</f>
        <v>41.182428333333348</v>
      </c>
      <c r="BD242" s="302">
        <f>BA242-AZ242</f>
        <v>0</v>
      </c>
      <c r="BE242" s="302">
        <f>AX242/6</f>
        <v>-74.740904999999984</v>
      </c>
    </row>
    <row r="243" spans="1:57" ht="20.100000000000001" customHeight="1">
      <c r="A243" s="799" t="str">
        <f>A215</f>
        <v>%=粗利率</v>
      </c>
      <c r="B243" s="751"/>
      <c r="C243" s="751"/>
      <c r="D243" s="755"/>
      <c r="E243" s="751"/>
      <c r="F243" s="663">
        <f>F244/F61</f>
        <v>0.58316805845511477</v>
      </c>
      <c r="G243" s="664">
        <f>G244/G61</f>
        <v>0.57986605080831399</v>
      </c>
      <c r="H243" s="665">
        <f>H244/H61</f>
        <v>0.67781653352193272</v>
      </c>
      <c r="I243" s="548">
        <f>H244/G244</f>
        <v>1.5327036346691518</v>
      </c>
      <c r="J243" s="663">
        <f>J244/J61</f>
        <v>0.6007737397420867</v>
      </c>
      <c r="K243" s="664">
        <f>K244/K61</f>
        <v>0.6007737397420867</v>
      </c>
      <c r="L243" s="665">
        <f>L244/L61</f>
        <v>0.476969040247678</v>
      </c>
      <c r="M243" s="1295">
        <f>L244/K244</f>
        <v>1.0552123287671233</v>
      </c>
      <c r="N243" s="663">
        <f>N244/N61</f>
        <v>0.58848025959978367</v>
      </c>
      <c r="O243" s="664">
        <f>O244/O61</f>
        <v>0.58008403361344529</v>
      </c>
      <c r="P243" s="665">
        <f>P244/P61</f>
        <v>0.59100473606987447</v>
      </c>
      <c r="Q243" s="1296">
        <f>P244/O244</f>
        <v>1.0725423728813559</v>
      </c>
      <c r="R243" s="663">
        <f>R244/R61</f>
        <v>0.59045329921403755</v>
      </c>
      <c r="S243" s="978"/>
      <c r="T243" s="668">
        <f>T244/T61</f>
        <v>0.58565509518477044</v>
      </c>
      <c r="U243" s="667">
        <f>U244/U61</f>
        <v>0.58941089759896825</v>
      </c>
      <c r="V243" s="667">
        <f>U244/R244</f>
        <v>1.3888290474465772</v>
      </c>
      <c r="W243" s="668"/>
      <c r="X243" s="486">
        <f>U244/T244</f>
        <v>1.2254896132949824</v>
      </c>
      <c r="Y243" s="663">
        <f>Y244/Y61</f>
        <v>0.57956656346749225</v>
      </c>
      <c r="Z243" s="664">
        <f>Z244/Z61</f>
        <v>0.54557142857142849</v>
      </c>
      <c r="AA243" s="665">
        <f>AA244/AA61</f>
        <v>0.571947392669376</v>
      </c>
      <c r="AB243" s="1296">
        <f>AA244/Z244</f>
        <v>1.1565836606441475</v>
      </c>
      <c r="AC243" s="663">
        <f>AC244/AC61</f>
        <v>0.56732294617563739</v>
      </c>
      <c r="AD243" s="664">
        <f>AD244/AD61</f>
        <v>0.56732294617563739</v>
      </c>
      <c r="AE243" s="1075">
        <f>AE244/AE61</f>
        <v>0.5667625899280575</v>
      </c>
      <c r="AF243" s="1296">
        <f>AE244/AD244</f>
        <v>1.1801363193768257</v>
      </c>
      <c r="AG243" s="663">
        <f>AG244/AG61</f>
        <v>0.59808306709265169</v>
      </c>
      <c r="AH243" s="664">
        <f>AH244/AH61</f>
        <v>0.57968181818181819</v>
      </c>
      <c r="AI243" s="1075">
        <f>AI244/AI61</f>
        <v>0.57968181818181819</v>
      </c>
      <c r="AJ243" s="1296">
        <f>AI244/AH244</f>
        <v>1</v>
      </c>
      <c r="AK243" s="663">
        <f>AK244/AK61</f>
        <v>0.58010852161537085</v>
      </c>
      <c r="AL243" s="978"/>
      <c r="AM243" s="668">
        <f>AM244/AM61</f>
        <v>0.5596250840618695</v>
      </c>
      <c r="AN243" s="667">
        <f>AN244/AN61</f>
        <v>0.57127236987247354</v>
      </c>
      <c r="AO243" s="978">
        <f>AN244/AK244</f>
        <v>1.1587122353785433</v>
      </c>
      <c r="AP243" s="978"/>
      <c r="AQ243" s="487">
        <f>AN244/AM244</f>
        <v>1.1350899824253076</v>
      </c>
      <c r="AR243" s="699">
        <f>AR244/AR61</f>
        <v>0.5852109628561124</v>
      </c>
      <c r="AS243" s="978"/>
      <c r="AT243" s="978">
        <f>AT244/AT61</f>
        <v>0.57296335765226658</v>
      </c>
      <c r="AU243" s="667">
        <f>AU244/AU61</f>
        <v>0.58097780035094071</v>
      </c>
      <c r="AV243" s="978">
        <f>AU244/AR244</f>
        <v>1.2732314347512617</v>
      </c>
      <c r="AW243" s="978"/>
      <c r="AX243" s="487">
        <f>AU244/AT244</f>
        <v>1.1824385671242048</v>
      </c>
      <c r="AY243" s="457"/>
      <c r="AZ243" s="458"/>
      <c r="BA243" s="1424"/>
      <c r="BB243" s="336"/>
      <c r="BC243" s="336"/>
      <c r="BD243" s="336"/>
      <c r="BE243" s="336"/>
    </row>
    <row r="244" spans="1:57" ht="20.100000000000001" customHeight="1">
      <c r="A244" s="747" t="s">
        <v>253</v>
      </c>
      <c r="B244" s="748"/>
      <c r="C244" s="759"/>
      <c r="D244" s="753"/>
      <c r="E244" s="759"/>
      <c r="F244" s="559">
        <v>955</v>
      </c>
      <c r="G244" s="603">
        <v>1073</v>
      </c>
      <c r="H244" s="561">
        <v>1644.5909999999999</v>
      </c>
      <c r="I244" s="562">
        <f>H244-G244</f>
        <v>571.59099999999989</v>
      </c>
      <c r="J244" s="559">
        <v>876</v>
      </c>
      <c r="K244" s="603">
        <v>876</v>
      </c>
      <c r="L244" s="561">
        <v>924.36599999999999</v>
      </c>
      <c r="M244" s="562">
        <f>L244-K244</f>
        <v>48.365999999999985</v>
      </c>
      <c r="N244" s="559">
        <v>930</v>
      </c>
      <c r="O244" s="603">
        <v>1180</v>
      </c>
      <c r="P244" s="561">
        <v>1265.5999999999999</v>
      </c>
      <c r="Q244" s="562">
        <f>P244-O244</f>
        <v>85.599999999999909</v>
      </c>
      <c r="R244" s="563">
        <f>F244+J244+N244</f>
        <v>2761</v>
      </c>
      <c r="S244" s="463"/>
      <c r="T244" s="460">
        <f>G244+K244+O244</f>
        <v>3129</v>
      </c>
      <c r="U244" s="306">
        <f>H244+L244+P244</f>
        <v>3834.5569999999998</v>
      </c>
      <c r="V244" s="461">
        <f>U244-R244</f>
        <v>1073.5569999999998</v>
      </c>
      <c r="W244" s="460"/>
      <c r="X244" s="465">
        <f>U244-T244</f>
        <v>705.55699999999979</v>
      </c>
      <c r="Y244" s="559">
        <v>960</v>
      </c>
      <c r="Z244" s="603">
        <v>1273</v>
      </c>
      <c r="AA244" s="561">
        <v>1472.3309999999999</v>
      </c>
      <c r="AB244" s="562">
        <f>AA244-Z244</f>
        <v>199.3309999999999</v>
      </c>
      <c r="AC244" s="559">
        <v>1027</v>
      </c>
      <c r="AD244" s="603">
        <v>1027</v>
      </c>
      <c r="AE244" s="1051">
        <v>1212</v>
      </c>
      <c r="AF244" s="562">
        <f>AE244-AD244</f>
        <v>185</v>
      </c>
      <c r="AG244" s="559">
        <v>800</v>
      </c>
      <c r="AH244" s="603">
        <v>545</v>
      </c>
      <c r="AI244" s="1051">
        <v>545</v>
      </c>
      <c r="AJ244" s="562">
        <f>AI244-AH244</f>
        <v>0</v>
      </c>
      <c r="AK244" s="563">
        <f>Y244+AC244+AG244</f>
        <v>2787</v>
      </c>
      <c r="AL244" s="463"/>
      <c r="AM244" s="460">
        <f>Z244+AD244+AH244</f>
        <v>2845</v>
      </c>
      <c r="AN244" s="306">
        <f>AA244+AE244+AI244</f>
        <v>3229.3310000000001</v>
      </c>
      <c r="AO244" s="489">
        <f>AN244-AK244</f>
        <v>442.33100000000013</v>
      </c>
      <c r="AP244" s="489"/>
      <c r="AQ244" s="465">
        <f>AN244-AM244</f>
        <v>384.33100000000013</v>
      </c>
      <c r="AR244" s="462">
        <f>SUM(R244,AK244)</f>
        <v>5548</v>
      </c>
      <c r="AS244" s="1030"/>
      <c r="AT244" s="675">
        <f>T244+AM244</f>
        <v>5974</v>
      </c>
      <c r="AU244" s="306">
        <f>SUM(U244,AN244)</f>
        <v>7063.8879999999999</v>
      </c>
      <c r="AV244" s="303">
        <f>AU244-AR244</f>
        <v>1515.8879999999999</v>
      </c>
      <c r="AW244" s="303"/>
      <c r="AX244" s="465">
        <f>AU244-AT244</f>
        <v>1089.8879999999999</v>
      </c>
      <c r="AY244" s="457">
        <f t="shared" si="161"/>
        <v>924.66666666666663</v>
      </c>
      <c r="AZ244" s="458">
        <f>AU244/6</f>
        <v>1177.3146666666667</v>
      </c>
      <c r="BA244" s="1424">
        <v>1177.3146666666667</v>
      </c>
      <c r="BB244" s="302">
        <f>AZ244-AY244</f>
        <v>252.64800000000002</v>
      </c>
      <c r="BC244" s="302">
        <f>BA244-AY244</f>
        <v>252.64800000000002</v>
      </c>
      <c r="BD244" s="302">
        <f>BA244-AZ244</f>
        <v>0</v>
      </c>
      <c r="BE244" s="302">
        <f>AX244/6</f>
        <v>181.648</v>
      </c>
    </row>
    <row r="245" spans="1:57" ht="20.100000000000001" customHeight="1">
      <c r="A245" s="799" t="str">
        <f>A243</f>
        <v>%=粗利率</v>
      </c>
      <c r="B245" s="751"/>
      <c r="C245" s="751"/>
      <c r="D245" s="755"/>
      <c r="E245" s="751"/>
      <c r="F245" s="663" t="e">
        <f>F246/F63</f>
        <v>#DIV/0!</v>
      </c>
      <c r="G245" s="664" t="e">
        <f>G246/G63</f>
        <v>#DIV/0!</v>
      </c>
      <c r="H245" s="665">
        <f>H246/H63</f>
        <v>0.19747271268057784</v>
      </c>
      <c r="I245" s="548" t="e">
        <f>H246/G246</f>
        <v>#DIV/0!</v>
      </c>
      <c r="J245" s="663" t="e">
        <f>J246/J63</f>
        <v>#DIV/0!</v>
      </c>
      <c r="K245" s="664">
        <f>K246/K63</f>
        <v>-5.9647058823529407E-2</v>
      </c>
      <c r="L245" s="665">
        <f>L246/L63</f>
        <v>-0.88346699999999989</v>
      </c>
      <c r="M245" s="1295">
        <f>L246/K246</f>
        <v>5.227615384615385</v>
      </c>
      <c r="N245" s="663" t="e">
        <f>N246/N63</f>
        <v>#DIV/0!</v>
      </c>
      <c r="O245" s="664" t="e">
        <f>O246/O63</f>
        <v>#DIV/0!</v>
      </c>
      <c r="P245" s="665" t="e">
        <f>P246/P63</f>
        <v>#DIV/0!</v>
      </c>
      <c r="Q245" s="1296" t="e">
        <f>P246/O246</f>
        <v>#DIV/0!</v>
      </c>
      <c r="R245" s="663" t="e">
        <f>R246/R63</f>
        <v>#DIV/0!</v>
      </c>
      <c r="S245" s="978"/>
      <c r="T245" s="668">
        <f>T246/T63</f>
        <v>-5.9647058823529407E-2</v>
      </c>
      <c r="U245" s="667">
        <f>U246/U63</f>
        <v>-0.56626236457842671</v>
      </c>
      <c r="V245" s="667" t="e">
        <f>U246/R246</f>
        <v>#DIV/0!</v>
      </c>
      <c r="W245" s="668"/>
      <c r="X245" s="486">
        <f>U246/T246</f>
        <v>4.7423076923076923</v>
      </c>
      <c r="Y245" s="663" t="e">
        <f>Y246/Y63</f>
        <v>#DIV/0!</v>
      </c>
      <c r="Z245" s="664" t="e">
        <f>Z246/Z63</f>
        <v>#DIV/0!</v>
      </c>
      <c r="AA245" s="665">
        <f>AA246/AA63</f>
        <v>-0.82728209394179542</v>
      </c>
      <c r="AB245" s="1296" t="e">
        <f>AA246/Z246</f>
        <v>#DIV/0!</v>
      </c>
      <c r="AC245" s="663" t="e">
        <f>AC246/AC63</f>
        <v>#DIV/0!</v>
      </c>
      <c r="AD245" s="664" t="e">
        <f>AD246/AD63</f>
        <v>#DIV/0!</v>
      </c>
      <c r="AE245" s="1075">
        <f>AE246/AE63</f>
        <v>9.3599999999999989E-2</v>
      </c>
      <c r="AF245" s="1296" t="e">
        <f>AE246/AD246</f>
        <v>#DIV/0!</v>
      </c>
      <c r="AG245" s="663" t="e">
        <f>AG246/AG63</f>
        <v>#DIV/0!</v>
      </c>
      <c r="AH245" s="664" t="e">
        <f>AH246/AH63</f>
        <v>#DIV/0!</v>
      </c>
      <c r="AI245" s="1075" t="e">
        <f>AI246/AI63</f>
        <v>#DIV/0!</v>
      </c>
      <c r="AJ245" s="1296" t="e">
        <f>AI246/AH246</f>
        <v>#DIV/0!</v>
      </c>
      <c r="AK245" s="663" t="e">
        <f>AK246/AK63</f>
        <v>#DIV/0!</v>
      </c>
      <c r="AL245" s="978"/>
      <c r="AM245" s="668" t="e">
        <f>AM246/AM63</f>
        <v>#DIV/0!</v>
      </c>
      <c r="AN245" s="667">
        <f>AN246/AN63</f>
        <v>-0.46282025100032048</v>
      </c>
      <c r="AO245" s="978" t="e">
        <f>AN246/AK246</f>
        <v>#DIV/0!</v>
      </c>
      <c r="AP245" s="978"/>
      <c r="AQ245" s="487" t="e">
        <f>AN246/AM246</f>
        <v>#DIV/0!</v>
      </c>
      <c r="AR245" s="699" t="e">
        <f>AR246/AR63</f>
        <v>#DIV/0!</v>
      </c>
      <c r="AS245" s="978"/>
      <c r="AT245" s="978">
        <f>AT246/AT63</f>
        <v>-5.9647058823529407E-2</v>
      </c>
      <c r="AU245" s="667">
        <f>AU246/AU63</f>
        <v>-0.49749066567732042</v>
      </c>
      <c r="AV245" s="978" t="e">
        <f>AU246/AR246</f>
        <v>#DIV/0!</v>
      </c>
      <c r="AW245" s="978"/>
      <c r="AX245" s="487">
        <f>AU246/AT246</f>
        <v>12.430692307692308</v>
      </c>
      <c r="AY245" s="457" t="e">
        <f t="shared" si="161"/>
        <v>#DIV/0!</v>
      </c>
      <c r="AZ245" s="458"/>
      <c r="BA245" s="1424"/>
      <c r="BB245" s="336"/>
      <c r="BC245" s="336"/>
      <c r="BD245" s="336"/>
      <c r="BE245" s="336"/>
    </row>
    <row r="246" spans="1:57" ht="20.100000000000001" customHeight="1">
      <c r="A246" s="747" t="s">
        <v>183</v>
      </c>
      <c r="B246" s="748"/>
      <c r="C246" s="759"/>
      <c r="D246" s="753"/>
      <c r="E246" s="759"/>
      <c r="F246" s="559"/>
      <c r="G246" s="603"/>
      <c r="H246" s="561">
        <v>6.3090000000000002</v>
      </c>
      <c r="I246" s="562">
        <f>H246-G246</f>
        <v>6.3090000000000002</v>
      </c>
      <c r="J246" s="559"/>
      <c r="K246" s="603">
        <v>-13</v>
      </c>
      <c r="L246" s="561">
        <v>-67.959000000000003</v>
      </c>
      <c r="M246" s="562">
        <f>L246-K246</f>
        <v>-54.959000000000003</v>
      </c>
      <c r="N246" s="559"/>
      <c r="O246" s="603">
        <v>0</v>
      </c>
      <c r="P246" s="561">
        <v>0</v>
      </c>
      <c r="Q246" s="562">
        <f>P246-O246</f>
        <v>0</v>
      </c>
      <c r="R246" s="563">
        <f>F246+J246+N246</f>
        <v>0</v>
      </c>
      <c r="S246" s="463"/>
      <c r="T246" s="460">
        <f>G246+K246+O246</f>
        <v>-13</v>
      </c>
      <c r="U246" s="306">
        <f>H246+L246+P246</f>
        <v>-61.650000000000006</v>
      </c>
      <c r="V246" s="461">
        <f>U246-R246</f>
        <v>-61.650000000000006</v>
      </c>
      <c r="W246" s="460"/>
      <c r="X246" s="465">
        <f>U246-T246</f>
        <v>-48.650000000000006</v>
      </c>
      <c r="Y246" s="559"/>
      <c r="Z246" s="603">
        <v>0</v>
      </c>
      <c r="AA246" s="561">
        <v>-107.949</v>
      </c>
      <c r="AB246" s="562">
        <f>AA246-Z246</f>
        <v>-107.949</v>
      </c>
      <c r="AC246" s="559"/>
      <c r="AD246" s="603">
        <v>0</v>
      </c>
      <c r="AE246" s="1051">
        <v>8</v>
      </c>
      <c r="AF246" s="562">
        <f>AE246-AD246</f>
        <v>8</v>
      </c>
      <c r="AG246" s="559"/>
      <c r="AH246" s="603">
        <v>0</v>
      </c>
      <c r="AI246" s="1051"/>
      <c r="AJ246" s="562">
        <f>AI246-AH246</f>
        <v>0</v>
      </c>
      <c r="AK246" s="563">
        <f>Y246+AC246+AG246</f>
        <v>0</v>
      </c>
      <c r="AL246" s="463"/>
      <c r="AM246" s="460">
        <f>Z246+AD246+AH246</f>
        <v>0</v>
      </c>
      <c r="AN246" s="306">
        <f>AA246+AE246+AI246</f>
        <v>-99.948999999999998</v>
      </c>
      <c r="AO246" s="489">
        <f>AN246-AK246</f>
        <v>-99.948999999999998</v>
      </c>
      <c r="AP246" s="489"/>
      <c r="AQ246" s="465">
        <f>AN246-AM246</f>
        <v>-99.948999999999998</v>
      </c>
      <c r="AR246" s="462">
        <f>SUM(R246,AK246)</f>
        <v>0</v>
      </c>
      <c r="AS246" s="1030"/>
      <c r="AT246" s="675">
        <f>T246+AM246</f>
        <v>-13</v>
      </c>
      <c r="AU246" s="306">
        <f>SUM(U246,AN246)</f>
        <v>-161.59899999999999</v>
      </c>
      <c r="AV246" s="303">
        <f>AU246-AR246</f>
        <v>-161.59899999999999</v>
      </c>
      <c r="AW246" s="303"/>
      <c r="AX246" s="465">
        <f>AU246-AT246</f>
        <v>-148.59899999999999</v>
      </c>
      <c r="AY246" s="457">
        <f t="shared" si="161"/>
        <v>0</v>
      </c>
      <c r="AZ246" s="458">
        <f>AU246/6</f>
        <v>-26.933166666666665</v>
      </c>
      <c r="BA246" s="1424">
        <v>-26.933166666666665</v>
      </c>
      <c r="BB246" s="302">
        <f>AZ246-AY246</f>
        <v>-26.933166666666665</v>
      </c>
      <c r="BC246" s="302">
        <f>BA246-AY246</f>
        <v>-26.933166666666665</v>
      </c>
      <c r="BD246" s="302">
        <f>BA246-AZ246</f>
        <v>0</v>
      </c>
      <c r="BE246" s="302">
        <f>AX246/6</f>
        <v>-24.766499999999997</v>
      </c>
    </row>
    <row r="247" spans="1:57" ht="20.100000000000001" customHeight="1">
      <c r="A247" s="799" t="str">
        <f>A245</f>
        <v>%=粗利率</v>
      </c>
      <c r="B247" s="751"/>
      <c r="C247" s="751"/>
      <c r="D247" s="755"/>
      <c r="E247" s="751"/>
      <c r="F247" s="663">
        <v>0.157</v>
      </c>
      <c r="G247" s="664">
        <v>0.15</v>
      </c>
      <c r="H247" s="665">
        <v>0.26637</v>
      </c>
      <c r="I247" s="548">
        <f>H248/G248</f>
        <v>0.21615772413793105</v>
      </c>
      <c r="J247" s="663">
        <v>0.157</v>
      </c>
      <c r="K247" s="664">
        <v>0.15</v>
      </c>
      <c r="L247" s="665">
        <f>L248/L65</f>
        <v>0.19691736401673637</v>
      </c>
      <c r="M247" s="1295">
        <f>L248/K248</f>
        <v>0.16513421052631577</v>
      </c>
      <c r="N247" s="663">
        <v>0.157</v>
      </c>
      <c r="O247" s="664">
        <v>0.222</v>
      </c>
      <c r="P247" s="665">
        <f>P248/P65</f>
        <v>0.22601346886022058</v>
      </c>
      <c r="Q247" s="1296">
        <f>P248/O248</f>
        <v>3.4595160176150586</v>
      </c>
      <c r="R247" s="663">
        <f>R248/R65</f>
        <v>0.15700000000000003</v>
      </c>
      <c r="S247" s="978"/>
      <c r="T247" s="668">
        <f>T248/T65</f>
        <v>0.16014818663618413</v>
      </c>
      <c r="U247" s="667">
        <f>U248/U65</f>
        <v>0.22358786677542455</v>
      </c>
      <c r="V247" s="667">
        <f>U248/R248</f>
        <v>0.55023308175551866</v>
      </c>
      <c r="W247" s="668"/>
      <c r="X247" s="486">
        <f>U248/T248</f>
        <v>0.81840202426049857</v>
      </c>
      <c r="Y247" s="663">
        <v>0.154</v>
      </c>
      <c r="Z247" s="664">
        <v>0.15</v>
      </c>
      <c r="AA247" s="665">
        <v>0.145978</v>
      </c>
      <c r="AB247" s="1296">
        <f>AA248/Z248</f>
        <v>0.63797990600012211</v>
      </c>
      <c r="AC247" s="663">
        <v>0.154</v>
      </c>
      <c r="AD247" s="664">
        <v>0.15</v>
      </c>
      <c r="AE247" s="1075">
        <v>0.21099999999999999</v>
      </c>
      <c r="AF247" s="1296">
        <f>AE248/AD248</f>
        <v>0.43264844569598587</v>
      </c>
      <c r="AG247" s="663">
        <v>0.154</v>
      </c>
      <c r="AH247" s="664">
        <v>0.15</v>
      </c>
      <c r="AI247" s="1075">
        <v>0.20499999999999999</v>
      </c>
      <c r="AJ247" s="1296">
        <f>AI248/AH248</f>
        <v>0.3058782139053704</v>
      </c>
      <c r="AK247" s="663">
        <f>AK248/AK65</f>
        <v>0.154</v>
      </c>
      <c r="AL247" s="978"/>
      <c r="AM247" s="668">
        <f>AM248/AM65</f>
        <v>0.15</v>
      </c>
      <c r="AN247" s="667">
        <f>AN248/AN65</f>
        <v>0.19748697440849827</v>
      </c>
      <c r="AO247" s="978">
        <f>AN248/AK248</f>
        <v>0.55654130153166192</v>
      </c>
      <c r="AP247" s="978"/>
      <c r="AQ247" s="487">
        <f>AN248/AM248</f>
        <v>0.38565200795828497</v>
      </c>
      <c r="AR247" s="663">
        <f>AR248/AR65</f>
        <v>0.15543575174825178</v>
      </c>
      <c r="AS247" s="978"/>
      <c r="AT247" s="668">
        <f>AT248/AT65</f>
        <v>0.15294230247762902</v>
      </c>
      <c r="AU247" s="667">
        <f>AU248/AU65</f>
        <v>0.20922408100385137</v>
      </c>
      <c r="AV247" s="978">
        <f>AU248/AR248</f>
        <v>0.55349190677572901</v>
      </c>
      <c r="AW247" s="978"/>
      <c r="AX247" s="487">
        <f>AU248/AT248</f>
        <v>0.51703234331572301</v>
      </c>
      <c r="AY247" s="457"/>
      <c r="AZ247" s="458"/>
      <c r="BA247" s="1424"/>
      <c r="BB247" s="336"/>
      <c r="BC247" s="336"/>
      <c r="BD247" s="336"/>
      <c r="BE247" s="336"/>
    </row>
    <row r="248" spans="1:57" ht="20.100000000000001" customHeight="1">
      <c r="A248" s="747" t="s">
        <v>262</v>
      </c>
      <c r="B248" s="748"/>
      <c r="C248" s="759"/>
      <c r="D248" s="753"/>
      <c r="E248" s="759"/>
      <c r="F248" s="559">
        <f>F247*F65</f>
        <v>778.29059829059838</v>
      </c>
      <c r="G248" s="603">
        <f>G247*G65</f>
        <v>743.58974358974365</v>
      </c>
      <c r="H248" s="561">
        <f>H247*H65</f>
        <v>160.73266666666669</v>
      </c>
      <c r="I248" s="562">
        <f>H248-G248</f>
        <v>-582.85707692307699</v>
      </c>
      <c r="J248" s="559">
        <f>J247*J65</f>
        <v>2549.5726495726499</v>
      </c>
      <c r="K248" s="603">
        <f>K247*K65</f>
        <v>2435.897435897436</v>
      </c>
      <c r="L248" s="561">
        <v>402.25</v>
      </c>
      <c r="M248" s="562">
        <f>L248-K248</f>
        <v>-2033.647435897436</v>
      </c>
      <c r="N248" s="559">
        <f>N247*N65</f>
        <v>2549.5726495726499</v>
      </c>
      <c r="O248" s="603">
        <f>O247*O65</f>
        <v>772.06666666666672</v>
      </c>
      <c r="P248" s="561">
        <v>2670.9769999999999</v>
      </c>
      <c r="Q248" s="562">
        <f>P248-O248</f>
        <v>1898.9103333333333</v>
      </c>
      <c r="R248" s="563">
        <f>F248+J248+N248</f>
        <v>5877.4358974358984</v>
      </c>
      <c r="S248" s="463"/>
      <c r="T248" s="460">
        <f>G248+K248+O248</f>
        <v>3951.5538461538463</v>
      </c>
      <c r="U248" s="306">
        <f>H248+L248+P248</f>
        <v>3233.9596666666666</v>
      </c>
      <c r="V248" s="461">
        <f>U248-R248</f>
        <v>-2643.4762307692317</v>
      </c>
      <c r="W248" s="460"/>
      <c r="X248" s="465">
        <f>U248-T248</f>
        <v>-717.59417948717964</v>
      </c>
      <c r="Y248" s="559">
        <f>Y247*Y65</f>
        <v>2500.8547008547012</v>
      </c>
      <c r="Z248" s="603">
        <f>Z247*Z65</f>
        <v>700.1282051282052</v>
      </c>
      <c r="AA248" s="561">
        <f>AA247*AA65</f>
        <v>446.66772649572653</v>
      </c>
      <c r="AB248" s="562">
        <f>AA248-Z248</f>
        <v>-253.46047863247867</v>
      </c>
      <c r="AC248" s="559">
        <f>AC247*AC65</f>
        <v>2353.4358974358975</v>
      </c>
      <c r="AD248" s="603">
        <f>AD247*AD65</f>
        <v>3869.8717948717949</v>
      </c>
      <c r="AE248" s="1051">
        <f>AE247*AE65</f>
        <v>1674.2940170940171</v>
      </c>
      <c r="AF248" s="562">
        <f>AE248-AD248</f>
        <v>-2195.5777777777776</v>
      </c>
      <c r="AG248" s="559">
        <f>AG247*AG65</f>
        <v>1426.8034188034189</v>
      </c>
      <c r="AH248" s="603">
        <f>AH247*AH65</f>
        <v>4494.3589743589746</v>
      </c>
      <c r="AI248" s="1051">
        <f>AI247*AI65</f>
        <v>1374.7264957264956</v>
      </c>
      <c r="AJ248" s="562">
        <f>AI248-AH248</f>
        <v>-3119.632478632479</v>
      </c>
      <c r="AK248" s="563">
        <f>Y248+AC248+AG248</f>
        <v>6281.0940170940175</v>
      </c>
      <c r="AL248" s="463"/>
      <c r="AM248" s="460">
        <f>Z248+AD248+AH248</f>
        <v>9064.3589743589746</v>
      </c>
      <c r="AN248" s="306">
        <f>AA248+AE248+AI248</f>
        <v>3495.6882393162391</v>
      </c>
      <c r="AO248" s="489">
        <f>AN248-AK248</f>
        <v>-2785.4057777777784</v>
      </c>
      <c r="AP248" s="489"/>
      <c r="AQ248" s="465">
        <f>AN248-AM248</f>
        <v>-5568.670735042735</v>
      </c>
      <c r="AR248" s="462">
        <f>SUM(R248,AK248)</f>
        <v>12158.529914529916</v>
      </c>
      <c r="AS248" s="1030"/>
      <c r="AT248" s="675">
        <f>T248+AM248</f>
        <v>13015.912820512822</v>
      </c>
      <c r="AU248" s="306">
        <f>SUM(U248,AN248)</f>
        <v>6729.6479059829053</v>
      </c>
      <c r="AV248" s="303">
        <f>AU248-AR248</f>
        <v>-5428.8820085470106</v>
      </c>
      <c r="AW248" s="303"/>
      <c r="AX248" s="465">
        <f>AU248-AT248</f>
        <v>-6286.2649145299165</v>
      </c>
      <c r="AY248" s="457">
        <f t="shared" si="161"/>
        <v>2026.4216524216527</v>
      </c>
      <c r="AZ248" s="458">
        <f>AU248/6</f>
        <v>1121.6079843304842</v>
      </c>
      <c r="BA248" s="1424">
        <v>1121.6079843304842</v>
      </c>
      <c r="BB248" s="302">
        <f>AZ248-AY248</f>
        <v>-904.81366809116844</v>
      </c>
      <c r="BC248" s="302">
        <f>BA248-AY248</f>
        <v>-904.81366809116844</v>
      </c>
      <c r="BD248" s="302">
        <f>BA248-AZ248</f>
        <v>0</v>
      </c>
      <c r="BE248" s="302">
        <f>AX248/6</f>
        <v>-1047.7108190883193</v>
      </c>
    </row>
    <row r="249" spans="1:57" ht="20.100000000000001" customHeight="1">
      <c r="A249" s="751"/>
      <c r="B249" s="751"/>
      <c r="C249" s="751"/>
      <c r="D249" s="755"/>
      <c r="E249" s="751"/>
      <c r="F249" s="663">
        <f>F250/F67</f>
        <v>0.19119941245616404</v>
      </c>
      <c r="G249" s="664">
        <f>G250/G67</f>
        <v>0.18962681560428238</v>
      </c>
      <c r="H249" s="665">
        <f>H250/H67</f>
        <v>0.18436816445427195</v>
      </c>
      <c r="I249" s="548">
        <f>H250/G250</f>
        <v>0.82637415515139589</v>
      </c>
      <c r="J249" s="663">
        <f>J250/J67</f>
        <v>0.18376234410807041</v>
      </c>
      <c r="K249" s="664">
        <f>K250/K67</f>
        <v>0.17184002302597806</v>
      </c>
      <c r="L249" s="665">
        <f>L250/L67</f>
        <v>0.1684193953793432</v>
      </c>
      <c r="M249" s="1295">
        <f>L250/K250</f>
        <v>0.90726182035605429</v>
      </c>
      <c r="N249" s="663">
        <f>N250/N67</f>
        <v>0.18038152657783454</v>
      </c>
      <c r="O249" s="664">
        <f>O250/O67</f>
        <v>0.18259970803205289</v>
      </c>
      <c r="P249" s="665">
        <f>P250/P67</f>
        <v>0.18664798963496518</v>
      </c>
      <c r="Q249" s="1296">
        <f>P250/O250</f>
        <v>0.98250674623500567</v>
      </c>
      <c r="R249" s="663">
        <f>R250/R67</f>
        <v>0.18536484582005439</v>
      </c>
      <c r="S249" s="978"/>
      <c r="T249" s="668">
        <f>T250/T67</f>
        <v>0.18211421788449758</v>
      </c>
      <c r="U249" s="668">
        <f>U250/U67</f>
        <v>0.18026769173675611</v>
      </c>
      <c r="V249" s="667">
        <f>U250/R250</f>
        <v>0.82931818054950246</v>
      </c>
      <c r="W249" s="668"/>
      <c r="X249" s="486">
        <f>U250/T250</f>
        <v>0.89822453019391857</v>
      </c>
      <c r="Y249" s="663">
        <f>Y250/Y67</f>
        <v>0.18537187091232965</v>
      </c>
      <c r="Z249" s="664">
        <f>Z250/Z67</f>
        <v>0.18242334066568147</v>
      </c>
      <c r="AA249" s="665">
        <f>AA250/AA67</f>
        <v>0.17027470171854192</v>
      </c>
      <c r="AB249" s="1296">
        <f>AA250/Z250</f>
        <v>0.93903719320037782</v>
      </c>
      <c r="AC249" s="663">
        <f>AC250/AC67</f>
        <v>0.18252728080714975</v>
      </c>
      <c r="AD249" s="664">
        <f>AD250/AD67</f>
        <v>0.18220123276820102</v>
      </c>
      <c r="AE249" s="1075">
        <f>AE250/AE67</f>
        <v>0.17769886558040224</v>
      </c>
      <c r="AF249" s="1296">
        <f>AE250/AD250</f>
        <v>0.71433203942422385</v>
      </c>
      <c r="AG249" s="663">
        <f>AG250/AG67</f>
        <v>0.18494852096888842</v>
      </c>
      <c r="AH249" s="664">
        <f>AH250/AH67</f>
        <v>0.17783494527940855</v>
      </c>
      <c r="AI249" s="1075">
        <f>AI250/AI67</f>
        <v>0.17450914570256368</v>
      </c>
      <c r="AJ249" s="1296">
        <f>AI250/AH250</f>
        <v>0.66468139649888236</v>
      </c>
      <c r="AK249" s="663">
        <f>AK250/AK67</f>
        <v>0.18427794389017235</v>
      </c>
      <c r="AL249" s="978"/>
      <c r="AM249" s="668">
        <f>AM250/AM67</f>
        <v>0.18107102526988139</v>
      </c>
      <c r="AN249" s="667">
        <f>AN250/AN67</f>
        <v>0.17378524685148983</v>
      </c>
      <c r="AO249" s="978">
        <f>AN250/AK250</f>
        <v>0.83357196938866018</v>
      </c>
      <c r="AP249" s="978"/>
      <c r="AQ249" s="487">
        <f>AN250/AM250</f>
        <v>0.7790360449726047</v>
      </c>
      <c r="AR249" s="699">
        <f>AR250/AR67</f>
        <v>0.18485046315247175</v>
      </c>
      <c r="AS249" s="978"/>
      <c r="AT249" s="978">
        <f>AT250/AT67</f>
        <v>0.18158212225406603</v>
      </c>
      <c r="AU249" s="667">
        <f>AU250/AU67</f>
        <v>0.17714184207106934</v>
      </c>
      <c r="AV249" s="978">
        <f>AU250/AR250</f>
        <v>0.83132507581664306</v>
      </c>
      <c r="AW249" s="978"/>
      <c r="AX249" s="487">
        <f>AU250/AT250</f>
        <v>0.83760181803090938</v>
      </c>
      <c r="AY249" s="457"/>
      <c r="AZ249" s="458"/>
      <c r="BA249" s="1424"/>
      <c r="BB249" s="336"/>
      <c r="BC249" s="336"/>
      <c r="BD249" s="336"/>
      <c r="BE249" s="336"/>
    </row>
    <row r="250" spans="1:57" ht="20.100000000000001" customHeight="1" thickBot="1">
      <c r="A250" s="748" t="s">
        <v>256</v>
      </c>
      <c r="B250" s="748"/>
      <c r="C250" s="759"/>
      <c r="D250" s="753"/>
      <c r="E250" s="789"/>
      <c r="F250" s="961">
        <f>F216+F228+F244+F236+F242+F246+F248</f>
        <v>83552.672478632478</v>
      </c>
      <c r="G250" s="962">
        <f>G216+G228+G244+G236+G242+G246+G248</f>
        <v>82063.484188034185</v>
      </c>
      <c r="H250" s="618">
        <f>H216+H228+H244+H236+H242+H246+H248</f>
        <v>67815.142414666683</v>
      </c>
      <c r="I250" s="963">
        <f>H250-G250</f>
        <v>-14248.341773367501</v>
      </c>
      <c r="J250" s="961">
        <f>J216+J228+J244+J236+J242+J246+J248</f>
        <v>64492.886752136743</v>
      </c>
      <c r="K250" s="962">
        <f>K216+K228+K244+K236+K242+K246+K248</f>
        <v>57215.384076923081</v>
      </c>
      <c r="L250" s="618">
        <f>L216+L228+L244+L236+L242+L246+L248</f>
        <v>51909.33351000004</v>
      </c>
      <c r="M250" s="963">
        <f>L250-K250</f>
        <v>-5306.0505669230406</v>
      </c>
      <c r="N250" s="961">
        <f>N216+N228+N244+N236+N242+N246+N248</f>
        <v>71932.606837606843</v>
      </c>
      <c r="O250" s="1400">
        <f>O216+O228+O244+O236+O242+O246+O248</f>
        <v>63823.904273504282</v>
      </c>
      <c r="P250" s="618">
        <f>P216+P228+P244+P236+P242+P246+P248</f>
        <v>62707.416519775164</v>
      </c>
      <c r="Q250" s="1401">
        <f>P250-O250</f>
        <v>-1116.4877537291177</v>
      </c>
      <c r="R250" s="961">
        <f t="shared" ref="R250:AX250" si="165">R216+R228+R244+R236+R242+R246+R248</f>
        <v>219978.16606837607</v>
      </c>
      <c r="S250" s="1292"/>
      <c r="T250" s="1394">
        <f t="shared" si="165"/>
        <v>203102.77253846155</v>
      </c>
      <c r="U250" s="1391">
        <f t="shared" si="165"/>
        <v>182431.89244444194</v>
      </c>
      <c r="V250" s="1391">
        <f t="shared" si="165"/>
        <v>-37546.273623934161</v>
      </c>
      <c r="W250" s="1394"/>
      <c r="X250" s="1395">
        <f t="shared" si="165"/>
        <v>-20670.880094019649</v>
      </c>
      <c r="Y250" s="961">
        <f t="shared" si="165"/>
        <v>72311.348717948713</v>
      </c>
      <c r="Z250" s="1400">
        <f t="shared" si="165"/>
        <v>73148.688658119674</v>
      </c>
      <c r="AA250" s="618">
        <f t="shared" si="165"/>
        <v>68689.339283809008</v>
      </c>
      <c r="AB250" s="1401">
        <f t="shared" si="165"/>
        <v>-4459.3493743106574</v>
      </c>
      <c r="AC250" s="961">
        <f t="shared" si="165"/>
        <v>66349.290598290594</v>
      </c>
      <c r="AD250" s="1400">
        <f t="shared" si="165"/>
        <v>80013.282051282047</v>
      </c>
      <c r="AE250" s="1068">
        <f t="shared" si="165"/>
        <v>57156.050948717952</v>
      </c>
      <c r="AF250" s="1401">
        <f t="shared" si="165"/>
        <v>-22857.231102564099</v>
      </c>
      <c r="AG250" s="961">
        <f t="shared" si="165"/>
        <v>57820.914529914531</v>
      </c>
      <c r="AH250" s="1400">
        <f t="shared" si="165"/>
        <v>57074.14974358974</v>
      </c>
      <c r="AI250" s="1068">
        <f t="shared" si="165"/>
        <v>37936.125555555554</v>
      </c>
      <c r="AJ250" s="1401">
        <f t="shared" si="165"/>
        <v>-19138.024188034185</v>
      </c>
      <c r="AK250" s="961">
        <f t="shared" si="165"/>
        <v>196481.55384615387</v>
      </c>
      <c r="AL250" s="1292"/>
      <c r="AM250" s="1394">
        <f t="shared" si="165"/>
        <v>210236.12045299142</v>
      </c>
      <c r="AN250" s="1391">
        <f t="shared" si="165"/>
        <v>163781.51578808256</v>
      </c>
      <c r="AO250" s="1292">
        <f t="shared" si="165"/>
        <v>-32700.038058071328</v>
      </c>
      <c r="AP250" s="1292"/>
      <c r="AQ250" s="1395">
        <f t="shared" si="165"/>
        <v>-46454.604664908926</v>
      </c>
      <c r="AR250" s="958">
        <f t="shared" si="165"/>
        <v>416459.71991452994</v>
      </c>
      <c r="AS250" s="1292"/>
      <c r="AT250" s="1292">
        <f t="shared" si="165"/>
        <v>413338.892991453</v>
      </c>
      <c r="AU250" s="1398">
        <f t="shared" si="165"/>
        <v>346213.40823252453</v>
      </c>
      <c r="AV250" s="1396">
        <f t="shared" si="165"/>
        <v>-70246.311682005457</v>
      </c>
      <c r="AW250" s="1396"/>
      <c r="AX250" s="1395">
        <f t="shared" si="165"/>
        <v>-67125.484758928564</v>
      </c>
      <c r="AY250" s="457">
        <f t="shared" si="161"/>
        <v>69409.953319088323</v>
      </c>
      <c r="AZ250" s="458">
        <f t="shared" ref="AZ250" si="166">AZ216+AZ228+AZ244+AZ236+AZ242+AZ246+AZ248</f>
        <v>57702.234705420735</v>
      </c>
      <c r="BA250" s="1424">
        <v>57702.234705420735</v>
      </c>
      <c r="BB250" s="302">
        <f>AZ250-AY250</f>
        <v>-11707.718613667588</v>
      </c>
      <c r="BC250" s="302">
        <f>BA250-AY250</f>
        <v>-11707.718613667588</v>
      </c>
      <c r="BD250" s="302">
        <f>BA250-AZ250</f>
        <v>0</v>
      </c>
      <c r="BE250" s="302">
        <f>AX250/6</f>
        <v>-11187.580793154761</v>
      </c>
    </row>
    <row r="251" spans="1:57" ht="14.25" customHeight="1">
      <c r="F251" s="445"/>
      <c r="G251" s="714"/>
      <c r="H251" s="714"/>
      <c r="I251" s="714"/>
      <c r="J251" s="445"/>
      <c r="K251" s="714"/>
      <c r="L251" s="714"/>
      <c r="M251" s="714"/>
      <c r="N251" s="445"/>
      <c r="O251" s="445"/>
      <c r="P251" s="714"/>
      <c r="Q251" s="445"/>
      <c r="R251" s="445"/>
      <c r="S251" s="445"/>
      <c r="T251" s="445"/>
      <c r="U251" s="714"/>
      <c r="V251" s="445"/>
      <c r="W251" s="445"/>
      <c r="X251" s="445"/>
      <c r="Y251" s="445"/>
      <c r="Z251" s="445"/>
      <c r="AA251" s="714"/>
      <c r="AB251" s="445"/>
      <c r="AC251" s="445"/>
      <c r="AD251" s="445"/>
      <c r="AE251" s="714"/>
      <c r="AF251" s="445"/>
      <c r="AG251" s="445"/>
      <c r="AH251" s="445"/>
      <c r="AI251" s="714"/>
      <c r="AJ251" s="445"/>
      <c r="AK251" s="445"/>
      <c r="AL251" s="445"/>
      <c r="AM251" s="445"/>
      <c r="AN251" s="714"/>
      <c r="AO251" s="445"/>
      <c r="AP251" s="445"/>
      <c r="AQ251" s="445"/>
      <c r="AR251" s="506"/>
      <c r="AS251" s="506"/>
      <c r="AT251" s="506"/>
      <c r="AU251" s="715"/>
      <c r="AV251" s="506"/>
      <c r="AW251" s="506"/>
      <c r="AX251" s="445"/>
      <c r="AY251" s="325"/>
      <c r="AZ251" s="325"/>
      <c r="BA251" s="1425"/>
    </row>
    <row r="252" spans="1:57" ht="21" customHeight="1">
      <c r="M252" s="416"/>
      <c r="R252" s="325"/>
      <c r="S252" s="325"/>
      <c r="T252" s="325"/>
      <c r="U252" s="325"/>
      <c r="V252" s="981"/>
      <c r="W252" s="325"/>
      <c r="X252" s="416">
        <f t="shared" ref="X252:X264" si="167">U252-T252</f>
        <v>0</v>
      </c>
      <c r="AK252" s="325"/>
      <c r="AL252" s="325"/>
      <c r="AM252" s="325"/>
      <c r="AN252" s="325"/>
      <c r="AO252" s="981"/>
      <c r="AP252" s="325"/>
      <c r="AQ252" s="416">
        <f t="shared" ref="AQ252:AQ264" si="168">AN252-AM252</f>
        <v>0</v>
      </c>
      <c r="AX252" s="416">
        <f t="shared" ref="AX252:AX264" si="169">AU252-AT252</f>
        <v>0</v>
      </c>
    </row>
    <row r="253" spans="1:57" ht="12" customHeight="1">
      <c r="F253" s="836"/>
      <c r="G253" s="837" t="e">
        <f>#REF!+G77-#REF!</f>
        <v>#REF!</v>
      </c>
      <c r="H253" s="837" t="e">
        <f>#REF!+H77-#REF!</f>
        <v>#REF!</v>
      </c>
      <c r="I253" s="487"/>
      <c r="J253" s="836"/>
      <c r="K253" s="837" t="e">
        <f>#REF!+K77-#REF!</f>
        <v>#REF!</v>
      </c>
      <c r="L253" s="837" t="e">
        <f>#REF!+L77-#REF!</f>
        <v>#REF!</v>
      </c>
      <c r="M253" s="487"/>
      <c r="N253" s="836"/>
      <c r="O253" s="599" t="e">
        <f>#REF!+O77-#REF!</f>
        <v>#REF!</v>
      </c>
      <c r="P253" s="837" t="e">
        <f>#REF!+P77-#REF!</f>
        <v>#REF!</v>
      </c>
      <c r="Q253" s="492"/>
      <c r="R253" s="836"/>
      <c r="S253" s="642"/>
      <c r="T253" s="642"/>
      <c r="U253" s="982"/>
      <c r="V253" s="492"/>
      <c r="W253" s="979"/>
      <c r="X253" s="972">
        <f t="shared" si="167"/>
        <v>0</v>
      </c>
      <c r="Y253" s="836"/>
      <c r="Z253" s="599" t="e">
        <f>#REF!+Z77-#REF!</f>
        <v>#REF!</v>
      </c>
      <c r="AA253" s="837" t="e">
        <f>#REF!+AA77-#REF!</f>
        <v>#REF!</v>
      </c>
      <c r="AB253" s="492"/>
      <c r="AC253" s="836"/>
      <c r="AD253" s="599" t="e">
        <f>F254+AD77-#REF!</f>
        <v>#REF!</v>
      </c>
      <c r="AE253" s="837" t="e">
        <f>G254+AE77-#REF!</f>
        <v>#REF!</v>
      </c>
      <c r="AF253" s="492"/>
      <c r="AG253" s="836"/>
      <c r="AH253" s="599" t="e">
        <f>J254+AH77-#REF!</f>
        <v>#REF!</v>
      </c>
      <c r="AI253" s="837" t="e">
        <f>K254+AI77-#REF!</f>
        <v>#REF!</v>
      </c>
      <c r="AJ253" s="492"/>
      <c r="AK253" s="836"/>
      <c r="AL253" s="642"/>
      <c r="AM253" s="642"/>
      <c r="AN253" s="982"/>
      <c r="AO253" s="492"/>
      <c r="AP253" s="979"/>
      <c r="AQ253" s="972">
        <f t="shared" si="168"/>
        <v>0</v>
      </c>
      <c r="AR253" s="836">
        <f>SUM(R253,AK253)</f>
        <v>0</v>
      </c>
      <c r="AS253" s="642"/>
      <c r="AT253" s="642"/>
      <c r="AU253" s="982"/>
      <c r="AV253" s="983"/>
      <c r="AW253" s="1086"/>
      <c r="AX253" s="972">
        <f t="shared" si="169"/>
        <v>0</v>
      </c>
      <c r="AY253" s="558"/>
      <c r="AZ253" s="558"/>
      <c r="BA253" s="1427"/>
      <c r="BB253" s="353"/>
      <c r="BC253" s="353"/>
      <c r="BD253" s="353"/>
      <c r="BE253" s="353"/>
    </row>
    <row r="254" spans="1:57" ht="12" customHeight="1">
      <c r="F254" s="448"/>
      <c r="G254" s="460">
        <v>0</v>
      </c>
      <c r="H254" s="460">
        <v>0</v>
      </c>
      <c r="I254" s="465"/>
      <c r="J254" s="448"/>
      <c r="K254" s="460">
        <v>0</v>
      </c>
      <c r="L254" s="460">
        <v>0</v>
      </c>
      <c r="M254" s="465"/>
      <c r="N254" s="448"/>
      <c r="O254" s="446">
        <v>0</v>
      </c>
      <c r="P254" s="460">
        <v>0</v>
      </c>
      <c r="Q254" s="435"/>
      <c r="R254" s="467"/>
      <c r="S254" s="647"/>
      <c r="T254" s="647"/>
      <c r="U254" s="464"/>
      <c r="V254" s="435"/>
      <c r="W254" s="470"/>
      <c r="X254" s="470">
        <f t="shared" si="167"/>
        <v>0</v>
      </c>
      <c r="Y254" s="448"/>
      <c r="Z254" s="446">
        <v>0</v>
      </c>
      <c r="AA254" s="460">
        <v>0</v>
      </c>
      <c r="AB254" s="435"/>
      <c r="AC254" s="448"/>
      <c r="AD254" s="446">
        <v>0</v>
      </c>
      <c r="AE254" s="460">
        <v>0</v>
      </c>
      <c r="AF254" s="435"/>
      <c r="AG254" s="448"/>
      <c r="AH254" s="446">
        <v>0</v>
      </c>
      <c r="AI254" s="460">
        <v>0</v>
      </c>
      <c r="AJ254" s="435"/>
      <c r="AK254" s="467"/>
      <c r="AL254" s="647"/>
      <c r="AM254" s="647"/>
      <c r="AN254" s="464"/>
      <c r="AO254" s="435"/>
      <c r="AP254" s="470"/>
      <c r="AQ254" s="470">
        <f t="shared" si="168"/>
        <v>0</v>
      </c>
      <c r="AR254" s="467">
        <f>SUM(R254,AK254)</f>
        <v>0</v>
      </c>
      <c r="AS254" s="647"/>
      <c r="AT254" s="647"/>
      <c r="AU254" s="464">
        <f>SUM(U254,AN254)</f>
        <v>0</v>
      </c>
      <c r="AV254" s="435"/>
      <c r="AW254" s="470"/>
      <c r="AX254" s="470">
        <f t="shared" si="169"/>
        <v>0</v>
      </c>
      <c r="AY254" s="472">
        <f>AR254/6</f>
        <v>0</v>
      </c>
      <c r="AZ254" s="472">
        <f>AU254/6</f>
        <v>0</v>
      </c>
      <c r="BA254" s="1425">
        <v>0</v>
      </c>
      <c r="BB254" s="337"/>
      <c r="BC254" s="337"/>
      <c r="BD254" s="337"/>
      <c r="BE254" s="337"/>
    </row>
    <row r="255" spans="1:57" ht="12" customHeight="1">
      <c r="F255" s="429"/>
      <c r="G255" s="837" t="e">
        <f>#REF!+G81-#REF!</f>
        <v>#REF!</v>
      </c>
      <c r="H255" s="837" t="e">
        <f>#REF!+H81-#REF!</f>
        <v>#REF!</v>
      </c>
      <c r="I255" s="487"/>
      <c r="J255" s="429"/>
      <c r="K255" s="837" t="e">
        <f>#REF!+K81-#REF!</f>
        <v>#REF!</v>
      </c>
      <c r="L255" s="837" t="e">
        <f>#REF!+L81-#REF!</f>
        <v>#REF!</v>
      </c>
      <c r="M255" s="487"/>
      <c r="N255" s="429"/>
      <c r="O255" s="599" t="e">
        <f>#REF!+O81-#REF!</f>
        <v>#REF!</v>
      </c>
      <c r="P255" s="837" t="e">
        <f>#REF!+P81-#REF!</f>
        <v>#REF!</v>
      </c>
      <c r="Q255" s="492"/>
      <c r="R255" s="650"/>
      <c r="S255" s="984"/>
      <c r="T255" s="984"/>
      <c r="U255" s="485"/>
      <c r="V255" s="492"/>
      <c r="W255" s="979"/>
      <c r="X255" s="973">
        <f t="shared" si="167"/>
        <v>0</v>
      </c>
      <c r="Y255" s="429"/>
      <c r="Z255" s="599" t="e">
        <f>#REF!+Z81-#REF!</f>
        <v>#REF!</v>
      </c>
      <c r="AA255" s="837" t="e">
        <f>#REF!+AA81-#REF!</f>
        <v>#REF!</v>
      </c>
      <c r="AB255" s="492"/>
      <c r="AC255" s="429"/>
      <c r="AD255" s="599" t="e">
        <f>F256+AD81-#REF!</f>
        <v>#REF!</v>
      </c>
      <c r="AE255" s="837" t="e">
        <f>G256+AE81-#REF!</f>
        <v>#REF!</v>
      </c>
      <c r="AF255" s="492"/>
      <c r="AG255" s="429"/>
      <c r="AH255" s="599" t="e">
        <f>J256+AH81-#REF!</f>
        <v>#REF!</v>
      </c>
      <c r="AI255" s="837" t="e">
        <f>K256+AI81-#REF!</f>
        <v>#REF!</v>
      </c>
      <c r="AJ255" s="492"/>
      <c r="AK255" s="650"/>
      <c r="AL255" s="984"/>
      <c r="AM255" s="984"/>
      <c r="AN255" s="485"/>
      <c r="AO255" s="492"/>
      <c r="AP255" s="979"/>
      <c r="AQ255" s="973">
        <f t="shared" si="168"/>
        <v>0</v>
      </c>
      <c r="AR255" s="521"/>
      <c r="AS255" s="648"/>
      <c r="AT255" s="648"/>
      <c r="AU255" s="481"/>
      <c r="AV255" s="983"/>
      <c r="AW255" s="1086"/>
      <c r="AX255" s="973">
        <f t="shared" si="169"/>
        <v>0</v>
      </c>
      <c r="AY255" s="472"/>
      <c r="AZ255" s="472"/>
      <c r="BA255" s="1425"/>
    </row>
    <row r="256" spans="1:57" ht="12" customHeight="1">
      <c r="F256" s="448"/>
      <c r="G256" s="460">
        <v>0</v>
      </c>
      <c r="H256" s="460">
        <v>0</v>
      </c>
      <c r="I256" s="465"/>
      <c r="J256" s="448"/>
      <c r="K256" s="460">
        <v>0</v>
      </c>
      <c r="L256" s="460">
        <v>0</v>
      </c>
      <c r="M256" s="465"/>
      <c r="N256" s="448"/>
      <c r="O256" s="446">
        <v>0</v>
      </c>
      <c r="P256" s="460">
        <v>0</v>
      </c>
      <c r="Q256" s="435"/>
      <c r="R256" s="467"/>
      <c r="S256" s="647"/>
      <c r="T256" s="647"/>
      <c r="U256" s="464"/>
      <c r="V256" s="435"/>
      <c r="W256" s="470"/>
      <c r="X256" s="470">
        <f t="shared" si="167"/>
        <v>0</v>
      </c>
      <c r="Y256" s="448"/>
      <c r="Z256" s="446">
        <v>0</v>
      </c>
      <c r="AA256" s="460">
        <v>0</v>
      </c>
      <c r="AB256" s="435"/>
      <c r="AC256" s="448"/>
      <c r="AD256" s="446">
        <v>0</v>
      </c>
      <c r="AE256" s="460">
        <v>0</v>
      </c>
      <c r="AF256" s="435"/>
      <c r="AG256" s="448"/>
      <c r="AH256" s="446">
        <v>0</v>
      </c>
      <c r="AI256" s="460">
        <v>0</v>
      </c>
      <c r="AJ256" s="435"/>
      <c r="AK256" s="467"/>
      <c r="AL256" s="647"/>
      <c r="AM256" s="647"/>
      <c r="AN256" s="464"/>
      <c r="AO256" s="435"/>
      <c r="AP256" s="470"/>
      <c r="AQ256" s="470">
        <f t="shared" si="168"/>
        <v>0</v>
      </c>
      <c r="AR256" s="467">
        <f>SUM(R256,AK256)</f>
        <v>0</v>
      </c>
      <c r="AS256" s="647"/>
      <c r="AT256" s="647"/>
      <c r="AU256" s="464">
        <f>SUM(U256,AN256)</f>
        <v>0</v>
      </c>
      <c r="AV256" s="435"/>
      <c r="AW256" s="470"/>
      <c r="AX256" s="470">
        <f t="shared" si="169"/>
        <v>0</v>
      </c>
      <c r="AY256" s="472">
        <f>AR256/6</f>
        <v>0</v>
      </c>
      <c r="AZ256" s="472">
        <f>AU256/6</f>
        <v>0</v>
      </c>
      <c r="BA256" s="1425">
        <v>0</v>
      </c>
      <c r="BB256" s="337"/>
      <c r="BC256" s="337"/>
      <c r="BD256" s="337"/>
      <c r="BE256" s="337"/>
    </row>
    <row r="257" spans="6:57" ht="12" customHeight="1">
      <c r="F257" s="429"/>
      <c r="G257" s="837" t="e">
        <f>#REF!+G102-#REF!</f>
        <v>#REF!</v>
      </c>
      <c r="H257" s="837" t="e">
        <f>#REF!+H102-#REF!</f>
        <v>#REF!</v>
      </c>
      <c r="I257" s="487"/>
      <c r="J257" s="429"/>
      <c r="K257" s="837" t="e">
        <f>#REF!+K102-#REF!</f>
        <v>#REF!</v>
      </c>
      <c r="L257" s="837" t="e">
        <f>#REF!+L102-#REF!</f>
        <v>#REF!</v>
      </c>
      <c r="M257" s="487"/>
      <c r="N257" s="429"/>
      <c r="O257" s="490" t="e">
        <f>#REF!+O102-#REF!</f>
        <v>#REF!</v>
      </c>
      <c r="P257" s="837" t="e">
        <f>#REF!+P102-#REF!</f>
        <v>#REF!</v>
      </c>
      <c r="Q257" s="492"/>
      <c r="R257" s="429"/>
      <c r="S257" s="985"/>
      <c r="T257" s="985"/>
      <c r="U257" s="485"/>
      <c r="V257" s="492"/>
      <c r="W257" s="979"/>
      <c r="X257" s="973">
        <f t="shared" si="167"/>
        <v>0</v>
      </c>
      <c r="Y257" s="429"/>
      <c r="Z257" s="490" t="e">
        <f>#REF!+Z102-#REF!</f>
        <v>#REF!</v>
      </c>
      <c r="AA257" s="837" t="e">
        <f>#REF!+AA102-#REF!</f>
        <v>#REF!</v>
      </c>
      <c r="AB257" s="492"/>
      <c r="AC257" s="429"/>
      <c r="AD257" s="490" t="e">
        <f>F258+AD102-#REF!</f>
        <v>#REF!</v>
      </c>
      <c r="AE257" s="837" t="e">
        <f>G258+AE102-#REF!</f>
        <v>#REF!</v>
      </c>
      <c r="AF257" s="492"/>
      <c r="AG257" s="429"/>
      <c r="AH257" s="490" t="e">
        <f>J258+AH102-#REF!</f>
        <v>#REF!</v>
      </c>
      <c r="AI257" s="837" t="e">
        <f>K258+AI102-#REF!</f>
        <v>#REF!</v>
      </c>
      <c r="AJ257" s="492"/>
      <c r="AK257" s="429"/>
      <c r="AL257" s="985"/>
      <c r="AM257" s="985"/>
      <c r="AN257" s="485"/>
      <c r="AO257" s="492"/>
      <c r="AP257" s="979"/>
      <c r="AQ257" s="973">
        <f t="shared" si="168"/>
        <v>0</v>
      </c>
      <c r="AR257" s="429"/>
      <c r="AS257" s="986"/>
      <c r="AT257" s="986"/>
      <c r="AU257" s="481"/>
      <c r="AV257" s="492"/>
      <c r="AW257" s="979"/>
      <c r="AX257" s="973">
        <f t="shared" si="169"/>
        <v>0</v>
      </c>
      <c r="AY257" s="472"/>
      <c r="AZ257" s="472"/>
      <c r="BA257" s="1425"/>
      <c r="BB257" s="337"/>
      <c r="BC257" s="337"/>
      <c r="BD257" s="337"/>
      <c r="BE257" s="337"/>
    </row>
    <row r="258" spans="6:57" ht="12" customHeight="1">
      <c r="F258" s="448"/>
      <c r="G258" s="460">
        <v>0</v>
      </c>
      <c r="H258" s="460">
        <v>0</v>
      </c>
      <c r="I258" s="465"/>
      <c r="J258" s="448"/>
      <c r="K258" s="460">
        <v>0</v>
      </c>
      <c r="L258" s="460">
        <v>0</v>
      </c>
      <c r="M258" s="465"/>
      <c r="N258" s="448"/>
      <c r="O258" s="446">
        <v>0</v>
      </c>
      <c r="P258" s="460">
        <v>0</v>
      </c>
      <c r="Q258" s="435"/>
      <c r="R258" s="467"/>
      <c r="S258" s="647"/>
      <c r="T258" s="647"/>
      <c r="U258" s="464"/>
      <c r="V258" s="435"/>
      <c r="W258" s="470"/>
      <c r="X258" s="470">
        <f t="shared" si="167"/>
        <v>0</v>
      </c>
      <c r="Y258" s="448"/>
      <c r="Z258" s="446">
        <v>0</v>
      </c>
      <c r="AA258" s="460">
        <v>0</v>
      </c>
      <c r="AB258" s="435"/>
      <c r="AC258" s="448"/>
      <c r="AD258" s="446">
        <v>0</v>
      </c>
      <c r="AE258" s="460">
        <v>0</v>
      </c>
      <c r="AF258" s="435"/>
      <c r="AG258" s="448"/>
      <c r="AH258" s="446">
        <v>0</v>
      </c>
      <c r="AI258" s="460">
        <v>0</v>
      </c>
      <c r="AJ258" s="435"/>
      <c r="AK258" s="467"/>
      <c r="AL258" s="647"/>
      <c r="AM258" s="647"/>
      <c r="AN258" s="464"/>
      <c r="AO258" s="435"/>
      <c r="AP258" s="470"/>
      <c r="AQ258" s="470">
        <f t="shared" si="168"/>
        <v>0</v>
      </c>
      <c r="AR258" s="467">
        <f>SUM(R258,AK258)</f>
        <v>0</v>
      </c>
      <c r="AS258" s="647"/>
      <c r="AT258" s="647"/>
      <c r="AU258" s="464">
        <f>SUM(U258,AN258)</f>
        <v>0</v>
      </c>
      <c r="AV258" s="435"/>
      <c r="AW258" s="470"/>
      <c r="AX258" s="470">
        <f t="shared" si="169"/>
        <v>0</v>
      </c>
      <c r="AY258" s="472">
        <f>AR258/6</f>
        <v>0</v>
      </c>
      <c r="AZ258" s="472">
        <f>AU258/6</f>
        <v>0</v>
      </c>
      <c r="BA258" s="1425">
        <v>0</v>
      </c>
    </row>
    <row r="259" spans="6:57" ht="12" customHeight="1">
      <c r="F259" s="429"/>
      <c r="G259" s="837" t="e">
        <f>#REF!+G100-#REF!</f>
        <v>#REF!</v>
      </c>
      <c r="H259" s="837" t="e">
        <f>#REF!+H100-#REF!</f>
        <v>#REF!</v>
      </c>
      <c r="I259" s="487"/>
      <c r="J259" s="429"/>
      <c r="K259" s="837" t="e">
        <f>#REF!+K100-#REF!</f>
        <v>#REF!</v>
      </c>
      <c r="L259" s="837" t="e">
        <f>#REF!+L100-#REF!</f>
        <v>#REF!</v>
      </c>
      <c r="M259" s="487"/>
      <c r="N259" s="429"/>
      <c r="O259" s="490" t="e">
        <f>#REF!+O100-#REF!</f>
        <v>#REF!</v>
      </c>
      <c r="P259" s="837" t="e">
        <f>#REF!+P100-#REF!</f>
        <v>#REF!</v>
      </c>
      <c r="Q259" s="492"/>
      <c r="R259" s="650"/>
      <c r="S259" s="984"/>
      <c r="T259" s="984"/>
      <c r="U259" s="485"/>
      <c r="V259" s="492"/>
      <c r="W259" s="979"/>
      <c r="X259" s="973">
        <f t="shared" si="167"/>
        <v>0</v>
      </c>
      <c r="Y259" s="429"/>
      <c r="Z259" s="490" t="e">
        <f>#REF!+Z100-#REF!</f>
        <v>#REF!</v>
      </c>
      <c r="AA259" s="837" t="e">
        <f>#REF!+AA100-#REF!</f>
        <v>#REF!</v>
      </c>
      <c r="AB259" s="492"/>
      <c r="AC259" s="429"/>
      <c r="AD259" s="490" t="e">
        <f>F260+AD100-#REF!</f>
        <v>#REF!</v>
      </c>
      <c r="AE259" s="837" t="e">
        <f>G260+AE100-#REF!</f>
        <v>#REF!</v>
      </c>
      <c r="AF259" s="492"/>
      <c r="AG259" s="429"/>
      <c r="AH259" s="490" t="e">
        <f>J260+AH100-#REF!</f>
        <v>#REF!</v>
      </c>
      <c r="AI259" s="837" t="e">
        <f>K260+AI100-#REF!</f>
        <v>#REF!</v>
      </c>
      <c r="AJ259" s="492"/>
      <c r="AK259" s="650"/>
      <c r="AL259" s="984"/>
      <c r="AM259" s="984"/>
      <c r="AN259" s="485"/>
      <c r="AO259" s="492"/>
      <c r="AP259" s="979"/>
      <c r="AQ259" s="973">
        <f t="shared" si="168"/>
        <v>0</v>
      </c>
      <c r="AR259" s="521"/>
      <c r="AS259" s="648"/>
      <c r="AT259" s="648"/>
      <c r="AU259" s="481"/>
      <c r="AV259" s="492"/>
      <c r="AW259" s="979"/>
      <c r="AX259" s="973">
        <f t="shared" si="169"/>
        <v>0</v>
      </c>
      <c r="AY259" s="416"/>
      <c r="AZ259" s="416"/>
    </row>
    <row r="260" spans="6:57" ht="12" customHeight="1">
      <c r="F260" s="448"/>
      <c r="G260" s="460">
        <v>0</v>
      </c>
      <c r="H260" s="460">
        <v>0</v>
      </c>
      <c r="I260" s="465"/>
      <c r="J260" s="448"/>
      <c r="K260" s="460">
        <v>0</v>
      </c>
      <c r="L260" s="460">
        <v>0</v>
      </c>
      <c r="M260" s="465"/>
      <c r="N260" s="448"/>
      <c r="O260" s="446">
        <v>0</v>
      </c>
      <c r="P260" s="460">
        <v>0</v>
      </c>
      <c r="Q260" s="435"/>
      <c r="R260" s="467"/>
      <c r="S260" s="647"/>
      <c r="T260" s="647"/>
      <c r="U260" s="464"/>
      <c r="V260" s="435"/>
      <c r="W260" s="470"/>
      <c r="X260" s="470">
        <f t="shared" si="167"/>
        <v>0</v>
      </c>
      <c r="Y260" s="448"/>
      <c r="Z260" s="446">
        <v>0</v>
      </c>
      <c r="AA260" s="460">
        <v>0</v>
      </c>
      <c r="AB260" s="435"/>
      <c r="AC260" s="448"/>
      <c r="AD260" s="446">
        <v>0</v>
      </c>
      <c r="AE260" s="460">
        <v>0</v>
      </c>
      <c r="AF260" s="435"/>
      <c r="AG260" s="448"/>
      <c r="AH260" s="446">
        <v>0</v>
      </c>
      <c r="AI260" s="460">
        <v>0</v>
      </c>
      <c r="AJ260" s="435"/>
      <c r="AK260" s="467"/>
      <c r="AL260" s="647"/>
      <c r="AM260" s="647"/>
      <c r="AN260" s="464"/>
      <c r="AO260" s="435"/>
      <c r="AP260" s="470"/>
      <c r="AQ260" s="470">
        <f t="shared" si="168"/>
        <v>0</v>
      </c>
      <c r="AR260" s="467">
        <f>SUM(R260,AK260)</f>
        <v>0</v>
      </c>
      <c r="AS260" s="647"/>
      <c r="AT260" s="647"/>
      <c r="AU260" s="464">
        <f>SUM(U260,AN260)</f>
        <v>0</v>
      </c>
      <c r="AV260" s="435"/>
      <c r="AW260" s="470"/>
      <c r="AX260" s="470">
        <f t="shared" si="169"/>
        <v>0</v>
      </c>
      <c r="AY260" s="472">
        <f>AR260/6</f>
        <v>0</v>
      </c>
      <c r="AZ260" s="472">
        <f>AU260/6</f>
        <v>0</v>
      </c>
      <c r="BA260" s="1425">
        <v>0</v>
      </c>
      <c r="BB260" s="337"/>
      <c r="BC260" s="337"/>
      <c r="BD260" s="337"/>
      <c r="BE260" s="337"/>
    </row>
    <row r="261" spans="6:57" ht="12" customHeight="1">
      <c r="F261" s="429"/>
      <c r="G261" s="837" t="e">
        <f>#REF!+G93-#REF!</f>
        <v>#REF!</v>
      </c>
      <c r="H261" s="837" t="e">
        <f>#REF!+H93-#REF!</f>
        <v>#REF!</v>
      </c>
      <c r="I261" s="487"/>
      <c r="J261" s="429"/>
      <c r="K261" s="837" t="e">
        <f>#REF!+K93-#REF!</f>
        <v>#REF!</v>
      </c>
      <c r="L261" s="837" t="e">
        <f>#REF!+L93-#REF!</f>
        <v>#REF!</v>
      </c>
      <c r="M261" s="487"/>
      <c r="N261" s="429"/>
      <c r="O261" s="490" t="e">
        <f>#REF!+O93-#REF!</f>
        <v>#REF!</v>
      </c>
      <c r="P261" s="837" t="e">
        <f>#REF!+P93-#REF!</f>
        <v>#REF!</v>
      </c>
      <c r="Q261" s="492"/>
      <c r="R261" s="650"/>
      <c r="S261" s="984"/>
      <c r="T261" s="984"/>
      <c r="U261" s="485"/>
      <c r="V261" s="492"/>
      <c r="W261" s="979"/>
      <c r="X261" s="973">
        <f t="shared" si="167"/>
        <v>0</v>
      </c>
      <c r="Y261" s="429"/>
      <c r="Z261" s="490" t="e">
        <f>#REF!+Z93-#REF!</f>
        <v>#REF!</v>
      </c>
      <c r="AA261" s="837" t="e">
        <f>#REF!+AA93-#REF!</f>
        <v>#REF!</v>
      </c>
      <c r="AB261" s="492"/>
      <c r="AC261" s="429"/>
      <c r="AD261" s="490" t="e">
        <f>F262+AD93-#REF!</f>
        <v>#REF!</v>
      </c>
      <c r="AE261" s="837" t="e">
        <f>G262+AE93-#REF!</f>
        <v>#REF!</v>
      </c>
      <c r="AF261" s="492"/>
      <c r="AG261" s="429"/>
      <c r="AH261" s="490" t="e">
        <f>J262+AH93-#REF!</f>
        <v>#REF!</v>
      </c>
      <c r="AI261" s="837" t="e">
        <f>K262+AI93-#REF!</f>
        <v>#REF!</v>
      </c>
      <c r="AJ261" s="492"/>
      <c r="AK261" s="650"/>
      <c r="AL261" s="984"/>
      <c r="AM261" s="984"/>
      <c r="AN261" s="485"/>
      <c r="AO261" s="492"/>
      <c r="AP261" s="979"/>
      <c r="AQ261" s="973">
        <f t="shared" si="168"/>
        <v>0</v>
      </c>
      <c r="AR261" s="521"/>
      <c r="AS261" s="648"/>
      <c r="AT261" s="648"/>
      <c r="AU261" s="481"/>
      <c r="AV261" s="492"/>
      <c r="AW261" s="979"/>
      <c r="AX261" s="973">
        <f t="shared" si="169"/>
        <v>0</v>
      </c>
      <c r="AY261" s="416"/>
      <c r="AZ261" s="416"/>
    </row>
    <row r="262" spans="6:57" ht="12" customHeight="1">
      <c r="F262" s="448"/>
      <c r="G262" s="460">
        <v>0</v>
      </c>
      <c r="H262" s="460">
        <v>0</v>
      </c>
      <c r="I262" s="465"/>
      <c r="J262" s="448"/>
      <c r="K262" s="460">
        <v>0</v>
      </c>
      <c r="L262" s="460">
        <v>0</v>
      </c>
      <c r="M262" s="465"/>
      <c r="N262" s="448"/>
      <c r="O262" s="446">
        <v>0</v>
      </c>
      <c r="P262" s="460">
        <v>0</v>
      </c>
      <c r="Q262" s="435"/>
      <c r="R262" s="467"/>
      <c r="S262" s="647"/>
      <c r="T262" s="647"/>
      <c r="U262" s="464"/>
      <c r="V262" s="435"/>
      <c r="W262" s="470"/>
      <c r="X262" s="470">
        <f t="shared" si="167"/>
        <v>0</v>
      </c>
      <c r="Y262" s="448"/>
      <c r="Z262" s="446">
        <v>0</v>
      </c>
      <c r="AA262" s="460">
        <v>0</v>
      </c>
      <c r="AB262" s="435"/>
      <c r="AC262" s="448"/>
      <c r="AD262" s="446">
        <v>0</v>
      </c>
      <c r="AE262" s="460">
        <v>0</v>
      </c>
      <c r="AF262" s="435"/>
      <c r="AG262" s="448"/>
      <c r="AH262" s="446">
        <v>0</v>
      </c>
      <c r="AI262" s="460">
        <v>0</v>
      </c>
      <c r="AJ262" s="435"/>
      <c r="AK262" s="467"/>
      <c r="AL262" s="647"/>
      <c r="AM262" s="647"/>
      <c r="AN262" s="464"/>
      <c r="AO262" s="435"/>
      <c r="AP262" s="470"/>
      <c r="AQ262" s="470">
        <f t="shared" si="168"/>
        <v>0</v>
      </c>
      <c r="AR262" s="467">
        <f>SUM(R262,AK262)</f>
        <v>0</v>
      </c>
      <c r="AS262" s="647"/>
      <c r="AT262" s="647"/>
      <c r="AU262" s="464">
        <f>SUM(U262,AN262)</f>
        <v>0</v>
      </c>
      <c r="AV262" s="435"/>
      <c r="AW262" s="470"/>
      <c r="AX262" s="470">
        <f t="shared" si="169"/>
        <v>0</v>
      </c>
      <c r="AY262" s="472">
        <f>AR262/6</f>
        <v>0</v>
      </c>
      <c r="AZ262" s="472">
        <f>AU262/6</f>
        <v>0</v>
      </c>
      <c r="BA262" s="1425">
        <v>0</v>
      </c>
      <c r="BB262" s="337"/>
      <c r="BC262" s="337"/>
      <c r="BD262" s="337"/>
      <c r="BE262" s="337"/>
    </row>
    <row r="263" spans="6:57" ht="12" customHeight="1">
      <c r="F263" s="447"/>
      <c r="G263" s="483"/>
      <c r="H263" s="483"/>
      <c r="I263" s="487"/>
      <c r="J263" s="447"/>
      <c r="K263" s="483"/>
      <c r="L263" s="483"/>
      <c r="M263" s="487"/>
      <c r="N263" s="447"/>
      <c r="O263" s="490"/>
      <c r="P263" s="483"/>
      <c r="Q263" s="492"/>
      <c r="R263" s="650"/>
      <c r="S263" s="984"/>
      <c r="T263" s="984"/>
      <c r="U263" s="485"/>
      <c r="V263" s="492"/>
      <c r="W263" s="690"/>
      <c r="X263" s="445">
        <f t="shared" si="167"/>
        <v>0</v>
      </c>
      <c r="Y263" s="447"/>
      <c r="Z263" s="490"/>
      <c r="AA263" s="483"/>
      <c r="AB263" s="492"/>
      <c r="AC263" s="447"/>
      <c r="AD263" s="490"/>
      <c r="AE263" s="483"/>
      <c r="AF263" s="492"/>
      <c r="AG263" s="447"/>
      <c r="AH263" s="490"/>
      <c r="AI263" s="483"/>
      <c r="AJ263" s="492"/>
      <c r="AK263" s="650"/>
      <c r="AL263" s="984"/>
      <c r="AM263" s="984"/>
      <c r="AN263" s="485"/>
      <c r="AO263" s="492"/>
      <c r="AP263" s="690"/>
      <c r="AQ263" s="445">
        <f t="shared" si="168"/>
        <v>0</v>
      </c>
      <c r="AR263" s="521"/>
      <c r="AS263" s="648"/>
      <c r="AT263" s="648"/>
      <c r="AU263" s="481"/>
      <c r="AV263" s="983"/>
      <c r="AW263" s="1087"/>
      <c r="AX263" s="445">
        <f t="shared" si="169"/>
        <v>0</v>
      </c>
      <c r="AY263" s="472"/>
      <c r="AZ263" s="472"/>
      <c r="BA263" s="1425"/>
      <c r="BB263" s="337"/>
      <c r="BC263" s="337"/>
      <c r="BD263" s="337"/>
      <c r="BE263" s="337"/>
    </row>
    <row r="264" spans="6:57" ht="12.75" customHeight="1" thickBot="1">
      <c r="F264" s="964"/>
      <c r="G264" s="1005">
        <f>G254+G256+G258+G260+G262</f>
        <v>0</v>
      </c>
      <c r="H264" s="1005">
        <f>H254+H256+H258+H260+H262</f>
        <v>0</v>
      </c>
      <c r="I264" s="965"/>
      <c r="J264" s="964"/>
      <c r="K264" s="1005">
        <f>K254+K256+K258+K260+K262</f>
        <v>0</v>
      </c>
      <c r="L264" s="1005">
        <f>L254+L256+L258+L260+L262</f>
        <v>0</v>
      </c>
      <c r="M264" s="965"/>
      <c r="N264" s="964"/>
      <c r="O264" s="1088">
        <f>O254+O256+O258+O260+O262</f>
        <v>0</v>
      </c>
      <c r="P264" s="1005">
        <f>P254+P256+P258+P260+P262</f>
        <v>0</v>
      </c>
      <c r="Q264" s="974"/>
      <c r="R264" s="964"/>
      <c r="S264" s="987"/>
      <c r="T264" s="987"/>
      <c r="U264" s="960"/>
      <c r="V264" s="974"/>
      <c r="W264" s="988"/>
      <c r="X264" s="988">
        <f t="shared" si="167"/>
        <v>0</v>
      </c>
      <c r="Y264" s="964"/>
      <c r="Z264" s="1088">
        <f>Z254+Z256+Z258+Z260+Z262</f>
        <v>0</v>
      </c>
      <c r="AA264" s="1005">
        <f>AA254+AA256+AA258+AA260+AA262</f>
        <v>0</v>
      </c>
      <c r="AB264" s="974"/>
      <c r="AC264" s="964"/>
      <c r="AD264" s="1088">
        <f>AD254+AD256+AD258+AD260+AD262</f>
        <v>0</v>
      </c>
      <c r="AE264" s="1005">
        <f>AE254+AE256+AE258+AE260+AE262</f>
        <v>0</v>
      </c>
      <c r="AF264" s="974"/>
      <c r="AG264" s="964"/>
      <c r="AH264" s="1088">
        <f>AH254+AH256+AH258+AH260+AH262</f>
        <v>0</v>
      </c>
      <c r="AI264" s="1005">
        <f>AI254+AI256+AI258+AI260+AI262</f>
        <v>0</v>
      </c>
      <c r="AJ264" s="974"/>
      <c r="AK264" s="964"/>
      <c r="AL264" s="987"/>
      <c r="AM264" s="987"/>
      <c r="AN264" s="960"/>
      <c r="AO264" s="974"/>
      <c r="AP264" s="988"/>
      <c r="AQ264" s="988">
        <f t="shared" si="168"/>
        <v>0</v>
      </c>
      <c r="AR264" s="964">
        <f>AR254+AR256+AR258+AR262+AR260</f>
        <v>0</v>
      </c>
      <c r="AS264" s="987"/>
      <c r="AT264" s="987"/>
      <c r="AU264" s="960">
        <f>AU254+AU256+AU258+AU262+AU260</f>
        <v>0</v>
      </c>
      <c r="AV264" s="974"/>
      <c r="AW264" s="988"/>
      <c r="AX264" s="988">
        <f t="shared" si="169"/>
        <v>0</v>
      </c>
      <c r="AY264" s="472">
        <f>AY254+AY256+AY258+AY262+AY260</f>
        <v>0</v>
      </c>
      <c r="AZ264" s="472">
        <f>AZ254+AZ256+AZ258+AZ262+AZ260</f>
        <v>0</v>
      </c>
      <c r="BA264" s="1425">
        <v>0</v>
      </c>
    </row>
    <row r="265" spans="6:57" ht="14.25">
      <c r="F265" s="445"/>
      <c r="G265" s="445">
        <f>G43-G216</f>
        <v>73879.525641025641</v>
      </c>
      <c r="H265" s="445">
        <f>H43-H216</f>
        <v>74450.96132008548</v>
      </c>
      <c r="I265" s="990"/>
      <c r="J265" s="445"/>
      <c r="K265" s="445">
        <f>K43-K216</f>
        <v>69976.931623931625</v>
      </c>
      <c r="L265" s="445">
        <f>L43-L216</f>
        <v>70591.879196581212</v>
      </c>
      <c r="M265" s="714"/>
      <c r="N265" s="445"/>
      <c r="O265" s="445">
        <f>O43-O216</f>
        <v>69369.829059829062</v>
      </c>
      <c r="P265" s="445">
        <f>P43-P216</f>
        <v>69571.041812788972</v>
      </c>
      <c r="Q265" s="989"/>
      <c r="R265" s="989"/>
      <c r="S265" s="989"/>
      <c r="T265" s="989"/>
      <c r="U265" s="990"/>
      <c r="V265" s="989"/>
      <c r="W265" s="989"/>
      <c r="X265" s="989"/>
      <c r="Y265" s="445"/>
      <c r="Z265" s="445">
        <f>Z43-Z216</f>
        <v>68877.777777777781</v>
      </c>
      <c r="AA265" s="989">
        <f>AA43-AA216</f>
        <v>69175.150638926018</v>
      </c>
      <c r="AB265" s="445"/>
      <c r="AC265" s="445"/>
      <c r="AD265" s="445">
        <f>AD43-AD216</f>
        <v>57045.299145299148</v>
      </c>
      <c r="AE265" s="989">
        <f>AE43-AE216</f>
        <v>57045.299145299148</v>
      </c>
      <c r="AF265" s="445"/>
      <c r="AG265" s="445"/>
      <c r="AH265" s="445">
        <f>AH43-AH216</f>
        <v>30125.641025641031</v>
      </c>
      <c r="AI265" s="989">
        <f>AI43-AI216</f>
        <v>30125.641025641031</v>
      </c>
      <c r="AJ265" s="445"/>
      <c r="AK265" s="989"/>
      <c r="AL265" s="989"/>
      <c r="AM265" s="989"/>
      <c r="AN265" s="990"/>
      <c r="AO265" s="989"/>
      <c r="AP265" s="989"/>
      <c r="AQ265" s="989"/>
      <c r="AR265" s="989"/>
      <c r="AS265" s="989"/>
      <c r="AT265" s="989"/>
      <c r="AU265" s="990"/>
      <c r="AV265" s="989"/>
      <c r="AW265" s="989"/>
      <c r="AX265" s="989"/>
      <c r="AY265" s="991"/>
      <c r="AZ265" s="991"/>
      <c r="BA265" s="1425"/>
      <c r="BB265" s="992"/>
      <c r="BC265" s="992"/>
      <c r="BD265" s="992"/>
      <c r="BE265" s="992"/>
    </row>
    <row r="266" spans="6:57" ht="14.25">
      <c r="F266" s="445"/>
      <c r="G266" s="445">
        <f>G50-G228</f>
        <v>163320.76923076925</v>
      </c>
      <c r="H266" s="445">
        <f>H50-H228</f>
        <v>119336.36978162391</v>
      </c>
      <c r="I266" s="990"/>
      <c r="J266" s="445"/>
      <c r="K266" s="445">
        <f>K50-K228</f>
        <v>79803.076923076937</v>
      </c>
      <c r="L266" s="445">
        <f>L50-L228</f>
        <v>78996.816622051236</v>
      </c>
      <c r="M266" s="714"/>
      <c r="N266" s="445"/>
      <c r="O266" s="445">
        <f>O50-O228</f>
        <v>111281.70940170941</v>
      </c>
      <c r="P266" s="445">
        <f>P50-P228</f>
        <v>107852.09361179487</v>
      </c>
      <c r="Q266" s="989"/>
      <c r="R266" s="989"/>
      <c r="S266" s="989"/>
      <c r="T266" s="989"/>
      <c r="U266" s="990"/>
      <c r="V266" s="989"/>
      <c r="W266" s="989"/>
      <c r="X266" s="989"/>
      <c r="Y266" s="445"/>
      <c r="Z266" s="445">
        <f>Z50-Z228</f>
        <v>142745.19658119656</v>
      </c>
      <c r="AA266" s="989">
        <f>AA50-AA228</f>
        <v>133159.6891429915</v>
      </c>
      <c r="AB266" s="445"/>
      <c r="AC266" s="445"/>
      <c r="AD266" s="445">
        <f>AD50-AD228</f>
        <v>144899.14529914531</v>
      </c>
      <c r="AE266" s="989">
        <f>AE50-AE228</f>
        <v>98794.871794871811</v>
      </c>
      <c r="AF266" s="445"/>
      <c r="AG266" s="445"/>
      <c r="AH266" s="445">
        <f>AH50-AH228</f>
        <v>98794.871794871811</v>
      </c>
      <c r="AI266" s="989">
        <f>AI50-AI228</f>
        <v>65769.230769230766</v>
      </c>
      <c r="AJ266" s="445"/>
      <c r="AK266" s="989"/>
      <c r="AL266" s="989"/>
      <c r="AM266" s="989"/>
      <c r="AN266" s="990"/>
      <c r="AO266" s="989"/>
      <c r="AP266" s="989"/>
      <c r="AQ266" s="989"/>
      <c r="AR266" s="989"/>
      <c r="AS266" s="989"/>
      <c r="AT266" s="989"/>
      <c r="AU266" s="990"/>
      <c r="AV266" s="989"/>
      <c r="AW266" s="989"/>
      <c r="AX266" s="989"/>
      <c r="AY266" s="991"/>
      <c r="AZ266" s="991"/>
      <c r="BA266" s="1425"/>
      <c r="BB266" s="992"/>
      <c r="BC266" s="992"/>
      <c r="BD266" s="992"/>
      <c r="BE266" s="992"/>
    </row>
    <row r="267" spans="6:57" ht="14.25">
      <c r="G267" s="416">
        <f>G55-G236</f>
        <v>104222.22222222223</v>
      </c>
      <c r="H267" s="416">
        <f>H55-H236</f>
        <v>104972.06332123079</v>
      </c>
      <c r="I267" s="992"/>
      <c r="K267" s="416">
        <f>K55-K236</f>
        <v>111269.23076923078</v>
      </c>
      <c r="L267" s="416">
        <f>L55-L236</f>
        <v>103814.9876697436</v>
      </c>
      <c r="M267" s="416"/>
      <c r="O267" s="416">
        <f>O55-O236</f>
        <v>101493.71794871797</v>
      </c>
      <c r="P267" s="416">
        <f>P55-P236</f>
        <v>85747.627829999998</v>
      </c>
      <c r="Q267" s="992"/>
      <c r="R267" s="992"/>
      <c r="S267" s="992"/>
      <c r="T267" s="992"/>
      <c r="U267" s="992"/>
      <c r="V267" s="992"/>
      <c r="W267" s="992"/>
      <c r="X267" s="992"/>
      <c r="Z267" s="416">
        <f>Z55-Z236</f>
        <v>110697.77777777778</v>
      </c>
      <c r="AA267" s="992">
        <f>AA55-AA236</f>
        <v>128082.74553000001</v>
      </c>
      <c r="AD267" s="416">
        <f>AD55-AD236</f>
        <v>134477.60683760684</v>
      </c>
      <c r="AE267" s="992">
        <f>AE55-AE236</f>
        <v>97265.811965811969</v>
      </c>
      <c r="AH267" s="416">
        <f>AH55-AH236</f>
        <v>101816.06837606838</v>
      </c>
      <c r="AI267" s="992">
        <f>AI55-AI236</f>
        <v>69291.880341880344</v>
      </c>
      <c r="AK267" s="992"/>
      <c r="AL267" s="992"/>
      <c r="AM267" s="992"/>
      <c r="AN267" s="992"/>
      <c r="AO267" s="992"/>
      <c r="AP267" s="992"/>
      <c r="AQ267" s="992"/>
      <c r="AR267" s="992"/>
      <c r="AS267" s="992"/>
      <c r="AT267" s="992"/>
      <c r="AU267" s="992"/>
      <c r="AV267" s="992"/>
      <c r="AW267" s="992"/>
      <c r="AX267" s="992"/>
      <c r="AY267" s="992"/>
      <c r="AZ267" s="992"/>
      <c r="BB267" s="992"/>
      <c r="BC267" s="992"/>
      <c r="BD267" s="992"/>
      <c r="BE267" s="992"/>
    </row>
    <row r="268" spans="6:57" ht="14.25">
      <c r="I268" s="992"/>
      <c r="M268" s="416"/>
      <c r="Q268" s="992"/>
      <c r="R268" s="992"/>
      <c r="S268" s="992"/>
      <c r="T268" s="992" t="s">
        <v>304</v>
      </c>
      <c r="U268" s="992"/>
      <c r="V268" s="992"/>
      <c r="W268" s="992"/>
      <c r="X268" s="992"/>
      <c r="AA268" s="992"/>
      <c r="AE268" s="992"/>
      <c r="AI268" s="992"/>
      <c r="AK268" s="992"/>
      <c r="AL268" s="992"/>
      <c r="AM268" s="992"/>
      <c r="AN268" s="992"/>
      <c r="AO268" s="992"/>
      <c r="AP268" s="992"/>
      <c r="AQ268" s="992"/>
      <c r="AR268" s="992"/>
      <c r="AS268" s="992"/>
      <c r="AT268" s="992"/>
      <c r="AU268" s="992"/>
      <c r="AV268" s="992"/>
      <c r="AW268" s="992"/>
      <c r="AX268" s="992"/>
      <c r="AY268" s="992"/>
      <c r="AZ268" s="992"/>
      <c r="BB268" s="992"/>
      <c r="BC268" s="992"/>
      <c r="BD268" s="992"/>
      <c r="BE268" s="992"/>
    </row>
    <row r="269" spans="6:57" ht="14.25">
      <c r="I269" s="992"/>
      <c r="M269" s="416"/>
      <c r="Q269" s="992"/>
      <c r="R269" s="992"/>
      <c r="S269" s="992"/>
      <c r="T269" s="992"/>
      <c r="U269" s="992"/>
      <c r="V269" s="992"/>
      <c r="W269" s="992"/>
      <c r="X269" s="992"/>
      <c r="Z269" s="416" t="s">
        <v>270</v>
      </c>
      <c r="AA269" s="992" t="s">
        <v>305</v>
      </c>
      <c r="AE269" s="992"/>
      <c r="AI269" s="992"/>
      <c r="AK269" s="992"/>
      <c r="AL269" s="992"/>
      <c r="AM269" s="992"/>
      <c r="AN269" s="992"/>
      <c r="AO269" s="992"/>
      <c r="AP269" s="992"/>
      <c r="AQ269" s="992"/>
      <c r="AR269" s="992"/>
      <c r="AS269" s="992"/>
      <c r="AT269" s="992"/>
      <c r="AU269" s="992"/>
      <c r="AV269" s="992"/>
      <c r="AW269" s="992"/>
      <c r="AX269" s="992"/>
      <c r="AY269" s="992"/>
      <c r="AZ269" s="992"/>
      <c r="BB269" s="992"/>
      <c r="BC269" s="992"/>
      <c r="BD269" s="992"/>
      <c r="BE269" s="992"/>
    </row>
    <row r="270" spans="6:57" ht="14.25">
      <c r="M270" s="416"/>
      <c r="BB270" s="417"/>
      <c r="BC270" s="417"/>
      <c r="BD270" s="417"/>
      <c r="BE270" s="417"/>
    </row>
    <row r="271" spans="6:57" ht="14.25">
      <c r="H271" s="416">
        <f>H36+H40</f>
        <v>85473.213282051278</v>
      </c>
      <c r="K271" s="416">
        <f>K36+K40</f>
        <v>81410.256410256421</v>
      </c>
      <c r="L271" s="416">
        <f>L36+L40</f>
        <v>81684.420974358974</v>
      </c>
      <c r="M271" s="416"/>
      <c r="O271" s="416">
        <f>O36+O40</f>
        <v>80555.555555555562</v>
      </c>
      <c r="P271" s="416">
        <f>P36+P40</f>
        <v>80616.618666666691</v>
      </c>
      <c r="Z271" s="416">
        <f>Z36+Z40</f>
        <v>80128.20512820514</v>
      </c>
      <c r="AA271" s="416">
        <f>AA36+AA40</f>
        <v>79866.54211965813</v>
      </c>
      <c r="AD271" s="416">
        <f>AD36+AD40</f>
        <v>66538.461538461532</v>
      </c>
      <c r="AE271" s="416">
        <f>AE36+AE40</f>
        <v>66538.461538461532</v>
      </c>
      <c r="AH271" s="416">
        <f>AH36+AH40</f>
        <v>35256.410256410258</v>
      </c>
      <c r="AI271" s="416">
        <f>AI36+AI40</f>
        <v>35256.410256410258</v>
      </c>
      <c r="BB271" s="417"/>
      <c r="BC271" s="417"/>
      <c r="BD271" s="417"/>
      <c r="BE271" s="417"/>
    </row>
    <row r="272" spans="6:57" ht="14.25">
      <c r="H272" s="416">
        <f>H204+H212</f>
        <v>11179.82181999999</v>
      </c>
      <c r="K272" s="416">
        <f>K204+K212</f>
        <v>11606</v>
      </c>
      <c r="L272" s="416">
        <f>L204+L212</f>
        <v>11322.904839999992</v>
      </c>
      <c r="M272" s="416"/>
      <c r="O272" s="416">
        <f>O204+O212</f>
        <v>11358.80341880342</v>
      </c>
      <c r="P272" s="416">
        <f>P204+P212</f>
        <v>11377.183468289999</v>
      </c>
      <c r="Z272" s="416">
        <f>Z204+Z212</f>
        <v>11423.504273504275</v>
      </c>
      <c r="AA272" s="416">
        <f>AA204+AA212</f>
        <v>11186.105740236173</v>
      </c>
      <c r="AD272" s="416">
        <f>AD204+AD212</f>
        <v>9597.0085470085469</v>
      </c>
      <c r="AE272" s="416">
        <f>AE204+AE212</f>
        <v>9597.0085470085469</v>
      </c>
      <c r="AH272" s="416">
        <f>AH204+AH212</f>
        <v>5234.6153846153848</v>
      </c>
      <c r="AI272" s="416">
        <f>AI204+AI212</f>
        <v>5234.6153846153848</v>
      </c>
      <c r="BB272" s="417"/>
      <c r="BC272" s="417"/>
      <c r="BD272" s="417"/>
      <c r="BE272" s="417"/>
    </row>
    <row r="273" spans="13:57" ht="14.25">
      <c r="M273" s="416"/>
      <c r="BB273" s="417"/>
      <c r="BC273" s="417"/>
      <c r="BD273" s="417"/>
      <c r="BE273" s="417"/>
    </row>
    <row r="274" spans="13:57" ht="14.25">
      <c r="M274" s="416"/>
      <c r="BB274" s="417"/>
      <c r="BC274" s="417"/>
      <c r="BD274" s="417"/>
      <c r="BE274" s="417"/>
    </row>
    <row r="275" spans="13:57" ht="14.25">
      <c r="M275" s="416"/>
      <c r="BB275" s="417"/>
      <c r="BC275" s="417"/>
      <c r="BD275" s="417"/>
      <c r="BE275" s="417"/>
    </row>
    <row r="276" spans="13:57" ht="14.25">
      <c r="M276" s="416"/>
      <c r="BB276" s="417"/>
      <c r="BC276" s="417"/>
      <c r="BD276" s="417"/>
      <c r="BE276" s="417"/>
    </row>
    <row r="277" spans="13:57" ht="14.25">
      <c r="M277" s="416"/>
      <c r="BB277" s="417"/>
      <c r="BC277" s="417"/>
      <c r="BD277" s="417"/>
      <c r="BE277" s="417"/>
    </row>
    <row r="278" spans="13:57" ht="14.25">
      <c r="M278" s="416"/>
      <c r="BB278" s="417"/>
      <c r="BC278" s="417"/>
      <c r="BD278" s="417"/>
      <c r="BE278" s="417"/>
    </row>
    <row r="279" spans="13:57" ht="14.25">
      <c r="M279" s="416"/>
      <c r="BB279" s="417"/>
      <c r="BC279" s="417"/>
      <c r="BD279" s="417"/>
      <c r="BE279" s="417"/>
    </row>
    <row r="280" spans="13:57" ht="14.25">
      <c r="M280" s="416"/>
      <c r="BB280" s="417"/>
      <c r="BC280" s="417"/>
      <c r="BD280" s="417"/>
      <c r="BE280" s="417"/>
    </row>
    <row r="281" spans="13:57" ht="14.25">
      <c r="M281" s="416"/>
      <c r="BB281" s="417"/>
      <c r="BC281" s="417"/>
      <c r="BD281" s="417"/>
      <c r="BE281" s="417"/>
    </row>
    <row r="282" spans="13:57" ht="14.25">
      <c r="M282" s="416"/>
      <c r="BB282" s="417"/>
      <c r="BC282" s="417"/>
      <c r="BD282" s="417"/>
      <c r="BE282" s="417"/>
    </row>
    <row r="283" spans="13:57" ht="14.25">
      <c r="M283" s="416"/>
      <c r="BB283" s="417"/>
      <c r="BC283" s="417"/>
      <c r="BD283" s="417"/>
      <c r="BE283" s="417"/>
    </row>
    <row r="284" spans="13:57" ht="14.25">
      <c r="M284" s="416"/>
      <c r="BB284" s="417"/>
      <c r="BC284" s="417"/>
      <c r="BD284" s="417"/>
      <c r="BE284" s="417"/>
    </row>
    <row r="285" spans="13:57" ht="14.25">
      <c r="M285" s="416"/>
      <c r="BB285" s="993"/>
      <c r="BC285" s="993"/>
      <c r="BD285" s="993"/>
      <c r="BE285" s="993"/>
    </row>
    <row r="286" spans="13:57" ht="14.25">
      <c r="M286" s="416"/>
      <c r="BB286" s="993"/>
      <c r="BC286" s="993"/>
      <c r="BD286" s="993"/>
      <c r="BE286" s="993"/>
    </row>
    <row r="287" spans="13:57" ht="14.25">
      <c r="M287" s="416"/>
      <c r="BB287" s="993"/>
      <c r="BC287" s="993"/>
      <c r="BD287" s="993"/>
      <c r="BE287" s="993"/>
    </row>
    <row r="288" spans="13:57" ht="14.25">
      <c r="M288" s="416"/>
      <c r="BB288" s="993"/>
      <c r="BC288" s="993"/>
      <c r="BD288" s="993"/>
      <c r="BE288" s="993"/>
    </row>
    <row r="289" spans="13:57" ht="14.25">
      <c r="M289" s="416"/>
      <c r="BB289" s="993"/>
      <c r="BC289" s="993"/>
      <c r="BD289" s="993"/>
      <c r="BE289" s="993"/>
    </row>
    <row r="290" spans="13:57" ht="14.25">
      <c r="M290" s="416"/>
      <c r="BB290" s="993"/>
      <c r="BC290" s="993"/>
      <c r="BD290" s="993"/>
      <c r="BE290" s="993"/>
    </row>
    <row r="291" spans="13:57" ht="14.25">
      <c r="M291" s="416"/>
      <c r="BB291" s="993"/>
      <c r="BC291" s="993"/>
      <c r="BD291" s="993"/>
      <c r="BE291" s="993"/>
    </row>
    <row r="292" spans="13:57" ht="14.25">
      <c r="M292" s="416"/>
      <c r="BB292" s="993"/>
      <c r="BC292" s="993"/>
      <c r="BD292" s="993"/>
      <c r="BE292" s="993"/>
    </row>
    <row r="293" spans="13:57" ht="14.25">
      <c r="M293" s="416"/>
      <c r="BB293" s="993"/>
      <c r="BC293" s="993"/>
      <c r="BD293" s="993"/>
      <c r="BE293" s="993"/>
    </row>
    <row r="294" spans="13:57" ht="14.25">
      <c r="M294" s="416"/>
      <c r="BB294" s="993"/>
      <c r="BC294" s="993"/>
      <c r="BD294" s="993"/>
      <c r="BE294" s="993"/>
    </row>
    <row r="295" spans="13:57" ht="14.25">
      <c r="M295" s="416"/>
      <c r="BB295" s="993"/>
      <c r="BC295" s="993"/>
      <c r="BD295" s="993"/>
      <c r="BE295" s="993"/>
    </row>
    <row r="296" spans="13:57" ht="14.25">
      <c r="M296" s="416"/>
      <c r="BB296" s="993"/>
      <c r="BC296" s="993"/>
      <c r="BD296" s="993"/>
      <c r="BE296" s="993"/>
    </row>
    <row r="297" spans="13:57" ht="14.25">
      <c r="M297" s="416"/>
      <c r="BB297" s="993"/>
      <c r="BC297" s="993"/>
      <c r="BD297" s="993"/>
      <c r="BE297" s="993"/>
    </row>
    <row r="298" spans="13:57" ht="14.25">
      <c r="M298" s="416"/>
      <c r="BB298" s="993"/>
      <c r="BC298" s="993"/>
      <c r="BD298" s="993"/>
      <c r="BE298" s="993"/>
    </row>
    <row r="299" spans="13:57" ht="14.25">
      <c r="M299" s="416"/>
      <c r="BB299" s="993"/>
      <c r="BC299" s="993"/>
      <c r="BD299" s="993"/>
      <c r="BE299" s="993"/>
    </row>
    <row r="300" spans="13:57" ht="9.75" customHeight="1">
      <c r="M300" s="416"/>
    </row>
    <row r="301" spans="13:57" ht="9.75" customHeight="1">
      <c r="M301" s="416"/>
      <c r="BB301" s="993"/>
      <c r="BC301" s="993"/>
      <c r="BD301" s="993"/>
      <c r="BE301" s="993"/>
    </row>
    <row r="302" spans="13:57" ht="9.75" customHeight="1">
      <c r="M302" s="416"/>
    </row>
    <row r="303" spans="13:57" ht="9.75" customHeight="1">
      <c r="M303" s="416"/>
      <c r="BB303" s="993"/>
      <c r="BC303" s="993"/>
      <c r="BD303" s="993"/>
      <c r="BE303" s="993"/>
    </row>
    <row r="304" spans="13:57" ht="9.75" customHeight="1">
      <c r="M304" s="416"/>
      <c r="BB304" s="993"/>
      <c r="BC304" s="993"/>
      <c r="BD304" s="993"/>
      <c r="BE304" s="993"/>
    </row>
    <row r="305" spans="13:57" ht="9.75" customHeight="1">
      <c r="M305" s="416"/>
      <c r="BB305" s="993"/>
      <c r="BC305" s="993"/>
      <c r="BD305" s="993"/>
      <c r="BE305" s="993"/>
    </row>
    <row r="306" spans="13:57" ht="9.75" customHeight="1">
      <c r="M306" s="416"/>
      <c r="BB306" s="993"/>
      <c r="BC306" s="993"/>
      <c r="BD306" s="993"/>
      <c r="BE306" s="993"/>
    </row>
    <row r="307" spans="13:57" ht="9.75" customHeight="1">
      <c r="M307" s="416"/>
    </row>
    <row r="308" spans="13:57" ht="9.75" customHeight="1">
      <c r="M308" s="416"/>
      <c r="BB308" s="993"/>
      <c r="BC308" s="993"/>
      <c r="BD308" s="993"/>
      <c r="BE308" s="993"/>
    </row>
    <row r="309" spans="13:57" ht="9.75" customHeight="1">
      <c r="M309" s="416"/>
    </row>
    <row r="310" spans="13:57" ht="9.75" customHeight="1">
      <c r="M310" s="416"/>
      <c r="BB310" s="993"/>
      <c r="BC310" s="993"/>
      <c r="BD310" s="993"/>
      <c r="BE310" s="993"/>
    </row>
    <row r="311" spans="13:57" ht="9.75" customHeight="1">
      <c r="M311" s="416"/>
    </row>
    <row r="312" spans="13:57" ht="9.75" customHeight="1">
      <c r="M312" s="416"/>
      <c r="BB312" s="993"/>
      <c r="BC312" s="993"/>
      <c r="BD312" s="993"/>
      <c r="BE312" s="993"/>
    </row>
    <row r="314" spans="13:57" ht="9.75" customHeight="1">
      <c r="BB314" s="993"/>
      <c r="BC314" s="993"/>
      <c r="BD314" s="993"/>
      <c r="BE314" s="993"/>
    </row>
    <row r="316" spans="13:57" ht="9.75" customHeight="1">
      <c r="BB316" s="993"/>
      <c r="BC316" s="993"/>
      <c r="BD316" s="993"/>
      <c r="BE316" s="993"/>
    </row>
    <row r="318" spans="13:57" ht="9.75" customHeight="1">
      <c r="BB318" s="993"/>
      <c r="BC318" s="993"/>
      <c r="BD318" s="993"/>
      <c r="BE318" s="993"/>
    </row>
  </sheetData>
  <mergeCells count="74">
    <mergeCell ref="B5:C5"/>
    <mergeCell ref="B8:C8"/>
    <mergeCell ref="AR34:AX34"/>
    <mergeCell ref="AR3:AX3"/>
    <mergeCell ref="N3:Q3"/>
    <mergeCell ref="R3:X3"/>
    <mergeCell ref="Y3:AB3"/>
    <mergeCell ref="AC3:AF3"/>
    <mergeCell ref="AG3:AJ3"/>
    <mergeCell ref="AK3:AQ3"/>
    <mergeCell ref="F3:I3"/>
    <mergeCell ref="J3:M3"/>
    <mergeCell ref="AC34:AF34"/>
    <mergeCell ref="AG34:AJ34"/>
    <mergeCell ref="AK34:AQ34"/>
    <mergeCell ref="R34:X34"/>
    <mergeCell ref="Y34:AB34"/>
    <mergeCell ref="F34:I34"/>
    <mergeCell ref="J34:M34"/>
    <mergeCell ref="N34:Q34"/>
    <mergeCell ref="AR70:AX70"/>
    <mergeCell ref="F70:I70"/>
    <mergeCell ref="J70:M70"/>
    <mergeCell ref="N70:Q70"/>
    <mergeCell ref="R70:X70"/>
    <mergeCell ref="Y70:AB70"/>
    <mergeCell ref="AC70:AF70"/>
    <mergeCell ref="AG70:AJ70"/>
    <mergeCell ref="AK70:AQ70"/>
    <mergeCell ref="F113:I113"/>
    <mergeCell ref="J113:M113"/>
    <mergeCell ref="F161:I161"/>
    <mergeCell ref="J161:M161"/>
    <mergeCell ref="N161:Q161"/>
    <mergeCell ref="N113:Q113"/>
    <mergeCell ref="AG161:AJ161"/>
    <mergeCell ref="AG201:AJ201"/>
    <mergeCell ref="Y201:AB201"/>
    <mergeCell ref="AC201:AF201"/>
    <mergeCell ref="J201:M201"/>
    <mergeCell ref="N201:Q201"/>
    <mergeCell ref="R201:X201"/>
    <mergeCell ref="BB2:BE2"/>
    <mergeCell ref="B203:C203"/>
    <mergeCell ref="B204:C204"/>
    <mergeCell ref="B213:C213"/>
    <mergeCell ref="B214:C214"/>
    <mergeCell ref="B36:C36"/>
    <mergeCell ref="B41:C41"/>
    <mergeCell ref="B72:C72"/>
    <mergeCell ref="B75:C75"/>
    <mergeCell ref="A90:C90"/>
    <mergeCell ref="B115:C115"/>
    <mergeCell ref="B120:C120"/>
    <mergeCell ref="B163:C163"/>
    <mergeCell ref="B164:C164"/>
    <mergeCell ref="B169:C169"/>
    <mergeCell ref="B170:C170"/>
    <mergeCell ref="BB69:BE69"/>
    <mergeCell ref="BB160:BE160"/>
    <mergeCell ref="AK201:AQ201"/>
    <mergeCell ref="AR201:AX201"/>
    <mergeCell ref="F201:I201"/>
    <mergeCell ref="AK161:AQ161"/>
    <mergeCell ref="AR161:AX161"/>
    <mergeCell ref="R161:X161"/>
    <mergeCell ref="Y161:AB161"/>
    <mergeCell ref="AG113:AJ113"/>
    <mergeCell ref="AK113:AQ113"/>
    <mergeCell ref="AR113:AX113"/>
    <mergeCell ref="R113:X113"/>
    <mergeCell ref="Y113:AB113"/>
    <mergeCell ref="AC113:AF113"/>
    <mergeCell ref="AC161:AF161"/>
  </mergeCells>
  <phoneticPr fontId="19" type="noConversion"/>
  <printOptions horizontalCentered="1" verticalCentered="1"/>
  <pageMargins left="0" right="0" top="0" bottom="0" header="0.31496062992125984" footer="0.31496062992125984"/>
  <pageSetup paperSize="8" scale="43" fitToHeight="3" orientation="landscape" r:id="rId1"/>
  <headerFooter alignWithMargins="0"/>
  <rowBreaks count="2" manualBreakCount="2">
    <brk id="67" max="222" man="1"/>
    <brk id="158" max="22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/>
    <pageSetUpPr fitToPage="1"/>
  </sheetPr>
  <dimension ref="A1:X33"/>
  <sheetViews>
    <sheetView zoomScaleNormal="100" workbookViewId="0">
      <selection activeCell="E8" sqref="E8"/>
    </sheetView>
  </sheetViews>
  <sheetFormatPr defaultColWidth="9" defaultRowHeight="15.75"/>
  <cols>
    <col min="1" max="1" width="2.625" style="89" customWidth="1"/>
    <col min="2" max="2" width="3.875" style="89" customWidth="1"/>
    <col min="3" max="3" width="16.625" style="89" customWidth="1"/>
    <col min="4" max="4" width="14.75" style="89" hidden="1" customWidth="1"/>
    <col min="5" max="5" width="14.625" style="89" customWidth="1"/>
    <col min="6" max="6" width="12.625" style="89" customWidth="1"/>
    <col min="7" max="7" width="7.625" style="89" hidden="1" customWidth="1"/>
    <col min="8" max="8" width="14.625" style="89" customWidth="1"/>
    <col min="9" max="9" width="12.625" style="89" customWidth="1"/>
    <col min="10" max="10" width="14.625" style="89" hidden="1" customWidth="1"/>
    <col min="11" max="11" width="14.625" style="89" customWidth="1"/>
    <col min="12" max="12" width="12.625" style="89" customWidth="1"/>
    <col min="13" max="13" width="7.625" style="89" hidden="1" customWidth="1"/>
    <col min="14" max="14" width="14.625" style="89" customWidth="1"/>
    <col min="15" max="15" width="12.625" style="89" customWidth="1"/>
    <col min="16" max="20" width="7.625" style="89" hidden="1" customWidth="1"/>
    <col min="21" max="22" width="14.625" style="89" customWidth="1"/>
    <col min="23" max="23" width="0" style="89" hidden="1" customWidth="1"/>
    <col min="24" max="16384" width="9" style="89"/>
  </cols>
  <sheetData>
    <row r="1" spans="1:24">
      <c r="A1" s="88"/>
      <c r="B1" s="88"/>
      <c r="C1" s="88"/>
      <c r="D1" s="88"/>
      <c r="E1" s="88"/>
      <c r="F1" s="88"/>
      <c r="G1" s="88"/>
      <c r="H1" s="88"/>
      <c r="I1" s="88"/>
      <c r="L1" s="88"/>
      <c r="M1" s="88"/>
      <c r="O1" s="88"/>
      <c r="P1" s="88"/>
      <c r="Q1" s="88"/>
      <c r="R1" s="88"/>
      <c r="S1" s="88"/>
      <c r="T1" s="88"/>
      <c r="U1" s="88"/>
    </row>
    <row r="2" spans="1:24" ht="19.5">
      <c r="A2" s="88"/>
      <c r="B2" s="90" t="s">
        <v>153</v>
      </c>
      <c r="C2" s="88"/>
      <c r="D2" s="88"/>
      <c r="E2" s="88"/>
      <c r="F2" s="88"/>
      <c r="G2" s="88"/>
      <c r="H2" s="88"/>
      <c r="I2" s="88"/>
      <c r="L2" s="88"/>
      <c r="M2" s="88"/>
      <c r="O2" s="88"/>
      <c r="P2" s="88"/>
      <c r="Q2" s="88"/>
      <c r="R2" s="88"/>
      <c r="S2" s="88"/>
      <c r="T2" s="88"/>
      <c r="U2" s="88"/>
    </row>
    <row r="3" spans="1:24" ht="16.5">
      <c r="A3" s="88"/>
      <c r="B3" s="91"/>
      <c r="C3" s="88"/>
      <c r="D3" s="88"/>
      <c r="E3" s="88"/>
      <c r="F3" s="88"/>
      <c r="G3" s="88"/>
      <c r="H3" s="88"/>
      <c r="I3" s="88"/>
      <c r="L3" s="88"/>
      <c r="M3" s="88"/>
      <c r="O3" s="88"/>
      <c r="P3" s="88"/>
      <c r="Q3" s="88"/>
      <c r="R3" s="88"/>
      <c r="S3" s="88"/>
      <c r="T3" s="88"/>
      <c r="U3" s="88"/>
    </row>
    <row r="4" spans="1:24" ht="16.5" thickBot="1">
      <c r="A4" s="88"/>
      <c r="B4" s="88"/>
      <c r="C4" s="88"/>
      <c r="D4" s="88"/>
      <c r="E4" s="88" t="s">
        <v>111</v>
      </c>
      <c r="F4" s="88"/>
      <c r="G4" s="88" t="s">
        <v>98</v>
      </c>
      <c r="H4" s="88"/>
      <c r="I4" s="88"/>
      <c r="J4" s="89" t="s">
        <v>115</v>
      </c>
      <c r="L4" s="88"/>
      <c r="M4" s="88" t="s">
        <v>98</v>
      </c>
      <c r="O4" s="88"/>
      <c r="P4" s="88" t="s">
        <v>98</v>
      </c>
      <c r="Q4" s="88"/>
      <c r="R4" s="88"/>
      <c r="S4" s="88"/>
      <c r="T4" s="88"/>
      <c r="U4" s="88"/>
    </row>
    <row r="5" spans="1:24" ht="27.75" customHeight="1" thickBot="1">
      <c r="A5" s="88"/>
      <c r="B5" s="92"/>
      <c r="C5" s="93"/>
      <c r="D5" s="94"/>
      <c r="E5" s="1548" t="s">
        <v>5</v>
      </c>
      <c r="F5" s="1548"/>
      <c r="G5" s="1548"/>
      <c r="H5" s="1548" t="s">
        <v>4</v>
      </c>
      <c r="I5" s="1548"/>
      <c r="J5" s="1548" t="s">
        <v>7</v>
      </c>
      <c r="K5" s="1548"/>
      <c r="L5" s="1548"/>
      <c r="M5" s="1548"/>
      <c r="N5" s="1548" t="s">
        <v>18</v>
      </c>
      <c r="O5" s="1548"/>
      <c r="P5" s="1548"/>
      <c r="Q5" s="1548" t="s">
        <v>17</v>
      </c>
      <c r="R5" s="1548"/>
      <c r="S5" s="1548" t="s">
        <v>99</v>
      </c>
      <c r="T5" s="1548"/>
      <c r="U5" s="1548" t="s">
        <v>132</v>
      </c>
      <c r="V5" s="1548"/>
      <c r="W5" s="1548"/>
      <c r="X5" s="95"/>
    </row>
    <row r="6" spans="1:24" ht="27.75" customHeight="1">
      <c r="A6" s="88"/>
      <c r="B6" s="96"/>
      <c r="C6" s="97"/>
      <c r="D6" s="98"/>
      <c r="E6" s="99" t="s">
        <v>59</v>
      </c>
      <c r="F6" s="100" t="s">
        <v>32</v>
      </c>
      <c r="G6" s="101" t="s">
        <v>60</v>
      </c>
      <c r="H6" s="102" t="str">
        <f>E6</f>
        <v>遂行率</v>
      </c>
      <c r="I6" s="103" t="s">
        <v>19</v>
      </c>
      <c r="J6" s="104" t="str">
        <f>E6</f>
        <v>遂行率</v>
      </c>
      <c r="K6" s="104" t="s">
        <v>154</v>
      </c>
      <c r="L6" s="105" t="s">
        <v>19</v>
      </c>
      <c r="M6" s="97" t="s">
        <v>20</v>
      </c>
      <c r="N6" s="102" t="str">
        <f>E6</f>
        <v>遂行率</v>
      </c>
      <c r="O6" s="105" t="s">
        <v>19</v>
      </c>
      <c r="P6" s="106" t="s">
        <v>20</v>
      </c>
      <c r="Q6" s="107"/>
      <c r="R6" s="108"/>
      <c r="S6" s="109"/>
      <c r="T6" s="109"/>
      <c r="U6" s="102" t="str">
        <f>L6</f>
        <v>達成率</v>
      </c>
      <c r="V6" s="105" t="s">
        <v>19</v>
      </c>
      <c r="W6" s="106" t="s">
        <v>20</v>
      </c>
      <c r="X6" s="95"/>
    </row>
    <row r="7" spans="1:24" ht="35.25" hidden="1" customHeight="1">
      <c r="A7" s="88"/>
      <c r="B7" s="110"/>
      <c r="C7" s="1548" t="s">
        <v>21</v>
      </c>
      <c r="D7" s="111" t="s">
        <v>100</v>
      </c>
      <c r="E7" s="112">
        <f>'PL項目 17下'!I8+0.005</f>
        <v>0.65093528333333328</v>
      </c>
      <c r="F7" s="105" t="str">
        <f t="shared" ref="F7:F20" si="0">VLOOKUP(E7,$D$27:$E$31,2,TRUE)</f>
        <v>××</v>
      </c>
      <c r="G7" s="97"/>
      <c r="H7" s="113">
        <f>'PL項目 17下'!I16</f>
        <v>0.73206630400000006</v>
      </c>
      <c r="I7" s="114" t="str">
        <f t="shared" ref="I7:I20" si="1">VLOOKUP(H7,$D$27:$E$31,2,TRUE)</f>
        <v>××</v>
      </c>
      <c r="J7" s="115">
        <f>'PL項目 17下'!I32</f>
        <v>1.006110826205783</v>
      </c>
      <c r="K7" s="116" t="s">
        <v>112</v>
      </c>
      <c r="L7" s="117" t="str">
        <f>VLOOKUP(J7,$D$27:$E$31,2,TRUE)</f>
        <v>○</v>
      </c>
      <c r="M7" s="97"/>
      <c r="N7" s="118">
        <f>'PL項目 17下'!I24</f>
        <v>0.73653983395485401</v>
      </c>
      <c r="O7" s="119" t="str">
        <f t="shared" ref="O7:O20" si="2">VLOOKUP(N7,$D$27:$E$31,2,TRUE)</f>
        <v>××</v>
      </c>
      <c r="P7" s="106"/>
      <c r="Q7" s="120">
        <v>0.99</v>
      </c>
      <c r="R7" s="103" t="str">
        <f>VLOOKUP(Q7,$D$27:$E$31,2,TRUE)</f>
        <v>△</v>
      </c>
      <c r="S7" s="121">
        <v>1.01</v>
      </c>
      <c r="T7" s="122" t="str">
        <f>VLOOKUP(S7,$D$27:$E$31,2,TRUE)</f>
        <v>○</v>
      </c>
      <c r="U7" s="118">
        <f>'PL項目 17下'!T24</f>
        <v>31952.751260000019</v>
      </c>
      <c r="V7" s="119" t="str">
        <f t="shared" ref="V7:V20" si="3">VLOOKUP(U7,$D$27:$E$31,2,TRUE)</f>
        <v>◎</v>
      </c>
      <c r="W7" s="106"/>
      <c r="X7" s="95"/>
    </row>
    <row r="8" spans="1:24" s="123" customFormat="1" ht="35.25" customHeight="1">
      <c r="B8" s="110"/>
      <c r="C8" s="1548"/>
      <c r="D8" s="124" t="s">
        <v>110</v>
      </c>
      <c r="E8" s="125">
        <f>'PL項目 17下'!AR8</f>
        <v>0.8714130714285715</v>
      </c>
      <c r="F8" s="126" t="str">
        <f t="shared" si="0"/>
        <v>××</v>
      </c>
      <c r="G8" s="127"/>
      <c r="H8" s="128">
        <f>'PL項目 17下'!AR16</f>
        <v>0.86556961509433972</v>
      </c>
      <c r="I8" s="129" t="str">
        <f t="shared" si="1"/>
        <v>××</v>
      </c>
      <c r="J8" s="130">
        <f>'PL項目 17下'!AR32-0.002</f>
        <v>0.97959957415293075</v>
      </c>
      <c r="K8" s="131"/>
      <c r="L8" s="126" t="s">
        <v>15</v>
      </c>
      <c r="M8" s="127"/>
      <c r="N8" s="132">
        <f>'PL項目 17下'!AR24</f>
        <v>0.84964276557632012</v>
      </c>
      <c r="O8" s="126" t="str">
        <f t="shared" si="2"/>
        <v>××</v>
      </c>
      <c r="P8" s="133"/>
      <c r="Q8" s="134"/>
      <c r="R8" s="129"/>
      <c r="S8" s="135"/>
      <c r="T8" s="136"/>
      <c r="U8" s="132"/>
      <c r="V8" s="126" t="str">
        <f t="shared" si="3"/>
        <v>××</v>
      </c>
      <c r="W8" s="133"/>
      <c r="X8" s="137"/>
    </row>
    <row r="9" spans="1:24" ht="35.25" hidden="1" customHeight="1">
      <c r="A9" s="88"/>
      <c r="B9" s="110"/>
      <c r="C9" s="1548" t="s">
        <v>23</v>
      </c>
      <c r="D9" s="111" t="s">
        <v>101</v>
      </c>
      <c r="E9" s="112">
        <f>'PL項目 17下'!I9</f>
        <v>1.0169191052</v>
      </c>
      <c r="F9" s="121" t="str">
        <f t="shared" si="0"/>
        <v>○</v>
      </c>
      <c r="G9" s="138"/>
      <c r="H9" s="113">
        <f>'PL項目 17下'!I17</f>
        <v>1.0056881553846153</v>
      </c>
      <c r="I9" s="114" t="str">
        <f t="shared" si="1"/>
        <v>○</v>
      </c>
      <c r="J9" s="139">
        <f>'PL項目 17下'!I33</f>
        <v>0.97977164150026286</v>
      </c>
      <c r="K9" s="116"/>
      <c r="L9" s="117" t="s">
        <v>116</v>
      </c>
      <c r="M9" s="138"/>
      <c r="N9" s="113">
        <f>'PL項目 17下'!I25</f>
        <v>0.98338519155555559</v>
      </c>
      <c r="O9" s="119" t="str">
        <f t="shared" si="2"/>
        <v>△</v>
      </c>
      <c r="P9" s="140"/>
      <c r="Q9" s="141">
        <v>1.88</v>
      </c>
      <c r="R9" s="142" t="str">
        <f>VLOOKUP(Q9,$D$27:$E$31,2,TRUE)</f>
        <v>◎</v>
      </c>
      <c r="S9" s="143">
        <v>1.92</v>
      </c>
      <c r="T9" s="144" t="str">
        <f>VLOOKUP(S9,$D$27:$E$31,2,TRUE)</f>
        <v>◎</v>
      </c>
      <c r="U9" s="113"/>
      <c r="V9" s="119" t="str">
        <f t="shared" si="3"/>
        <v>××</v>
      </c>
      <c r="W9" s="140"/>
      <c r="X9" s="95"/>
    </row>
    <row r="10" spans="1:24" s="123" customFormat="1" ht="35.25" customHeight="1">
      <c r="B10" s="110"/>
      <c r="C10" s="1548"/>
      <c r="D10" s="124" t="s">
        <v>109</v>
      </c>
      <c r="E10" s="125">
        <f>'PL項目 17下'!AR9</f>
        <v>0.89122904537682923</v>
      </c>
      <c r="F10" s="126" t="str">
        <f t="shared" si="0"/>
        <v>××</v>
      </c>
      <c r="G10" s="127"/>
      <c r="H10" s="128">
        <f>'PL項目 17下'!AR17</f>
        <v>0.84142555962932442</v>
      </c>
      <c r="I10" s="129" t="str">
        <f t="shared" si="1"/>
        <v>××</v>
      </c>
      <c r="J10" s="145">
        <f>'PL項目 17下'!AR33+0.003</f>
        <v>0.91456415473856068</v>
      </c>
      <c r="K10" s="146"/>
      <c r="L10" s="126" t="s">
        <v>117</v>
      </c>
      <c r="M10" s="127"/>
      <c r="N10" s="132">
        <f>'PL項目 17下'!AR25</f>
        <v>0.76617195347929623</v>
      </c>
      <c r="O10" s="126" t="str">
        <f t="shared" si="2"/>
        <v>××</v>
      </c>
      <c r="P10" s="133"/>
      <c r="Q10" s="134"/>
      <c r="R10" s="129"/>
      <c r="S10" s="135"/>
      <c r="T10" s="136"/>
      <c r="U10" s="132"/>
      <c r="V10" s="126" t="str">
        <f t="shared" si="3"/>
        <v>××</v>
      </c>
      <c r="W10" s="133"/>
      <c r="X10" s="137"/>
    </row>
    <row r="11" spans="1:24" ht="35.25" hidden="1" customHeight="1">
      <c r="A11" s="88"/>
      <c r="B11" s="110"/>
      <c r="C11" s="1548" t="s">
        <v>22</v>
      </c>
      <c r="D11" s="111" t="s">
        <v>101</v>
      </c>
      <c r="E11" s="112">
        <f>'PL項目 17下'!I7</f>
        <v>1.0014542924050631</v>
      </c>
      <c r="F11" s="121" t="str">
        <f t="shared" si="0"/>
        <v>○</v>
      </c>
      <c r="G11" s="138"/>
      <c r="H11" s="113">
        <f>'PL項目 17下'!I15</f>
        <v>1.0002855854291417</v>
      </c>
      <c r="I11" s="114" t="str">
        <f t="shared" si="1"/>
        <v>○</v>
      </c>
      <c r="J11" s="139">
        <f>'PL項目 17下'!I31</f>
        <v>0.95322198361294563</v>
      </c>
      <c r="K11" s="147"/>
      <c r="L11" s="117" t="s">
        <v>113</v>
      </c>
      <c r="M11" s="138"/>
      <c r="N11" s="113">
        <f>'PL項目 17下'!I23</f>
        <v>0.95349420992220291</v>
      </c>
      <c r="O11" s="119" t="str">
        <f t="shared" si="2"/>
        <v>△</v>
      </c>
      <c r="P11" s="140"/>
      <c r="Q11" s="141">
        <v>1.05</v>
      </c>
      <c r="R11" s="142" t="str">
        <f>VLOOKUP(Q11,$D$27:$E$31,2,TRUE)</f>
        <v>○</v>
      </c>
      <c r="S11" s="143">
        <v>1.05</v>
      </c>
      <c r="T11" s="144" t="str">
        <f>VLOOKUP(S11,$D$27:$E$31,2,TRUE)</f>
        <v>○</v>
      </c>
      <c r="U11" s="113"/>
      <c r="V11" s="119" t="str">
        <f t="shared" si="3"/>
        <v>××</v>
      </c>
      <c r="W11" s="140"/>
      <c r="X11" s="95"/>
    </row>
    <row r="12" spans="1:24" s="123" customFormat="1" ht="35.25" customHeight="1">
      <c r="B12" s="110"/>
      <c r="C12" s="1548"/>
      <c r="D12" s="124" t="s">
        <v>102</v>
      </c>
      <c r="E12" s="125">
        <f>'PL項目 17下'!AR7</f>
        <v>0.96894640006199628</v>
      </c>
      <c r="F12" s="126" t="str">
        <f t="shared" si="0"/>
        <v>△</v>
      </c>
      <c r="G12" s="127"/>
      <c r="H12" s="128">
        <f>'PL項目 17下'!AR15</f>
        <v>1.0028314081807155</v>
      </c>
      <c r="I12" s="129" t="str">
        <f t="shared" si="1"/>
        <v>○</v>
      </c>
      <c r="J12" s="145">
        <f>'PL項目 17下'!AR31-0.006</f>
        <v>0.89691636648990758</v>
      </c>
      <c r="K12" s="146"/>
      <c r="L12" s="126" t="s">
        <v>117</v>
      </c>
      <c r="M12" s="148"/>
      <c r="N12" s="132">
        <f>'PL項目 17下'!AR23</f>
        <v>0.90246439705194714</v>
      </c>
      <c r="O12" s="126" t="str">
        <f t="shared" si="2"/>
        <v>×</v>
      </c>
      <c r="P12" s="133"/>
      <c r="Q12" s="134"/>
      <c r="R12" s="129"/>
      <c r="S12" s="135"/>
      <c r="T12" s="136"/>
      <c r="U12" s="132"/>
      <c r="V12" s="126" t="str">
        <f t="shared" si="3"/>
        <v>××</v>
      </c>
      <c r="W12" s="133"/>
      <c r="X12" s="137"/>
    </row>
    <row r="13" spans="1:24" ht="35.25" hidden="1" customHeight="1">
      <c r="A13" s="88"/>
      <c r="B13" s="110"/>
      <c r="C13" s="1548" t="s">
        <v>54</v>
      </c>
      <c r="D13" s="111" t="s">
        <v>101</v>
      </c>
      <c r="E13" s="112">
        <f>'PL項目 17下'!I10</f>
        <v>0</v>
      </c>
      <c r="F13" s="121" t="str">
        <f t="shared" si="0"/>
        <v>××</v>
      </c>
      <c r="G13" s="138"/>
      <c r="H13" s="113">
        <f>'PL項目 17下'!I18</f>
        <v>0</v>
      </c>
      <c r="I13" s="114" t="str">
        <f t="shared" si="1"/>
        <v>××</v>
      </c>
      <c r="J13" s="139" t="e">
        <f>'PL項目 17下'!I34</f>
        <v>#DIV/0!</v>
      </c>
      <c r="K13" s="147"/>
      <c r="L13" s="117"/>
      <c r="M13" s="138"/>
      <c r="N13" s="113">
        <f>'PL項目 17下'!I26+0.001</f>
        <v>0</v>
      </c>
      <c r="O13" s="119" t="str">
        <f t="shared" si="2"/>
        <v>××</v>
      </c>
      <c r="P13" s="140"/>
      <c r="Q13" s="141">
        <v>0.74</v>
      </c>
      <c r="R13" s="142" t="str">
        <f>VLOOKUP(Q13,$D$27:$E$31,2,TRUE)</f>
        <v>××</v>
      </c>
      <c r="S13" s="143">
        <v>0.77</v>
      </c>
      <c r="T13" s="144" t="str">
        <f>VLOOKUP(S13,$D$27:$E$31,2,TRUE)</f>
        <v>××</v>
      </c>
      <c r="U13" s="113"/>
      <c r="V13" s="119" t="str">
        <f t="shared" si="3"/>
        <v>××</v>
      </c>
      <c r="W13" s="140"/>
      <c r="X13" s="95"/>
    </row>
    <row r="14" spans="1:24" s="123" customFormat="1" ht="35.25" hidden="1" customHeight="1">
      <c r="B14" s="110"/>
      <c r="C14" s="1548"/>
      <c r="D14" s="124" t="s">
        <v>109</v>
      </c>
      <c r="E14" s="125" t="e">
        <f>'PL項目 17下'!AR10</f>
        <v>#DIV/0!</v>
      </c>
      <c r="F14" s="126" t="e">
        <f t="shared" si="0"/>
        <v>#DIV/0!</v>
      </c>
      <c r="G14" s="127"/>
      <c r="H14" s="128">
        <f>'PL項目 17下'!AR18</f>
        <v>0.67465561929041851</v>
      </c>
      <c r="I14" s="129" t="str">
        <f t="shared" si="1"/>
        <v>××</v>
      </c>
      <c r="J14" s="145">
        <f>'PL項目 17下'!AR34+0.003</f>
        <v>3.8280126425979488</v>
      </c>
      <c r="K14" s="146"/>
      <c r="L14" s="126" t="s">
        <v>13</v>
      </c>
      <c r="M14" s="127"/>
      <c r="N14" s="132">
        <f>'PL項目 17下'!AR26</f>
        <v>2.5839395512820511</v>
      </c>
      <c r="O14" s="126" t="str">
        <f t="shared" si="2"/>
        <v>◎</v>
      </c>
      <c r="P14" s="133"/>
      <c r="Q14" s="134"/>
      <c r="R14" s="129"/>
      <c r="S14" s="135"/>
      <c r="T14" s="136"/>
      <c r="U14" s="132"/>
      <c r="V14" s="126" t="str">
        <f t="shared" si="3"/>
        <v>××</v>
      </c>
      <c r="W14" s="133"/>
      <c r="X14" s="137"/>
    </row>
    <row r="15" spans="1:24" ht="35.25" hidden="1" customHeight="1">
      <c r="A15" s="88"/>
      <c r="B15" s="110"/>
      <c r="C15" s="1548" t="s">
        <v>108</v>
      </c>
      <c r="D15" s="111" t="s">
        <v>101</v>
      </c>
      <c r="E15" s="112">
        <f>'PL項目 17下'!I11+0.019</f>
        <v>1.7156287694300516</v>
      </c>
      <c r="F15" s="121" t="str">
        <f t="shared" si="0"/>
        <v>◎</v>
      </c>
      <c r="G15" s="138"/>
      <c r="H15" s="113">
        <f>'PL項目 17下'!I19+0.018</f>
        <v>1.3372144064665126</v>
      </c>
      <c r="I15" s="114" t="str">
        <f t="shared" si="1"/>
        <v>◎</v>
      </c>
      <c r="J15" s="139">
        <f>'PL項目 17下'!I35</f>
        <v>1.1689191539616417</v>
      </c>
      <c r="K15" s="147"/>
      <c r="L15" s="117"/>
      <c r="M15" s="138"/>
      <c r="N15" s="113">
        <f>'PL項目 17下'!I27</f>
        <v>1.5327036346691518</v>
      </c>
      <c r="O15" s="119" t="str">
        <f t="shared" si="2"/>
        <v>◎</v>
      </c>
      <c r="P15" s="140"/>
      <c r="Q15" s="141">
        <v>0.74</v>
      </c>
      <c r="R15" s="142" t="str">
        <f>VLOOKUP(Q15,$D$27:$E$31,2,TRUE)</f>
        <v>××</v>
      </c>
      <c r="S15" s="143">
        <v>0.77</v>
      </c>
      <c r="T15" s="144" t="str">
        <f>VLOOKUP(S15,$D$27:$E$31,2,TRUE)</f>
        <v>××</v>
      </c>
      <c r="U15" s="113"/>
      <c r="V15" s="119" t="str">
        <f t="shared" si="3"/>
        <v>××</v>
      </c>
      <c r="W15" s="140"/>
      <c r="X15" s="95"/>
    </row>
    <row r="16" spans="1:24" s="123" customFormat="1" ht="35.25" customHeight="1">
      <c r="B16" s="110"/>
      <c r="C16" s="1548"/>
      <c r="D16" s="124" t="s">
        <v>109</v>
      </c>
      <c r="E16" s="125">
        <f>'PL項目 17下'!AR11</f>
        <v>1.577581646231518</v>
      </c>
      <c r="F16" s="126" t="str">
        <f t="shared" si="0"/>
        <v>◎</v>
      </c>
      <c r="G16" s="127"/>
      <c r="H16" s="128">
        <f>'PL項目 17下'!AR19</f>
        <v>1.2825085457987737</v>
      </c>
      <c r="I16" s="129" t="str">
        <f t="shared" si="1"/>
        <v>◎</v>
      </c>
      <c r="J16" s="145">
        <f>'PL項目 17下'!AR35-0.002</f>
        <v>0.99076643334822057</v>
      </c>
      <c r="K16" s="149"/>
      <c r="L16" s="126" t="s">
        <v>15</v>
      </c>
      <c r="M16" s="127"/>
      <c r="N16" s="132">
        <f>'PL項目 17下'!AR27</f>
        <v>1.2732314347512617</v>
      </c>
      <c r="O16" s="126" t="str">
        <f t="shared" si="2"/>
        <v>◎</v>
      </c>
      <c r="P16" s="133"/>
      <c r="Q16" s="134"/>
      <c r="R16" s="129"/>
      <c r="S16" s="135"/>
      <c r="T16" s="136"/>
      <c r="U16" s="132"/>
      <c r="V16" s="126" t="str">
        <f t="shared" si="3"/>
        <v>××</v>
      </c>
      <c r="W16" s="133"/>
      <c r="X16" s="137"/>
    </row>
    <row r="17" spans="1:24" ht="35.25" hidden="1" customHeight="1">
      <c r="A17" s="88"/>
      <c r="B17" s="150"/>
      <c r="C17" s="1548" t="s">
        <v>114</v>
      </c>
      <c r="D17" s="111" t="s">
        <v>101</v>
      </c>
      <c r="E17" s="112" t="e">
        <f>'PL項目 17下'!I12</f>
        <v>#DIV/0!</v>
      </c>
      <c r="F17" s="121" t="e">
        <f t="shared" si="0"/>
        <v>#DIV/0!</v>
      </c>
      <c r="G17" s="151"/>
      <c r="H17" s="113" t="e">
        <f>'PL項目 17下'!I20</f>
        <v>#DIV/0!</v>
      </c>
      <c r="I17" s="114" t="e">
        <f t="shared" si="1"/>
        <v>#DIV/0!</v>
      </c>
      <c r="J17" s="139" t="e">
        <f>'PL項目 17下'!I36-0.012</f>
        <v>#DIV/0!</v>
      </c>
      <c r="K17" s="146"/>
      <c r="L17" s="117"/>
      <c r="M17" s="151"/>
      <c r="N17" s="113" t="e">
        <f>'PL項目 17下'!I28</f>
        <v>#DIV/0!</v>
      </c>
      <c r="O17" s="119" t="e">
        <f t="shared" si="2"/>
        <v>#DIV/0!</v>
      </c>
      <c r="P17" s="152"/>
      <c r="Q17" s="153"/>
      <c r="R17" s="154"/>
      <c r="S17" s="155"/>
      <c r="T17" s="156"/>
      <c r="U17" s="113"/>
      <c r="V17" s="119" t="str">
        <f t="shared" si="3"/>
        <v>××</v>
      </c>
      <c r="W17" s="152"/>
      <c r="X17" s="95"/>
    </row>
    <row r="18" spans="1:24" s="123" customFormat="1" ht="35.25" hidden="1" customHeight="1">
      <c r="B18" s="150"/>
      <c r="C18" s="1548"/>
      <c r="D18" s="124" t="s">
        <v>109</v>
      </c>
      <c r="E18" s="125" t="e">
        <f>'PL項目 17下'!AR12</f>
        <v>#DIV/0!</v>
      </c>
      <c r="F18" s="126" t="e">
        <f t="shared" si="0"/>
        <v>#DIV/0!</v>
      </c>
      <c r="G18" s="151"/>
      <c r="H18" s="128" t="e">
        <f>'PL項目 17下'!AR20</f>
        <v>#DIV/0!</v>
      </c>
      <c r="I18" s="129" t="e">
        <f>VLOOKUP(H18,$D$27:$E$31,2,TRUE)</f>
        <v>#DIV/0!</v>
      </c>
      <c r="J18" s="145" t="e">
        <f>'PL項目 17下'!AR36</f>
        <v>#DIV/0!</v>
      </c>
      <c r="K18" s="146"/>
      <c r="L18" s="126" t="s">
        <v>13</v>
      </c>
      <c r="M18" s="151"/>
      <c r="N18" s="132" t="e">
        <f>'PL項目 17下'!AR28+0.002</f>
        <v>#DIV/0!</v>
      </c>
      <c r="O18" s="126" t="e">
        <f t="shared" si="2"/>
        <v>#DIV/0!</v>
      </c>
      <c r="P18" s="157"/>
      <c r="Q18" s="158"/>
      <c r="R18" s="159"/>
      <c r="S18" s="160"/>
      <c r="T18" s="161"/>
      <c r="U18" s="132"/>
      <c r="V18" s="126" t="str">
        <f t="shared" si="3"/>
        <v>××</v>
      </c>
      <c r="W18" s="157"/>
      <c r="X18" s="137"/>
    </row>
    <row r="19" spans="1:24" ht="35.25" hidden="1" customHeight="1">
      <c r="A19" s="88"/>
      <c r="B19" s="1548" t="s">
        <v>65</v>
      </c>
      <c r="C19" s="1548"/>
      <c r="D19" s="111" t="s">
        <v>101</v>
      </c>
      <c r="E19" s="112">
        <f>'PL項目 17下'!I6+0.002</f>
        <v>0.8279460884439086</v>
      </c>
      <c r="F19" s="121" t="str">
        <f t="shared" si="0"/>
        <v>××</v>
      </c>
      <c r="G19" s="162"/>
      <c r="H19" s="113">
        <f>'PL項目 17下'!I14</f>
        <v>0.8509444576175984</v>
      </c>
      <c r="I19" s="114" t="str">
        <f t="shared" si="1"/>
        <v>××</v>
      </c>
      <c r="J19" s="139">
        <f>'PL項目 17下'!I30</f>
        <v>0.97226842030093319</v>
      </c>
      <c r="K19" s="147"/>
      <c r="L19" s="117"/>
      <c r="M19" s="162"/>
      <c r="N19" s="113">
        <f>'PL項目 17下'!I22</f>
        <v>0.82637415515139589</v>
      </c>
      <c r="O19" s="119" t="str">
        <f t="shared" si="2"/>
        <v>××</v>
      </c>
      <c r="P19" s="152"/>
      <c r="Q19" s="153"/>
      <c r="R19" s="154"/>
      <c r="S19" s="155"/>
      <c r="T19" s="156"/>
      <c r="U19" s="113"/>
      <c r="V19" s="119" t="str">
        <f t="shared" si="3"/>
        <v>××</v>
      </c>
      <c r="W19" s="152"/>
      <c r="X19" s="95"/>
    </row>
    <row r="20" spans="1:24" ht="35.25" customHeight="1" thickBot="1">
      <c r="A20" s="88"/>
      <c r="B20" s="1548"/>
      <c r="C20" s="1548"/>
      <c r="D20" s="163" t="s">
        <v>109</v>
      </c>
      <c r="E20" s="164">
        <f>'PL項目 17下'!AR6</f>
        <v>0.91024538091996432</v>
      </c>
      <c r="F20" s="165" t="str">
        <f t="shared" si="0"/>
        <v>×</v>
      </c>
      <c r="G20" s="166"/>
      <c r="H20" s="167">
        <f>'PL項目 17下'!AR14</f>
        <v>0.86750156540269807</v>
      </c>
      <c r="I20" s="168" t="str">
        <f t="shared" si="1"/>
        <v>××</v>
      </c>
      <c r="J20" s="169">
        <f>'PL項目 17下'!AR30-0.002</f>
        <v>0.95629806996456324</v>
      </c>
      <c r="K20" s="170"/>
      <c r="L20" s="165" t="s">
        <v>117</v>
      </c>
      <c r="M20" s="166"/>
      <c r="N20" s="167">
        <f>'PL項目 17下'!AR22</f>
        <v>0.83132507581664272</v>
      </c>
      <c r="O20" s="171" t="str">
        <f t="shared" si="2"/>
        <v>××</v>
      </c>
      <c r="P20" s="172"/>
      <c r="Q20" s="173">
        <v>1.19</v>
      </c>
      <c r="R20" s="174" t="str">
        <f>VLOOKUP(Q20,$D$27:$E$31,2,TRUE)</f>
        <v>◎</v>
      </c>
      <c r="S20" s="175">
        <v>1.23</v>
      </c>
      <c r="T20" s="176" t="str">
        <f>VLOOKUP(S20,$D$27:$E$31,2,TRUE)</f>
        <v>◎</v>
      </c>
      <c r="U20" s="167"/>
      <c r="V20" s="171" t="str">
        <f t="shared" si="3"/>
        <v>××</v>
      </c>
      <c r="W20" s="172"/>
      <c r="X20" s="95"/>
    </row>
    <row r="21" spans="1:24" s="180" customFormat="1" ht="5.25" customHeight="1">
      <c r="A21" s="177"/>
      <c r="B21" s="177"/>
      <c r="C21" s="162"/>
      <c r="D21" s="162"/>
      <c r="E21" s="178"/>
      <c r="F21" s="162"/>
      <c r="G21" s="162"/>
      <c r="H21" s="178"/>
      <c r="I21" s="162"/>
      <c r="J21" s="179"/>
      <c r="K21" s="179"/>
      <c r="L21" s="162"/>
      <c r="M21" s="162"/>
      <c r="N21" s="179"/>
      <c r="O21" s="162"/>
      <c r="P21" s="162"/>
      <c r="Q21" s="178"/>
      <c r="R21" s="162"/>
      <c r="S21" s="178"/>
      <c r="T21" s="162"/>
      <c r="U21" s="177"/>
    </row>
    <row r="22" spans="1:24" ht="11.25" customHeight="1">
      <c r="A22" s="88"/>
      <c r="B22" s="88"/>
      <c r="C22" s="88"/>
      <c r="D22" s="88"/>
      <c r="E22" s="88"/>
      <c r="F22" s="88"/>
      <c r="G22" s="88"/>
      <c r="H22" s="88"/>
      <c r="I22" s="88"/>
      <c r="L22" s="88"/>
      <c r="M22" s="88"/>
      <c r="O22" s="88"/>
      <c r="P22" s="88"/>
      <c r="Q22" s="88"/>
      <c r="R22" s="88"/>
      <c r="S22" s="88"/>
      <c r="T22" s="88"/>
      <c r="U22" s="88"/>
    </row>
    <row r="23" spans="1:24">
      <c r="A23" s="88"/>
      <c r="B23" s="88" t="s">
        <v>66</v>
      </c>
      <c r="C23" s="88"/>
      <c r="D23" s="88"/>
      <c r="E23" s="88"/>
      <c r="F23" s="88"/>
      <c r="G23" s="88"/>
      <c r="H23" s="88"/>
      <c r="I23" s="88"/>
      <c r="L23" s="88"/>
      <c r="M23" s="88"/>
      <c r="O23" s="88"/>
      <c r="P23" s="88"/>
      <c r="Q23" s="88"/>
      <c r="R23" s="88"/>
      <c r="S23" s="88"/>
      <c r="T23" s="88"/>
      <c r="U23" s="88"/>
    </row>
    <row r="24" spans="1:24">
      <c r="A24" s="88"/>
      <c r="B24" s="88" t="s">
        <v>83</v>
      </c>
      <c r="C24" s="88"/>
      <c r="D24" s="88"/>
      <c r="E24" s="88"/>
      <c r="F24" s="88"/>
      <c r="G24" s="88"/>
      <c r="H24" s="88"/>
      <c r="I24" s="88"/>
      <c r="L24" s="88"/>
      <c r="M24" s="88"/>
      <c r="O24" s="88"/>
      <c r="P24" s="88"/>
      <c r="Q24" s="88"/>
      <c r="R24" s="88"/>
      <c r="S24" s="88"/>
      <c r="T24" s="88"/>
      <c r="U24" s="88"/>
    </row>
    <row r="25" spans="1:24">
      <c r="A25" s="88"/>
      <c r="B25" s="88"/>
      <c r="C25" s="88"/>
      <c r="D25" s="88"/>
      <c r="E25" s="88"/>
      <c r="F25" s="88"/>
      <c r="G25" s="88"/>
      <c r="H25" s="88"/>
      <c r="I25" s="88"/>
      <c r="L25" s="88"/>
      <c r="M25" s="88"/>
      <c r="O25" s="88"/>
      <c r="P25" s="88"/>
      <c r="Q25" s="88"/>
      <c r="R25" s="88"/>
      <c r="S25" s="88"/>
      <c r="T25" s="88"/>
      <c r="U25" s="88"/>
    </row>
    <row r="26" spans="1:24">
      <c r="A26" s="88"/>
      <c r="B26" s="88"/>
      <c r="C26" s="88"/>
      <c r="D26" s="88"/>
      <c r="E26" s="88"/>
      <c r="F26" s="88"/>
      <c r="G26" s="88"/>
      <c r="H26" s="88"/>
      <c r="I26" s="88"/>
      <c r="L26" s="88"/>
      <c r="M26" s="88"/>
      <c r="O26" s="88"/>
      <c r="P26" s="88"/>
      <c r="Q26" s="88"/>
      <c r="R26" s="88"/>
      <c r="S26" s="88"/>
      <c r="T26" s="88"/>
      <c r="U26" s="88"/>
    </row>
    <row r="27" spans="1:24">
      <c r="D27" s="181">
        <v>0</v>
      </c>
      <c r="E27" s="89" t="s">
        <v>24</v>
      </c>
    </row>
    <row r="28" spans="1:24">
      <c r="D28" s="181">
        <v>0.9</v>
      </c>
      <c r="E28" s="89" t="s">
        <v>25</v>
      </c>
    </row>
    <row r="29" spans="1:24">
      <c r="D29" s="181">
        <v>0.95</v>
      </c>
      <c r="E29" s="89" t="s">
        <v>26</v>
      </c>
    </row>
    <row r="30" spans="1:24">
      <c r="D30" s="181">
        <v>1</v>
      </c>
      <c r="E30" s="89" t="s">
        <v>27</v>
      </c>
    </row>
    <row r="31" spans="1:24">
      <c r="D31" s="181">
        <v>1.1000000000000001</v>
      </c>
      <c r="E31" s="89" t="s">
        <v>28</v>
      </c>
    </row>
    <row r="32" spans="1:24">
      <c r="C32" s="181"/>
      <c r="D32" s="181"/>
    </row>
    <row r="33" spans="3:4">
      <c r="C33" s="181"/>
      <c r="D33" s="181"/>
    </row>
  </sheetData>
  <mergeCells count="14">
    <mergeCell ref="C17:C18"/>
    <mergeCell ref="B19:C20"/>
    <mergeCell ref="U5:W5"/>
    <mergeCell ref="C7:C8"/>
    <mergeCell ref="C9:C10"/>
    <mergeCell ref="C11:C12"/>
    <mergeCell ref="C13:C14"/>
    <mergeCell ref="C15:C16"/>
    <mergeCell ref="E5:G5"/>
    <mergeCell ref="H5:I5"/>
    <mergeCell ref="J5:M5"/>
    <mergeCell ref="N5:P5"/>
    <mergeCell ref="Q5:R5"/>
    <mergeCell ref="S5:T5"/>
  </mergeCells>
  <phoneticPr fontId="44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V37"/>
  <sheetViews>
    <sheetView zoomScale="90" zoomScaleNormal="90" workbookViewId="0">
      <selection activeCell="E7" sqref="E7"/>
    </sheetView>
  </sheetViews>
  <sheetFormatPr defaultColWidth="9" defaultRowHeight="15.75"/>
  <cols>
    <col min="1" max="1" width="2.625" style="89" customWidth="1"/>
    <col min="2" max="2" width="5.5" style="89" customWidth="1"/>
    <col min="3" max="3" width="17" style="89" customWidth="1"/>
    <col min="4" max="4" width="14.75" style="89" customWidth="1"/>
    <col min="5" max="6" width="12.625" style="89" customWidth="1"/>
    <col min="7" max="7" width="10.625" style="89" customWidth="1"/>
    <col min="8" max="9" width="12.625" style="89" customWidth="1"/>
    <col min="10" max="10" width="10.625" style="89" customWidth="1"/>
    <col min="11" max="12" width="12.625" style="89" customWidth="1"/>
    <col min="13" max="13" width="10.625" style="89" customWidth="1"/>
    <col min="14" max="15" width="12.625" style="89" customWidth="1"/>
    <col min="16" max="16" width="10.625" style="89" customWidth="1"/>
    <col min="17" max="18" width="12.625" style="89" customWidth="1"/>
    <col min="19" max="19" width="10.625" style="89" customWidth="1"/>
    <col min="20" max="20" width="3.625" style="89" customWidth="1"/>
    <col min="21" max="16384" width="9" style="89"/>
  </cols>
  <sheetData>
    <row r="1" spans="1:22" ht="19.5" customHeight="1">
      <c r="A1" s="88"/>
      <c r="B1" s="90" t="s">
        <v>147</v>
      </c>
      <c r="C1" s="88"/>
      <c r="D1" s="88"/>
      <c r="E1" s="88"/>
      <c r="F1" s="88"/>
      <c r="G1" s="88"/>
      <c r="H1" s="88"/>
      <c r="I1" s="88"/>
      <c r="J1" s="88"/>
      <c r="L1" s="88"/>
      <c r="M1" s="88"/>
      <c r="O1" s="88"/>
      <c r="P1" s="88"/>
      <c r="R1" s="88"/>
      <c r="S1" s="88"/>
      <c r="T1" s="88"/>
    </row>
    <row r="2" spans="1:22" ht="15.95" customHeight="1">
      <c r="A2" s="88"/>
      <c r="B2" s="90"/>
      <c r="C2" s="88"/>
      <c r="D2" s="88"/>
      <c r="E2" s="88"/>
      <c r="F2" s="88"/>
      <c r="G2" s="88"/>
      <c r="H2" s="88"/>
      <c r="I2" s="88"/>
      <c r="J2" s="88"/>
      <c r="L2" s="88"/>
      <c r="M2" s="88"/>
      <c r="O2" s="88"/>
      <c r="P2" s="88"/>
      <c r="R2" s="88"/>
      <c r="S2" s="88"/>
      <c r="T2" s="88"/>
    </row>
    <row r="3" spans="1:22" ht="15.95" customHeight="1" thickBot="1">
      <c r="A3" s="88"/>
      <c r="B3" s="88"/>
      <c r="C3" s="88"/>
      <c r="D3" s="88"/>
      <c r="E3" s="88" t="s">
        <v>88</v>
      </c>
      <c r="F3" s="88"/>
      <c r="G3" s="88"/>
      <c r="H3" s="88"/>
      <c r="I3" s="88"/>
      <c r="J3" s="88"/>
      <c r="L3" s="88"/>
      <c r="M3" s="88"/>
      <c r="O3" s="88"/>
      <c r="P3" s="88"/>
      <c r="R3" s="88"/>
      <c r="S3" s="88"/>
      <c r="T3" s="88"/>
    </row>
    <row r="4" spans="1:22" ht="27.75" customHeight="1">
      <c r="A4" s="88"/>
      <c r="B4" s="92"/>
      <c r="C4" s="93"/>
      <c r="D4" s="94"/>
      <c r="E4" s="1548" t="s">
        <v>55</v>
      </c>
      <c r="F4" s="1548"/>
      <c r="G4" s="1548"/>
      <c r="H4" s="1548" t="s">
        <v>56</v>
      </c>
      <c r="I4" s="1548"/>
      <c r="J4" s="1548"/>
      <c r="K4" s="1548" t="s">
        <v>57</v>
      </c>
      <c r="L4" s="1548"/>
      <c r="M4" s="1548"/>
      <c r="N4" s="1548" t="s">
        <v>58</v>
      </c>
      <c r="O4" s="1548"/>
      <c r="P4" s="1548"/>
      <c r="Q4" s="1548" t="s">
        <v>132</v>
      </c>
      <c r="R4" s="1548"/>
      <c r="S4" s="1548"/>
      <c r="T4" s="150"/>
    </row>
    <row r="5" spans="1:22" ht="27.75" customHeight="1">
      <c r="A5" s="88"/>
      <c r="B5" s="96"/>
      <c r="C5" s="97"/>
      <c r="D5" s="98"/>
      <c r="E5" s="99" t="s">
        <v>59</v>
      </c>
      <c r="F5" s="100" t="s">
        <v>76</v>
      </c>
      <c r="G5" s="101" t="s">
        <v>60</v>
      </c>
      <c r="H5" s="215" t="str">
        <f>E5</f>
        <v>遂行率</v>
      </c>
      <c r="I5" s="100" t="s">
        <v>76</v>
      </c>
      <c r="J5" s="216" t="s">
        <v>20</v>
      </c>
      <c r="K5" s="215" t="s">
        <v>86</v>
      </c>
      <c r="L5" s="100" t="s">
        <v>76</v>
      </c>
      <c r="M5" s="216" t="s">
        <v>77</v>
      </c>
      <c r="N5" s="215" t="str">
        <f>E5</f>
        <v>遂行率</v>
      </c>
      <c r="O5" s="100" t="s">
        <v>76</v>
      </c>
      <c r="P5" s="142" t="s">
        <v>78</v>
      </c>
      <c r="Q5" s="215" t="s">
        <v>126</v>
      </c>
      <c r="R5" s="100" t="s">
        <v>131</v>
      </c>
      <c r="S5" s="142" t="s">
        <v>20</v>
      </c>
      <c r="T5" s="150"/>
    </row>
    <row r="6" spans="1:22" ht="35.25" customHeight="1">
      <c r="A6" s="88"/>
      <c r="B6" s="110"/>
      <c r="C6" s="1548" t="s">
        <v>61</v>
      </c>
      <c r="D6" s="217" t="s">
        <v>73</v>
      </c>
      <c r="E6" s="112">
        <v>1.2085667666666666</v>
      </c>
      <c r="F6" s="260" t="str">
        <f t="shared" ref="F6:F17" si="0">VLOOKUP(E6,$D$31:$E$35,2,TRUE)</f>
        <v>◎</v>
      </c>
      <c r="G6" s="97"/>
      <c r="H6" s="218">
        <v>1.1829478930678465</v>
      </c>
      <c r="I6" s="266" t="str">
        <f t="shared" ref="I6:I17" si="1">VLOOKUP(H6,$D$31:$E$35,2,TRUE)</f>
        <v>◎</v>
      </c>
      <c r="J6" s="216"/>
      <c r="K6" s="219" t="s">
        <v>140</v>
      </c>
      <c r="L6" s="269" t="s">
        <v>87</v>
      </c>
      <c r="M6" s="216"/>
      <c r="N6" s="218">
        <v>1.2408272126916573</v>
      </c>
      <c r="O6" s="269" t="str">
        <f t="shared" ref="O6:O15" si="2">VLOOKUP(N6,$D$31:$E$35,2,TRUE)</f>
        <v>◎</v>
      </c>
      <c r="P6" s="106"/>
      <c r="Q6" s="218">
        <v>1.3260000000000001</v>
      </c>
      <c r="R6" s="269" t="str">
        <f>VLOOKUP(Q6,$D$31:$E$35,2,TRUE)</f>
        <v>◎</v>
      </c>
      <c r="S6" s="106"/>
      <c r="T6" s="150"/>
      <c r="V6" s="220"/>
    </row>
    <row r="7" spans="1:22" ht="35.25" customHeight="1">
      <c r="A7" s="88"/>
      <c r="B7" s="110"/>
      <c r="C7" s="1548"/>
      <c r="D7" s="221" t="s">
        <v>75</v>
      </c>
      <c r="E7" s="222">
        <f>'PL項目 17下'!AR8</f>
        <v>0.8714130714285715</v>
      </c>
      <c r="F7" s="261" t="str">
        <f t="shared" si="0"/>
        <v>××</v>
      </c>
      <c r="G7" s="223"/>
      <c r="H7" s="224">
        <f>'PL項目 17下'!AR16</f>
        <v>0.86556961509433972</v>
      </c>
      <c r="I7" s="261" t="str">
        <f t="shared" si="1"/>
        <v>××</v>
      </c>
      <c r="J7" s="225"/>
      <c r="K7" s="226" t="s">
        <v>138</v>
      </c>
      <c r="L7" s="261" t="s">
        <v>15</v>
      </c>
      <c r="M7" s="225"/>
      <c r="N7" s="227">
        <f>'PL項目 17下'!AR24</f>
        <v>0.84964276557632012</v>
      </c>
      <c r="O7" s="261" t="str">
        <f t="shared" si="2"/>
        <v>××</v>
      </c>
      <c r="P7" s="228"/>
      <c r="Q7" s="227">
        <v>1.3260000000000001</v>
      </c>
      <c r="R7" s="261" t="str">
        <f>VLOOKUP(Q7,$D$31:$E$35,2,TRUE)</f>
        <v>◎</v>
      </c>
      <c r="S7" s="228"/>
      <c r="T7" s="150"/>
    </row>
    <row r="8" spans="1:22" ht="35.25" customHeight="1">
      <c r="A8" s="88"/>
      <c r="B8" s="110"/>
      <c r="C8" s="1548" t="s">
        <v>63</v>
      </c>
      <c r="D8" s="229" t="s">
        <v>72</v>
      </c>
      <c r="E8" s="131">
        <v>1.1819547088122606</v>
      </c>
      <c r="F8" s="262" t="str">
        <f t="shared" si="0"/>
        <v>◎</v>
      </c>
      <c r="G8" s="230"/>
      <c r="H8" s="231">
        <v>1.1215042757936509</v>
      </c>
      <c r="I8" s="262" t="str">
        <f t="shared" si="1"/>
        <v>◎</v>
      </c>
      <c r="J8" s="232"/>
      <c r="K8" s="233" t="s">
        <v>149</v>
      </c>
      <c r="L8" s="270" t="s">
        <v>13</v>
      </c>
      <c r="M8" s="232"/>
      <c r="N8" s="218">
        <v>1.0092483925232889</v>
      </c>
      <c r="O8" s="271" t="str">
        <f t="shared" si="2"/>
        <v>○</v>
      </c>
      <c r="P8" s="140"/>
      <c r="Q8" s="218">
        <v>0.59399999999999997</v>
      </c>
      <c r="R8" s="271" t="str">
        <f>VLOOKUP(Q8,$D$31:$E$35,2,TRUE)</f>
        <v>××</v>
      </c>
      <c r="S8" s="106"/>
      <c r="T8" s="150"/>
    </row>
    <row r="9" spans="1:22" ht="35.25" customHeight="1">
      <c r="A9" s="88"/>
      <c r="B9" s="110"/>
      <c r="C9" s="1548"/>
      <c r="D9" s="221" t="s">
        <v>74</v>
      </c>
      <c r="E9" s="222">
        <f>'PL項目 17下'!AR9</f>
        <v>0.89122904537682923</v>
      </c>
      <c r="F9" s="261" t="str">
        <f t="shared" si="0"/>
        <v>××</v>
      </c>
      <c r="G9" s="223"/>
      <c r="H9" s="224">
        <f>'PL項目 17下'!AR17</f>
        <v>0.84142555962932442</v>
      </c>
      <c r="I9" s="261" t="str">
        <f t="shared" si="1"/>
        <v>××</v>
      </c>
      <c r="J9" s="225"/>
      <c r="K9" s="227" t="s">
        <v>142</v>
      </c>
      <c r="L9" s="261" t="s">
        <v>13</v>
      </c>
      <c r="M9" s="225"/>
      <c r="N9" s="234">
        <f>'PL項目 17下'!AR25</f>
        <v>0.76617195347929623</v>
      </c>
      <c r="O9" s="261" t="str">
        <f t="shared" si="2"/>
        <v>××</v>
      </c>
      <c r="P9" s="228"/>
      <c r="Q9" s="234">
        <v>0.59399999999999997</v>
      </c>
      <c r="R9" s="261" t="str">
        <f t="shared" ref="R9:R17" si="3">VLOOKUP(Q9,$D$31:$E$35,2,TRUE)</f>
        <v>××</v>
      </c>
      <c r="S9" s="228"/>
      <c r="T9" s="150"/>
    </row>
    <row r="10" spans="1:22" ht="35.25" customHeight="1">
      <c r="A10" s="88"/>
      <c r="B10" s="110"/>
      <c r="C10" s="1548" t="s">
        <v>62</v>
      </c>
      <c r="D10" s="229" t="s">
        <v>72</v>
      </c>
      <c r="E10" s="131">
        <v>1.0552454120304327</v>
      </c>
      <c r="F10" s="262" t="str">
        <f t="shared" si="0"/>
        <v>○</v>
      </c>
      <c r="G10" s="230"/>
      <c r="H10" s="231">
        <v>1.0590598714455539</v>
      </c>
      <c r="I10" s="262" t="str">
        <f t="shared" si="1"/>
        <v>○</v>
      </c>
      <c r="J10" s="232"/>
      <c r="K10" s="235" t="s">
        <v>141</v>
      </c>
      <c r="L10" s="271" t="s">
        <v>13</v>
      </c>
      <c r="M10" s="232"/>
      <c r="N10" s="218">
        <v>1.0038646105765157</v>
      </c>
      <c r="O10" s="271" t="str">
        <f t="shared" si="2"/>
        <v>○</v>
      </c>
      <c r="P10" s="140"/>
      <c r="Q10" s="218">
        <v>1.8839999999999999</v>
      </c>
      <c r="R10" s="271" t="str">
        <f t="shared" si="3"/>
        <v>◎</v>
      </c>
      <c r="S10" s="106"/>
      <c r="T10" s="150"/>
    </row>
    <row r="11" spans="1:22" ht="35.25" customHeight="1">
      <c r="A11" s="88"/>
      <c r="B11" s="110"/>
      <c r="C11" s="1548"/>
      <c r="D11" s="221" t="s">
        <v>74</v>
      </c>
      <c r="E11" s="222">
        <f>'PL項目 17下'!AR7</f>
        <v>0.96894640006199628</v>
      </c>
      <c r="F11" s="261" t="str">
        <f t="shared" si="0"/>
        <v>△</v>
      </c>
      <c r="G11" s="223"/>
      <c r="H11" s="224">
        <f>'PL項目 17下'!AR15</f>
        <v>1.0028314081807155</v>
      </c>
      <c r="I11" s="261" t="str">
        <f t="shared" si="1"/>
        <v>○</v>
      </c>
      <c r="J11" s="225"/>
      <c r="K11" s="227" t="s">
        <v>139</v>
      </c>
      <c r="L11" s="261" t="s">
        <v>133</v>
      </c>
      <c r="M11" s="236"/>
      <c r="N11" s="234">
        <f>'PL項目 17下'!AR23</f>
        <v>0.90246439705194714</v>
      </c>
      <c r="O11" s="261" t="str">
        <f t="shared" si="2"/>
        <v>×</v>
      </c>
      <c r="P11" s="228"/>
      <c r="Q11" s="234">
        <v>1.8839999999999999</v>
      </c>
      <c r="R11" s="261" t="str">
        <f t="shared" si="3"/>
        <v>◎</v>
      </c>
      <c r="S11" s="228"/>
      <c r="T11" s="150"/>
    </row>
    <row r="12" spans="1:22" ht="35.25" customHeight="1">
      <c r="A12" s="88"/>
      <c r="B12" s="110"/>
      <c r="C12" s="1548" t="s">
        <v>64</v>
      </c>
      <c r="D12" s="229" t="s">
        <v>72</v>
      </c>
      <c r="E12" s="131" t="s">
        <v>97</v>
      </c>
      <c r="F12" s="262" t="s">
        <v>12</v>
      </c>
      <c r="G12" s="230"/>
      <c r="H12" s="231">
        <v>0.57379916051572077</v>
      </c>
      <c r="I12" s="262" t="str">
        <f t="shared" si="1"/>
        <v>××</v>
      </c>
      <c r="J12" s="232"/>
      <c r="K12" s="237" t="s">
        <v>150</v>
      </c>
      <c r="L12" s="270" t="s">
        <v>15</v>
      </c>
      <c r="M12" s="232"/>
      <c r="N12" s="218">
        <v>0.72073009632224161</v>
      </c>
      <c r="O12" s="271" t="str">
        <f t="shared" si="2"/>
        <v>××</v>
      </c>
      <c r="P12" s="140"/>
      <c r="Q12" s="218">
        <v>0.94</v>
      </c>
      <c r="R12" s="271" t="str">
        <f t="shared" si="3"/>
        <v>×</v>
      </c>
      <c r="S12" s="106"/>
      <c r="T12" s="150"/>
    </row>
    <row r="13" spans="1:22" ht="35.25" customHeight="1">
      <c r="A13" s="88"/>
      <c r="B13" s="110"/>
      <c r="C13" s="1548"/>
      <c r="D13" s="221" t="s">
        <v>74</v>
      </c>
      <c r="E13" s="222" t="s">
        <v>97</v>
      </c>
      <c r="F13" s="263" t="s">
        <v>12</v>
      </c>
      <c r="G13" s="223"/>
      <c r="H13" s="224">
        <f>'PL項目 17下'!AR18+0.001</f>
        <v>0.67565561929041851</v>
      </c>
      <c r="I13" s="261" t="str">
        <f t="shared" si="1"/>
        <v>××</v>
      </c>
      <c r="J13" s="225"/>
      <c r="K13" s="238" t="s">
        <v>145</v>
      </c>
      <c r="L13" s="264" t="s">
        <v>134</v>
      </c>
      <c r="M13" s="225"/>
      <c r="N13" s="234">
        <f>'PL項目 17下'!AR26</f>
        <v>2.5839395512820511</v>
      </c>
      <c r="O13" s="261" t="str">
        <f t="shared" si="2"/>
        <v>◎</v>
      </c>
      <c r="P13" s="228"/>
      <c r="Q13" s="234">
        <v>0.94</v>
      </c>
      <c r="R13" s="261" t="str">
        <f t="shared" si="3"/>
        <v>×</v>
      </c>
      <c r="S13" s="228"/>
      <c r="T13" s="150"/>
    </row>
    <row r="14" spans="1:22" ht="35.25" customHeight="1">
      <c r="A14" s="88"/>
      <c r="B14" s="150"/>
      <c r="C14" s="1548" t="s">
        <v>128</v>
      </c>
      <c r="D14" s="229" t="s">
        <v>72</v>
      </c>
      <c r="E14" s="131">
        <v>1.208902891779265</v>
      </c>
      <c r="F14" s="262" t="str">
        <f t="shared" si="0"/>
        <v>◎</v>
      </c>
      <c r="G14" s="230"/>
      <c r="H14" s="231">
        <v>1.2151855032201035</v>
      </c>
      <c r="I14" s="262" t="str">
        <f t="shared" si="1"/>
        <v>◎</v>
      </c>
      <c r="J14" s="232"/>
      <c r="K14" s="239" t="s">
        <v>151</v>
      </c>
      <c r="L14" s="271" t="s">
        <v>13</v>
      </c>
      <c r="M14" s="232"/>
      <c r="N14" s="218">
        <v>1.1665180719088355</v>
      </c>
      <c r="O14" s="271" t="str">
        <f t="shared" si="2"/>
        <v>◎</v>
      </c>
      <c r="P14" s="140"/>
      <c r="Q14" s="218">
        <v>1.2010000000000001</v>
      </c>
      <c r="R14" s="271" t="str">
        <f t="shared" si="3"/>
        <v>◎</v>
      </c>
      <c r="S14" s="106"/>
      <c r="T14" s="150"/>
    </row>
    <row r="15" spans="1:22" ht="35.25" customHeight="1">
      <c r="A15" s="88"/>
      <c r="B15" s="150"/>
      <c r="C15" s="1548"/>
      <c r="D15" s="221" t="s">
        <v>74</v>
      </c>
      <c r="E15" s="240">
        <f>'PL項目 17下'!AR11+0.019</f>
        <v>1.5965816462315179</v>
      </c>
      <c r="F15" s="264" t="str">
        <f t="shared" si="0"/>
        <v>◎</v>
      </c>
      <c r="G15" s="241"/>
      <c r="H15" s="242">
        <f>'PL項目 17下'!AR19+0.02</f>
        <v>1.3025085457987737</v>
      </c>
      <c r="I15" s="264" t="str">
        <f t="shared" si="1"/>
        <v>◎</v>
      </c>
      <c r="J15" s="243"/>
      <c r="K15" s="238" t="s">
        <v>143</v>
      </c>
      <c r="L15" s="264" t="s">
        <v>13</v>
      </c>
      <c r="M15" s="243"/>
      <c r="N15" s="244">
        <f>'PL項目 17下'!AR27</f>
        <v>1.2732314347512617</v>
      </c>
      <c r="O15" s="264" t="str">
        <f t="shared" si="2"/>
        <v>◎</v>
      </c>
      <c r="P15" s="228"/>
      <c r="Q15" s="244">
        <v>1.2010000000000001</v>
      </c>
      <c r="R15" s="264" t="str">
        <f t="shared" si="3"/>
        <v>◎</v>
      </c>
      <c r="S15" s="228"/>
      <c r="T15" s="150"/>
    </row>
    <row r="16" spans="1:22" ht="35.25" customHeight="1">
      <c r="A16" s="245"/>
      <c r="B16" s="150"/>
      <c r="C16" s="1548" t="s">
        <v>81</v>
      </c>
      <c r="D16" s="229" t="s">
        <v>72</v>
      </c>
      <c r="E16" s="131">
        <v>0.14295129870129872</v>
      </c>
      <c r="F16" s="262" t="str">
        <f t="shared" si="0"/>
        <v>××</v>
      </c>
      <c r="G16" s="230"/>
      <c r="H16" s="231">
        <v>0.14285714285714285</v>
      </c>
      <c r="I16" s="262" t="str">
        <f t="shared" si="1"/>
        <v>××</v>
      </c>
      <c r="J16" s="232"/>
      <c r="K16" s="235" t="s">
        <v>136</v>
      </c>
      <c r="L16" s="271" t="s">
        <v>129</v>
      </c>
      <c r="M16" s="232"/>
      <c r="N16" s="231">
        <v>0.11321701983387014</v>
      </c>
      <c r="O16" s="271" t="s">
        <v>12</v>
      </c>
      <c r="P16" s="140"/>
      <c r="Q16" s="231">
        <v>0.34499999999999997</v>
      </c>
      <c r="R16" s="271" t="str">
        <f t="shared" si="3"/>
        <v>××</v>
      </c>
      <c r="S16" s="106"/>
      <c r="T16" s="150"/>
    </row>
    <row r="17" spans="1:20" ht="35.25" customHeight="1">
      <c r="A17" s="88"/>
      <c r="B17" s="150"/>
      <c r="C17" s="1548"/>
      <c r="D17" s="221" t="s">
        <v>74</v>
      </c>
      <c r="E17" s="222" t="e">
        <f>'PL項目 17下'!AR12</f>
        <v>#DIV/0!</v>
      </c>
      <c r="F17" s="261" t="e">
        <f t="shared" si="0"/>
        <v>#DIV/0!</v>
      </c>
      <c r="G17" s="223"/>
      <c r="H17" s="224" t="e">
        <f>'PL項目 17下'!AR20</f>
        <v>#DIV/0!</v>
      </c>
      <c r="I17" s="261" t="e">
        <f t="shared" si="1"/>
        <v>#DIV/0!</v>
      </c>
      <c r="J17" s="225"/>
      <c r="K17" s="227" t="s">
        <v>135</v>
      </c>
      <c r="L17" s="261" t="s">
        <v>130</v>
      </c>
      <c r="M17" s="225"/>
      <c r="N17" s="234" t="e">
        <f>'PL項目 17下'!AR28</f>
        <v>#DIV/0!</v>
      </c>
      <c r="O17" s="261" t="s">
        <v>12</v>
      </c>
      <c r="P17" s="228"/>
      <c r="Q17" s="234">
        <v>0.34499999999999997</v>
      </c>
      <c r="R17" s="264" t="str">
        <f t="shared" si="3"/>
        <v>××</v>
      </c>
      <c r="S17" s="228"/>
      <c r="T17" s="150"/>
    </row>
    <row r="18" spans="1:20" ht="35.25" hidden="1" customHeight="1">
      <c r="A18" s="245" t="s">
        <v>82</v>
      </c>
      <c r="B18" s="150"/>
      <c r="C18" s="1548" t="s">
        <v>127</v>
      </c>
      <c r="D18" s="229" t="s">
        <v>72</v>
      </c>
      <c r="E18" s="131"/>
      <c r="F18" s="265"/>
      <c r="G18" s="151"/>
      <c r="H18" s="231"/>
      <c r="I18" s="268"/>
      <c r="J18" s="246"/>
      <c r="K18" s="247"/>
      <c r="L18" s="272"/>
      <c r="M18" s="246"/>
      <c r="N18" s="248"/>
      <c r="O18" s="275"/>
      <c r="P18" s="152"/>
      <c r="Q18" s="248"/>
      <c r="R18" s="275"/>
      <c r="S18" s="106"/>
      <c r="T18" s="150"/>
    </row>
    <row r="19" spans="1:20" ht="35.25" hidden="1" customHeight="1">
      <c r="A19" s="88"/>
      <c r="B19" s="150"/>
      <c r="C19" s="1548"/>
      <c r="D19" s="249" t="s">
        <v>74</v>
      </c>
      <c r="E19" s="222">
        <f>'PL項目 17下'!AR13</f>
        <v>1.1004842102105261</v>
      </c>
      <c r="F19" s="261" t="str">
        <f>VLOOKUP(E19,$D$31:$E$35,2,TRUE)</f>
        <v>◎</v>
      </c>
      <c r="G19" s="250"/>
      <c r="H19" s="224">
        <f>'PL項目 17下'!AR21</f>
        <v>0.41119755528846158</v>
      </c>
      <c r="I19" s="261" t="str">
        <f>VLOOKUP(H19,$D$31:$E$35,2,TRUE)</f>
        <v>××</v>
      </c>
      <c r="J19" s="251"/>
      <c r="K19" s="252"/>
      <c r="L19" s="273"/>
      <c r="M19" s="251"/>
      <c r="N19" s="234">
        <f>'PL項目 17下'!AR29</f>
        <v>0.55349190677572901</v>
      </c>
      <c r="O19" s="261" t="str">
        <f>VLOOKUP(N19,$D$31:$E$35,2,TRUE)</f>
        <v>××</v>
      </c>
      <c r="P19" s="253"/>
      <c r="Q19" s="234"/>
      <c r="R19" s="261" t="str">
        <f>VLOOKUP(Q19,$D$31:$E$35,2,TRUE)</f>
        <v>××</v>
      </c>
      <c r="S19" s="106"/>
      <c r="T19" s="150"/>
    </row>
    <row r="20" spans="1:20" ht="35.25" customHeight="1">
      <c r="A20" s="88"/>
      <c r="B20" s="1548" t="s">
        <v>65</v>
      </c>
      <c r="C20" s="1548"/>
      <c r="D20" s="217" t="s">
        <v>72</v>
      </c>
      <c r="E20" s="112">
        <v>1.1578989326849618</v>
      </c>
      <c r="F20" s="266" t="str">
        <f>VLOOKUP(E20,$D$31:$E$35,2,TRUE)</f>
        <v>◎</v>
      </c>
      <c r="G20" s="162"/>
      <c r="H20" s="254">
        <v>1.1206018984414479</v>
      </c>
      <c r="I20" s="266" t="str">
        <f>VLOOKUP(H20,$D$31:$E$35,2,TRUE)</f>
        <v>◎</v>
      </c>
      <c r="J20" s="255"/>
      <c r="K20" s="233" t="s">
        <v>152</v>
      </c>
      <c r="L20" s="274" t="s">
        <v>15</v>
      </c>
      <c r="M20" s="255"/>
      <c r="N20" s="254">
        <v>1.1258587477709929</v>
      </c>
      <c r="O20" s="274" t="str">
        <f>VLOOKUP(N20,$D$31:$E$35,2,TRUE)</f>
        <v>◎</v>
      </c>
      <c r="P20" s="152"/>
      <c r="Q20" s="254">
        <v>0.82399999999999995</v>
      </c>
      <c r="R20" s="274" t="str">
        <f>VLOOKUP(Q20,$D$31:$E$35,2,TRUE)</f>
        <v>××</v>
      </c>
      <c r="S20" s="106"/>
      <c r="T20" s="150"/>
    </row>
    <row r="21" spans="1:20" ht="35.25" customHeight="1" thickBot="1">
      <c r="A21" s="88"/>
      <c r="B21" s="1548"/>
      <c r="C21" s="1548"/>
      <c r="D21" s="256" t="s">
        <v>74</v>
      </c>
      <c r="E21" s="164">
        <f>'PL項目 17下'!AR6</f>
        <v>0.91024538091996432</v>
      </c>
      <c r="F21" s="267" t="str">
        <f>VLOOKUP(E21,$D$31:$E$35,2,TRUE)</f>
        <v>×</v>
      </c>
      <c r="G21" s="166"/>
      <c r="H21" s="257">
        <f>'PL項目 17下'!AR14</f>
        <v>0.86750156540269807</v>
      </c>
      <c r="I21" s="267" t="str">
        <f>VLOOKUP(H21,$D$31:$E$35,2,TRUE)</f>
        <v>××</v>
      </c>
      <c r="J21" s="258"/>
      <c r="K21" s="259" t="s">
        <v>144</v>
      </c>
      <c r="L21" s="267" t="s">
        <v>15</v>
      </c>
      <c r="M21" s="258"/>
      <c r="N21" s="257">
        <f>'PL項目 17下'!AR22</f>
        <v>0.83132507581664272</v>
      </c>
      <c r="O21" s="267" t="str">
        <f>VLOOKUP(N21,$D$31:$E$35,2,TRUE)</f>
        <v>××</v>
      </c>
      <c r="P21" s="172"/>
      <c r="Q21" s="257">
        <v>0.82399999999999995</v>
      </c>
      <c r="R21" s="267" t="str">
        <f>VLOOKUP(Q21,$D$31:$E$35,2,TRUE)</f>
        <v>××</v>
      </c>
      <c r="S21" s="168"/>
      <c r="T21" s="150"/>
    </row>
    <row r="22" spans="1:20" s="180" customFormat="1" ht="5.25" customHeight="1">
      <c r="A22" s="177"/>
      <c r="B22" s="177"/>
      <c r="C22" s="162"/>
      <c r="D22" s="162"/>
      <c r="E22" s="178"/>
      <c r="F22" s="162"/>
      <c r="G22" s="162"/>
      <c r="H22" s="178"/>
      <c r="I22" s="162"/>
      <c r="J22" s="162"/>
      <c r="K22" s="179"/>
      <c r="L22" s="162"/>
      <c r="M22" s="162"/>
      <c r="N22" s="179"/>
      <c r="O22" s="162"/>
      <c r="P22" s="162"/>
      <c r="Q22" s="179"/>
      <c r="R22" s="162"/>
      <c r="S22" s="162"/>
      <c r="T22" s="177"/>
    </row>
    <row r="23" spans="1:20">
      <c r="A23" s="88"/>
      <c r="B23" s="88"/>
      <c r="C23" s="88"/>
      <c r="D23" s="88"/>
      <c r="E23" s="88"/>
      <c r="F23" s="88"/>
      <c r="G23" s="88"/>
      <c r="H23" s="88"/>
      <c r="I23" s="88"/>
      <c r="J23" s="88"/>
      <c r="L23" s="88"/>
      <c r="M23" s="88"/>
      <c r="O23" s="88"/>
      <c r="P23" s="88"/>
      <c r="R23" s="88"/>
      <c r="S23" s="88"/>
      <c r="T23" s="88"/>
    </row>
    <row r="24" spans="1:20">
      <c r="A24" s="88"/>
      <c r="B24" s="88" t="s">
        <v>66</v>
      </c>
      <c r="C24" s="88"/>
      <c r="D24" s="88"/>
      <c r="E24" s="88"/>
      <c r="F24" s="88"/>
      <c r="G24" s="88"/>
      <c r="H24" s="88"/>
      <c r="I24" s="88"/>
      <c r="J24" s="88"/>
      <c r="L24" s="88"/>
      <c r="M24" s="88"/>
      <c r="O24" s="88"/>
      <c r="P24" s="88"/>
      <c r="R24" s="88"/>
      <c r="S24" s="88"/>
      <c r="T24" s="88"/>
    </row>
    <row r="25" spans="1:20" ht="13.5" customHeight="1"/>
    <row r="26" spans="1:20" ht="13.5" customHeight="1">
      <c r="A26" s="88"/>
      <c r="B26" s="88" t="s">
        <v>148</v>
      </c>
      <c r="C26" s="88"/>
      <c r="D26" s="88"/>
      <c r="E26" s="88"/>
      <c r="F26" s="88"/>
      <c r="G26" s="88"/>
      <c r="H26" s="88"/>
      <c r="I26" s="88"/>
      <c r="J26" s="88"/>
      <c r="L26" s="88"/>
      <c r="M26" s="88"/>
      <c r="O26" s="88"/>
      <c r="P26" s="88"/>
      <c r="R26" s="88"/>
      <c r="S26" s="88"/>
      <c r="T26" s="88"/>
    </row>
    <row r="27" spans="1:20">
      <c r="A27" s="88"/>
      <c r="B27" s="88"/>
      <c r="C27" s="88"/>
      <c r="D27" s="88"/>
      <c r="E27" s="88"/>
      <c r="F27" s="88"/>
      <c r="G27" s="88"/>
      <c r="H27" s="88"/>
      <c r="I27" s="88"/>
      <c r="J27" s="88"/>
      <c r="L27" s="88"/>
      <c r="M27" s="88"/>
      <c r="O27" s="88"/>
      <c r="P27" s="88"/>
      <c r="R27" s="88"/>
      <c r="S27" s="88"/>
      <c r="T27" s="88"/>
    </row>
    <row r="28" spans="1:20">
      <c r="A28" s="88"/>
      <c r="B28" s="88" t="s">
        <v>83</v>
      </c>
      <c r="C28" s="88"/>
      <c r="D28" s="88"/>
      <c r="E28" s="88"/>
      <c r="F28" s="88"/>
      <c r="G28" s="88"/>
      <c r="H28" s="88"/>
      <c r="I28" s="88"/>
      <c r="J28" s="88"/>
      <c r="L28" s="88"/>
      <c r="M28" s="88"/>
      <c r="O28" s="88"/>
      <c r="P28" s="88"/>
      <c r="R28" s="88"/>
      <c r="S28" s="88"/>
      <c r="T28" s="88"/>
    </row>
    <row r="29" spans="1:20">
      <c r="A29" s="88"/>
      <c r="B29" s="88"/>
      <c r="C29" s="88"/>
      <c r="D29" s="88"/>
      <c r="E29" s="88"/>
      <c r="F29" s="88"/>
      <c r="G29" s="88"/>
      <c r="H29" s="88"/>
      <c r="I29" s="88"/>
      <c r="J29" s="88"/>
      <c r="L29" s="88"/>
      <c r="M29" s="88"/>
      <c r="O29" s="88"/>
      <c r="P29" s="88"/>
      <c r="R29" s="88"/>
      <c r="S29" s="88"/>
      <c r="T29" s="88"/>
    </row>
    <row r="31" spans="1:20" ht="16.5">
      <c r="D31" s="276">
        <v>0</v>
      </c>
      <c r="E31" s="277" t="s">
        <v>67</v>
      </c>
    </row>
    <row r="32" spans="1:20" ht="16.5">
      <c r="D32" s="276">
        <v>0.9</v>
      </c>
      <c r="E32" s="277" t="s">
        <v>68</v>
      </c>
    </row>
    <row r="33" spans="3:5" ht="16.5">
      <c r="D33" s="276">
        <v>0.95</v>
      </c>
      <c r="E33" s="277" t="s">
        <v>69</v>
      </c>
    </row>
    <row r="34" spans="3:5" ht="16.5">
      <c r="D34" s="276">
        <v>1</v>
      </c>
      <c r="E34" s="277" t="s">
        <v>70</v>
      </c>
    </row>
    <row r="35" spans="3:5" ht="16.5">
      <c r="D35" s="276">
        <v>1.1000000000000001</v>
      </c>
      <c r="E35" s="277" t="s">
        <v>71</v>
      </c>
    </row>
    <row r="36" spans="3:5">
      <c r="C36" s="181"/>
      <c r="D36" s="181"/>
    </row>
    <row r="37" spans="3:5">
      <c r="C37" s="181"/>
      <c r="D37" s="181"/>
    </row>
  </sheetData>
  <mergeCells count="13">
    <mergeCell ref="N4:P4"/>
    <mergeCell ref="Q4:S4"/>
    <mergeCell ref="C16:C17"/>
    <mergeCell ref="C6:C7"/>
    <mergeCell ref="C10:C11"/>
    <mergeCell ref="C8:C9"/>
    <mergeCell ref="C12:C13"/>
    <mergeCell ref="C14:C15"/>
    <mergeCell ref="B20:C21"/>
    <mergeCell ref="C18:C19"/>
    <mergeCell ref="E4:G4"/>
    <mergeCell ref="H4:J4"/>
    <mergeCell ref="K4:M4"/>
  </mergeCells>
  <phoneticPr fontId="23" type="noConversion"/>
  <conditionalFormatting sqref="G7">
    <cfRule type="iconSet" priority="2">
      <iconSet iconSet="3Arrows">
        <cfvo type="percent" val="0"/>
        <cfvo type="percent" val="33"/>
        <cfvo type="percent" val="67"/>
      </iconSet>
    </cfRule>
    <cfRule type="iconSet" priority="3">
      <iconSet iconSet="3Arrows">
        <cfvo type="percent" val="0"/>
        <cfvo type="percent" val="100"/>
        <cfvo type="percent" val="10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7</vt:i4>
      </vt:variant>
    </vt:vector>
  </HeadingPairs>
  <TitlesOfParts>
    <vt:vector size="13" baseType="lpstr">
      <vt:lpstr>PL項目 17下</vt:lpstr>
      <vt:lpstr>目標遂行状況</vt:lpstr>
      <vt:lpstr>当月計画遂行</vt:lpstr>
      <vt:lpstr>ﾃﾞｰﾀ貼付</vt:lpstr>
      <vt:lpstr>予算遂行状況</vt:lpstr>
      <vt:lpstr>遂行状況</vt:lpstr>
      <vt:lpstr>'PL項目 17下'!Print_Area</vt:lpstr>
      <vt:lpstr>ﾃﾞｰﾀ貼付!Print_Area</vt:lpstr>
      <vt:lpstr>当月計画遂行!Print_Area</vt:lpstr>
      <vt:lpstr>目標遂行状況!Print_Area</vt:lpstr>
      <vt:lpstr>遂行状況!Print_Area</vt:lpstr>
      <vt:lpstr>予算遂行状況!Print_Area</vt:lpstr>
      <vt:lpstr>ﾃﾞｰﾀ貼付!Print_Titles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matoba</dc:creator>
  <cp:lastModifiedBy>HuangXiaohan</cp:lastModifiedBy>
  <cp:lastPrinted>2018-01-09T03:32:38Z</cp:lastPrinted>
  <dcterms:created xsi:type="dcterms:W3CDTF">2014-04-25T05:50:19Z</dcterms:created>
  <dcterms:modified xsi:type="dcterms:W3CDTF">2018-02-06T03:00:30Z</dcterms:modified>
</cp:coreProperties>
</file>