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drawings/drawing14.xml" ContentType="application/vnd.openxmlformats-officedocument.drawingml.chartshapes+xml"/>
  <Override PartName="/xl/charts/chart30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440" windowWidth="18315" windowHeight="6510" tabRatio="806" activeTab="7"/>
  </bookViews>
  <sheets>
    <sheet name="全体" sheetId="12" r:id="rId1"/>
    <sheet name="税込" sheetId="2" r:id="rId2"/>
    <sheet name="税抜" sheetId="9" r:id="rId3"/>
    <sheet name="元ﾃﾞｰﾀ" sheetId="11" r:id="rId4"/>
    <sheet name="グラフ税抜" sheetId="1" r:id="rId5"/>
    <sheet name="R税込" sheetId="6" r:id="rId6"/>
    <sheet name="R税抜" sheetId="10" r:id="rId7"/>
    <sheet name="Ｒ貼付用" sheetId="7" r:id="rId8"/>
    <sheet name="14予算datebase" sheetId="4" state="hidden" r:id="rId9"/>
    <sheet name="14予算グラフ" sheetId="3" state="hidden" r:id="rId10"/>
    <sheet name="R売上粗利率" sheetId="13" r:id="rId11"/>
    <sheet name="貼付用" sheetId="8" r:id="rId12"/>
    <sheet name="Sheet1" sheetId="14" r:id="rId13"/>
  </sheets>
  <definedNames>
    <definedName name="_xlnm._FilterDatabase" localSheetId="4" hidden="1">グラフ税抜!$B$3:$P$3</definedName>
    <definedName name="_xlnm._FilterDatabase" localSheetId="2" hidden="1">税抜!$A$86:$O$216</definedName>
    <definedName name="_xlnm._FilterDatabase" localSheetId="1" hidden="1">税込!$A$86:$O$216</definedName>
    <definedName name="henn" localSheetId="6">#REF!</definedName>
    <definedName name="henn" localSheetId="2">#REF!</definedName>
    <definedName name="henn">#REF!</definedName>
    <definedName name="new00000" localSheetId="6">#REF!</definedName>
    <definedName name="new00000" localSheetId="2">#REF!</definedName>
    <definedName name="new00000">#REF!</definedName>
    <definedName name="_xlnm.Print_Area" localSheetId="10">R売上粗利率!$A$1:$P$21</definedName>
    <definedName name="_xlnm.Print_Area" localSheetId="7">Ｒ貼付用!$A$1:$O$47</definedName>
    <definedName name="_xlnm.Print_Area" localSheetId="4">グラフ税抜!$A$1:$Q$156</definedName>
    <definedName name="_xlnm.Print_Area" localSheetId="2">税抜!$A$1:$R$220</definedName>
    <definedName name="_xlnm.Print_Area" localSheetId="1">税込!$A$1:$R$219</definedName>
    <definedName name="_xlnm.Print_Area" localSheetId="3">元ﾃﾞｰﾀ!$A$1:$DD$251</definedName>
    <definedName name="UFP" localSheetId="6">#REF!</definedName>
    <definedName name="UFP" localSheetId="2">#REF!</definedName>
    <definedName name="UFP">#REF!</definedName>
    <definedName name="UFPrn20110308085012" localSheetId="6">#REF!</definedName>
    <definedName name="UFPrn20110308085012" localSheetId="2">#REF!</definedName>
    <definedName name="UFPrn20110308085012">#REF!</definedName>
    <definedName name="UFPrn20110413141619" localSheetId="6">#REF!</definedName>
    <definedName name="UFPrn20110413141619" localSheetId="2">#REF!</definedName>
    <definedName name="UFPrn20110413141619">#REF!</definedName>
    <definedName name="票据" localSheetId="6">#REF!</definedName>
    <definedName name="票据" localSheetId="2">#REF!</definedName>
    <definedName name="票据">#REF!</definedName>
    <definedName name="票据管理" localSheetId="6">#REF!</definedName>
    <definedName name="票据管理" localSheetId="2">#REF!</definedName>
    <definedName name="票据管理">#REF!</definedName>
    <definedName name="手形" localSheetId="6">#REF!</definedName>
    <definedName name="手形" localSheetId="2">#REF!</definedName>
    <definedName name="手形">#REF!</definedName>
    <definedName name="手形管" localSheetId="6">#REF!</definedName>
    <definedName name="手形管" localSheetId="2">#REF!</definedName>
    <definedName name="手形管">#REF!</definedName>
  </definedNames>
  <calcPr calcId="145621"/>
</workbook>
</file>

<file path=xl/calcChain.xml><?xml version="1.0" encoding="utf-8"?>
<calcChain xmlns="http://schemas.openxmlformats.org/spreadsheetml/2006/main">
  <c r="K70" i="6" l="1"/>
  <c r="BZ141" i="11"/>
  <c r="M211" i="9"/>
  <c r="M185" i="9"/>
  <c r="M82" i="9"/>
  <c r="M69" i="9"/>
  <c r="BZ248" i="11" l="1"/>
  <c r="CM246" i="11"/>
  <c r="CT246" i="11" s="1"/>
  <c r="CL246" i="11"/>
  <c r="CJ246" i="11"/>
  <c r="CI246" i="11"/>
  <c r="CE246" i="11"/>
  <c r="CA246" i="11"/>
  <c r="CI245" i="11"/>
  <c r="CG245" i="11"/>
  <c r="CE245" i="11"/>
  <c r="CA245" i="11"/>
  <c r="CT244" i="11"/>
  <c r="CP244" i="11"/>
  <c r="CM244" i="11"/>
  <c r="CL244" i="11"/>
  <c r="CS244" i="11" s="1"/>
  <c r="CJ244" i="11"/>
  <c r="CN244" i="11" s="1"/>
  <c r="CI244" i="11"/>
  <c r="CE244" i="11"/>
  <c r="CA244" i="11"/>
  <c r="CP243" i="11"/>
  <c r="CI243" i="11"/>
  <c r="CG243" i="11"/>
  <c r="CE243" i="11"/>
  <c r="CA243" i="11"/>
  <c r="BZ243" i="11"/>
  <c r="CS242" i="11"/>
  <c r="CM242" i="11"/>
  <c r="CL242" i="11"/>
  <c r="CI242" i="11"/>
  <c r="CF242" i="11"/>
  <c r="CE242" i="11"/>
  <c r="CA242" i="11"/>
  <c r="BX242" i="11"/>
  <c r="CI241" i="11"/>
  <c r="CE241" i="11"/>
  <c r="CA241" i="11"/>
  <c r="BZ241" i="11"/>
  <c r="CT240" i="11"/>
  <c r="CP240" i="11"/>
  <c r="CN240" i="11"/>
  <c r="CM240" i="11"/>
  <c r="CL240" i="11"/>
  <c r="CS240" i="11" s="1"/>
  <c r="CJ240" i="11"/>
  <c r="CI240" i="11"/>
  <c r="CE240" i="11"/>
  <c r="CA240" i="11"/>
  <c r="CW239" i="11"/>
  <c r="CP239" i="11"/>
  <c r="CI239" i="11"/>
  <c r="CE239" i="11"/>
  <c r="CA239" i="11"/>
  <c r="CP238" i="11"/>
  <c r="CM238" i="11"/>
  <c r="CT238" i="11" s="1"/>
  <c r="CL238" i="11"/>
  <c r="CJ238" i="11"/>
  <c r="CI238" i="11"/>
  <c r="CE238" i="11"/>
  <c r="CA238" i="11"/>
  <c r="CI237" i="11"/>
  <c r="CE237" i="11"/>
  <c r="CA237" i="11"/>
  <c r="BX237" i="11"/>
  <c r="CS232" i="11"/>
  <c r="CN232" i="11"/>
  <c r="CM232" i="11"/>
  <c r="CT232" i="11" s="1"/>
  <c r="CJ232" i="11"/>
  <c r="CI232" i="11"/>
  <c r="CE232" i="11"/>
  <c r="BY232" i="11"/>
  <c r="CL232" i="11" s="1"/>
  <c r="CQ230" i="11"/>
  <c r="CM230" i="11"/>
  <c r="CT230" i="11" s="1"/>
  <c r="CL230" i="11"/>
  <c r="CJ230" i="11"/>
  <c r="CI230" i="11"/>
  <c r="CE230" i="11"/>
  <c r="CA230" i="11"/>
  <c r="CJ224" i="11"/>
  <c r="CQ224" i="11" s="1"/>
  <c r="CJ222" i="11"/>
  <c r="CF216" i="11"/>
  <c r="CB216" i="11"/>
  <c r="BX216" i="11"/>
  <c r="CF214" i="11"/>
  <c r="CB214" i="11"/>
  <c r="BZ214" i="11"/>
  <c r="BX214" i="11"/>
  <c r="CJ214" i="11" s="1"/>
  <c r="CQ214" i="11" s="1"/>
  <c r="CJ212" i="11"/>
  <c r="CQ212" i="11" s="1"/>
  <c r="CH211" i="11"/>
  <c r="CJ210" i="11"/>
  <c r="CH209" i="11"/>
  <c r="CH207" i="11"/>
  <c r="CQ206" i="11"/>
  <c r="CJ206" i="11"/>
  <c r="CH205" i="11"/>
  <c r="CJ204" i="11"/>
  <c r="CQ204" i="11" s="1"/>
  <c r="CH203" i="11"/>
  <c r="CT202" i="11"/>
  <c r="CQ202" i="11"/>
  <c r="CM202" i="11"/>
  <c r="CL202" i="11"/>
  <c r="CJ202" i="11"/>
  <c r="CH202" i="11"/>
  <c r="CG202" i="11"/>
  <c r="CF202" i="11"/>
  <c r="CD202" i="11"/>
  <c r="CC202" i="11"/>
  <c r="CB202" i="11"/>
  <c r="BZ202" i="11"/>
  <c r="BY202" i="11"/>
  <c r="BX202" i="11"/>
  <c r="CQ201" i="11"/>
  <c r="CJ201" i="11"/>
  <c r="CF201" i="11"/>
  <c r="CB201" i="11"/>
  <c r="BX201" i="11"/>
  <c r="CJ196" i="11"/>
  <c r="CQ196" i="11" s="1"/>
  <c r="BZ196" i="11"/>
  <c r="CT192" i="11"/>
  <c r="CP192" i="11"/>
  <c r="CM192" i="11"/>
  <c r="CL192" i="11"/>
  <c r="CS192" i="11" s="1"/>
  <c r="CJ192" i="11"/>
  <c r="CI192" i="11"/>
  <c r="CE192" i="11"/>
  <c r="CA192" i="11"/>
  <c r="BZ191" i="11"/>
  <c r="CF190" i="11"/>
  <c r="CB190" i="11"/>
  <c r="BX190" i="11"/>
  <c r="CJ188" i="11"/>
  <c r="CQ188" i="11" s="1"/>
  <c r="CJ186" i="11"/>
  <c r="CQ184" i="11"/>
  <c r="CH184" i="11"/>
  <c r="CG184" i="11"/>
  <c r="CF184" i="11"/>
  <c r="CD184" i="11"/>
  <c r="CB184" i="11"/>
  <c r="BZ184" i="11"/>
  <c r="BY184" i="11"/>
  <c r="BX184" i="11"/>
  <c r="CJ184" i="11" s="1"/>
  <c r="CI183" i="11"/>
  <c r="CQ182" i="11"/>
  <c r="CN182" i="11"/>
  <c r="CM182" i="11"/>
  <c r="CJ182" i="11"/>
  <c r="CI182" i="11"/>
  <c r="CG182" i="11"/>
  <c r="CC182" i="11"/>
  <c r="CC184" i="11" s="1"/>
  <c r="CF181" i="11"/>
  <c r="CM180" i="11"/>
  <c r="CT180" i="11" s="1"/>
  <c r="CU180" i="11" s="1"/>
  <c r="CL180" i="11"/>
  <c r="CJ180" i="11"/>
  <c r="CQ180" i="11" s="1"/>
  <c r="CI180" i="11"/>
  <c r="CT178" i="11"/>
  <c r="CP178" i="11"/>
  <c r="CM178" i="11"/>
  <c r="CL178" i="11"/>
  <c r="CS178" i="11" s="1"/>
  <c r="CJ178" i="11"/>
  <c r="CN178" i="11" s="1"/>
  <c r="CI178" i="11"/>
  <c r="CP177" i="11"/>
  <c r="CI177" i="11"/>
  <c r="CE177" i="11"/>
  <c r="CA177" i="11"/>
  <c r="BZ174" i="11"/>
  <c r="CM174" i="11" s="1"/>
  <c r="BZ172" i="11"/>
  <c r="CA170" i="11"/>
  <c r="CH169" i="11"/>
  <c r="CD169" i="11"/>
  <c r="CH167" i="11"/>
  <c r="CD167" i="11"/>
  <c r="CD166" i="11"/>
  <c r="CE166" i="11" s="1"/>
  <c r="BX166" i="11"/>
  <c r="CJ166" i="11" s="1"/>
  <c r="CQ166" i="11" s="1"/>
  <c r="CH165" i="11"/>
  <c r="CD165" i="11"/>
  <c r="CF164" i="11"/>
  <c r="CH163" i="11"/>
  <c r="CD163" i="11"/>
  <c r="CU162" i="11"/>
  <c r="CT162" i="11"/>
  <c r="CQ162" i="11"/>
  <c r="CM162" i="11"/>
  <c r="CJ162" i="11"/>
  <c r="CH162" i="11"/>
  <c r="CG162" i="11"/>
  <c r="CF162" i="11"/>
  <c r="CD162" i="11"/>
  <c r="CC162" i="11"/>
  <c r="CB162" i="11"/>
  <c r="BZ162" i="11"/>
  <c r="BY162" i="11"/>
  <c r="BX162" i="11"/>
  <c r="CQ161" i="11"/>
  <c r="CJ161" i="11"/>
  <c r="CF161" i="11"/>
  <c r="CB161" i="11"/>
  <c r="BX161" i="11"/>
  <c r="CQ156" i="11"/>
  <c r="CN156" i="11"/>
  <c r="CM156" i="11"/>
  <c r="CP156" i="11" s="1"/>
  <c r="CL156" i="11"/>
  <c r="CS156" i="11" s="1"/>
  <c r="CJ156" i="11"/>
  <c r="CI156" i="11"/>
  <c r="CE156" i="11"/>
  <c r="CA156" i="11"/>
  <c r="CP155" i="11"/>
  <c r="CN155" i="11"/>
  <c r="CI155" i="11"/>
  <c r="CE155" i="11"/>
  <c r="CA155" i="11"/>
  <c r="CM154" i="11"/>
  <c r="CT154" i="11" s="1"/>
  <c r="CL154" i="11"/>
  <c r="CS154" i="11" s="1"/>
  <c r="CT153" i="11"/>
  <c r="CS153" i="11"/>
  <c r="CQ153" i="11"/>
  <c r="CM153" i="11"/>
  <c r="CL153" i="11"/>
  <c r="CJ153" i="11"/>
  <c r="CI153" i="11"/>
  <c r="CE153" i="11"/>
  <c r="CA153" i="11"/>
  <c r="CI152" i="11"/>
  <c r="CE152" i="11"/>
  <c r="CA152" i="11"/>
  <c r="CS150" i="11"/>
  <c r="CQ150" i="11"/>
  <c r="CM150" i="11"/>
  <c r="CN150" i="11" s="1"/>
  <c r="CL150" i="11"/>
  <c r="CJ150" i="11"/>
  <c r="CI150" i="11"/>
  <c r="CE150" i="11"/>
  <c r="CA150" i="11"/>
  <c r="CI149" i="11"/>
  <c r="CE149" i="11"/>
  <c r="CA149" i="11"/>
  <c r="CS148" i="11"/>
  <c r="CM148" i="11"/>
  <c r="CT148" i="11" s="1"/>
  <c r="CL148" i="11"/>
  <c r="CI148" i="11"/>
  <c r="CF148" i="11"/>
  <c r="CF59" i="11" s="1"/>
  <c r="CE148" i="11"/>
  <c r="CA148" i="11"/>
  <c r="BX148" i="11"/>
  <c r="BX59" i="11" s="1"/>
  <c r="CI147" i="11"/>
  <c r="CE147" i="11"/>
  <c r="CA147" i="11"/>
  <c r="CH146" i="11"/>
  <c r="CG146" i="11"/>
  <c r="CI146" i="11" s="1"/>
  <c r="CF146" i="11"/>
  <c r="CD146" i="11"/>
  <c r="CC146" i="11"/>
  <c r="CE146" i="11" s="1"/>
  <c r="CB146" i="11"/>
  <c r="BZ146" i="11"/>
  <c r="CM146" i="11" s="1"/>
  <c r="BY146" i="11"/>
  <c r="CA146" i="11" s="1"/>
  <c r="BX146" i="11"/>
  <c r="CJ146" i="11" s="1"/>
  <c r="CQ146" i="11" s="1"/>
  <c r="CS145" i="11"/>
  <c r="CQ145" i="11"/>
  <c r="CM145" i="11"/>
  <c r="CL145" i="11"/>
  <c r="CJ145" i="11"/>
  <c r="CI145" i="11"/>
  <c r="CE145" i="11"/>
  <c r="CA145" i="11"/>
  <c r="CT143" i="11"/>
  <c r="CW143" i="11" s="1"/>
  <c r="CS143" i="11"/>
  <c r="CP143" i="11"/>
  <c r="CM143" i="11"/>
  <c r="CL143" i="11"/>
  <c r="CJ143" i="11"/>
  <c r="CQ143" i="11" s="1"/>
  <c r="CI143" i="11"/>
  <c r="CE143" i="11"/>
  <c r="CA143" i="11"/>
  <c r="CT142" i="11"/>
  <c r="CQ142" i="11"/>
  <c r="CU142" i="11" s="1"/>
  <c r="CM142" i="11"/>
  <c r="CL142" i="11"/>
  <c r="CS142" i="11" s="1"/>
  <c r="CW142" i="11" s="1"/>
  <c r="CJ142" i="11"/>
  <c r="CN142" i="11" s="1"/>
  <c r="CI142" i="11"/>
  <c r="CE142" i="11"/>
  <c r="CA142" i="11"/>
  <c r="CH141" i="11"/>
  <c r="CG141" i="11"/>
  <c r="CF141" i="11"/>
  <c r="CD141" i="11"/>
  <c r="CE140" i="11" s="1"/>
  <c r="CC141" i="11"/>
  <c r="CC139" i="11" s="1"/>
  <c r="CB141" i="11"/>
  <c r="BY141" i="11"/>
  <c r="BY139" i="11" s="1"/>
  <c r="BX141" i="11"/>
  <c r="BX139" i="11" s="1"/>
  <c r="CH139" i="11"/>
  <c r="BZ139" i="11"/>
  <c r="CL138" i="11"/>
  <c r="CS138" i="11" s="1"/>
  <c r="CH138" i="11"/>
  <c r="CG138" i="11"/>
  <c r="CI138" i="11" s="1"/>
  <c r="CF138" i="11"/>
  <c r="CD138" i="11"/>
  <c r="CC138" i="11"/>
  <c r="CE138" i="11" s="1"/>
  <c r="CB138" i="11"/>
  <c r="BZ138" i="11"/>
  <c r="CM138" i="11" s="1"/>
  <c r="BY138" i="11"/>
  <c r="CA138" i="11" s="1"/>
  <c r="BX138" i="11"/>
  <c r="CS137" i="11"/>
  <c r="CQ137" i="11"/>
  <c r="CM137" i="11"/>
  <c r="CP137" i="11" s="1"/>
  <c r="CL137" i="11"/>
  <c r="CJ137" i="11"/>
  <c r="CI137" i="11"/>
  <c r="CE137" i="11"/>
  <c r="CA137" i="11"/>
  <c r="CM136" i="11"/>
  <c r="CN136" i="11" s="1"/>
  <c r="CL136" i="11"/>
  <c r="CS136" i="11" s="1"/>
  <c r="CJ136" i="11"/>
  <c r="CQ136" i="11" s="1"/>
  <c r="CT135" i="11"/>
  <c r="CU135" i="11" s="1"/>
  <c r="CS135" i="11"/>
  <c r="CP135" i="11"/>
  <c r="CM135" i="11"/>
  <c r="CM134" i="11" s="1"/>
  <c r="CL135" i="11"/>
  <c r="CJ135" i="11"/>
  <c r="CQ135" i="11" s="1"/>
  <c r="CI135" i="11"/>
  <c r="CE135" i="11"/>
  <c r="CA135" i="11"/>
  <c r="CH134" i="11"/>
  <c r="CG134" i="11"/>
  <c r="CI134" i="11" s="1"/>
  <c r="CF134" i="11"/>
  <c r="CD134" i="11"/>
  <c r="CC134" i="11"/>
  <c r="CE134" i="11" s="1"/>
  <c r="CB134" i="11"/>
  <c r="BZ134" i="11"/>
  <c r="BY134" i="11"/>
  <c r="CA134" i="11" s="1"/>
  <c r="BX134" i="11"/>
  <c r="CT133" i="11"/>
  <c r="CM133" i="11"/>
  <c r="CN133" i="11" s="1"/>
  <c r="CL133" i="11"/>
  <c r="CL134" i="11" s="1"/>
  <c r="CP134" i="11" s="1"/>
  <c r="CJ133" i="11"/>
  <c r="CQ133" i="11" s="1"/>
  <c r="CQ134" i="11" s="1"/>
  <c r="CI133" i="11"/>
  <c r="CE133" i="11"/>
  <c r="CA133" i="11"/>
  <c r="CT132" i="11"/>
  <c r="CS132" i="11"/>
  <c r="CQ132" i="11"/>
  <c r="CM132" i="11"/>
  <c r="CL132" i="11"/>
  <c r="CJ132" i="11"/>
  <c r="CI132" i="11"/>
  <c r="CE132" i="11"/>
  <c r="CA132" i="11"/>
  <c r="CI131" i="11"/>
  <c r="CH131" i="11"/>
  <c r="CG131" i="11"/>
  <c r="CF131" i="11"/>
  <c r="CE131" i="11"/>
  <c r="CD131" i="11"/>
  <c r="CC131" i="11"/>
  <c r="CB131" i="11"/>
  <c r="CA131" i="11"/>
  <c r="BZ131" i="11"/>
  <c r="BY131" i="11"/>
  <c r="BX131" i="11"/>
  <c r="CS130" i="11"/>
  <c r="CW130" i="11" s="1"/>
  <c r="CM130" i="11"/>
  <c r="CT130" i="11" s="1"/>
  <c r="CL130" i="11"/>
  <c r="CJ130" i="11"/>
  <c r="CI130" i="11"/>
  <c r="CE130" i="11"/>
  <c r="CA130" i="11"/>
  <c r="CH129" i="11"/>
  <c r="CG129" i="11"/>
  <c r="CF129" i="11"/>
  <c r="CD129" i="11"/>
  <c r="CC129" i="11"/>
  <c r="CB129" i="11"/>
  <c r="BZ129" i="11"/>
  <c r="BY129" i="11"/>
  <c r="BY50" i="11" s="1"/>
  <c r="CL50" i="11" s="1"/>
  <c r="CS50" i="11" s="1"/>
  <c r="BX129" i="11"/>
  <c r="CJ129" i="11" s="1"/>
  <c r="CQ129" i="11" s="1"/>
  <c r="CE128" i="11"/>
  <c r="CS127" i="11"/>
  <c r="CN127" i="11"/>
  <c r="CM127" i="11"/>
  <c r="CP127" i="11" s="1"/>
  <c r="CL127" i="11"/>
  <c r="CI127" i="11"/>
  <c r="CE127" i="11"/>
  <c r="CA127" i="11"/>
  <c r="BX127" i="11"/>
  <c r="CJ127" i="11" s="1"/>
  <c r="CQ127" i="11" s="1"/>
  <c r="CW126" i="11"/>
  <c r="CT126" i="11"/>
  <c r="CP126" i="11"/>
  <c r="CM126" i="11"/>
  <c r="CL126" i="11"/>
  <c r="CS126" i="11" s="1"/>
  <c r="CJ126" i="11"/>
  <c r="CN126" i="11" s="1"/>
  <c r="CI126" i="11"/>
  <c r="CE126" i="11"/>
  <c r="CA126" i="11"/>
  <c r="CS125" i="11"/>
  <c r="CQ125" i="11"/>
  <c r="CM125" i="11"/>
  <c r="CL125" i="11"/>
  <c r="CJ125" i="11"/>
  <c r="CI125" i="11"/>
  <c r="CE125" i="11"/>
  <c r="CA125" i="11"/>
  <c r="CS124" i="11"/>
  <c r="CQ124" i="11"/>
  <c r="CM124" i="11"/>
  <c r="CP124" i="11" s="1"/>
  <c r="CL124" i="11"/>
  <c r="CJ124" i="11"/>
  <c r="CI124" i="11"/>
  <c r="CS123" i="11"/>
  <c r="CQ123" i="11"/>
  <c r="CM123" i="11"/>
  <c r="CL123" i="11"/>
  <c r="CJ123" i="11"/>
  <c r="CI123" i="11"/>
  <c r="CC122" i="11"/>
  <c r="CB122" i="11"/>
  <c r="CB158" i="11" s="1"/>
  <c r="BZ122" i="11"/>
  <c r="BX122" i="11"/>
  <c r="CQ120" i="11"/>
  <c r="CF120" i="11"/>
  <c r="CC120" i="11"/>
  <c r="CB120" i="11"/>
  <c r="BY120" i="11"/>
  <c r="BY122" i="11" s="1"/>
  <c r="BX120" i="11"/>
  <c r="CJ120" i="11" s="1"/>
  <c r="CS119" i="11"/>
  <c r="CL119" i="11"/>
  <c r="CJ119" i="11"/>
  <c r="CQ119" i="11" s="1"/>
  <c r="CI119" i="11"/>
  <c r="CH119" i="11"/>
  <c r="CD119" i="11"/>
  <c r="CA119" i="11"/>
  <c r="CS118" i="11"/>
  <c r="CQ118" i="11"/>
  <c r="CL118" i="11"/>
  <c r="CJ118" i="11"/>
  <c r="CH118" i="11"/>
  <c r="CI118" i="11" s="1"/>
  <c r="CE118" i="11"/>
  <c r="CD118" i="11"/>
  <c r="CA118" i="11"/>
  <c r="CQ117" i="11"/>
  <c r="CM117" i="11"/>
  <c r="CL117" i="11"/>
  <c r="CS117" i="11" s="1"/>
  <c r="CJ117" i="11"/>
  <c r="CH117" i="11"/>
  <c r="CI117" i="11" s="1"/>
  <c r="CE117" i="11"/>
  <c r="CD117" i="11"/>
  <c r="CA117" i="11"/>
  <c r="CQ116" i="11"/>
  <c r="CJ116" i="11"/>
  <c r="CG116" i="11"/>
  <c r="CE116" i="11"/>
  <c r="CD116" i="11"/>
  <c r="CD120" i="11" s="1"/>
  <c r="CD122" i="11" s="1"/>
  <c r="CA116" i="11"/>
  <c r="CQ115" i="11"/>
  <c r="CL115" i="11"/>
  <c r="CJ115" i="11"/>
  <c r="CI115" i="11"/>
  <c r="CH115" i="11"/>
  <c r="CE115" i="11"/>
  <c r="CD115" i="11"/>
  <c r="CM115" i="11" s="1"/>
  <c r="CA115" i="11"/>
  <c r="CU114" i="11"/>
  <c r="CT114" i="11"/>
  <c r="CQ114" i="11"/>
  <c r="CM114" i="11"/>
  <c r="CL114" i="11"/>
  <c r="CJ114" i="11"/>
  <c r="CH114" i="11"/>
  <c r="CG114" i="11"/>
  <c r="CF114" i="11"/>
  <c r="CD114" i="11"/>
  <c r="CC114" i="11"/>
  <c r="CB114" i="11"/>
  <c r="BZ114" i="11"/>
  <c r="BZ35" i="11" s="1"/>
  <c r="BY114" i="11"/>
  <c r="BX114" i="11"/>
  <c r="CQ113" i="11"/>
  <c r="CJ113" i="11"/>
  <c r="CF113" i="11"/>
  <c r="CB113" i="11"/>
  <c r="BX113" i="11"/>
  <c r="CB110" i="11"/>
  <c r="CT108" i="11"/>
  <c r="CQ108" i="11"/>
  <c r="CM108" i="11"/>
  <c r="CL108" i="11"/>
  <c r="CJ108" i="11"/>
  <c r="CI108" i="11"/>
  <c r="CE108" i="11"/>
  <c r="CA108" i="11"/>
  <c r="CI107" i="11"/>
  <c r="CE107" i="11"/>
  <c r="CA107" i="11"/>
  <c r="CT106" i="11"/>
  <c r="CS106" i="11"/>
  <c r="CM106" i="11"/>
  <c r="CL106" i="11"/>
  <c r="CJ106" i="11"/>
  <c r="CS105" i="11"/>
  <c r="CQ105" i="11"/>
  <c r="CM105" i="11"/>
  <c r="CL105" i="11"/>
  <c r="CJ105" i="11"/>
  <c r="CI105" i="11"/>
  <c r="CE105" i="11"/>
  <c r="CA105" i="11"/>
  <c r="CP104" i="11"/>
  <c r="CN104" i="11"/>
  <c r="CI104" i="11"/>
  <c r="CE104" i="11"/>
  <c r="CA104" i="11"/>
  <c r="CQ102" i="11"/>
  <c r="CM102" i="11"/>
  <c r="CL102" i="11"/>
  <c r="CS102" i="11" s="1"/>
  <c r="CJ102" i="11"/>
  <c r="CI102" i="11"/>
  <c r="CE102" i="11"/>
  <c r="CA102" i="11"/>
  <c r="CI101" i="11"/>
  <c r="CE101" i="11"/>
  <c r="CA101" i="11"/>
  <c r="CS100" i="11"/>
  <c r="CM100" i="11"/>
  <c r="CL100" i="11"/>
  <c r="CI100" i="11"/>
  <c r="CF100" i="11"/>
  <c r="CE100" i="11"/>
  <c r="CB100" i="11"/>
  <c r="BX100" i="11"/>
  <c r="CI99" i="11"/>
  <c r="CE99" i="11"/>
  <c r="CA99" i="11"/>
  <c r="CT98" i="11"/>
  <c r="CM98" i="11"/>
  <c r="CL98" i="11"/>
  <c r="CS98" i="11" s="1"/>
  <c r="CW98" i="11" s="1"/>
  <c r="CI98" i="11"/>
  <c r="CF98" i="11"/>
  <c r="CE98" i="11"/>
  <c r="CB98" i="11"/>
  <c r="CJ98" i="11" s="1"/>
  <c r="CA98" i="11"/>
  <c r="BX98" i="11"/>
  <c r="CW97" i="11"/>
  <c r="CT97" i="11"/>
  <c r="CP97" i="11"/>
  <c r="CM97" i="11"/>
  <c r="CL97" i="11"/>
  <c r="CS97" i="11" s="1"/>
  <c r="CJ97" i="11"/>
  <c r="CN97" i="11" s="1"/>
  <c r="CI97" i="11"/>
  <c r="CE97" i="11"/>
  <c r="CA97" i="11"/>
  <c r="CE96" i="11"/>
  <c r="CA96" i="11"/>
  <c r="CU95" i="11"/>
  <c r="CT95" i="11"/>
  <c r="CW95" i="11" s="1"/>
  <c r="CS95" i="11"/>
  <c r="CP95" i="11"/>
  <c r="CN95" i="11"/>
  <c r="CM95" i="11"/>
  <c r="CL95" i="11"/>
  <c r="CJ95" i="11"/>
  <c r="CQ95" i="11" s="1"/>
  <c r="CI95" i="11"/>
  <c r="CE95" i="11"/>
  <c r="CA95" i="11"/>
  <c r="CA100" i="11" s="1"/>
  <c r="CW94" i="11"/>
  <c r="CT94" i="11"/>
  <c r="CP94" i="11"/>
  <c r="CM94" i="11"/>
  <c r="CL94" i="11"/>
  <c r="CS94" i="11" s="1"/>
  <c r="CJ94" i="11"/>
  <c r="CN94" i="11" s="1"/>
  <c r="CI94" i="11"/>
  <c r="CE94" i="11"/>
  <c r="CA94" i="11"/>
  <c r="CQ93" i="11"/>
  <c r="CH93" i="11"/>
  <c r="CG93" i="11"/>
  <c r="CF93" i="11"/>
  <c r="CD93" i="11"/>
  <c r="CC93" i="11"/>
  <c r="CB93" i="11"/>
  <c r="BZ93" i="11"/>
  <c r="BY93" i="11"/>
  <c r="BX93" i="11"/>
  <c r="CJ93" i="11" s="1"/>
  <c r="CA92" i="11"/>
  <c r="CD91" i="11"/>
  <c r="BZ91" i="11"/>
  <c r="CH90" i="11"/>
  <c r="CG90" i="11"/>
  <c r="CI90" i="11" s="1"/>
  <c r="CF90" i="11"/>
  <c r="CF91" i="11" s="1"/>
  <c r="CD90" i="11"/>
  <c r="CC90" i="11"/>
  <c r="CE90" i="11" s="1"/>
  <c r="CB90" i="11"/>
  <c r="CB91" i="11" s="1"/>
  <c r="BZ90" i="11"/>
  <c r="CM90" i="11" s="1"/>
  <c r="BY90" i="11"/>
  <c r="CA90" i="11" s="1"/>
  <c r="BX90" i="11"/>
  <c r="CS89" i="11"/>
  <c r="CQ89" i="11"/>
  <c r="CN89" i="11"/>
  <c r="CM89" i="11"/>
  <c r="CP89" i="11" s="1"/>
  <c r="CL89" i="11"/>
  <c r="CJ89" i="11"/>
  <c r="CI89" i="11"/>
  <c r="CE89" i="11"/>
  <c r="CA89" i="11"/>
  <c r="CS88" i="11"/>
  <c r="CQ88" i="11"/>
  <c r="CM88" i="11"/>
  <c r="CT88" i="11" s="1"/>
  <c r="CU88" i="11" s="1"/>
  <c r="CL88" i="11"/>
  <c r="CJ88" i="11"/>
  <c r="CT87" i="11"/>
  <c r="CM87" i="11"/>
  <c r="CL87" i="11"/>
  <c r="CJ87" i="11"/>
  <c r="CI87" i="11"/>
  <c r="CE87" i="11"/>
  <c r="CA87" i="11"/>
  <c r="CM86" i="11"/>
  <c r="CH86" i="11"/>
  <c r="CG86" i="11"/>
  <c r="CF86" i="11"/>
  <c r="CD86" i="11"/>
  <c r="CC86" i="11"/>
  <c r="CB86" i="11"/>
  <c r="BZ86" i="11"/>
  <c r="CA86" i="11" s="1"/>
  <c r="BY86" i="11"/>
  <c r="BX86" i="11"/>
  <c r="CT85" i="11"/>
  <c r="CU85" i="11" s="1"/>
  <c r="CS85" i="11"/>
  <c r="CN85" i="11"/>
  <c r="CM85" i="11"/>
  <c r="CL85" i="11"/>
  <c r="CJ85" i="11"/>
  <c r="CQ85" i="11" s="1"/>
  <c r="CI85" i="11"/>
  <c r="CE85" i="11"/>
  <c r="CA85" i="11"/>
  <c r="CQ84" i="11"/>
  <c r="CM84" i="11"/>
  <c r="CT84" i="11" s="1"/>
  <c r="CL84" i="11"/>
  <c r="CS84" i="11" s="1"/>
  <c r="CS83" i="11" s="1"/>
  <c r="CJ84" i="11"/>
  <c r="CI84" i="11"/>
  <c r="CE84" i="11"/>
  <c r="CA84" i="11"/>
  <c r="CM83" i="11"/>
  <c r="CL83" i="11"/>
  <c r="CH83" i="11"/>
  <c r="CG83" i="11"/>
  <c r="CF83" i="11"/>
  <c r="CD83" i="11"/>
  <c r="CE83" i="11" s="1"/>
  <c r="CC83" i="11"/>
  <c r="CB83" i="11"/>
  <c r="BZ83" i="11"/>
  <c r="BY83" i="11"/>
  <c r="BX83" i="11"/>
  <c r="CT82" i="11"/>
  <c r="CP82" i="11"/>
  <c r="CM82" i="11"/>
  <c r="CL82" i="11"/>
  <c r="CS82" i="11" s="1"/>
  <c r="CJ82" i="11"/>
  <c r="CI82" i="11"/>
  <c r="CE82" i="11"/>
  <c r="CA82" i="11"/>
  <c r="CT81" i="11"/>
  <c r="CP81" i="11"/>
  <c r="CM81" i="11"/>
  <c r="CL81" i="11"/>
  <c r="CJ81" i="11"/>
  <c r="CN81" i="11" s="1"/>
  <c r="CI81" i="11"/>
  <c r="CE81" i="11"/>
  <c r="CA81" i="11"/>
  <c r="CN80" i="11"/>
  <c r="CI80" i="11"/>
  <c r="CE80" i="11"/>
  <c r="CA80" i="11"/>
  <c r="CW79" i="11"/>
  <c r="CP79" i="11"/>
  <c r="CM79" i="11"/>
  <c r="CT79" i="11" s="1"/>
  <c r="CL79" i="11"/>
  <c r="CS79" i="11" s="1"/>
  <c r="CJ79" i="11"/>
  <c r="CQ79" i="11" s="1"/>
  <c r="CI79" i="11"/>
  <c r="CU78" i="11"/>
  <c r="CT78" i="11"/>
  <c r="CP78" i="11"/>
  <c r="CN78" i="11"/>
  <c r="CM78" i="11"/>
  <c r="CL78" i="11"/>
  <c r="CS78" i="11" s="1"/>
  <c r="CJ78" i="11"/>
  <c r="CQ78" i="11" s="1"/>
  <c r="CI78" i="11"/>
  <c r="CI77" i="11"/>
  <c r="CH77" i="11"/>
  <c r="CG77" i="11"/>
  <c r="CF77" i="11"/>
  <c r="CB77" i="11"/>
  <c r="BZ77" i="11"/>
  <c r="BY77" i="11"/>
  <c r="BX77" i="11"/>
  <c r="CJ77" i="11" s="1"/>
  <c r="CQ77" i="11" s="1"/>
  <c r="CI76" i="11"/>
  <c r="CJ75" i="11"/>
  <c r="CQ75" i="11" s="1"/>
  <c r="CI75" i="11"/>
  <c r="CH75" i="11"/>
  <c r="CC75" i="11"/>
  <c r="CA75" i="11"/>
  <c r="CS74" i="11"/>
  <c r="CL74" i="11"/>
  <c r="CJ74" i="11"/>
  <c r="CQ74" i="11" s="1"/>
  <c r="CH74" i="11"/>
  <c r="CH7" i="11" s="1"/>
  <c r="CD74" i="11"/>
  <c r="CT73" i="11"/>
  <c r="CW73" i="11" s="1"/>
  <c r="CS73" i="11"/>
  <c r="CL73" i="11"/>
  <c r="CJ73" i="11"/>
  <c r="CQ73" i="11" s="1"/>
  <c r="CH73" i="11"/>
  <c r="CD73" i="11"/>
  <c r="CM73" i="11" s="1"/>
  <c r="CP73" i="11" s="1"/>
  <c r="CS72" i="11"/>
  <c r="CL72" i="11"/>
  <c r="CJ72" i="11"/>
  <c r="CQ72" i="11" s="1"/>
  <c r="CI72" i="11"/>
  <c r="CH72" i="11"/>
  <c r="CD72" i="11"/>
  <c r="CA72" i="11"/>
  <c r="CU71" i="11"/>
  <c r="CT71" i="11"/>
  <c r="CQ71" i="11"/>
  <c r="CM71" i="11"/>
  <c r="CJ71" i="11"/>
  <c r="CH71" i="11"/>
  <c r="CG71" i="11"/>
  <c r="CF71" i="11"/>
  <c r="CD71" i="11"/>
  <c r="CC71" i="11"/>
  <c r="CB71" i="11"/>
  <c r="BY71" i="11"/>
  <c r="BX71" i="11"/>
  <c r="CQ70" i="11"/>
  <c r="CJ70" i="11"/>
  <c r="CF70" i="11"/>
  <c r="CB70" i="11"/>
  <c r="BX70" i="11"/>
  <c r="CH65" i="11"/>
  <c r="CG65" i="11"/>
  <c r="CG248" i="11" s="1"/>
  <c r="CF65" i="11"/>
  <c r="CF248" i="11" s="1"/>
  <c r="CD65" i="11"/>
  <c r="CC65" i="11"/>
  <c r="CB65" i="11"/>
  <c r="CB248" i="11" s="1"/>
  <c r="BZ65" i="11"/>
  <c r="BY65" i="11"/>
  <c r="BY248" i="11" s="1"/>
  <c r="BX65" i="11"/>
  <c r="BX248" i="11" s="1"/>
  <c r="CJ248" i="11" s="1"/>
  <c r="CA64" i="11"/>
  <c r="CM63" i="11"/>
  <c r="CI63" i="11"/>
  <c r="CH63" i="11"/>
  <c r="CH245" i="11" s="1"/>
  <c r="CG63" i="11"/>
  <c r="CF63" i="11"/>
  <c r="CF245" i="11" s="1"/>
  <c r="CE63" i="11"/>
  <c r="CD63" i="11"/>
  <c r="CD245" i="11" s="1"/>
  <c r="CC63" i="11"/>
  <c r="CC245" i="11" s="1"/>
  <c r="CB63" i="11"/>
  <c r="CB245" i="11" s="1"/>
  <c r="CA63" i="11"/>
  <c r="BZ63" i="11"/>
  <c r="BY63" i="11"/>
  <c r="BY245" i="11" s="1"/>
  <c r="BX63" i="11"/>
  <c r="BX245" i="11" s="1"/>
  <c r="CI62" i="11"/>
  <c r="CE62" i="11"/>
  <c r="CI61" i="11"/>
  <c r="CH61" i="11"/>
  <c r="CH243" i="11" s="1"/>
  <c r="CG61" i="11"/>
  <c r="CF61" i="11"/>
  <c r="CF243" i="11" s="1"/>
  <c r="CE61" i="11"/>
  <c r="CD61" i="11"/>
  <c r="CD243" i="11" s="1"/>
  <c r="CC61" i="11"/>
  <c r="CC243" i="11" s="1"/>
  <c r="CB61" i="11"/>
  <c r="CB243" i="11" s="1"/>
  <c r="CA61" i="11"/>
  <c r="BY61" i="11"/>
  <c r="BY243" i="11" s="1"/>
  <c r="BX61" i="11"/>
  <c r="BX243" i="11" s="1"/>
  <c r="CI60" i="11"/>
  <c r="CE60" i="11"/>
  <c r="CA60" i="11"/>
  <c r="CI59" i="11"/>
  <c r="CH59" i="11"/>
  <c r="CH241" i="11" s="1"/>
  <c r="CG59" i="11"/>
  <c r="CG241" i="11" s="1"/>
  <c r="CE59" i="11"/>
  <c r="CD59" i="11"/>
  <c r="CD241" i="11" s="1"/>
  <c r="CC59" i="11"/>
  <c r="CC241" i="11" s="1"/>
  <c r="CB59" i="11"/>
  <c r="CB241" i="11" s="1"/>
  <c r="CA59" i="11"/>
  <c r="BZ59" i="11"/>
  <c r="CM59" i="11" s="1"/>
  <c r="BY59" i="11"/>
  <c r="BY241" i="11" s="1"/>
  <c r="CS58" i="11"/>
  <c r="CI58" i="11"/>
  <c r="CE58" i="11"/>
  <c r="CA58" i="11"/>
  <c r="CH57" i="11"/>
  <c r="CG57" i="11"/>
  <c r="CG239" i="11" s="1"/>
  <c r="CF57" i="11"/>
  <c r="CF239" i="11" s="1"/>
  <c r="CD57" i="11"/>
  <c r="CC57" i="11"/>
  <c r="CC239" i="11" s="1"/>
  <c r="CB57" i="11"/>
  <c r="CB239" i="11" s="1"/>
  <c r="BZ57" i="11"/>
  <c r="BY57" i="11"/>
  <c r="BY239" i="11" s="1"/>
  <c r="BX57" i="11"/>
  <c r="BX239" i="11" s="1"/>
  <c r="CI56" i="11"/>
  <c r="CH56" i="11"/>
  <c r="CH237" i="11" s="1"/>
  <c r="CG56" i="11"/>
  <c r="CG237" i="11" s="1"/>
  <c r="CF56" i="11"/>
  <c r="CF237" i="11" s="1"/>
  <c r="CE56" i="11"/>
  <c r="CD56" i="11"/>
  <c r="CD237" i="11" s="1"/>
  <c r="CC56" i="11"/>
  <c r="CC237" i="11" s="1"/>
  <c r="CB56" i="11"/>
  <c r="CB237" i="11" s="1"/>
  <c r="CA56" i="11"/>
  <c r="BZ56" i="11"/>
  <c r="BZ237" i="11" s="1"/>
  <c r="BY56" i="11"/>
  <c r="BY237" i="11" s="1"/>
  <c r="BX56" i="11"/>
  <c r="CJ56" i="11" s="1"/>
  <c r="CQ56" i="11" s="1"/>
  <c r="CG55" i="11"/>
  <c r="CF55" i="11"/>
  <c r="CB55" i="11"/>
  <c r="BZ55" i="11"/>
  <c r="CH53" i="11"/>
  <c r="CH234" i="11" s="1"/>
  <c r="CH236" i="11" s="1"/>
  <c r="CG53" i="11"/>
  <c r="CG234" i="11" s="1"/>
  <c r="CG236" i="11" s="1"/>
  <c r="CF53" i="11"/>
  <c r="CF234" i="11" s="1"/>
  <c r="CF236" i="11" s="1"/>
  <c r="CF235" i="11" s="1"/>
  <c r="CD53" i="11"/>
  <c r="CD234" i="11" s="1"/>
  <c r="CD236" i="11" s="1"/>
  <c r="CC53" i="11"/>
  <c r="CC234" i="11" s="1"/>
  <c r="CC236" i="11" s="1"/>
  <c r="CB53" i="11"/>
  <c r="CB234" i="11" s="1"/>
  <c r="CB236" i="11" s="1"/>
  <c r="CB235" i="11" s="1"/>
  <c r="BZ53" i="11"/>
  <c r="CM53" i="11" s="1"/>
  <c r="BY53" i="11"/>
  <c r="BY234" i="11" s="1"/>
  <c r="BX53" i="11"/>
  <c r="BX234" i="11" s="1"/>
  <c r="CH52" i="11"/>
  <c r="CH231" i="11" s="1"/>
  <c r="CG52" i="11"/>
  <c r="CF52" i="11"/>
  <c r="CF231" i="11" s="1"/>
  <c r="CD52" i="11"/>
  <c r="CD231" i="11" s="1"/>
  <c r="CC52" i="11"/>
  <c r="CB52" i="11"/>
  <c r="CB231" i="11" s="1"/>
  <c r="BZ52" i="11"/>
  <c r="BZ231" i="11" s="1"/>
  <c r="BY52" i="11"/>
  <c r="BX52" i="11"/>
  <c r="CM51" i="11"/>
  <c r="CH51" i="11"/>
  <c r="CH229" i="11" s="1"/>
  <c r="CG51" i="11"/>
  <c r="CG229" i="11" s="1"/>
  <c r="CF51" i="11"/>
  <c r="CF229" i="11" s="1"/>
  <c r="CD51" i="11"/>
  <c r="CD229" i="11" s="1"/>
  <c r="CC51" i="11"/>
  <c r="CC229" i="11" s="1"/>
  <c r="CB51" i="11"/>
  <c r="CB229" i="11" s="1"/>
  <c r="BZ51" i="11"/>
  <c r="BZ229" i="11" s="1"/>
  <c r="BY51" i="11"/>
  <c r="BY229" i="11" s="1"/>
  <c r="BX51" i="11"/>
  <c r="BX229" i="11" s="1"/>
  <c r="CG50" i="11"/>
  <c r="CF50" i="11"/>
  <c r="CC50" i="11"/>
  <c r="CB50" i="11"/>
  <c r="BX50" i="11"/>
  <c r="CH48" i="11"/>
  <c r="CG48" i="11"/>
  <c r="CG226" i="11" s="1"/>
  <c r="CF48" i="11"/>
  <c r="CD48" i="11"/>
  <c r="CC48" i="11"/>
  <c r="CC226" i="11" s="1"/>
  <c r="CB48" i="11"/>
  <c r="BZ48" i="11"/>
  <c r="CM48" i="11" s="1"/>
  <c r="BY48" i="11"/>
  <c r="BY226" i="11" s="1"/>
  <c r="CL226" i="11" s="1"/>
  <c r="BX48" i="11"/>
  <c r="CJ48" i="11" s="1"/>
  <c r="CQ48" i="11" s="1"/>
  <c r="CI47" i="11"/>
  <c r="CH47" i="11"/>
  <c r="CH224" i="11" s="1"/>
  <c r="CI224" i="11" s="1"/>
  <c r="CG47" i="11"/>
  <c r="CG224" i="11" s="1"/>
  <c r="CF47" i="11"/>
  <c r="CF223" i="11" s="1"/>
  <c r="CE47" i="11"/>
  <c r="CD47" i="11"/>
  <c r="CD224" i="11" s="1"/>
  <c r="CE224" i="11" s="1"/>
  <c r="CC47" i="11"/>
  <c r="CC224" i="11" s="1"/>
  <c r="CB47" i="11"/>
  <c r="CB223" i="11" s="1"/>
  <c r="CA47" i="11"/>
  <c r="BZ47" i="11"/>
  <c r="BZ224" i="11" s="1"/>
  <c r="BY47" i="11"/>
  <c r="BY224" i="11" s="1"/>
  <c r="CL224" i="11" s="1"/>
  <c r="BX47" i="11"/>
  <c r="BX223" i="11" s="1"/>
  <c r="CH46" i="11"/>
  <c r="CG46" i="11"/>
  <c r="CG222" i="11" s="1"/>
  <c r="CF46" i="11"/>
  <c r="CD46" i="11"/>
  <c r="CC46" i="11"/>
  <c r="CC222" i="11" s="1"/>
  <c r="CB46" i="11"/>
  <c r="BZ46" i="11"/>
  <c r="BY46" i="11"/>
  <c r="BY222" i="11" s="1"/>
  <c r="BX46" i="11"/>
  <c r="CJ46" i="11" s="1"/>
  <c r="CQ46" i="11" s="1"/>
  <c r="CI45" i="11"/>
  <c r="CH45" i="11"/>
  <c r="CH220" i="11" s="1"/>
  <c r="CI220" i="11" s="1"/>
  <c r="CG45" i="11"/>
  <c r="CG220" i="11" s="1"/>
  <c r="CF45" i="11"/>
  <c r="CE45" i="11"/>
  <c r="CD45" i="11"/>
  <c r="CD220" i="11" s="1"/>
  <c r="CE220" i="11" s="1"/>
  <c r="CC45" i="11"/>
  <c r="CC220" i="11" s="1"/>
  <c r="CB45" i="11"/>
  <c r="CA45" i="11"/>
  <c r="BZ45" i="11"/>
  <c r="BZ220" i="11" s="1"/>
  <c r="BY45" i="11"/>
  <c r="BY220" i="11" s="1"/>
  <c r="CL220" i="11" s="1"/>
  <c r="BX45" i="11"/>
  <c r="BX220" i="11" s="1"/>
  <c r="CJ220" i="11" s="1"/>
  <c r="CH44" i="11"/>
  <c r="CG44" i="11"/>
  <c r="CG218" i="11" s="1"/>
  <c r="CG228" i="11" s="1"/>
  <c r="CG227" i="11" s="1"/>
  <c r="CF44" i="11"/>
  <c r="CF218" i="11" s="1"/>
  <c r="CF228" i="11" s="1"/>
  <c r="CD44" i="11"/>
  <c r="CC44" i="11"/>
  <c r="CC218" i="11" s="1"/>
  <c r="CB44" i="11"/>
  <c r="CB218" i="11" s="1"/>
  <c r="CB228" i="11" s="1"/>
  <c r="CB227" i="11" s="1"/>
  <c r="BZ44" i="11"/>
  <c r="BY44" i="11"/>
  <c r="BY218" i="11" s="1"/>
  <c r="BX44" i="11"/>
  <c r="CD43" i="11"/>
  <c r="CB43" i="11"/>
  <c r="CB67" i="11" s="1"/>
  <c r="BZ43" i="11"/>
  <c r="BX43" i="11"/>
  <c r="CD41" i="11"/>
  <c r="CE41" i="11" s="1"/>
  <c r="CC41" i="11"/>
  <c r="CB41" i="11"/>
  <c r="CB213" i="11" s="1"/>
  <c r="BZ41" i="11"/>
  <c r="CA41" i="11" s="1"/>
  <c r="BY41" i="11"/>
  <c r="BX41" i="11"/>
  <c r="BX213" i="11" s="1"/>
  <c r="CI40" i="11"/>
  <c r="CH40" i="11"/>
  <c r="CH212" i="11" s="1"/>
  <c r="CG40" i="11"/>
  <c r="CG212" i="11" s="1"/>
  <c r="CF40" i="11"/>
  <c r="CF211" i="11" s="1"/>
  <c r="CE40" i="11"/>
  <c r="CD40" i="11"/>
  <c r="CC40" i="11"/>
  <c r="CC212" i="11" s="1"/>
  <c r="CB40" i="11"/>
  <c r="CB211" i="11" s="1"/>
  <c r="CA40" i="11"/>
  <c r="BZ40" i="11"/>
  <c r="BZ211" i="11" s="1"/>
  <c r="BY40" i="11"/>
  <c r="BY212" i="11" s="1"/>
  <c r="BX40" i="11"/>
  <c r="BX211" i="11" s="1"/>
  <c r="CH39" i="11"/>
  <c r="CI39" i="11" s="1"/>
  <c r="CG39" i="11"/>
  <c r="CG210" i="11" s="1"/>
  <c r="CF39" i="11"/>
  <c r="CF209" i="11" s="1"/>
  <c r="CD39" i="11"/>
  <c r="CC39" i="11"/>
  <c r="CC210" i="11" s="1"/>
  <c r="CE210" i="11" s="1"/>
  <c r="CB39" i="11"/>
  <c r="CB209" i="11" s="1"/>
  <c r="BZ39" i="11"/>
  <c r="BY39" i="11"/>
  <c r="BY210" i="11" s="1"/>
  <c r="BX39" i="11"/>
  <c r="BX209" i="11" s="1"/>
  <c r="CI38" i="11"/>
  <c r="CH38" i="11"/>
  <c r="CG38" i="11"/>
  <c r="CG208" i="11" s="1"/>
  <c r="CF38" i="11"/>
  <c r="CF208" i="11" s="1"/>
  <c r="CE38" i="11"/>
  <c r="CD38" i="11"/>
  <c r="CC38" i="11"/>
  <c r="CC208" i="11" s="1"/>
  <c r="CE208" i="11" s="1"/>
  <c r="CB38" i="11"/>
  <c r="CB208" i="11" s="1"/>
  <c r="CA38" i="11"/>
  <c r="BZ38" i="11"/>
  <c r="BZ207" i="11" s="1"/>
  <c r="BY38" i="11"/>
  <c r="BY208" i="11" s="1"/>
  <c r="CL208" i="11" s="1"/>
  <c r="BX38" i="11"/>
  <c r="BX208" i="11" s="1"/>
  <c r="CJ208" i="11" s="1"/>
  <c r="CQ208" i="11" s="1"/>
  <c r="CG37" i="11"/>
  <c r="CG206" i="11" s="1"/>
  <c r="CF37" i="11"/>
  <c r="CF205" i="11" s="1"/>
  <c r="CD37" i="11"/>
  <c r="CC37" i="11"/>
  <c r="CC206" i="11" s="1"/>
  <c r="CE206" i="11" s="1"/>
  <c r="CB37" i="11"/>
  <c r="CB205" i="11" s="1"/>
  <c r="BZ37" i="11"/>
  <c r="BY37" i="11"/>
  <c r="BY206" i="11" s="1"/>
  <c r="BX37" i="11"/>
  <c r="BX205" i="11" s="1"/>
  <c r="CI36" i="11"/>
  <c r="CH36" i="11"/>
  <c r="CH204" i="11" s="1"/>
  <c r="CG36" i="11"/>
  <c r="CG204" i="11" s="1"/>
  <c r="CF36" i="11"/>
  <c r="CF203" i="11" s="1"/>
  <c r="CE36" i="11"/>
  <c r="CD36" i="11"/>
  <c r="CC36" i="11"/>
  <c r="CC204" i="11" s="1"/>
  <c r="CE204" i="11" s="1"/>
  <c r="CB36" i="11"/>
  <c r="CB203" i="11" s="1"/>
  <c r="CA36" i="11"/>
  <c r="BZ36" i="11"/>
  <c r="BZ203" i="11" s="1"/>
  <c r="BY36" i="11"/>
  <c r="BY204" i="11" s="1"/>
  <c r="BX36" i="11"/>
  <c r="BX203" i="11" s="1"/>
  <c r="CW35" i="11"/>
  <c r="CW202" i="11" s="1"/>
  <c r="CU35" i="11"/>
  <c r="CU202" i="11" s="1"/>
  <c r="CT35" i="11"/>
  <c r="CS35" i="11"/>
  <c r="CQ35" i="11"/>
  <c r="CP35" i="11"/>
  <c r="CP202" i="11" s="1"/>
  <c r="CM35" i="11"/>
  <c r="CJ35" i="11"/>
  <c r="CI35" i="11"/>
  <c r="CH35" i="11"/>
  <c r="CG35" i="11"/>
  <c r="CF35" i="11"/>
  <c r="CE35" i="11"/>
  <c r="CD35" i="11"/>
  <c r="CC35" i="11"/>
  <c r="CB35" i="11"/>
  <c r="CA35" i="11"/>
  <c r="BY35" i="11"/>
  <c r="BX35" i="11"/>
  <c r="CQ34" i="11"/>
  <c r="CJ34" i="11"/>
  <c r="CF34" i="11"/>
  <c r="CB34" i="11"/>
  <c r="BX34" i="11"/>
  <c r="CL29" i="11"/>
  <c r="CS29" i="11" s="1"/>
  <c r="CJ29" i="11"/>
  <c r="CJ195" i="11" s="1"/>
  <c r="CH29" i="11"/>
  <c r="CH196" i="11" s="1"/>
  <c r="CG29" i="11"/>
  <c r="CF29" i="11"/>
  <c r="CF195" i="11" s="1"/>
  <c r="CD29" i="11"/>
  <c r="CD196" i="11" s="1"/>
  <c r="CC29" i="11"/>
  <c r="CB29" i="11"/>
  <c r="CB195" i="11" s="1"/>
  <c r="CA29" i="11"/>
  <c r="BY29" i="11"/>
  <c r="BY196" i="11" s="1"/>
  <c r="BX29" i="11"/>
  <c r="BX195" i="11" s="1"/>
  <c r="CI28" i="11"/>
  <c r="CA28" i="11"/>
  <c r="CH27" i="11"/>
  <c r="CI27" i="11" s="1"/>
  <c r="CG27" i="11"/>
  <c r="CF27" i="11"/>
  <c r="CF194" i="11" s="1"/>
  <c r="CD27" i="11"/>
  <c r="CD193" i="11" s="1"/>
  <c r="CC27" i="11"/>
  <c r="CB27" i="11"/>
  <c r="CB194" i="11" s="1"/>
  <c r="BZ27" i="11"/>
  <c r="BZ194" i="11" s="1"/>
  <c r="BY27" i="11"/>
  <c r="BY194" i="11" s="1"/>
  <c r="BX27" i="11"/>
  <c r="BX194" i="11" s="1"/>
  <c r="CJ194" i="11" s="1"/>
  <c r="CA26" i="11"/>
  <c r="CL25" i="11"/>
  <c r="CL191" i="11" s="1"/>
  <c r="CH25" i="11"/>
  <c r="CG25" i="11"/>
  <c r="CG191" i="11" s="1"/>
  <c r="CF25" i="11"/>
  <c r="CF191" i="11" s="1"/>
  <c r="CD25" i="11"/>
  <c r="CC25" i="11"/>
  <c r="CC191" i="11" s="1"/>
  <c r="CB25" i="11"/>
  <c r="CB191" i="11" s="1"/>
  <c r="BY25" i="11"/>
  <c r="BX25" i="11"/>
  <c r="CH23" i="11"/>
  <c r="CG23" i="11"/>
  <c r="CD23" i="11"/>
  <c r="CE22" i="11" s="1"/>
  <c r="CC23" i="11"/>
  <c r="CL23" i="11" s="1"/>
  <c r="CS23" i="11" s="1"/>
  <c r="CB23" i="11"/>
  <c r="BZ23" i="11"/>
  <c r="BY23" i="11"/>
  <c r="CA22" i="11"/>
  <c r="CT21" i="11"/>
  <c r="CM21" i="11"/>
  <c r="CI21" i="11"/>
  <c r="CH21" i="11"/>
  <c r="CH188" i="11" s="1"/>
  <c r="CG21" i="11"/>
  <c r="CG188" i="11" s="1"/>
  <c r="CF21" i="11"/>
  <c r="CF187" i="11" s="1"/>
  <c r="CE21" i="11"/>
  <c r="CD21" i="11"/>
  <c r="CD188" i="11" s="1"/>
  <c r="CC21" i="11"/>
  <c r="CC188" i="11" s="1"/>
  <c r="CB21" i="11"/>
  <c r="CB187" i="11" s="1"/>
  <c r="CA21" i="11"/>
  <c r="BZ21" i="11"/>
  <c r="BZ188" i="11" s="1"/>
  <c r="BY21" i="11"/>
  <c r="BY188" i="11" s="1"/>
  <c r="CL188" i="11" s="1"/>
  <c r="CS188" i="11" s="1"/>
  <c r="BX21" i="11"/>
  <c r="BX187" i="11" s="1"/>
  <c r="CL20" i="11"/>
  <c r="CS20" i="11" s="1"/>
  <c r="CH20" i="11"/>
  <c r="CH186" i="11" s="1"/>
  <c r="CG20" i="11"/>
  <c r="CF20" i="11"/>
  <c r="CF185" i="11" s="1"/>
  <c r="CD20" i="11"/>
  <c r="CD186" i="11" s="1"/>
  <c r="CC20" i="11"/>
  <c r="CB20" i="11"/>
  <c r="CB185" i="11" s="1"/>
  <c r="BZ20" i="11"/>
  <c r="BZ186" i="11" s="1"/>
  <c r="BY20" i="11"/>
  <c r="BX20" i="11"/>
  <c r="BX185" i="11" s="1"/>
  <c r="CH19" i="11"/>
  <c r="CF19" i="11"/>
  <c r="CF183" i="11" s="1"/>
  <c r="CD19" i="11"/>
  <c r="CB19" i="11"/>
  <c r="CB183" i="11" s="1"/>
  <c r="CA19" i="11"/>
  <c r="BZ19" i="11"/>
  <c r="CA18" i="11" s="1"/>
  <c r="BY19" i="11"/>
  <c r="BX19" i="11"/>
  <c r="BX183" i="11" s="1"/>
  <c r="CI17" i="11"/>
  <c r="CH17" i="11"/>
  <c r="CG17" i="11"/>
  <c r="CF17" i="11"/>
  <c r="CE17" i="11"/>
  <c r="CD17" i="11"/>
  <c r="CC17" i="11"/>
  <c r="CB17" i="11"/>
  <c r="CA17" i="11"/>
  <c r="BZ17" i="11"/>
  <c r="CM17" i="11" s="1"/>
  <c r="CP17" i="11" s="1"/>
  <c r="BY17" i="11"/>
  <c r="CL17" i="11" s="1"/>
  <c r="CS17" i="11" s="1"/>
  <c r="BX17" i="11"/>
  <c r="CJ17" i="11" s="1"/>
  <c r="CF16" i="11"/>
  <c r="CB16" i="11"/>
  <c r="CB181" i="11" s="1"/>
  <c r="BZ16" i="11"/>
  <c r="BY16" i="11"/>
  <c r="BY181" i="11" s="1"/>
  <c r="BX16" i="11"/>
  <c r="BX181" i="11" s="1"/>
  <c r="CI15" i="11"/>
  <c r="CH15" i="11"/>
  <c r="CH179" i="11" s="1"/>
  <c r="CG15" i="11"/>
  <c r="CG179" i="11" s="1"/>
  <c r="CF15" i="11"/>
  <c r="CF179" i="11" s="1"/>
  <c r="CE15" i="11"/>
  <c r="CD15" i="11"/>
  <c r="CD179" i="11" s="1"/>
  <c r="CC15" i="11"/>
  <c r="CC179" i="11" s="1"/>
  <c r="CB15" i="11"/>
  <c r="CB179" i="11" s="1"/>
  <c r="CA15" i="11"/>
  <c r="BZ15" i="11"/>
  <c r="BZ179" i="11" s="1"/>
  <c r="BY15" i="11"/>
  <c r="BY179" i="11" s="1"/>
  <c r="BX15" i="11"/>
  <c r="BX179" i="11" s="1"/>
  <c r="CH14" i="11"/>
  <c r="CG14" i="11"/>
  <c r="CG177" i="11" s="1"/>
  <c r="CF14" i="11"/>
  <c r="CF177" i="11" s="1"/>
  <c r="CD14" i="11"/>
  <c r="CE14" i="11" s="1"/>
  <c r="CC14" i="11"/>
  <c r="CC177" i="11" s="1"/>
  <c r="CB14" i="11"/>
  <c r="CB177" i="11" s="1"/>
  <c r="BZ14" i="11"/>
  <c r="CA13" i="11" s="1"/>
  <c r="BY14" i="11"/>
  <c r="BY177" i="11" s="1"/>
  <c r="BX14" i="11"/>
  <c r="BX177" i="11" s="1"/>
  <c r="CE13" i="11"/>
  <c r="CS12" i="11"/>
  <c r="CH12" i="11"/>
  <c r="CH176" i="11" s="1"/>
  <c r="CI176" i="11" s="1"/>
  <c r="CG12" i="11"/>
  <c r="CG176" i="11" s="1"/>
  <c r="CF12" i="11"/>
  <c r="CF176" i="11" s="1"/>
  <c r="CD12" i="11"/>
  <c r="CD176" i="11" s="1"/>
  <c r="CC12" i="11"/>
  <c r="CC176" i="11" s="1"/>
  <c r="CB12" i="11"/>
  <c r="CB176" i="11" s="1"/>
  <c r="BZ12" i="11"/>
  <c r="BZ176" i="11" s="1"/>
  <c r="CM176" i="11" s="1"/>
  <c r="BY12" i="11"/>
  <c r="CL12" i="11" s="1"/>
  <c r="BX12" i="11"/>
  <c r="CJ11" i="11"/>
  <c r="CQ11" i="11" s="1"/>
  <c r="CH11" i="11"/>
  <c r="CH174" i="11" s="1"/>
  <c r="CG11" i="11"/>
  <c r="CF11" i="11"/>
  <c r="CD11" i="11"/>
  <c r="CD174" i="11" s="1"/>
  <c r="CC11" i="11"/>
  <c r="CB11" i="11"/>
  <c r="BZ11" i="11"/>
  <c r="CM11" i="11" s="1"/>
  <c r="BY11" i="11"/>
  <c r="BX11" i="11"/>
  <c r="BX174" i="11" s="1"/>
  <c r="CJ174" i="11" s="1"/>
  <c r="CH10" i="11"/>
  <c r="CI10" i="11" s="1"/>
  <c r="CG10" i="11"/>
  <c r="CF10" i="11"/>
  <c r="CB10" i="11"/>
  <c r="CA10" i="11"/>
  <c r="BZ10" i="11"/>
  <c r="BY10" i="11"/>
  <c r="BX10" i="11"/>
  <c r="CJ10" i="11" s="1"/>
  <c r="CQ10" i="11" s="1"/>
  <c r="CI9" i="11"/>
  <c r="CI8" i="11"/>
  <c r="CH8" i="11"/>
  <c r="CG8" i="11"/>
  <c r="CG170" i="11" s="1"/>
  <c r="CF8" i="11"/>
  <c r="CF170" i="11" s="1"/>
  <c r="CF172" i="11" s="1"/>
  <c r="CB8" i="11"/>
  <c r="CB170" i="11" s="1"/>
  <c r="CB172" i="11" s="1"/>
  <c r="CA8" i="11"/>
  <c r="BZ8" i="11"/>
  <c r="BZ169" i="11" s="1"/>
  <c r="BY8" i="11"/>
  <c r="BY170" i="11" s="1"/>
  <c r="BX8" i="11"/>
  <c r="BX170" i="11" s="1"/>
  <c r="CG7" i="11"/>
  <c r="CG168" i="11" s="1"/>
  <c r="CF7" i="11"/>
  <c r="CF168" i="11" s="1"/>
  <c r="CD7" i="11"/>
  <c r="CC7" i="11"/>
  <c r="CC168" i="11" s="1"/>
  <c r="CB7" i="11"/>
  <c r="CB168" i="11" s="1"/>
  <c r="BZ7" i="11"/>
  <c r="BY7" i="11"/>
  <c r="BY168" i="11" s="1"/>
  <c r="BX7" i="11"/>
  <c r="BX168" i="11" s="1"/>
  <c r="CJ168" i="11" s="1"/>
  <c r="CI6" i="11"/>
  <c r="CH6" i="11"/>
  <c r="CG6" i="11"/>
  <c r="CG166" i="11" s="1"/>
  <c r="CF6" i="11"/>
  <c r="CF166" i="11" s="1"/>
  <c r="CE6" i="11"/>
  <c r="CD6" i="11"/>
  <c r="CC6" i="11"/>
  <c r="CC166" i="11" s="1"/>
  <c r="CB6" i="11"/>
  <c r="CB166" i="11" s="1"/>
  <c r="CA6" i="11"/>
  <c r="BZ6" i="11"/>
  <c r="BZ165" i="11" s="1"/>
  <c r="BY6" i="11"/>
  <c r="BY166" i="11" s="1"/>
  <c r="BX6" i="11"/>
  <c r="CJ6" i="11" s="1"/>
  <c r="CQ6" i="11" s="1"/>
  <c r="CH5" i="11"/>
  <c r="CI5" i="11" s="1"/>
  <c r="CG5" i="11"/>
  <c r="CG164" i="11" s="1"/>
  <c r="CF5" i="11"/>
  <c r="CD5" i="11"/>
  <c r="CC5" i="11"/>
  <c r="CC164" i="11" s="1"/>
  <c r="CB5" i="11"/>
  <c r="BZ5" i="11"/>
  <c r="BY5" i="11"/>
  <c r="BY164" i="11" s="1"/>
  <c r="BX5" i="11"/>
  <c r="BX164" i="11" s="1"/>
  <c r="CN4" i="11"/>
  <c r="CH168" i="11" l="1"/>
  <c r="CI168" i="11" s="1"/>
  <c r="CI7" i="11"/>
  <c r="CN98" i="11"/>
  <c r="CQ98" i="11"/>
  <c r="CU98" i="11" s="1"/>
  <c r="CQ165" i="11"/>
  <c r="CQ17" i="11"/>
  <c r="CN17" i="11"/>
  <c r="CQ207" i="11"/>
  <c r="CP11" i="11"/>
  <c r="CD168" i="11"/>
  <c r="CE7" i="11"/>
  <c r="CM14" i="11"/>
  <c r="CJ15" i="11"/>
  <c r="CQ15" i="11" s="1"/>
  <c r="BX191" i="11"/>
  <c r="CJ25" i="11"/>
  <c r="CQ25" i="11" s="1"/>
  <c r="CC194" i="11"/>
  <c r="CE26" i="11"/>
  <c r="CM196" i="11"/>
  <c r="CS202" i="11"/>
  <c r="CS114" i="11"/>
  <c r="CM229" i="11"/>
  <c r="CT51" i="11"/>
  <c r="CP58" i="11"/>
  <c r="CN58" i="11"/>
  <c r="CT59" i="11"/>
  <c r="CU84" i="11"/>
  <c r="CN130" i="11"/>
  <c r="CQ130" i="11"/>
  <c r="CJ131" i="11"/>
  <c r="BZ183" i="11"/>
  <c r="CA184" i="11"/>
  <c r="CA183" i="11"/>
  <c r="CM184" i="11"/>
  <c r="BZ198" i="11"/>
  <c r="CA248" i="11"/>
  <c r="CA247" i="11"/>
  <c r="CM248" i="11"/>
  <c r="CE5" i="11"/>
  <c r="CB198" i="11"/>
  <c r="CB171" i="11"/>
  <c r="CH16" i="11"/>
  <c r="CG186" i="11"/>
  <c r="CG190" i="11" s="1"/>
  <c r="CG189" i="11" s="1"/>
  <c r="CI20" i="11"/>
  <c r="CP21" i="11"/>
  <c r="CM23" i="11"/>
  <c r="BY191" i="11"/>
  <c r="CA25" i="11"/>
  <c r="CA191" i="11" s="1"/>
  <c r="CJ27" i="11"/>
  <c r="CQ27" i="11" s="1"/>
  <c r="CX27" i="11" s="1"/>
  <c r="CE39" i="11"/>
  <c r="CJ50" i="11"/>
  <c r="CQ50" i="11" s="1"/>
  <c r="CC231" i="11"/>
  <c r="CE52" i="11"/>
  <c r="CC55" i="11"/>
  <c r="CC248" i="11"/>
  <c r="CE64" i="11"/>
  <c r="CQ82" i="11"/>
  <c r="CU82" i="11" s="1"/>
  <c r="CN82" i="11"/>
  <c r="BX91" i="11"/>
  <c r="CJ90" i="11"/>
  <c r="CQ90" i="11" s="1"/>
  <c r="CE91" i="11"/>
  <c r="CN108" i="11"/>
  <c r="CN107" i="11"/>
  <c r="CW132" i="11"/>
  <c r="CU132" i="11"/>
  <c r="CT131" i="11"/>
  <c r="CT138" i="11"/>
  <c r="CN138" i="11"/>
  <c r="CP138" i="11"/>
  <c r="CW153" i="11"/>
  <c r="CU153" i="11"/>
  <c r="CW152" i="11"/>
  <c r="CU152" i="11"/>
  <c r="BZ163" i="11"/>
  <c r="CA5" i="11"/>
  <c r="CM5" i="11"/>
  <c r="BZ171" i="11"/>
  <c r="BZ31" i="11"/>
  <c r="CA9" i="11"/>
  <c r="CG174" i="11"/>
  <c r="CI174" i="11" s="1"/>
  <c r="CI11" i="11"/>
  <c r="CM12" i="11"/>
  <c r="CH177" i="11"/>
  <c r="CI14" i="11"/>
  <c r="CI13" i="11"/>
  <c r="CD16" i="11"/>
  <c r="CT17" i="11"/>
  <c r="CM19" i="11"/>
  <c r="CC186" i="11"/>
  <c r="CC190" i="11" s="1"/>
  <c r="CC189" i="11" s="1"/>
  <c r="CE20" i="11"/>
  <c r="CN21" i="11"/>
  <c r="BZ189" i="11"/>
  <c r="CA23" i="11"/>
  <c r="CL27" i="11"/>
  <c r="CS27" i="11" s="1"/>
  <c r="CG196" i="11"/>
  <c r="CI195" i="11" s="1"/>
  <c r="CI29" i="11"/>
  <c r="CM204" i="11"/>
  <c r="CI204" i="11"/>
  <c r="CL206" i="11"/>
  <c r="CA206" i="11"/>
  <c r="CE37" i="11"/>
  <c r="CL37" i="11"/>
  <c r="CS37" i="11" s="1"/>
  <c r="BZ209" i="11"/>
  <c r="CA39" i="11"/>
  <c r="CM39" i="11"/>
  <c r="CQ220" i="11"/>
  <c r="CQ219" i="11" s="1"/>
  <c r="CJ219" i="11"/>
  <c r="CL52" i="11"/>
  <c r="CA54" i="11"/>
  <c r="CM55" i="11"/>
  <c r="CL248" i="11"/>
  <c r="CM72" i="11"/>
  <c r="CE72" i="11"/>
  <c r="CD77" i="11"/>
  <c r="CU79" i="11"/>
  <c r="CT86" i="11"/>
  <c r="CS115" i="11"/>
  <c r="CP115" i="11"/>
  <c r="CM118" i="11"/>
  <c r="CF122" i="11"/>
  <c r="CF41" i="11"/>
  <c r="CF213" i="11" s="1"/>
  <c r="CM131" i="11"/>
  <c r="CP132" i="11"/>
  <c r="CN132" i="11"/>
  <c r="CS134" i="11"/>
  <c r="CJ138" i="11"/>
  <c r="CQ138" i="11" s="1"/>
  <c r="CA139" i="11"/>
  <c r="CJ59" i="11"/>
  <c r="CQ59" i="11" s="1"/>
  <c r="CX59" i="11" s="1"/>
  <c r="DA59" i="11" s="1"/>
  <c r="CN152" i="11"/>
  <c r="CP153" i="11"/>
  <c r="CP152" i="11"/>
  <c r="CN153" i="11"/>
  <c r="CN174" i="11"/>
  <c r="CM173" i="11"/>
  <c r="CT174" i="11"/>
  <c r="CD177" i="11"/>
  <c r="CL168" i="11"/>
  <c r="CA168" i="11"/>
  <c r="CL7" i="11"/>
  <c r="CS7" i="11" s="1"/>
  <c r="CG31" i="11"/>
  <c r="BY174" i="11"/>
  <c r="CA11" i="11"/>
  <c r="CM175" i="11"/>
  <c r="CN176" i="11"/>
  <c r="CT176" i="11"/>
  <c r="BZ177" i="11"/>
  <c r="CA14" i="11"/>
  <c r="CA31" i="11" s="1"/>
  <c r="CE25" i="11"/>
  <c r="CE191" i="11" s="1"/>
  <c r="CE24" i="11"/>
  <c r="CQ194" i="11"/>
  <c r="CQ193" i="11" s="1"/>
  <c r="CJ36" i="11"/>
  <c r="CP48" i="11"/>
  <c r="CT48" i="11"/>
  <c r="CN48" i="11"/>
  <c r="CS87" i="11"/>
  <c r="CL86" i="11"/>
  <c r="CP86" i="11" s="1"/>
  <c r="CP87" i="11"/>
  <c r="CP85" i="11"/>
  <c r="CU107" i="11"/>
  <c r="CU108" i="11"/>
  <c r="CH116" i="11"/>
  <c r="CG120" i="11"/>
  <c r="CL116" i="11"/>
  <c r="CS116" i="11" s="1"/>
  <c r="CW133" i="11"/>
  <c r="CU133" i="11"/>
  <c r="CE141" i="11"/>
  <c r="CD139" i="11"/>
  <c r="CE139" i="11" s="1"/>
  <c r="CL141" i="11"/>
  <c r="CP145" i="11"/>
  <c r="CN145" i="11"/>
  <c r="CW148" i="11"/>
  <c r="CJ165" i="11"/>
  <c r="CL164" i="11"/>
  <c r="CA164" i="11"/>
  <c r="CL5" i="11"/>
  <c r="CS5" i="11" s="1"/>
  <c r="CA7" i="11"/>
  <c r="BZ167" i="11"/>
  <c r="CM7" i="11"/>
  <c r="BX172" i="11"/>
  <c r="CJ170" i="11"/>
  <c r="CH31" i="11"/>
  <c r="CT11" i="11"/>
  <c r="CN11" i="11"/>
  <c r="CL11" i="11"/>
  <c r="CS11" i="11" s="1"/>
  <c r="CA12" i="11"/>
  <c r="CE12" i="11"/>
  <c r="CI12" i="11"/>
  <c r="CI18" i="11"/>
  <c r="CE23" i="11"/>
  <c r="CA24" i="11"/>
  <c r="CM25" i="11"/>
  <c r="CA210" i="11"/>
  <c r="CL210" i="11"/>
  <c r="CL39" i="11"/>
  <c r="CS39" i="11" s="1"/>
  <c r="BX67" i="11"/>
  <c r="BX231" i="11"/>
  <c r="BX55" i="11"/>
  <c r="CJ52" i="11"/>
  <c r="CT53" i="11"/>
  <c r="CH248" i="11"/>
  <c r="CI65" i="11"/>
  <c r="CI64" i="11"/>
  <c r="CN84" i="11"/>
  <c r="CJ83" i="11"/>
  <c r="CN83" i="11" s="1"/>
  <c r="CG91" i="11"/>
  <c r="CG19" i="11"/>
  <c r="CG16" i="11" s="1"/>
  <c r="CG181" i="11" s="1"/>
  <c r="CW147" i="11"/>
  <c r="CF198" i="11"/>
  <c r="CF197" i="11" s="1"/>
  <c r="CF171" i="11"/>
  <c r="CJ8" i="11"/>
  <c r="CQ8" i="11" s="1"/>
  <c r="CQ174" i="11"/>
  <c r="CQ173" i="11" s="1"/>
  <c r="CJ173" i="11"/>
  <c r="CC174" i="11"/>
  <c r="CE11" i="11"/>
  <c r="CL14" i="11"/>
  <c r="CS14" i="11" s="1"/>
  <c r="CS177" i="11" s="1"/>
  <c r="BZ181" i="11"/>
  <c r="CA16" i="11"/>
  <c r="BY186" i="11"/>
  <c r="CA20" i="11"/>
  <c r="CJ20" i="11"/>
  <c r="CQ20" i="11" s="1"/>
  <c r="CM188" i="11"/>
  <c r="CA187" i="11"/>
  <c r="CA188" i="11"/>
  <c r="CE188" i="11"/>
  <c r="CE187" i="11"/>
  <c r="CI187" i="11"/>
  <c r="CI188" i="11"/>
  <c r="CI23" i="11"/>
  <c r="CI22" i="11"/>
  <c r="CI24" i="11"/>
  <c r="CI25" i="11"/>
  <c r="CI191" i="11" s="1"/>
  <c r="CS25" i="11"/>
  <c r="CG194" i="11"/>
  <c r="CI26" i="11"/>
  <c r="CC196" i="11"/>
  <c r="CE196" i="11" s="1"/>
  <c r="CE29" i="11"/>
  <c r="CE28" i="11"/>
  <c r="CQ29" i="11"/>
  <c r="CQ195" i="11" s="1"/>
  <c r="CB31" i="11"/>
  <c r="BZ205" i="11"/>
  <c r="CA37" i="11"/>
  <c r="CJ207" i="11"/>
  <c r="CJ38" i="11"/>
  <c r="CQ38" i="11" s="1"/>
  <c r="CS220" i="11"/>
  <c r="CH222" i="11"/>
  <c r="CI46" i="11"/>
  <c r="CS226" i="11"/>
  <c r="CL225" i="11"/>
  <c r="CD226" i="11"/>
  <c r="CE226" i="11" s="1"/>
  <c r="CE48" i="11"/>
  <c r="CL48" i="11"/>
  <c r="CS48" i="11" s="1"/>
  <c r="CC235" i="11"/>
  <c r="CM245" i="11"/>
  <c r="CT63" i="11"/>
  <c r="BZ110" i="11"/>
  <c r="CA76" i="11"/>
  <c r="CM77" i="11"/>
  <c r="CA77" i="11"/>
  <c r="CQ91" i="11"/>
  <c r="CF110" i="11"/>
  <c r="CF23" i="11"/>
  <c r="CF31" i="11" s="1"/>
  <c r="BY158" i="11"/>
  <c r="CA122" i="11"/>
  <c r="CA158" i="11" s="1"/>
  <c r="BY43" i="11"/>
  <c r="CA121" i="11"/>
  <c r="CE129" i="11"/>
  <c r="CD50" i="11"/>
  <c r="CL129" i="11"/>
  <c r="CS129" i="11" s="1"/>
  <c r="CT145" i="11"/>
  <c r="CW177" i="11"/>
  <c r="CW178" i="11"/>
  <c r="CU178" i="11"/>
  <c r="CS180" i="11"/>
  <c r="CP180" i="11"/>
  <c r="CJ191" i="11"/>
  <c r="CJ44" i="11"/>
  <c r="CQ44" i="11" s="1"/>
  <c r="BX218" i="11"/>
  <c r="CH218" i="11"/>
  <c r="CI44" i="11"/>
  <c r="CL222" i="11"/>
  <c r="CL46" i="11"/>
  <c r="CS46" i="11" s="1"/>
  <c r="CI235" i="11"/>
  <c r="CD248" i="11"/>
  <c r="CE65" i="11"/>
  <c r="CC77" i="11"/>
  <c r="CL75" i="11"/>
  <c r="CS75" i="11" s="1"/>
  <c r="CQ81" i="11"/>
  <c r="CA83" i="11"/>
  <c r="CC91" i="11"/>
  <c r="CI93" i="11"/>
  <c r="CI110" i="11" s="1"/>
  <c r="CI92" i="11"/>
  <c r="CP102" i="11"/>
  <c r="CT102" i="11"/>
  <c r="CN102" i="11"/>
  <c r="CJ122" i="11"/>
  <c r="CA129" i="11"/>
  <c r="BZ50" i="11"/>
  <c r="CT137" i="11"/>
  <c r="CA141" i="11"/>
  <c r="CM141" i="11"/>
  <c r="CT150" i="11"/>
  <c r="BZ158" i="11"/>
  <c r="CH164" i="11"/>
  <c r="CI164" i="11" s="1"/>
  <c r="CN162" i="11"/>
  <c r="CN114" i="11"/>
  <c r="CA166" i="11"/>
  <c r="CL166" i="11"/>
  <c r="CL6" i="11"/>
  <c r="CS6" i="11" s="1"/>
  <c r="BY172" i="11"/>
  <c r="CC8" i="11"/>
  <c r="CC170" i="11" s="1"/>
  <c r="CC172" i="11" s="1"/>
  <c r="CG172" i="11"/>
  <c r="BX226" i="11"/>
  <c r="CJ226" i="11" s="1"/>
  <c r="BX176" i="11"/>
  <c r="CJ176" i="11" s="1"/>
  <c r="CJ12" i="11"/>
  <c r="CQ12" i="11" s="1"/>
  <c r="CL15" i="11"/>
  <c r="CS15" i="11" s="1"/>
  <c r="CJ19" i="11"/>
  <c r="CM186" i="11"/>
  <c r="CA185" i="11"/>
  <c r="CA186" i="11"/>
  <c r="CD190" i="11"/>
  <c r="CE186" i="11"/>
  <c r="CE185" i="11"/>
  <c r="CI186" i="11"/>
  <c r="CH190" i="11"/>
  <c r="CI185" i="11"/>
  <c r="CM20" i="11"/>
  <c r="CJ21" i="11"/>
  <c r="CA193" i="11"/>
  <c r="CA194" i="11"/>
  <c r="CM27" i="11"/>
  <c r="CA195" i="11"/>
  <c r="CI196" i="11"/>
  <c r="CM29" i="11"/>
  <c r="BY31" i="11"/>
  <c r="CN35" i="11"/>
  <c r="CL204" i="11"/>
  <c r="CA204" i="11"/>
  <c r="CL36" i="11"/>
  <c r="CS36" i="11" s="1"/>
  <c r="CS208" i="11"/>
  <c r="CS207" i="11" s="1"/>
  <c r="CL207" i="11"/>
  <c r="CL38" i="11"/>
  <c r="CS38" i="11" s="1"/>
  <c r="CL212" i="11"/>
  <c r="BY214" i="11"/>
  <c r="CE212" i="11"/>
  <c r="CC214" i="11"/>
  <c r="CG214" i="11"/>
  <c r="CL40" i="11"/>
  <c r="CS40" i="11" s="1"/>
  <c r="BZ67" i="11"/>
  <c r="CA42" i="11"/>
  <c r="CL218" i="11"/>
  <c r="BY228" i="11"/>
  <c r="CD218" i="11"/>
  <c r="CE44" i="11"/>
  <c r="CL44" i="11"/>
  <c r="CS44" i="11" s="1"/>
  <c r="BZ222" i="11"/>
  <c r="CM222" i="11" s="1"/>
  <c r="CA46" i="11"/>
  <c r="CM46" i="11"/>
  <c r="CJ47" i="11"/>
  <c r="CA53" i="11"/>
  <c r="CA234" i="11" s="1"/>
  <c r="CE53" i="11"/>
  <c r="CE234" i="11" s="1"/>
  <c r="CI53" i="11"/>
  <c r="CI234" i="11" s="1"/>
  <c r="CH55" i="11"/>
  <c r="CD239" i="11"/>
  <c r="CE57" i="11"/>
  <c r="CL57" i="11"/>
  <c r="CS57" i="11" s="1"/>
  <c r="BZ245" i="11"/>
  <c r="CA62" i="11"/>
  <c r="CA65" i="11"/>
  <c r="CM65" i="11"/>
  <c r="CN73" i="11"/>
  <c r="CU73" i="11"/>
  <c r="CD75" i="11"/>
  <c r="CG110" i="11"/>
  <c r="CS81" i="11"/>
  <c r="CP80" i="11"/>
  <c r="CT83" i="11"/>
  <c r="CW82" i="11"/>
  <c r="CW84" i="11"/>
  <c r="CI86" i="11"/>
  <c r="CN88" i="11"/>
  <c r="CT90" i="11"/>
  <c r="CN90" i="11"/>
  <c r="CL90" i="11"/>
  <c r="CS90" i="11" s="1"/>
  <c r="CE92" i="11"/>
  <c r="BY91" i="11"/>
  <c r="CA91" i="11" s="1"/>
  <c r="CE93" i="11"/>
  <c r="CL93" i="11"/>
  <c r="CQ94" i="11"/>
  <c r="CU94" i="11" s="1"/>
  <c r="CQ97" i="11"/>
  <c r="CU97" i="11" s="1"/>
  <c r="CN101" i="11"/>
  <c r="CD158" i="11"/>
  <c r="CE157" i="11" s="1"/>
  <c r="CE122" i="11"/>
  <c r="CE121" i="11"/>
  <c r="CM119" i="11"/>
  <c r="CE119" i="11"/>
  <c r="CL120" i="11"/>
  <c r="CS120" i="11" s="1"/>
  <c r="BX158" i="11"/>
  <c r="CC158" i="11"/>
  <c r="CC43" i="11"/>
  <c r="CP123" i="11"/>
  <c r="CT123" i="11"/>
  <c r="CN123" i="11"/>
  <c r="CN124" i="11"/>
  <c r="CQ126" i="11"/>
  <c r="CU126" i="11" s="1"/>
  <c r="CT127" i="11"/>
  <c r="CU130" i="11"/>
  <c r="CJ141" i="11"/>
  <c r="CQ131" i="11"/>
  <c r="CJ134" i="11"/>
  <c r="CN134" i="11" s="1"/>
  <c r="CN135" i="11"/>
  <c r="CN137" i="11"/>
  <c r="CB139" i="11"/>
  <c r="CG139" i="11"/>
  <c r="CI139" i="11" s="1"/>
  <c r="CN143" i="11"/>
  <c r="CU143" i="11"/>
  <c r="CP149" i="11"/>
  <c r="CH166" i="11"/>
  <c r="CI166" i="11" s="1"/>
  <c r="BY176" i="11"/>
  <c r="CL176" i="11" s="1"/>
  <c r="CQ186" i="11"/>
  <c r="CJ190" i="11"/>
  <c r="CA212" i="11"/>
  <c r="CF250" i="11"/>
  <c r="BZ234" i="11"/>
  <c r="CJ40" i="11"/>
  <c r="CD67" i="11"/>
  <c r="CC228" i="11"/>
  <c r="CC227" i="11" s="1"/>
  <c r="CD222" i="11"/>
  <c r="CE46" i="11"/>
  <c r="BZ226" i="11"/>
  <c r="CA48" i="11"/>
  <c r="BY231" i="11"/>
  <c r="CA52" i="11"/>
  <c r="CD235" i="11"/>
  <c r="CE235" i="11"/>
  <c r="CH239" i="11"/>
  <c r="CI57" i="11"/>
  <c r="CL65" i="11"/>
  <c r="CS65" i="11" s="1"/>
  <c r="CP83" i="11"/>
  <c r="CJ91" i="11"/>
  <c r="CJ100" i="11"/>
  <c r="CS108" i="11"/>
  <c r="CP107" i="11"/>
  <c r="CP117" i="11"/>
  <c r="CT117" i="11"/>
  <c r="CN117" i="11"/>
  <c r="CT124" i="11"/>
  <c r="CM129" i="11"/>
  <c r="CT134" i="11"/>
  <c r="CT141" i="11"/>
  <c r="CW135" i="11"/>
  <c r="CF139" i="11"/>
  <c r="CJ148" i="11"/>
  <c r="CN149" i="11"/>
  <c r="CP150" i="11"/>
  <c r="CW179" i="11"/>
  <c r="CB250" i="11"/>
  <c r="CB249" i="11" s="1"/>
  <c r="CB215" i="11"/>
  <c r="CJ164" i="11"/>
  <c r="CJ5" i="11"/>
  <c r="CQ5" i="11" s="1"/>
  <c r="CM6" i="11"/>
  <c r="CQ168" i="11"/>
  <c r="CJ7" i="11"/>
  <c r="CQ7" i="11" s="1"/>
  <c r="CJ14" i="11"/>
  <c r="CQ14" i="11" s="1"/>
  <c r="CM15" i="11"/>
  <c r="CJ16" i="11"/>
  <c r="CC19" i="11"/>
  <c r="CL21" i="11"/>
  <c r="BX23" i="11"/>
  <c r="CJ23" i="11" s="1"/>
  <c r="CQ23" i="11" s="1"/>
  <c r="CX23" i="11" s="1"/>
  <c r="CA27" i="11"/>
  <c r="CE27" i="11"/>
  <c r="CM36" i="11"/>
  <c r="CJ37" i="11"/>
  <c r="CM38" i="11"/>
  <c r="CJ39" i="11"/>
  <c r="CQ39" i="11" s="1"/>
  <c r="CM212" i="11"/>
  <c r="CI212" i="11"/>
  <c r="CM40" i="11"/>
  <c r="CJ41" i="11"/>
  <c r="CA43" i="11"/>
  <c r="BZ218" i="11"/>
  <c r="CA44" i="11"/>
  <c r="CF227" i="11"/>
  <c r="CM44" i="11"/>
  <c r="CJ45" i="11"/>
  <c r="CQ45" i="11" s="1"/>
  <c r="CH226" i="11"/>
  <c r="CI226" i="11" s="1"/>
  <c r="CI48" i="11"/>
  <c r="CA51" i="11"/>
  <c r="CE51" i="11"/>
  <c r="CI51" i="11"/>
  <c r="CG231" i="11"/>
  <c r="CI52" i="11"/>
  <c r="BY55" i="11"/>
  <c r="CL55" i="11" s="1"/>
  <c r="CS55" i="11" s="1"/>
  <c r="CD55" i="11"/>
  <c r="BZ239" i="11"/>
  <c r="CA57" i="11"/>
  <c r="CM57" i="11"/>
  <c r="CJ61" i="11"/>
  <c r="CM74" i="11"/>
  <c r="CH110" i="11"/>
  <c r="CW78" i="11"/>
  <c r="CI83" i="11"/>
  <c r="CP84" i="11"/>
  <c r="CE86" i="11"/>
  <c r="CN87" i="11"/>
  <c r="CJ86" i="11"/>
  <c r="CN86" i="11" s="1"/>
  <c r="CQ87" i="11"/>
  <c r="CT89" i="11"/>
  <c r="CP90" i="11"/>
  <c r="CH91" i="11"/>
  <c r="CI91" i="11" s="1"/>
  <c r="CA93" i="11"/>
  <c r="CM93" i="11"/>
  <c r="CP98" i="11"/>
  <c r="CP100" i="11"/>
  <c r="CT100" i="11"/>
  <c r="CP99" i="11"/>
  <c r="CP101" i="11"/>
  <c r="CP105" i="11"/>
  <c r="CT105" i="11"/>
  <c r="CN105" i="11"/>
  <c r="CP108" i="11"/>
  <c r="BX110" i="11"/>
  <c r="CT115" i="11"/>
  <c r="CN115" i="11"/>
  <c r="CP125" i="11"/>
  <c r="CT125" i="11"/>
  <c r="CN125" i="11"/>
  <c r="CA128" i="11"/>
  <c r="CI129" i="11"/>
  <c r="CI128" i="11"/>
  <c r="CH50" i="11"/>
  <c r="CL131" i="11"/>
  <c r="CS131" i="11"/>
  <c r="CS133" i="11"/>
  <c r="CT136" i="11"/>
  <c r="CU136" i="11" s="1"/>
  <c r="CA140" i="11"/>
  <c r="CI141" i="11"/>
  <c r="CI140" i="11"/>
  <c r="CP142" i="11"/>
  <c r="CT146" i="11"/>
  <c r="CN146" i="11"/>
  <c r="CL146" i="11"/>
  <c r="CP148" i="11"/>
  <c r="CP147" i="11"/>
  <c r="CQ179" i="11"/>
  <c r="CW180" i="11"/>
  <c r="BY183" i="11"/>
  <c r="CL184" i="11"/>
  <c r="CN191" i="11"/>
  <c r="CQ192" i="11"/>
  <c r="CN192" i="11"/>
  <c r="CM194" i="11"/>
  <c r="CA208" i="11"/>
  <c r="CF241" i="11"/>
  <c r="CW244" i="11"/>
  <c r="CW243" i="11"/>
  <c r="CU243" i="11"/>
  <c r="CL45" i="11"/>
  <c r="CS45" i="11" s="1"/>
  <c r="CS224" i="11"/>
  <c r="CL47" i="11"/>
  <c r="CS47" i="11" s="1"/>
  <c r="CJ51" i="11"/>
  <c r="CQ51" i="11" s="1"/>
  <c r="CQ229" i="11" s="1"/>
  <c r="CM52" i="11"/>
  <c r="BX236" i="11"/>
  <c r="BX235" i="11" s="1"/>
  <c r="CJ234" i="11"/>
  <c r="CJ53" i="11"/>
  <c r="CL56" i="11"/>
  <c r="CS56" i="11" s="1"/>
  <c r="CL59" i="11"/>
  <c r="CL61" i="11"/>
  <c r="CJ63" i="11"/>
  <c r="CQ63" i="11" s="1"/>
  <c r="CX63" i="11" s="1"/>
  <c r="BY110" i="11"/>
  <c r="CN177" i="11"/>
  <c r="CJ179" i="11"/>
  <c r="CC183" i="11"/>
  <c r="CH208" i="11"/>
  <c r="CM220" i="11"/>
  <c r="CA220" i="11"/>
  <c r="CM45" i="11"/>
  <c r="CM224" i="11"/>
  <c r="CA224" i="11"/>
  <c r="CM47" i="11"/>
  <c r="CL51" i="11"/>
  <c r="CS51" i="11" s="1"/>
  <c r="BY236" i="11"/>
  <c r="CL234" i="11"/>
  <c r="CG235" i="11"/>
  <c r="CL53" i="11"/>
  <c r="CS53" i="11" s="1"/>
  <c r="CM56" i="11"/>
  <c r="CJ57" i="11"/>
  <c r="CQ57" i="11" s="1"/>
  <c r="CM61" i="11"/>
  <c r="CL63" i="11"/>
  <c r="CS63" i="11" s="1"/>
  <c r="CJ247" i="11"/>
  <c r="CQ248" i="11"/>
  <c r="CJ65" i="11"/>
  <c r="CQ65" i="11" s="1"/>
  <c r="CN79" i="11"/>
  <c r="CT156" i="11"/>
  <c r="CD164" i="11"/>
  <c r="CH170" i="11"/>
  <c r="CQ178" i="11"/>
  <c r="CQ177" i="11" s="1"/>
  <c r="CJ177" i="11"/>
  <c r="CD183" i="11"/>
  <c r="CE184" i="11"/>
  <c r="CE183" i="11"/>
  <c r="CF189" i="11"/>
  <c r="CH210" i="11"/>
  <c r="CJ209" i="11"/>
  <c r="CQ210" i="11"/>
  <c r="CQ209" i="11" s="1"/>
  <c r="BZ216" i="11"/>
  <c r="CA214" i="11"/>
  <c r="BZ213" i="11"/>
  <c r="CJ221" i="11"/>
  <c r="CQ222" i="11"/>
  <c r="CL182" i="11"/>
  <c r="CG183" i="11"/>
  <c r="CB189" i="11"/>
  <c r="CS191" i="11"/>
  <c r="CW192" i="11"/>
  <c r="CA196" i="11"/>
  <c r="CU230" i="11"/>
  <c r="CL177" i="11"/>
  <c r="CN180" i="11"/>
  <c r="CT182" i="11"/>
  <c r="CH183" i="11"/>
  <c r="CI184" i="11"/>
  <c r="CU192" i="11"/>
  <c r="BX215" i="11"/>
  <c r="CJ216" i="11"/>
  <c r="CJ237" i="11"/>
  <c r="CQ238" i="11"/>
  <c r="CQ240" i="11"/>
  <c r="CQ239" i="11" s="1"/>
  <c r="CX239" i="11" s="1"/>
  <c r="CJ239" i="11"/>
  <c r="CP245" i="11"/>
  <c r="CS246" i="11"/>
  <c r="CP246" i="11"/>
  <c r="CA236" i="11"/>
  <c r="CS230" i="11"/>
  <c r="CP230" i="11"/>
  <c r="CW232" i="11"/>
  <c r="CW231" i="11"/>
  <c r="CP241" i="11"/>
  <c r="CP242" i="11"/>
  <c r="CT242" i="11"/>
  <c r="CM241" i="11"/>
  <c r="CW245" i="11"/>
  <c r="CE236" i="11"/>
  <c r="CT229" i="11"/>
  <c r="CW230" i="11"/>
  <c r="CJ236" i="11"/>
  <c r="CS238" i="11"/>
  <c r="CL237" i="11"/>
  <c r="CS239" i="11"/>
  <c r="CW240" i="11"/>
  <c r="BX241" i="11"/>
  <c r="CJ242" i="11"/>
  <c r="CI236" i="11"/>
  <c r="CP232" i="11"/>
  <c r="CP237" i="11"/>
  <c r="CU240" i="11"/>
  <c r="CN243" i="11"/>
  <c r="CQ244" i="11"/>
  <c r="CN245" i="11"/>
  <c r="CQ246" i="11"/>
  <c r="CX246" i="11" s="1"/>
  <c r="CN230" i="11"/>
  <c r="CA232" i="11"/>
  <c r="CQ232" i="11"/>
  <c r="CM237" i="11"/>
  <c r="CN238" i="11"/>
  <c r="CL239" i="11"/>
  <c r="CN246" i="11"/>
  <c r="CY262" i="11"/>
  <c r="CX262" i="11"/>
  <c r="CY260" i="11"/>
  <c r="CX260" i="11"/>
  <c r="CY258" i="11"/>
  <c r="CX258" i="11"/>
  <c r="CY256" i="11"/>
  <c r="CX256" i="11"/>
  <c r="CY254" i="11"/>
  <c r="CY264" i="11" s="1"/>
  <c r="CX254" i="11"/>
  <c r="CX264" i="11" s="1"/>
  <c r="CX248" i="11"/>
  <c r="CY246" i="11"/>
  <c r="DB244" i="11"/>
  <c r="CY244" i="11"/>
  <c r="CX244" i="11"/>
  <c r="CX240" i="11"/>
  <c r="CX238" i="11"/>
  <c r="CY202" i="11"/>
  <c r="CX196" i="11"/>
  <c r="CX194" i="11"/>
  <c r="DB192" i="11"/>
  <c r="CY192" i="11"/>
  <c r="CX192" i="11"/>
  <c r="CZ192" i="11" s="1"/>
  <c r="CX188" i="11"/>
  <c r="CX184" i="11"/>
  <c r="DB178" i="11"/>
  <c r="CY178" i="11"/>
  <c r="CX178" i="11"/>
  <c r="CY162" i="11"/>
  <c r="CX156" i="11"/>
  <c r="DB153" i="11"/>
  <c r="CY153" i="11"/>
  <c r="CZ153" i="11" s="1"/>
  <c r="CX153" i="11"/>
  <c r="CX150" i="11"/>
  <c r="DB148" i="11"/>
  <c r="CY148" i="11"/>
  <c r="CX146" i="11"/>
  <c r="CX145" i="11"/>
  <c r="CX144" i="11"/>
  <c r="CX143" i="11"/>
  <c r="CX142" i="11"/>
  <c r="CY141" i="11"/>
  <c r="CX129" i="11"/>
  <c r="CY114" i="11"/>
  <c r="CY112" i="11"/>
  <c r="CY108" i="11"/>
  <c r="CX108" i="11"/>
  <c r="CY105" i="11"/>
  <c r="DA105" i="11" s="1"/>
  <c r="CX105" i="11"/>
  <c r="CZ105" i="11" s="1"/>
  <c r="CX102" i="11"/>
  <c r="CY100" i="11"/>
  <c r="CX98" i="11"/>
  <c r="DB97" i="11"/>
  <c r="CY97" i="11"/>
  <c r="CX96" i="11"/>
  <c r="CX95" i="11"/>
  <c r="CX93" i="11"/>
  <c r="CY81" i="11"/>
  <c r="CX81" i="11"/>
  <c r="CX77" i="11"/>
  <c r="CY71" i="11"/>
  <c r="CX65" i="11"/>
  <c r="CY59" i="11"/>
  <c r="CX50" i="11"/>
  <c r="CY35" i="11"/>
  <c r="CX35" i="11"/>
  <c r="CX29" i="11"/>
  <c r="CX25" i="11"/>
  <c r="CX14" i="11"/>
  <c r="CX10" i="11"/>
  <c r="CX4" i="11"/>
  <c r="CY2" i="11"/>
  <c r="CS237" i="11" l="1"/>
  <c r="CW237" i="11"/>
  <c r="CU245" i="11"/>
  <c r="CS182" i="11"/>
  <c r="BY235" i="11"/>
  <c r="CL236" i="11"/>
  <c r="CI208" i="11"/>
  <c r="CM208" i="11"/>
  <c r="CQ53" i="11"/>
  <c r="CN53" i="11"/>
  <c r="CU146" i="11"/>
  <c r="CN99" i="11"/>
  <c r="CQ100" i="11"/>
  <c r="CQ185" i="11"/>
  <c r="CX185" i="11" s="1"/>
  <c r="CQ190" i="11"/>
  <c r="CW80" i="11"/>
  <c r="CW81" i="11"/>
  <c r="DB81" i="11" s="1"/>
  <c r="CT27" i="11"/>
  <c r="CN27" i="11"/>
  <c r="CP27" i="11"/>
  <c r="CP26" i="11"/>
  <c r="CN26" i="11"/>
  <c r="CW150" i="11"/>
  <c r="DB150" i="11" s="1"/>
  <c r="CU150" i="11"/>
  <c r="CW149" i="11"/>
  <c r="CU149" i="11"/>
  <c r="CM110" i="11"/>
  <c r="CP76" i="11"/>
  <c r="CN76" i="11"/>
  <c r="CN77" i="11"/>
  <c r="CN110" i="11" s="1"/>
  <c r="CT77" i="11"/>
  <c r="CJ31" i="11"/>
  <c r="CW11" i="11"/>
  <c r="CU11" i="11"/>
  <c r="CI116" i="11"/>
  <c r="CH120" i="11"/>
  <c r="CH37" i="11"/>
  <c r="CP55" i="11"/>
  <c r="CP54" i="11"/>
  <c r="CL205" i="11"/>
  <c r="CS206" i="11"/>
  <c r="CS205" i="11" s="1"/>
  <c r="CP5" i="11"/>
  <c r="CT5" i="11"/>
  <c r="CN5" i="11"/>
  <c r="CH181" i="11"/>
  <c r="CI16" i="11"/>
  <c r="CY150" i="11"/>
  <c r="DA150" i="11" s="1"/>
  <c r="CQ231" i="11"/>
  <c r="CQ236" i="11"/>
  <c r="CL243" i="11"/>
  <c r="CS61" i="11"/>
  <c r="CS243" i="11" s="1"/>
  <c r="CQ234" i="11"/>
  <c r="CQ233" i="11" s="1"/>
  <c r="CJ233" i="11"/>
  <c r="BX189" i="11"/>
  <c r="CI50" i="11"/>
  <c r="CI49" i="11"/>
  <c r="CE55" i="11"/>
  <c r="CE54" i="11"/>
  <c r="CP212" i="11"/>
  <c r="CM211" i="11"/>
  <c r="CN212" i="11"/>
  <c r="CT212" i="11"/>
  <c r="CM179" i="11"/>
  <c r="CT15" i="11"/>
  <c r="CN15" i="11"/>
  <c r="CP15" i="11"/>
  <c r="CJ163" i="11"/>
  <c r="CQ164" i="11"/>
  <c r="CQ163" i="11" s="1"/>
  <c r="CJ110" i="11"/>
  <c r="CJ111" i="11" s="1"/>
  <c r="CL217" i="11"/>
  <c r="CS218" i="11"/>
  <c r="CS217" i="11" s="1"/>
  <c r="CL214" i="11"/>
  <c r="BY216" i="11"/>
  <c r="BY213" i="11"/>
  <c r="CE190" i="11"/>
  <c r="CC198" i="11"/>
  <c r="CC171" i="11"/>
  <c r="CP141" i="11"/>
  <c r="CN140" i="11"/>
  <c r="CN141" i="11"/>
  <c r="CM139" i="11"/>
  <c r="CP140" i="11"/>
  <c r="CU102" i="11"/>
  <c r="CW101" i="11"/>
  <c r="CU101" i="11"/>
  <c r="CW102" i="11"/>
  <c r="DB102" i="11" s="1"/>
  <c r="CC110" i="11"/>
  <c r="CC10" i="11"/>
  <c r="CH228" i="11"/>
  <c r="CI218" i="11"/>
  <c r="CW145" i="11"/>
  <c r="CU145" i="11"/>
  <c r="CN62" i="11"/>
  <c r="CI30" i="11"/>
  <c r="CS164" i="11"/>
  <c r="CS163" i="11" s="1"/>
  <c r="CL163" i="11"/>
  <c r="CU174" i="11"/>
  <c r="CT173" i="11"/>
  <c r="CP248" i="11"/>
  <c r="CM247" i="11"/>
  <c r="CT248" i="11"/>
  <c r="CN248" i="11"/>
  <c r="CP247" i="11"/>
  <c r="CN247" i="11"/>
  <c r="CP184" i="11"/>
  <c r="CM183" i="11"/>
  <c r="CT184" i="11"/>
  <c r="CN184" i="11"/>
  <c r="CN183" i="11"/>
  <c r="CP183" i="11"/>
  <c r="CP51" i="11"/>
  <c r="CN195" i="11"/>
  <c r="CT196" i="11"/>
  <c r="CM195" i="11"/>
  <c r="CN196" i="11"/>
  <c r="CE194" i="11"/>
  <c r="CE193" i="11"/>
  <c r="CX97" i="11"/>
  <c r="DA108" i="11"/>
  <c r="CZ178" i="11"/>
  <c r="CX186" i="11"/>
  <c r="DA192" i="11"/>
  <c r="CZ244" i="11"/>
  <c r="CJ245" i="11"/>
  <c r="CW238" i="11"/>
  <c r="CW242" i="11"/>
  <c r="DB242" i="11" s="1"/>
  <c r="CU242" i="11"/>
  <c r="CT241" i="11"/>
  <c r="CW241" i="11"/>
  <c r="CS229" i="11"/>
  <c r="CW229" i="11"/>
  <c r="CL245" i="11"/>
  <c r="BZ215" i="11"/>
  <c r="CM210" i="11"/>
  <c r="CI210" i="11"/>
  <c r="CH172" i="11"/>
  <c r="CI170" i="11"/>
  <c r="CM243" i="11"/>
  <c r="CP60" i="11"/>
  <c r="CN60" i="11"/>
  <c r="CP61" i="11"/>
  <c r="CT61" i="11"/>
  <c r="CN61" i="11"/>
  <c r="CN47" i="11"/>
  <c r="CT47" i="11"/>
  <c r="CP47" i="11"/>
  <c r="CM116" i="11"/>
  <c r="CL241" i="11"/>
  <c r="CS59" i="11"/>
  <c r="CS241" i="11" s="1"/>
  <c r="CL223" i="11"/>
  <c r="CS146" i="11"/>
  <c r="CW146" i="11" s="1"/>
  <c r="CP146" i="11"/>
  <c r="CU125" i="11"/>
  <c r="CW125" i="11"/>
  <c r="CU115" i="11"/>
  <c r="CW115" i="11"/>
  <c r="CU105" i="11"/>
  <c r="CW104" i="11"/>
  <c r="CU104" i="11"/>
  <c r="CW105" i="11"/>
  <c r="DB105" i="11" s="1"/>
  <c r="CN100" i="11"/>
  <c r="CP93" i="11"/>
  <c r="CN92" i="11"/>
  <c r="CT93" i="11"/>
  <c r="CN93" i="11"/>
  <c r="CP92" i="11"/>
  <c r="CM91" i="11"/>
  <c r="CW89" i="11"/>
  <c r="CU89" i="11"/>
  <c r="CI109" i="11"/>
  <c r="CM239" i="11"/>
  <c r="CP57" i="11"/>
  <c r="CT57" i="11"/>
  <c r="CN57" i="11"/>
  <c r="BZ228" i="11"/>
  <c r="CA218" i="11"/>
  <c r="CM218" i="11"/>
  <c r="CP40" i="11"/>
  <c r="CT40" i="11"/>
  <c r="CN40" i="11"/>
  <c r="CQ167" i="11"/>
  <c r="CW140" i="11"/>
  <c r="CT139" i="11"/>
  <c r="BZ236" i="11"/>
  <c r="CM234" i="11"/>
  <c r="CJ139" i="11"/>
  <c r="CQ141" i="11"/>
  <c r="CE42" i="11"/>
  <c r="CC67" i="11"/>
  <c r="CL91" i="11"/>
  <c r="CS93" i="11"/>
  <c r="CS91" i="11" s="1"/>
  <c r="CU83" i="11"/>
  <c r="CW83" i="11"/>
  <c r="CP65" i="11"/>
  <c r="CN64" i="11"/>
  <c r="CT65" i="11"/>
  <c r="CN65" i="11"/>
  <c r="CP64" i="11"/>
  <c r="CP46" i="11"/>
  <c r="CT46" i="11"/>
  <c r="CN46" i="11"/>
  <c r="CG216" i="11"/>
  <c r="CL211" i="11"/>
  <c r="CS212" i="11"/>
  <c r="CS211" i="11" s="1"/>
  <c r="CI189" i="11"/>
  <c r="CH189" i="11"/>
  <c r="CE189" i="11"/>
  <c r="CD189" i="11"/>
  <c r="CJ183" i="11"/>
  <c r="CQ19" i="11"/>
  <c r="CJ225" i="11"/>
  <c r="CQ226" i="11"/>
  <c r="CQ225" i="11" s="1"/>
  <c r="CL170" i="11"/>
  <c r="CJ218" i="11"/>
  <c r="BX228" i="11"/>
  <c r="CL179" i="11"/>
  <c r="CU177" i="11"/>
  <c r="CA109" i="11"/>
  <c r="CP63" i="11"/>
  <c r="CS225" i="11"/>
  <c r="CS219" i="11"/>
  <c r="BY190" i="11"/>
  <c r="CL186" i="11"/>
  <c r="CI248" i="11"/>
  <c r="CI247" i="11"/>
  <c r="CJ231" i="11"/>
  <c r="CJ55" i="11"/>
  <c r="CN55" i="11" s="1"/>
  <c r="CQ52" i="11"/>
  <c r="CQ55" i="11" s="1"/>
  <c r="CX55" i="11" s="1"/>
  <c r="CL194" i="11"/>
  <c r="CJ169" i="11"/>
  <c r="CQ170" i="11"/>
  <c r="CQ169" i="11" s="1"/>
  <c r="CW85" i="11"/>
  <c r="CW87" i="11"/>
  <c r="CS86" i="11"/>
  <c r="CE43" i="11"/>
  <c r="CE67" i="11" s="1"/>
  <c r="CF158" i="11"/>
  <c r="CF43" i="11"/>
  <c r="CW86" i="11"/>
  <c r="CP72" i="11"/>
  <c r="CN72" i="11"/>
  <c r="CT72" i="11"/>
  <c r="CA55" i="11"/>
  <c r="CP39" i="11"/>
  <c r="CT39" i="11"/>
  <c r="CN39" i="11"/>
  <c r="CP204" i="11"/>
  <c r="CM203" i="11"/>
  <c r="CT204" i="11"/>
  <c r="CN204" i="11"/>
  <c r="CD181" i="11"/>
  <c r="CP12" i="11"/>
  <c r="CN12" i="11"/>
  <c r="CT12" i="11"/>
  <c r="CA30" i="11"/>
  <c r="CU138" i="11"/>
  <c r="CW138" i="11"/>
  <c r="CQ83" i="11"/>
  <c r="CN59" i="11"/>
  <c r="CE195" i="11"/>
  <c r="CE168" i="11"/>
  <c r="CM168" i="11"/>
  <c r="CQ245" i="11"/>
  <c r="CX245" i="11" s="1"/>
  <c r="CU246" i="11"/>
  <c r="CU182" i="11"/>
  <c r="CW182" i="11"/>
  <c r="CW181" i="11"/>
  <c r="CU156" i="11"/>
  <c r="CW155" i="11"/>
  <c r="CW156" i="11"/>
  <c r="DB156" i="11" s="1"/>
  <c r="CU155" i="11"/>
  <c r="CT56" i="11"/>
  <c r="CN56" i="11"/>
  <c r="CP56" i="11"/>
  <c r="CM223" i="11"/>
  <c r="CT224" i="11"/>
  <c r="CP224" i="11"/>
  <c r="CN224" i="11"/>
  <c r="CN74" i="11"/>
  <c r="CT74" i="11"/>
  <c r="CP74" i="11"/>
  <c r="CJ205" i="11"/>
  <c r="CQ37" i="11"/>
  <c r="CQ205" i="11" s="1"/>
  <c r="CJ181" i="11"/>
  <c r="CQ16" i="11"/>
  <c r="CQ181" i="11" s="1"/>
  <c r="CP129" i="11"/>
  <c r="CN128" i="11"/>
  <c r="CT129" i="11"/>
  <c r="CN129" i="11"/>
  <c r="CP128" i="11"/>
  <c r="CM226" i="11"/>
  <c r="CA226" i="11"/>
  <c r="CE66" i="11"/>
  <c r="CW127" i="11"/>
  <c r="CU127" i="11"/>
  <c r="CU123" i="11"/>
  <c r="CW123" i="11"/>
  <c r="CT222" i="11"/>
  <c r="CN222" i="11"/>
  <c r="CM221" i="11"/>
  <c r="CP222" i="11"/>
  <c r="BY227" i="11"/>
  <c r="CL228" i="11"/>
  <c r="CL203" i="11"/>
  <c r="CS204" i="11"/>
  <c r="CS203" i="11" s="1"/>
  <c r="CT20" i="11"/>
  <c r="CN20" i="11"/>
  <c r="CP20" i="11"/>
  <c r="CG198" i="11"/>
  <c r="CG197" i="11" s="1"/>
  <c r="CG171" i="11"/>
  <c r="CW63" i="11"/>
  <c r="DB63" i="11" s="1"/>
  <c r="CU63" i="11"/>
  <c r="CW62" i="11"/>
  <c r="CU62" i="11"/>
  <c r="CW53" i="11"/>
  <c r="CU53" i="11"/>
  <c r="CP7" i="11"/>
  <c r="CT7" i="11"/>
  <c r="CN7" i="11"/>
  <c r="CU48" i="11"/>
  <c r="CW48" i="11"/>
  <c r="CD110" i="11"/>
  <c r="CE109" i="11" s="1"/>
  <c r="CE76" i="11"/>
  <c r="CE77" i="11"/>
  <c r="CE110" i="11" s="1"/>
  <c r="CD10" i="11"/>
  <c r="CW17" i="11"/>
  <c r="CU17" i="11"/>
  <c r="BZ197" i="11"/>
  <c r="CW51" i="11"/>
  <c r="CU51" i="11"/>
  <c r="CZ81" i="11"/>
  <c r="CJ229" i="11"/>
  <c r="CP182" i="11"/>
  <c r="CP45" i="11"/>
  <c r="CT45" i="11"/>
  <c r="CN45" i="11"/>
  <c r="CP194" i="11"/>
  <c r="CP193" i="11"/>
  <c r="CT194" i="11"/>
  <c r="CN194" i="11"/>
  <c r="CN193" i="11"/>
  <c r="CM193" i="11"/>
  <c r="CJ243" i="11"/>
  <c r="CQ61" i="11"/>
  <c r="CX61" i="11" s="1"/>
  <c r="CJ213" i="11"/>
  <c r="CQ41" i="11"/>
  <c r="CQ213" i="11" s="1"/>
  <c r="CT36" i="11"/>
  <c r="CN36" i="11"/>
  <c r="CP36" i="11"/>
  <c r="CL187" i="11"/>
  <c r="CS21" i="11"/>
  <c r="CJ167" i="11"/>
  <c r="CW124" i="11"/>
  <c r="CU124" i="11"/>
  <c r="CJ211" i="11"/>
  <c r="CQ40" i="11"/>
  <c r="CQ211" i="11" s="1"/>
  <c r="CJ185" i="11"/>
  <c r="CE158" i="11"/>
  <c r="CW90" i="11"/>
  <c r="CU90" i="11"/>
  <c r="CI55" i="11"/>
  <c r="CI54" i="11"/>
  <c r="CJ223" i="11"/>
  <c r="CQ47" i="11"/>
  <c r="CQ223" i="11" s="1"/>
  <c r="CT186" i="11"/>
  <c r="CN186" i="11"/>
  <c r="CM190" i="11"/>
  <c r="CP185" i="11"/>
  <c r="CM185" i="11"/>
  <c r="CQ176" i="11"/>
  <c r="CQ175" i="11" s="1"/>
  <c r="CJ175" i="11"/>
  <c r="CL165" i="11"/>
  <c r="CS166" i="11"/>
  <c r="CS165" i="11" s="1"/>
  <c r="CA50" i="11"/>
  <c r="CA67" i="11" s="1"/>
  <c r="CM50" i="11"/>
  <c r="CA49" i="11"/>
  <c r="CH235" i="11"/>
  <c r="CL219" i="11"/>
  <c r="CP53" i="11"/>
  <c r="BX31" i="11"/>
  <c r="CL139" i="11"/>
  <c r="CS141" i="11"/>
  <c r="CS139" i="11" s="1"/>
  <c r="CJ193" i="11"/>
  <c r="CZ59" i="11"/>
  <c r="CY63" i="11"/>
  <c r="DA63" i="11" s="1"/>
  <c r="CX94" i="11"/>
  <c r="CY102" i="11"/>
  <c r="CZ102" i="11" s="1"/>
  <c r="CZ108" i="11"/>
  <c r="DA153" i="11"/>
  <c r="CY156" i="11"/>
  <c r="DA178" i="11"/>
  <c r="CY242" i="11"/>
  <c r="DA244" i="11"/>
  <c r="DA246" i="11"/>
  <c r="CQ243" i="11"/>
  <c r="CU244" i="11"/>
  <c r="CQ242" i="11"/>
  <c r="CJ241" i="11"/>
  <c r="CN242" i="11"/>
  <c r="CT245" i="11"/>
  <c r="CN241" i="11"/>
  <c r="CU232" i="11"/>
  <c r="CL229" i="11"/>
  <c r="CS245" i="11"/>
  <c r="CW246" i="11"/>
  <c r="DB246" i="11" s="1"/>
  <c r="CU238" i="11"/>
  <c r="CQ237" i="11"/>
  <c r="CX237" i="11" s="1"/>
  <c r="CQ216" i="11"/>
  <c r="CE164" i="11"/>
  <c r="CM164" i="11"/>
  <c r="CQ247" i="11"/>
  <c r="CL233" i="11"/>
  <c r="CS234" i="11"/>
  <c r="CS233" i="11" s="1"/>
  <c r="CM219" i="11"/>
  <c r="CP220" i="11"/>
  <c r="CN220" i="11"/>
  <c r="CT220" i="11"/>
  <c r="CT52" i="11"/>
  <c r="CN52" i="11"/>
  <c r="CP52" i="11"/>
  <c r="CM231" i="11"/>
  <c r="CS223" i="11"/>
  <c r="CQ191" i="11"/>
  <c r="CU191" i="11"/>
  <c r="CL183" i="11"/>
  <c r="CS184" i="11"/>
  <c r="CM166" i="11"/>
  <c r="CU100" i="11"/>
  <c r="CU99" i="11"/>
  <c r="CW100" i="11"/>
  <c r="DB100" i="11" s="1"/>
  <c r="CW99" i="11"/>
  <c r="CU87" i="11"/>
  <c r="CQ86" i="11"/>
  <c r="CU86" i="11" s="1"/>
  <c r="CL77" i="11"/>
  <c r="CP44" i="11"/>
  <c r="CT44" i="11"/>
  <c r="CN44" i="11"/>
  <c r="CN38" i="11"/>
  <c r="CT38" i="11"/>
  <c r="CP38" i="11"/>
  <c r="CC16" i="11"/>
  <c r="CE18" i="11"/>
  <c r="CN6" i="11"/>
  <c r="CT6" i="11"/>
  <c r="CP6" i="11"/>
  <c r="CQ148" i="11"/>
  <c r="CN147" i="11"/>
  <c r="CN148" i="11"/>
  <c r="CW134" i="11"/>
  <c r="CU134" i="11"/>
  <c r="CU117" i="11"/>
  <c r="CW117" i="11"/>
  <c r="CW108" i="11"/>
  <c r="DB108" i="11" s="1"/>
  <c r="CW107" i="11"/>
  <c r="CJ189" i="11"/>
  <c r="CS176" i="11"/>
  <c r="CS175" i="11" s="1"/>
  <c r="CL175" i="11"/>
  <c r="CN119" i="11"/>
  <c r="CT119" i="11"/>
  <c r="CP119" i="11"/>
  <c r="CP88" i="11"/>
  <c r="CM75" i="11"/>
  <c r="CE75" i="11"/>
  <c r="CD8" i="11"/>
  <c r="CD228" i="11"/>
  <c r="CE218" i="11"/>
  <c r="CC216" i="11"/>
  <c r="CE214" i="11"/>
  <c r="CC213" i="11"/>
  <c r="CT29" i="11"/>
  <c r="CN29" i="11"/>
  <c r="CP28" i="11"/>
  <c r="CN28" i="11"/>
  <c r="CP29" i="11"/>
  <c r="CL196" i="11"/>
  <c r="CQ21" i="11"/>
  <c r="CJ187" i="11"/>
  <c r="CI190" i="11"/>
  <c r="CA190" i="11"/>
  <c r="CL8" i="11"/>
  <c r="CS8" i="11" s="1"/>
  <c r="BY198" i="11"/>
  <c r="BY197" i="11" s="1"/>
  <c r="CL172" i="11"/>
  <c r="CA171" i="11"/>
  <c r="CA172" i="11"/>
  <c r="CA198" i="11" s="1"/>
  <c r="BY171" i="11"/>
  <c r="CA157" i="11"/>
  <c r="CW137" i="11"/>
  <c r="CU137" i="11"/>
  <c r="CJ158" i="11"/>
  <c r="CJ159" i="11" s="1"/>
  <c r="CQ122" i="11"/>
  <c r="CU80" i="11"/>
  <c r="CU81" i="11"/>
  <c r="CE247" i="11"/>
  <c r="CE248" i="11"/>
  <c r="CS222" i="11"/>
  <c r="CS221" i="11" s="1"/>
  <c r="CL221" i="11"/>
  <c r="CS179" i="11"/>
  <c r="CE50" i="11"/>
  <c r="CE49" i="11"/>
  <c r="BY67" i="11"/>
  <c r="CA66" i="11" s="1"/>
  <c r="CA110" i="11"/>
  <c r="CN63" i="11"/>
  <c r="CP62" i="11"/>
  <c r="CI194" i="11"/>
  <c r="CI193" i="11"/>
  <c r="CP187" i="11"/>
  <c r="CM187" i="11"/>
  <c r="CP188" i="11"/>
  <c r="CN188" i="11"/>
  <c r="CT188" i="11"/>
  <c r="CM16" i="11"/>
  <c r="CP59" i="11"/>
  <c r="CS210" i="11"/>
  <c r="CS209" i="11" s="1"/>
  <c r="CL209" i="11"/>
  <c r="CM191" i="11"/>
  <c r="CP25" i="11"/>
  <c r="CP191" i="11" s="1"/>
  <c r="CT25" i="11"/>
  <c r="CN25" i="11"/>
  <c r="CP24" i="11"/>
  <c r="CN24" i="11"/>
  <c r="BX198" i="11"/>
  <c r="BX197" i="11" s="1"/>
  <c r="BX171" i="11"/>
  <c r="CJ172" i="11"/>
  <c r="CG122" i="11"/>
  <c r="CG41" i="11"/>
  <c r="CL41" i="11" s="1"/>
  <c r="CS41" i="11" s="1"/>
  <c r="CJ203" i="11"/>
  <c r="CQ36" i="11"/>
  <c r="CQ203" i="11" s="1"/>
  <c r="CP176" i="11"/>
  <c r="CL174" i="11"/>
  <c r="CS168" i="11"/>
  <c r="CS167" i="11" s="1"/>
  <c r="CL167" i="11"/>
  <c r="CN131" i="11"/>
  <c r="CP131" i="11"/>
  <c r="CP118" i="11"/>
  <c r="CN118" i="11"/>
  <c r="CT118" i="11"/>
  <c r="CL247" i="11"/>
  <c r="CS248" i="11"/>
  <c r="CS247" i="11" s="1"/>
  <c r="CL231" i="11"/>
  <c r="CS52" i="11"/>
  <c r="CS231" i="11" s="1"/>
  <c r="CN18" i="11"/>
  <c r="CN19" i="11"/>
  <c r="CT19" i="11"/>
  <c r="CW131" i="11"/>
  <c r="CU131" i="11"/>
  <c r="CP23" i="11"/>
  <c r="CN22" i="11"/>
  <c r="CT23" i="11"/>
  <c r="CN23" i="11"/>
  <c r="CP22" i="11"/>
  <c r="CL19" i="11"/>
  <c r="CS19" i="11" s="1"/>
  <c r="CB197" i="11"/>
  <c r="CU58" i="11"/>
  <c r="CW59" i="11"/>
  <c r="DB59" i="11" s="1"/>
  <c r="CW58" i="11"/>
  <c r="CU59" i="11"/>
  <c r="CN51" i="11"/>
  <c r="CM177" i="11"/>
  <c r="CP14" i="11"/>
  <c r="CN13" i="11"/>
  <c r="CT14" i="11"/>
  <c r="CN14" i="11"/>
  <c r="CP13" i="11"/>
  <c r="CI19" i="11"/>
  <c r="CI31" i="11" s="1"/>
  <c r="CE19" i="11"/>
  <c r="DA81" i="11"/>
  <c r="CZ150" i="11"/>
  <c r="CZ246" i="11"/>
  <c r="CG43" i="11" l="1"/>
  <c r="CG158" i="11"/>
  <c r="CL122" i="11"/>
  <c r="CC181" i="11"/>
  <c r="CL16" i="11"/>
  <c r="CP16" i="11" s="1"/>
  <c r="CW220" i="11"/>
  <c r="CW219" i="11"/>
  <c r="CT219" i="11"/>
  <c r="CU220" i="11"/>
  <c r="CU20" i="11"/>
  <c r="CW20" i="11"/>
  <c r="CE16" i="11"/>
  <c r="BX227" i="11"/>
  <c r="CJ228" i="11"/>
  <c r="BX250" i="11"/>
  <c r="BX249" i="11" s="1"/>
  <c r="CU46" i="11"/>
  <c r="CW46" i="11"/>
  <c r="BZ235" i="11"/>
  <c r="CA235" i="11"/>
  <c r="CM236" i="11"/>
  <c r="CA228" i="11"/>
  <c r="CM228" i="11"/>
  <c r="CA227" i="11"/>
  <c r="BZ227" i="11"/>
  <c r="CP91" i="11"/>
  <c r="CN91" i="11"/>
  <c r="CU195" i="11"/>
  <c r="CU196" i="11"/>
  <c r="CT195" i="11"/>
  <c r="CY196" i="11"/>
  <c r="CU184" i="11"/>
  <c r="CW183" i="11"/>
  <c r="CU183" i="11"/>
  <c r="CW184" i="11"/>
  <c r="DB184" i="11" s="1"/>
  <c r="CT183" i="11"/>
  <c r="CY184" i="11"/>
  <c r="CP139" i="11"/>
  <c r="CN139" i="11"/>
  <c r="BY250" i="11"/>
  <c r="BY249" i="11" s="1"/>
  <c r="CL216" i="11"/>
  <c r="BY215" i="11"/>
  <c r="CQ235" i="11"/>
  <c r="CX236" i="11"/>
  <c r="CN54" i="11"/>
  <c r="CU77" i="11"/>
  <c r="CU110" i="11" s="1"/>
  <c r="CU76" i="11"/>
  <c r="CT110" i="11"/>
  <c r="CY77" i="11"/>
  <c r="CT208" i="11"/>
  <c r="CN208" i="11"/>
  <c r="CP208" i="11"/>
  <c r="CM207" i="11"/>
  <c r="CJ198" i="11"/>
  <c r="CJ197" i="11" s="1"/>
  <c r="CJ171" i="11"/>
  <c r="CQ172" i="11"/>
  <c r="CU21" i="11"/>
  <c r="CQ187" i="11"/>
  <c r="CX187" i="11" s="1"/>
  <c r="CX216" i="11"/>
  <c r="CN189" i="11"/>
  <c r="CM189" i="11"/>
  <c r="CS187" i="11"/>
  <c r="CW21" i="11"/>
  <c r="CW45" i="11"/>
  <c r="CU45" i="11"/>
  <c r="CD31" i="11"/>
  <c r="CE30" i="11" s="1"/>
  <c r="CM10" i="11"/>
  <c r="CE9" i="11"/>
  <c r="CE10" i="11"/>
  <c r="CE31" i="11" s="1"/>
  <c r="CP168" i="11"/>
  <c r="CM167" i="11"/>
  <c r="CN168" i="11"/>
  <c r="CT168" i="11"/>
  <c r="CW12" i="11"/>
  <c r="CU12" i="11"/>
  <c r="CY12" i="11"/>
  <c r="CT175" i="11"/>
  <c r="CA189" i="11"/>
  <c r="BY189" i="11"/>
  <c r="CQ218" i="11"/>
  <c r="CQ217" i="11" s="1"/>
  <c r="CJ217" i="11"/>
  <c r="CG250" i="11"/>
  <c r="CQ139" i="11"/>
  <c r="CX141" i="11"/>
  <c r="CU141" i="11"/>
  <c r="CW61" i="11"/>
  <c r="DB61" i="11" s="1"/>
  <c r="CU61" i="11"/>
  <c r="CW60" i="11"/>
  <c r="CU60" i="11"/>
  <c r="CY61" i="11"/>
  <c r="CT243" i="11"/>
  <c r="CP210" i="11"/>
  <c r="CM209" i="11"/>
  <c r="CN210" i="11"/>
  <c r="CT210" i="11"/>
  <c r="CC31" i="11"/>
  <c r="CC197" i="11" s="1"/>
  <c r="CL10" i="11"/>
  <c r="CL213" i="11"/>
  <c r="CS214" i="11"/>
  <c r="CS213" i="11" s="1"/>
  <c r="CW15" i="11"/>
  <c r="CU15" i="11"/>
  <c r="CT179" i="11"/>
  <c r="CP109" i="11"/>
  <c r="CM111" i="11"/>
  <c r="CN109" i="11"/>
  <c r="CX100" i="11"/>
  <c r="CQ110" i="11"/>
  <c r="CZ63" i="11"/>
  <c r="CU23" i="11"/>
  <c r="CW22" i="11"/>
  <c r="CW23" i="11"/>
  <c r="DB23" i="11" s="1"/>
  <c r="CU22" i="11"/>
  <c r="CY23" i="11"/>
  <c r="CP19" i="11"/>
  <c r="CW187" i="11"/>
  <c r="CW188" i="11"/>
  <c r="CT187" i="11"/>
  <c r="CU188" i="11"/>
  <c r="CS196" i="11"/>
  <c r="CS195" i="11" s="1"/>
  <c r="CL195" i="11"/>
  <c r="CE216" i="11"/>
  <c r="CE215" i="11"/>
  <c r="CC250" i="11"/>
  <c r="CC249" i="11" s="1"/>
  <c r="CC215" i="11"/>
  <c r="CW119" i="11"/>
  <c r="CU119" i="11"/>
  <c r="CW38" i="11"/>
  <c r="CU38" i="11"/>
  <c r="CP166" i="11"/>
  <c r="CM165" i="11"/>
  <c r="CT166" i="11"/>
  <c r="CN166" i="11"/>
  <c r="CQ241" i="11"/>
  <c r="CZ241" i="11" s="1"/>
  <c r="CX242" i="11"/>
  <c r="CZ242" i="11" s="1"/>
  <c r="DA156" i="11"/>
  <c r="CZ156" i="11"/>
  <c r="CN190" i="11"/>
  <c r="CA197" i="11"/>
  <c r="CU129" i="11"/>
  <c r="CW128" i="11"/>
  <c r="CU128" i="11"/>
  <c r="CW129" i="11"/>
  <c r="DB129" i="11" s="1"/>
  <c r="CY129" i="11"/>
  <c r="CW74" i="11"/>
  <c r="CU74" i="11"/>
  <c r="CW223" i="11"/>
  <c r="CW224" i="11"/>
  <c r="CT223" i="11"/>
  <c r="CU224" i="11"/>
  <c r="CW56" i="11"/>
  <c r="CU56" i="11"/>
  <c r="CT237" i="11"/>
  <c r="CW72" i="11"/>
  <c r="CU72" i="11"/>
  <c r="CU176" i="11"/>
  <c r="CS194" i="11"/>
  <c r="CS193" i="11" s="1"/>
  <c r="CL193" i="11"/>
  <c r="CS170" i="11"/>
  <c r="CS169" i="11" s="1"/>
  <c r="CL169" i="11"/>
  <c r="CG213" i="11"/>
  <c r="CW139" i="11"/>
  <c r="CU139" i="11"/>
  <c r="CP218" i="11"/>
  <c r="CT218" i="11"/>
  <c r="CN218" i="11"/>
  <c r="CM217" i="11"/>
  <c r="CU57" i="11"/>
  <c r="CW57" i="11"/>
  <c r="CT239" i="11"/>
  <c r="CW47" i="11"/>
  <c r="CU47" i="11"/>
  <c r="CA216" i="11"/>
  <c r="BZ250" i="11"/>
  <c r="CU241" i="11"/>
  <c r="CP196" i="11"/>
  <c r="CU248" i="11"/>
  <c r="CW247" i="11"/>
  <c r="CU247" i="11"/>
  <c r="CW248" i="11"/>
  <c r="DB248" i="11" s="1"/>
  <c r="CT247" i="11"/>
  <c r="CY248" i="11"/>
  <c r="CU5" i="11"/>
  <c r="CW5" i="11"/>
  <c r="CI37" i="11"/>
  <c r="CM37" i="11"/>
  <c r="CH206" i="11"/>
  <c r="CW26" i="11"/>
  <c r="CU26" i="11"/>
  <c r="CW27" i="11"/>
  <c r="DB27" i="11" s="1"/>
  <c r="CU27" i="11"/>
  <c r="CY27" i="11"/>
  <c r="CQ189" i="11"/>
  <c r="CX190" i="11"/>
  <c r="CL235" i="11"/>
  <c r="CS236" i="11"/>
  <c r="CS235" i="11" s="1"/>
  <c r="CW118" i="11"/>
  <c r="CU118" i="11"/>
  <c r="CE228" i="11"/>
  <c r="CD250" i="11"/>
  <c r="CD227" i="11"/>
  <c r="CE227" i="11"/>
  <c r="CT50" i="11"/>
  <c r="CN50" i="11"/>
  <c r="CP49" i="11"/>
  <c r="CN49" i="11"/>
  <c r="CP50" i="11"/>
  <c r="CU7" i="11"/>
  <c r="CW7" i="11"/>
  <c r="CT221" i="11"/>
  <c r="CU222" i="11"/>
  <c r="CU221" i="11"/>
  <c r="CW221" i="11"/>
  <c r="CW222" i="11"/>
  <c r="CS186" i="11"/>
  <c r="CW186" i="11" s="1"/>
  <c r="CW190" i="11" s="1"/>
  <c r="DB190" i="11" s="1"/>
  <c r="CL190" i="11"/>
  <c r="CL189" i="11" s="1"/>
  <c r="CL185" i="11"/>
  <c r="CU65" i="11"/>
  <c r="CW64" i="11"/>
  <c r="CU64" i="11"/>
  <c r="CW65" i="11"/>
  <c r="DB65" i="11" s="1"/>
  <c r="CY65" i="11"/>
  <c r="CU40" i="11"/>
  <c r="CW40" i="11"/>
  <c r="CT116" i="11"/>
  <c r="CN116" i="11"/>
  <c r="CP116" i="11"/>
  <c r="CI228" i="11"/>
  <c r="CI227" i="11"/>
  <c r="CH227" i="11"/>
  <c r="CU14" i="11"/>
  <c r="CW13" i="11"/>
  <c r="CW14" i="11"/>
  <c r="DB14" i="11" s="1"/>
  <c r="CU13" i="11"/>
  <c r="CT177" i="11"/>
  <c r="CY14" i="11"/>
  <c r="CM181" i="11"/>
  <c r="CT16" i="11"/>
  <c r="CN16" i="11"/>
  <c r="CE8" i="11"/>
  <c r="CM8" i="11"/>
  <c r="CD170" i="11"/>
  <c r="CW6" i="11"/>
  <c r="CU6" i="11"/>
  <c r="CU44" i="11"/>
  <c r="CW44" i="11"/>
  <c r="CW36" i="11"/>
  <c r="CU36" i="11"/>
  <c r="CU194" i="11"/>
  <c r="CU193" i="11"/>
  <c r="CT193" i="11"/>
  <c r="CW193" i="11"/>
  <c r="CW194" i="11"/>
  <c r="DB194" i="11" s="1"/>
  <c r="CY194" i="11"/>
  <c r="CJ235" i="11"/>
  <c r="CX19" i="11"/>
  <c r="CX31" i="11" s="1"/>
  <c r="CQ31" i="11"/>
  <c r="CQ183" i="11"/>
  <c r="CW141" i="11"/>
  <c r="DB141" i="11" s="1"/>
  <c r="CA215" i="11"/>
  <c r="DA102" i="11"/>
  <c r="CW19" i="11"/>
  <c r="DB19" i="11" s="1"/>
  <c r="CU19" i="11"/>
  <c r="CW18" i="11"/>
  <c r="CU18" i="11"/>
  <c r="CY19" i="11"/>
  <c r="CP18" i="11"/>
  <c r="CS174" i="11"/>
  <c r="CL173" i="11"/>
  <c r="CP174" i="11"/>
  <c r="CU25" i="11"/>
  <c r="CW24" i="11"/>
  <c r="CU24" i="11"/>
  <c r="CW25" i="11"/>
  <c r="CT191" i="11"/>
  <c r="CY25" i="11"/>
  <c r="CQ158" i="11"/>
  <c r="CX122" i="11"/>
  <c r="CL198" i="11"/>
  <c r="CS172" i="11"/>
  <c r="CU28" i="11"/>
  <c r="CU29" i="11"/>
  <c r="CW28" i="11"/>
  <c r="CW29" i="11"/>
  <c r="DB29" i="11" s="1"/>
  <c r="CY29" i="11"/>
  <c r="CP75" i="11"/>
  <c r="CN75" i="11"/>
  <c r="CT75" i="11"/>
  <c r="CU148" i="11"/>
  <c r="CX148" i="11"/>
  <c r="CU147" i="11"/>
  <c r="CL110" i="11"/>
  <c r="CL111" i="11" s="1"/>
  <c r="CS77" i="11"/>
  <c r="CS110" i="11" s="1"/>
  <c r="CS111" i="11" s="1"/>
  <c r="CS183" i="11"/>
  <c r="CT231" i="11"/>
  <c r="CT55" i="11"/>
  <c r="CU52" i="11"/>
  <c r="CW52" i="11"/>
  <c r="CT164" i="11"/>
  <c r="CN164" i="11"/>
  <c r="CM163" i="11"/>
  <c r="CP164" i="11"/>
  <c r="CP186" i="11"/>
  <c r="CP190" i="11" s="1"/>
  <c r="CT190" i="11"/>
  <c r="CW185" i="11"/>
  <c r="CT185" i="11"/>
  <c r="CU186" i="11"/>
  <c r="CU190" i="11" s="1"/>
  <c r="CL227" i="11"/>
  <c r="CS228" i="11"/>
  <c r="CS227" i="11" s="1"/>
  <c r="CT226" i="11"/>
  <c r="CN226" i="11"/>
  <c r="CP226" i="11"/>
  <c r="CM225" i="11"/>
  <c r="CW204" i="11"/>
  <c r="CU204" i="11"/>
  <c r="CW203" i="11"/>
  <c r="CT203" i="11"/>
  <c r="CU39" i="11"/>
  <c r="CW39" i="11"/>
  <c r="CF67" i="11"/>
  <c r="CF249" i="11" s="1"/>
  <c r="CF215" i="11"/>
  <c r="CJ43" i="11"/>
  <c r="CW175" i="11"/>
  <c r="CP234" i="11"/>
  <c r="CT234" i="11"/>
  <c r="CN234" i="11"/>
  <c r="CM233" i="11"/>
  <c r="CU140" i="11"/>
  <c r="CU93" i="11"/>
  <c r="CW92" i="11"/>
  <c r="CW93" i="11"/>
  <c r="DB93" i="11" s="1"/>
  <c r="CT91" i="11"/>
  <c r="CU92" i="11"/>
  <c r="CY93" i="11"/>
  <c r="CI171" i="11"/>
  <c r="CI172" i="11"/>
  <c r="CI198" i="11" s="1"/>
  <c r="CH171" i="11"/>
  <c r="CH198" i="11"/>
  <c r="CZ97" i="11"/>
  <c r="DA97" i="11"/>
  <c r="CP195" i="11"/>
  <c r="CW212" i="11"/>
  <c r="CU212" i="11"/>
  <c r="CW211" i="11"/>
  <c r="CT211" i="11"/>
  <c r="CH122" i="11"/>
  <c r="CH41" i="11"/>
  <c r="CI41" i="11" s="1"/>
  <c r="CM120" i="11"/>
  <c r="CP77" i="11"/>
  <c r="CP110" i="11" s="1"/>
  <c r="CP120" i="11" l="1"/>
  <c r="CT120" i="11"/>
  <c r="CN120" i="11"/>
  <c r="CW91" i="11"/>
  <c r="CU91" i="11"/>
  <c r="DA14" i="11"/>
  <c r="CZ14" i="11"/>
  <c r="CD249" i="11"/>
  <c r="CE249" i="11"/>
  <c r="DA129" i="11"/>
  <c r="CZ129" i="11"/>
  <c r="CU166" i="11"/>
  <c r="CW165" i="11"/>
  <c r="CT165" i="11"/>
  <c r="CW166" i="11"/>
  <c r="CL31" i="11"/>
  <c r="CL197" i="11" s="1"/>
  <c r="CS10" i="11"/>
  <c r="CS31" i="11" s="1"/>
  <c r="DA196" i="11"/>
  <c r="CZ196" i="11"/>
  <c r="CG67" i="11"/>
  <c r="CG249" i="11" s="1"/>
  <c r="CL43" i="11"/>
  <c r="DB25" i="11"/>
  <c r="DB191" i="11" s="1"/>
  <c r="CW191" i="11"/>
  <c r="CD172" i="11"/>
  <c r="CM170" i="11"/>
  <c r="CE170" i="11"/>
  <c r="CW49" i="11"/>
  <c r="CU49" i="11"/>
  <c r="CW50" i="11"/>
  <c r="DB50" i="11" s="1"/>
  <c r="CU50" i="11"/>
  <c r="CY50" i="11"/>
  <c r="CQ111" i="11"/>
  <c r="CX110" i="11"/>
  <c r="CQ198" i="11"/>
  <c r="CQ171" i="11"/>
  <c r="CX172" i="11"/>
  <c r="CU109" i="11"/>
  <c r="CW109" i="11"/>
  <c r="CT111" i="11"/>
  <c r="CW77" i="11"/>
  <c r="CW196" i="11"/>
  <c r="DB196" i="11" s="1"/>
  <c r="CP236" i="11"/>
  <c r="CM235" i="11"/>
  <c r="CN236" i="11"/>
  <c r="CP235" i="11"/>
  <c r="CN235" i="11"/>
  <c r="CI122" i="11"/>
  <c r="CI158" i="11" s="1"/>
  <c r="CI121" i="11"/>
  <c r="CH158" i="11"/>
  <c r="CI157" i="11" s="1"/>
  <c r="CH43" i="11"/>
  <c r="CM122" i="11"/>
  <c r="CI197" i="11"/>
  <c r="CH197" i="11"/>
  <c r="DA93" i="11"/>
  <c r="CZ93" i="11"/>
  <c r="CQ43" i="11"/>
  <c r="CJ67" i="11"/>
  <c r="CJ215" i="11"/>
  <c r="CW225" i="11"/>
  <c r="CT225" i="11"/>
  <c r="CW226" i="11"/>
  <c r="CU226" i="11"/>
  <c r="CU55" i="11"/>
  <c r="CW54" i="11"/>
  <c r="CW55" i="11"/>
  <c r="DB55" i="11" s="1"/>
  <c r="CU54" i="11"/>
  <c r="CY55" i="11"/>
  <c r="CW75" i="11"/>
  <c r="CU75" i="11"/>
  <c r="CL171" i="11"/>
  <c r="CQ159" i="11"/>
  <c r="CX158" i="11"/>
  <c r="CN8" i="11"/>
  <c r="CT8" i="11"/>
  <c r="CP8" i="11"/>
  <c r="DA65" i="11"/>
  <c r="CZ65" i="11"/>
  <c r="CP37" i="11"/>
  <c r="CM41" i="11"/>
  <c r="CT37" i="11"/>
  <c r="CN37" i="11"/>
  <c r="DA248" i="11"/>
  <c r="CZ248" i="11"/>
  <c r="BZ249" i="11"/>
  <c r="CA249" i="11"/>
  <c r="CE250" i="11"/>
  <c r="DA23" i="11"/>
  <c r="CZ23" i="11"/>
  <c r="DA100" i="11"/>
  <c r="CZ100" i="11"/>
  <c r="CW210" i="11"/>
  <c r="CU210" i="11"/>
  <c r="CT209" i="11"/>
  <c r="CW209" i="11"/>
  <c r="CL250" i="11"/>
  <c r="CS216" i="11"/>
  <c r="CL215" i="11"/>
  <c r="DA184" i="11"/>
  <c r="CZ184" i="11"/>
  <c r="CS122" i="11"/>
  <c r="CS158" i="11" s="1"/>
  <c r="CS159" i="11" s="1"/>
  <c r="CL158" i="11"/>
  <c r="CL159" i="11" s="1"/>
  <c r="DA148" i="11"/>
  <c r="CZ148" i="11"/>
  <c r="DA27" i="11"/>
  <c r="CZ27" i="11"/>
  <c r="DA77" i="11"/>
  <c r="CY110" i="11"/>
  <c r="CZ77" i="11"/>
  <c r="CS16" i="11"/>
  <c r="CS181" i="11" s="1"/>
  <c r="CL181" i="11"/>
  <c r="CU189" i="11"/>
  <c r="CT189" i="11"/>
  <c r="CY190" i="11"/>
  <c r="DA29" i="11"/>
  <c r="CZ29" i="11"/>
  <c r="DA19" i="11"/>
  <c r="CZ19" i="11"/>
  <c r="CZ194" i="11"/>
  <c r="DA194" i="11"/>
  <c r="CU16" i="11"/>
  <c r="CW16" i="11"/>
  <c r="CT181" i="11"/>
  <c r="CS190" i="11"/>
  <c r="CS189" i="11" s="1"/>
  <c r="CS185" i="11"/>
  <c r="CI206" i="11"/>
  <c r="CM206" i="11"/>
  <c r="CH214" i="11"/>
  <c r="CZ141" i="11"/>
  <c r="DA141" i="11"/>
  <c r="CW168" i="11"/>
  <c r="CU168" i="11"/>
  <c r="CW167" i="11"/>
  <c r="CT167" i="11"/>
  <c r="CW195" i="11"/>
  <c r="CU234" i="11"/>
  <c r="CU233" i="11"/>
  <c r="CT233" i="11"/>
  <c r="CW234" i="11"/>
  <c r="CT236" i="11"/>
  <c r="DA242" i="11"/>
  <c r="CW164" i="11"/>
  <c r="CU164" i="11"/>
  <c r="CT163" i="11"/>
  <c r="CW163" i="11"/>
  <c r="CS171" i="11"/>
  <c r="CS198" i="11"/>
  <c r="CS197" i="11" s="1"/>
  <c r="CZ25" i="11"/>
  <c r="CZ191" i="11" s="1"/>
  <c r="CY191" i="11"/>
  <c r="DA25" i="11"/>
  <c r="DA191" i="11" s="1"/>
  <c r="CS173" i="11"/>
  <c r="CW173" i="11"/>
  <c r="CW174" i="11"/>
  <c r="CW116" i="11"/>
  <c r="CU116" i="11"/>
  <c r="CA250" i="11"/>
  <c r="CW218" i="11"/>
  <c r="CU218" i="11"/>
  <c r="CT217" i="11"/>
  <c r="CW217" i="11"/>
  <c r="DA61" i="11"/>
  <c r="CZ61" i="11"/>
  <c r="CG215" i="11"/>
  <c r="CM31" i="11"/>
  <c r="CP9" i="11"/>
  <c r="CP10" i="11"/>
  <c r="CP31" i="11" s="1"/>
  <c r="CN9" i="11"/>
  <c r="CT10" i="11"/>
  <c r="CN10" i="11"/>
  <c r="CN31" i="11" s="1"/>
  <c r="CP189" i="11"/>
  <c r="CT207" i="11"/>
  <c r="CW208" i="11"/>
  <c r="CU208" i="11"/>
  <c r="CW207" i="11"/>
  <c r="CW76" i="11"/>
  <c r="CT228" i="11"/>
  <c r="CN228" i="11"/>
  <c r="CP227" i="11"/>
  <c r="CN227" i="11"/>
  <c r="CM227" i="11"/>
  <c r="CP228" i="11"/>
  <c r="CJ227" i="11"/>
  <c r="CQ228" i="11"/>
  <c r="CJ250" i="11"/>
  <c r="CJ249" i="11" s="1"/>
  <c r="BZ267" i="11"/>
  <c r="BZ266" i="11"/>
  <c r="BZ265" i="11"/>
  <c r="BT248" i="11"/>
  <c r="BO247" i="11"/>
  <c r="BT246" i="11"/>
  <c r="BS246" i="11"/>
  <c r="BQ246" i="11"/>
  <c r="BP246" i="11"/>
  <c r="BP245" i="11"/>
  <c r="BW244" i="11"/>
  <c r="BT244" i="11"/>
  <c r="BS244" i="11"/>
  <c r="BQ244" i="11"/>
  <c r="BP244" i="11"/>
  <c r="BW243" i="11"/>
  <c r="BP243" i="11"/>
  <c r="BO243" i="11"/>
  <c r="BT242" i="11"/>
  <c r="BS242" i="11"/>
  <c r="BQ242" i="11"/>
  <c r="BP242" i="11"/>
  <c r="BP241" i="11"/>
  <c r="BT240" i="11"/>
  <c r="BS240" i="11"/>
  <c r="BW240" i="11" s="1"/>
  <c r="BQ240" i="11"/>
  <c r="BP240" i="11"/>
  <c r="BU238" i="11"/>
  <c r="BT238" i="11"/>
  <c r="BS238" i="11"/>
  <c r="BQ238" i="11"/>
  <c r="BP238" i="11"/>
  <c r="BU232" i="11"/>
  <c r="BT232" i="11"/>
  <c r="BS232" i="11"/>
  <c r="BQ232" i="11"/>
  <c r="BP232" i="11"/>
  <c r="BO231" i="11"/>
  <c r="BW230" i="11"/>
  <c r="BT230" i="11"/>
  <c r="BS230" i="11"/>
  <c r="BQ230" i="11"/>
  <c r="BP230" i="11"/>
  <c r="BQ226" i="11"/>
  <c r="BQ224" i="11"/>
  <c r="BQ222" i="11"/>
  <c r="BO214" i="11"/>
  <c r="BM214" i="11"/>
  <c r="BM216" i="11" s="1"/>
  <c r="BQ212" i="11"/>
  <c r="BO212" i="11"/>
  <c r="BT212" i="11" s="1"/>
  <c r="BU210" i="11"/>
  <c r="BT210" i="11"/>
  <c r="BQ210" i="11"/>
  <c r="BT208" i="11"/>
  <c r="BU206" i="11"/>
  <c r="BT206" i="11"/>
  <c r="BQ206" i="11"/>
  <c r="BQ204" i="11"/>
  <c r="BU202" i="11"/>
  <c r="BT202" i="11"/>
  <c r="BS202" i="11"/>
  <c r="BQ202" i="11"/>
  <c r="BO202" i="11"/>
  <c r="BN202" i="11"/>
  <c r="BM202" i="11"/>
  <c r="BQ201" i="11"/>
  <c r="BM201" i="11"/>
  <c r="BT196" i="11"/>
  <c r="BQ196" i="11"/>
  <c r="BU195" i="11"/>
  <c r="BO195" i="11"/>
  <c r="BT192" i="11"/>
  <c r="BS192" i="11"/>
  <c r="BQ192" i="11"/>
  <c r="BP192" i="11"/>
  <c r="BP191" i="11"/>
  <c r="BO191" i="11"/>
  <c r="BT190" i="11"/>
  <c r="BS190" i="11"/>
  <c r="BP190" i="11"/>
  <c r="BM190" i="11"/>
  <c r="BQ190" i="11" s="1"/>
  <c r="BU189" i="11" s="1"/>
  <c r="BW189" i="11"/>
  <c r="BP189" i="11"/>
  <c r="BO189" i="11"/>
  <c r="BQ188" i="11"/>
  <c r="BQ186" i="11"/>
  <c r="BN186" i="11"/>
  <c r="BS186" i="11" s="1"/>
  <c r="BP184" i="11"/>
  <c r="BO184" i="11"/>
  <c r="BT184" i="11" s="1"/>
  <c r="BN184" i="11"/>
  <c r="BM184" i="11"/>
  <c r="BQ184" i="11" s="1"/>
  <c r="BO183" i="11"/>
  <c r="BT182" i="11"/>
  <c r="BS182" i="11"/>
  <c r="BQ182" i="11"/>
  <c r="BP182" i="11"/>
  <c r="BU180" i="11"/>
  <c r="BT180" i="11"/>
  <c r="BS180" i="11"/>
  <c r="BQ180" i="11"/>
  <c r="BP180" i="11"/>
  <c r="BW178" i="11"/>
  <c r="BT178" i="11"/>
  <c r="BS178" i="11"/>
  <c r="BQ178" i="11"/>
  <c r="BP178" i="11"/>
  <c r="BW177" i="11"/>
  <c r="BP177" i="11"/>
  <c r="BQ174" i="11"/>
  <c r="BT172" i="11"/>
  <c r="BO172" i="11"/>
  <c r="BO171" i="11"/>
  <c r="BT170" i="11"/>
  <c r="BT168" i="11"/>
  <c r="BQ168" i="11"/>
  <c r="BT166" i="11"/>
  <c r="BU164" i="11"/>
  <c r="BT164" i="11"/>
  <c r="BU162" i="11"/>
  <c r="BT162" i="11"/>
  <c r="BQ162" i="11"/>
  <c r="BO162" i="11"/>
  <c r="BN162" i="11"/>
  <c r="BM162" i="11"/>
  <c r="BQ161" i="11"/>
  <c r="BM161" i="11"/>
  <c r="BT156" i="11"/>
  <c r="BS156" i="11"/>
  <c r="BQ156" i="11"/>
  <c r="BP156" i="11"/>
  <c r="BP155" i="11"/>
  <c r="BT154" i="11"/>
  <c r="BS154" i="11"/>
  <c r="BW153" i="11"/>
  <c r="BT153" i="11"/>
  <c r="BS153" i="11"/>
  <c r="BQ153" i="11"/>
  <c r="BP153" i="11"/>
  <c r="BU152" i="11"/>
  <c r="BP152" i="11"/>
  <c r="BU150" i="11"/>
  <c r="BT150" i="11"/>
  <c r="BS150" i="11"/>
  <c r="BQ150" i="11"/>
  <c r="BP150" i="11"/>
  <c r="BW149" i="11"/>
  <c r="BU149" i="11"/>
  <c r="BP149" i="11"/>
  <c r="BW148" i="11"/>
  <c r="BT148" i="11"/>
  <c r="BS148" i="11"/>
  <c r="BQ148" i="11"/>
  <c r="BP148" i="11"/>
  <c r="BU147" i="11"/>
  <c r="BP147" i="11"/>
  <c r="BQ146" i="11"/>
  <c r="BO146" i="11"/>
  <c r="BP146" i="11" s="1"/>
  <c r="BN146" i="11"/>
  <c r="BS146" i="11" s="1"/>
  <c r="BM146" i="11"/>
  <c r="BW145" i="11"/>
  <c r="BT145" i="11"/>
  <c r="BS145" i="11"/>
  <c r="BQ145" i="11"/>
  <c r="BP145" i="11"/>
  <c r="BU143" i="11"/>
  <c r="BT143" i="11"/>
  <c r="BS143" i="11"/>
  <c r="BQ143" i="11"/>
  <c r="BP143" i="11"/>
  <c r="BT142" i="11"/>
  <c r="BQ142" i="11"/>
  <c r="BP142" i="11"/>
  <c r="BS141" i="11"/>
  <c r="BS139" i="11" s="1"/>
  <c r="BO141" i="11"/>
  <c r="BT141" i="11" s="1"/>
  <c r="BN141" i="11"/>
  <c r="BP141" i="11" s="1"/>
  <c r="BM141" i="11"/>
  <c r="BO139" i="11"/>
  <c r="BM139" i="11"/>
  <c r="BU138" i="11"/>
  <c r="BP138" i="11"/>
  <c r="BO138" i="11"/>
  <c r="BT138" i="11" s="1"/>
  <c r="BN138" i="11"/>
  <c r="BS138" i="11" s="1"/>
  <c r="BM138" i="11"/>
  <c r="BQ138" i="11" s="1"/>
  <c r="BU137" i="11"/>
  <c r="BT137" i="11"/>
  <c r="BS137" i="11"/>
  <c r="BQ137" i="11"/>
  <c r="BP137" i="11"/>
  <c r="BT136" i="11"/>
  <c r="BS136" i="11"/>
  <c r="BQ136" i="11"/>
  <c r="BU135" i="11"/>
  <c r="BT135" i="11"/>
  <c r="BS135" i="11"/>
  <c r="BQ135" i="11"/>
  <c r="BP135" i="11"/>
  <c r="BQ134" i="11"/>
  <c r="BO134" i="11"/>
  <c r="BN134" i="11"/>
  <c r="BP134" i="11" s="1"/>
  <c r="BM134" i="11"/>
  <c r="BU133" i="11"/>
  <c r="BT133" i="11"/>
  <c r="BT134" i="11" s="1"/>
  <c r="BU134" i="11" s="1"/>
  <c r="BS133" i="11"/>
  <c r="BQ133" i="11"/>
  <c r="BP133" i="11"/>
  <c r="BW132" i="11"/>
  <c r="BT132" i="11"/>
  <c r="BS132" i="11"/>
  <c r="BQ132" i="11"/>
  <c r="BP132" i="11"/>
  <c r="BO131" i="11"/>
  <c r="BP131" i="11" s="1"/>
  <c r="BN131" i="11"/>
  <c r="BM131" i="11"/>
  <c r="BW130" i="11"/>
  <c r="BT130" i="11"/>
  <c r="BS130" i="11"/>
  <c r="BS131" i="11" s="1"/>
  <c r="BQ130" i="11"/>
  <c r="BU130" i="11" s="1"/>
  <c r="BP130" i="11"/>
  <c r="BT129" i="11"/>
  <c r="BS129" i="11"/>
  <c r="BW129" i="11" s="1"/>
  <c r="BP129" i="11"/>
  <c r="BN129" i="11"/>
  <c r="BM129" i="11"/>
  <c r="BP128" i="11"/>
  <c r="BU127" i="11"/>
  <c r="BT127" i="11"/>
  <c r="BS127" i="11"/>
  <c r="BQ127" i="11"/>
  <c r="BP127" i="11"/>
  <c r="BW126" i="11"/>
  <c r="BT126" i="11"/>
  <c r="BU126" i="11" s="1"/>
  <c r="BS126" i="11"/>
  <c r="BQ126" i="11"/>
  <c r="BP126" i="11"/>
  <c r="BT125" i="11"/>
  <c r="BS125" i="11"/>
  <c r="BQ125" i="11"/>
  <c r="BP125" i="11"/>
  <c r="BW124" i="11"/>
  <c r="BU124" i="11"/>
  <c r="BT124" i="11"/>
  <c r="BS124" i="11"/>
  <c r="BQ124" i="11"/>
  <c r="BP124" i="11"/>
  <c r="BW123" i="11"/>
  <c r="BT123" i="11"/>
  <c r="BS123" i="11"/>
  <c r="BQ123" i="11"/>
  <c r="BU123" i="11" s="1"/>
  <c r="BP123" i="11"/>
  <c r="BM122" i="11"/>
  <c r="BT120" i="11"/>
  <c r="BO120" i="11"/>
  <c r="BO122" i="11" s="1"/>
  <c r="BN120" i="11"/>
  <c r="BP120" i="11" s="1"/>
  <c r="BM120" i="11"/>
  <c r="BQ120" i="11" s="1"/>
  <c r="BW119" i="11"/>
  <c r="BT119" i="11"/>
  <c r="BS119" i="11"/>
  <c r="BQ119" i="11"/>
  <c r="BP119" i="11"/>
  <c r="BT118" i="11"/>
  <c r="BS118" i="11"/>
  <c r="BQ118" i="11"/>
  <c r="BP118" i="11"/>
  <c r="BT117" i="11"/>
  <c r="BS117" i="11"/>
  <c r="BQ117" i="11"/>
  <c r="BP117" i="11"/>
  <c r="BT116" i="11"/>
  <c r="BU116" i="11" s="1"/>
  <c r="BS116" i="11"/>
  <c r="BQ116" i="11"/>
  <c r="BP116" i="11"/>
  <c r="BW115" i="11"/>
  <c r="BT115" i="11"/>
  <c r="BS115" i="11"/>
  <c r="BQ115" i="11"/>
  <c r="BP115" i="11"/>
  <c r="BT114" i="11"/>
  <c r="BS114" i="11"/>
  <c r="BQ114" i="11"/>
  <c r="BO114" i="11"/>
  <c r="BN114" i="11"/>
  <c r="BM114" i="11"/>
  <c r="BQ113" i="11"/>
  <c r="BM113" i="11"/>
  <c r="BO110" i="11"/>
  <c r="BT108" i="11"/>
  <c r="BS108" i="11"/>
  <c r="BQ108" i="11"/>
  <c r="BP108" i="11"/>
  <c r="BW107" i="11"/>
  <c r="BP107" i="11"/>
  <c r="BT106" i="11"/>
  <c r="BS106" i="11"/>
  <c r="BU105" i="11"/>
  <c r="BT105" i="11"/>
  <c r="BS105" i="11"/>
  <c r="BQ105" i="11"/>
  <c r="BP105" i="11"/>
  <c r="BU104" i="11"/>
  <c r="BP104" i="11"/>
  <c r="BU102" i="11"/>
  <c r="BT102" i="11"/>
  <c r="BS102" i="11"/>
  <c r="BQ102" i="11"/>
  <c r="BP102" i="11"/>
  <c r="BU101" i="11"/>
  <c r="BP101" i="11"/>
  <c r="BW100" i="11"/>
  <c r="BU100" i="11"/>
  <c r="BT100" i="11"/>
  <c r="BS100" i="11"/>
  <c r="BQ100" i="11"/>
  <c r="BP100" i="11"/>
  <c r="BM100" i="11"/>
  <c r="BW99" i="11"/>
  <c r="BP99" i="11"/>
  <c r="BW98" i="11"/>
  <c r="BT98" i="11"/>
  <c r="BS98" i="11"/>
  <c r="BQ98" i="11"/>
  <c r="BP98" i="11"/>
  <c r="BM98" i="11"/>
  <c r="BU97" i="11"/>
  <c r="BT97" i="11"/>
  <c r="BS97" i="11"/>
  <c r="BQ97" i="11"/>
  <c r="BP97" i="11"/>
  <c r="BW95" i="11"/>
  <c r="BT95" i="11"/>
  <c r="BS95" i="11"/>
  <c r="BQ95" i="11"/>
  <c r="BP95" i="11"/>
  <c r="BU94" i="11"/>
  <c r="BT94" i="11"/>
  <c r="BS94" i="11"/>
  <c r="BQ94" i="11"/>
  <c r="BP94" i="11"/>
  <c r="BP93" i="11"/>
  <c r="BO93" i="11"/>
  <c r="BT93" i="11" s="1"/>
  <c r="BN93" i="11"/>
  <c r="BM93" i="11"/>
  <c r="BQ93" i="11" s="1"/>
  <c r="BT91" i="11"/>
  <c r="BU91" i="11" s="1"/>
  <c r="BQ91" i="11"/>
  <c r="BO91" i="11"/>
  <c r="BM91" i="11"/>
  <c r="BU90" i="11"/>
  <c r="BO90" i="11"/>
  <c r="BT90" i="11" s="1"/>
  <c r="BN90" i="11"/>
  <c r="BS90" i="11" s="1"/>
  <c r="BM90" i="11"/>
  <c r="BQ90" i="11" s="1"/>
  <c r="BU89" i="11"/>
  <c r="BT89" i="11"/>
  <c r="BS89" i="11"/>
  <c r="BQ89" i="11"/>
  <c r="BP89" i="11"/>
  <c r="BT88" i="11"/>
  <c r="BU88" i="11" s="1"/>
  <c r="BS88" i="11"/>
  <c r="BU87" i="11"/>
  <c r="BT87" i="11"/>
  <c r="BS87" i="11"/>
  <c r="BQ87" i="11"/>
  <c r="BP87" i="11"/>
  <c r="BU86" i="11"/>
  <c r="BS86" i="11"/>
  <c r="BQ86" i="11"/>
  <c r="BO86" i="11"/>
  <c r="BN86" i="11"/>
  <c r="BP86" i="11" s="1"/>
  <c r="BM86" i="11"/>
  <c r="BU85" i="11"/>
  <c r="BT85" i="11"/>
  <c r="BT86" i="11" s="1"/>
  <c r="BS85" i="11"/>
  <c r="BQ85" i="11"/>
  <c r="BP85" i="11"/>
  <c r="BW84" i="11"/>
  <c r="BT84" i="11"/>
  <c r="BT83" i="11" s="1"/>
  <c r="BS84" i="11"/>
  <c r="BQ84" i="11"/>
  <c r="BP84" i="11"/>
  <c r="BS83" i="11"/>
  <c r="BO83" i="11"/>
  <c r="BP83" i="11" s="1"/>
  <c r="BN83" i="11"/>
  <c r="BM83" i="11"/>
  <c r="BW82" i="11"/>
  <c r="BT82" i="11"/>
  <c r="BS82" i="11"/>
  <c r="BQ82" i="11"/>
  <c r="BP82" i="11"/>
  <c r="BU81" i="11"/>
  <c r="BT81" i="11"/>
  <c r="BW81" i="11" s="1"/>
  <c r="BS81" i="11"/>
  <c r="BQ81" i="11"/>
  <c r="BP81" i="11"/>
  <c r="BW80" i="11"/>
  <c r="BU80" i="11"/>
  <c r="BP80" i="11"/>
  <c r="BT79" i="11"/>
  <c r="BS79" i="11"/>
  <c r="BQ79" i="11"/>
  <c r="BP79" i="11"/>
  <c r="BU78" i="11"/>
  <c r="BT78" i="11"/>
  <c r="BS78" i="11"/>
  <c r="BQ78" i="11"/>
  <c r="BP78" i="11"/>
  <c r="BS77" i="11"/>
  <c r="BO77" i="11"/>
  <c r="BT77" i="11" s="1"/>
  <c r="BN77" i="11"/>
  <c r="BP77" i="11" s="1"/>
  <c r="BM77" i="11"/>
  <c r="BU75" i="11"/>
  <c r="BT75" i="11"/>
  <c r="BS75" i="11"/>
  <c r="BQ75" i="11"/>
  <c r="BP75" i="11"/>
  <c r="BT74" i="11"/>
  <c r="BS74" i="11"/>
  <c r="BQ74" i="11"/>
  <c r="BT73" i="11"/>
  <c r="BS73" i="11"/>
  <c r="BQ73" i="11"/>
  <c r="BT72" i="11"/>
  <c r="BS72" i="11"/>
  <c r="BQ72" i="11"/>
  <c r="BP72" i="11"/>
  <c r="BU71" i="11"/>
  <c r="BT71" i="11"/>
  <c r="BQ71" i="11"/>
  <c r="BN71" i="11"/>
  <c r="BM71" i="11"/>
  <c r="BQ70" i="11"/>
  <c r="BM70" i="11"/>
  <c r="BT65" i="11"/>
  <c r="BT247" i="11" s="1"/>
  <c r="BS65" i="11"/>
  <c r="BW65" i="11" s="1"/>
  <c r="BP65" i="11"/>
  <c r="BN65" i="11"/>
  <c r="BN248" i="11" s="1"/>
  <c r="BM65" i="11"/>
  <c r="BW64" i="11"/>
  <c r="BP64" i="11"/>
  <c r="BO63" i="11"/>
  <c r="BO245" i="11" s="1"/>
  <c r="BN63" i="11"/>
  <c r="BS63" i="11" s="1"/>
  <c r="BM63" i="11"/>
  <c r="BM245" i="11" s="1"/>
  <c r="BT61" i="11"/>
  <c r="BQ61" i="11"/>
  <c r="BQ243" i="11" s="1"/>
  <c r="BN61" i="11"/>
  <c r="BM61" i="11"/>
  <c r="BM243" i="11" s="1"/>
  <c r="BT59" i="11"/>
  <c r="BT241" i="11" s="1"/>
  <c r="BQ59" i="11"/>
  <c r="BO59" i="11"/>
  <c r="BN59" i="11"/>
  <c r="BN241" i="11" s="1"/>
  <c r="BM59" i="11"/>
  <c r="BM241" i="11" s="1"/>
  <c r="BT57" i="11"/>
  <c r="BO57" i="11"/>
  <c r="BN57" i="11"/>
  <c r="BN239" i="11" s="1"/>
  <c r="BM57" i="11"/>
  <c r="BM239" i="11" s="1"/>
  <c r="BS56" i="11"/>
  <c r="BO56" i="11"/>
  <c r="BO237" i="11" s="1"/>
  <c r="BN56" i="11"/>
  <c r="BN237" i="11" s="1"/>
  <c r="BM56" i="11"/>
  <c r="BM237" i="11" s="1"/>
  <c r="BO55" i="11"/>
  <c r="BT55" i="11" s="1"/>
  <c r="BT53" i="11"/>
  <c r="BP53" i="11"/>
  <c r="BP234" i="11" s="1"/>
  <c r="BO53" i="11"/>
  <c r="BO234" i="11" s="1"/>
  <c r="BN53" i="11"/>
  <c r="BN234" i="11" s="1"/>
  <c r="BM53" i="11"/>
  <c r="BM234" i="11" s="1"/>
  <c r="BT52" i="11"/>
  <c r="BQ52" i="11"/>
  <c r="BQ231" i="11" s="1"/>
  <c r="BN52" i="11"/>
  <c r="BM52" i="11"/>
  <c r="BM231" i="11" s="1"/>
  <c r="BO51" i="11"/>
  <c r="BO229" i="11" s="1"/>
  <c r="BN51" i="11"/>
  <c r="BN229" i="11" s="1"/>
  <c r="BM51" i="11"/>
  <c r="BM229" i="11" s="1"/>
  <c r="BS50" i="11"/>
  <c r="BO50" i="11"/>
  <c r="BT50" i="11" s="1"/>
  <c r="BN50" i="11"/>
  <c r="BT48" i="11"/>
  <c r="BP48" i="11"/>
  <c r="BO48" i="11"/>
  <c r="BN48" i="11"/>
  <c r="BM48" i="11"/>
  <c r="BM225" i="11" s="1"/>
  <c r="BT47" i="11"/>
  <c r="BO47" i="11"/>
  <c r="BN47" i="11"/>
  <c r="BS47" i="11" s="1"/>
  <c r="BM47" i="11"/>
  <c r="BM223" i="11" s="1"/>
  <c r="BS46" i="11"/>
  <c r="BO46" i="11"/>
  <c r="BN46" i="11"/>
  <c r="BN222" i="11" s="1"/>
  <c r="BS222" i="11" s="1"/>
  <c r="BM46" i="11"/>
  <c r="BQ46" i="11" s="1"/>
  <c r="BP45" i="11"/>
  <c r="BO45" i="11"/>
  <c r="BO220" i="11" s="1"/>
  <c r="BN45" i="11"/>
  <c r="BN220" i="11" s="1"/>
  <c r="BS220" i="11" s="1"/>
  <c r="BM45" i="11"/>
  <c r="BM220" i="11" s="1"/>
  <c r="BQ220" i="11" s="1"/>
  <c r="BO44" i="11"/>
  <c r="BO218" i="11" s="1"/>
  <c r="BN44" i="11"/>
  <c r="BN218" i="11" s="1"/>
  <c r="BM44" i="11"/>
  <c r="BM218" i="11" s="1"/>
  <c r="BO43" i="11"/>
  <c r="BQ41" i="11"/>
  <c r="BO41" i="11"/>
  <c r="BM41" i="11"/>
  <c r="BM213" i="11" s="1"/>
  <c r="BT40" i="11"/>
  <c r="BO40" i="11"/>
  <c r="BO211" i="11" s="1"/>
  <c r="BN40" i="11"/>
  <c r="BN212" i="11" s="1"/>
  <c r="BM40" i="11"/>
  <c r="BM211" i="11" s="1"/>
  <c r="BS39" i="11"/>
  <c r="BO39" i="11"/>
  <c r="BN39" i="11"/>
  <c r="BN210" i="11" s="1"/>
  <c r="BM39" i="11"/>
  <c r="BM209" i="11" s="1"/>
  <c r="BP38" i="11"/>
  <c r="BO38" i="11"/>
  <c r="BO207" i="11" s="1"/>
  <c r="BN38" i="11"/>
  <c r="BN208" i="11" s="1"/>
  <c r="BM38" i="11"/>
  <c r="BM208" i="11" s="1"/>
  <c r="BQ208" i="11" s="1"/>
  <c r="BO37" i="11"/>
  <c r="BO205" i="11" s="1"/>
  <c r="BN37" i="11"/>
  <c r="BN206" i="11" s="1"/>
  <c r="BM37" i="11"/>
  <c r="BM205" i="11" s="1"/>
  <c r="BS36" i="11"/>
  <c r="BO36" i="11"/>
  <c r="BO204" i="11" s="1"/>
  <c r="BT204" i="11" s="1"/>
  <c r="BN36" i="11"/>
  <c r="BN204" i="11" s="1"/>
  <c r="BS204" i="11" s="1"/>
  <c r="BM36" i="11"/>
  <c r="BM203" i="11" s="1"/>
  <c r="BW35" i="11"/>
  <c r="BW202" i="11" s="1"/>
  <c r="BT35" i="11"/>
  <c r="BQ35" i="11"/>
  <c r="BP35" i="11"/>
  <c r="BO35" i="11"/>
  <c r="BN35" i="11"/>
  <c r="BM35" i="11"/>
  <c r="BQ34" i="11"/>
  <c r="BM34" i="11"/>
  <c r="BT29" i="11"/>
  <c r="BN29" i="11"/>
  <c r="BS29" i="11" s="1"/>
  <c r="BM29" i="11"/>
  <c r="BM195" i="11" s="1"/>
  <c r="BS27" i="11"/>
  <c r="BO27" i="11"/>
  <c r="BT27" i="11" s="1"/>
  <c r="BN27" i="11"/>
  <c r="BN194" i="11" s="1"/>
  <c r="BS194" i="11" s="1"/>
  <c r="BM27" i="11"/>
  <c r="BM194" i="11" s="1"/>
  <c r="BQ194" i="11" s="1"/>
  <c r="BT25" i="11"/>
  <c r="BP25" i="11"/>
  <c r="BN25" i="11"/>
  <c r="BN191" i="11" s="1"/>
  <c r="BM25" i="11"/>
  <c r="BQ25" i="11" s="1"/>
  <c r="BP24" i="11"/>
  <c r="BT23" i="11"/>
  <c r="BP23" i="11"/>
  <c r="BO23" i="11"/>
  <c r="BN23" i="11"/>
  <c r="BN189" i="11" s="1"/>
  <c r="BM23" i="11"/>
  <c r="BM189" i="11" s="1"/>
  <c r="BP22" i="11"/>
  <c r="BN21" i="11"/>
  <c r="BN188" i="11" s="1"/>
  <c r="BS188" i="11" s="1"/>
  <c r="BM21" i="11"/>
  <c r="BM187" i="11" s="1"/>
  <c r="BO20" i="11"/>
  <c r="BO186" i="11" s="1"/>
  <c r="BN20" i="11"/>
  <c r="BS20" i="11" s="1"/>
  <c r="BM20" i="11"/>
  <c r="BM185" i="11" s="1"/>
  <c r="BT19" i="11"/>
  <c r="BT183" i="11" s="1"/>
  <c r="BM19" i="11"/>
  <c r="BM183" i="11" s="1"/>
  <c r="BO17" i="11"/>
  <c r="BT17" i="11" s="1"/>
  <c r="BN17" i="11"/>
  <c r="BP17" i="11" s="1"/>
  <c r="BM17" i="11"/>
  <c r="BQ17" i="11" s="1"/>
  <c r="BO16" i="11"/>
  <c r="BO181" i="11" s="1"/>
  <c r="BM16" i="11"/>
  <c r="BM181" i="11" s="1"/>
  <c r="BP15" i="11"/>
  <c r="BO15" i="11"/>
  <c r="BO179" i="11" s="1"/>
  <c r="BN15" i="11"/>
  <c r="BN179" i="11" s="1"/>
  <c r="BM15" i="11"/>
  <c r="BM179" i="11" s="1"/>
  <c r="BO14" i="11"/>
  <c r="BO177" i="11" s="1"/>
  <c r="BN14" i="11"/>
  <c r="BN177" i="11" s="1"/>
  <c r="BM14" i="11"/>
  <c r="BM177" i="11" s="1"/>
  <c r="BP13" i="11"/>
  <c r="BP12" i="11"/>
  <c r="BO12" i="11"/>
  <c r="BT12" i="11" s="1"/>
  <c r="BU12" i="11" s="1"/>
  <c r="BN12" i="11"/>
  <c r="BS12" i="11" s="1"/>
  <c r="BM12" i="11"/>
  <c r="BQ12" i="11" s="1"/>
  <c r="BO11" i="11"/>
  <c r="BP11" i="11" s="1"/>
  <c r="BN11" i="11"/>
  <c r="BS11" i="11" s="1"/>
  <c r="BM11" i="11"/>
  <c r="BQ11" i="11" s="1"/>
  <c r="BQ173" i="11" s="1"/>
  <c r="BO10" i="11"/>
  <c r="BN10" i="11"/>
  <c r="BS10" i="11" s="1"/>
  <c r="BM10" i="11"/>
  <c r="BQ10" i="11" s="1"/>
  <c r="BT8" i="11"/>
  <c r="BO8" i="11"/>
  <c r="BN8" i="11"/>
  <c r="BN170" i="11" s="1"/>
  <c r="BM8" i="11"/>
  <c r="BM170" i="11" s="1"/>
  <c r="BS7" i="11"/>
  <c r="BO7" i="11"/>
  <c r="BO167" i="11" s="1"/>
  <c r="BN7" i="11"/>
  <c r="BM7" i="11"/>
  <c r="BM168" i="11" s="1"/>
  <c r="BO6" i="11"/>
  <c r="BO165" i="11" s="1"/>
  <c r="BN6" i="11"/>
  <c r="BN166" i="11" s="1"/>
  <c r="BP166" i="11" s="1"/>
  <c r="BM6" i="11"/>
  <c r="BM166" i="11" s="1"/>
  <c r="BQ166" i="11" s="1"/>
  <c r="BP5" i="11"/>
  <c r="BO5" i="11"/>
  <c r="BO163" i="11" s="1"/>
  <c r="BN5" i="11"/>
  <c r="BN164" i="11" s="1"/>
  <c r="BP164" i="11" s="1"/>
  <c r="BM5" i="11"/>
  <c r="BM164" i="11" s="1"/>
  <c r="BQ164" i="11" s="1"/>
  <c r="CQ227" i="11" l="1"/>
  <c r="CX228" i="11"/>
  <c r="CQ250" i="11"/>
  <c r="CZ110" i="11"/>
  <c r="DA110" i="11"/>
  <c r="CS250" i="11"/>
  <c r="CQ67" i="11"/>
  <c r="CX67" i="11" s="1"/>
  <c r="CX43" i="11"/>
  <c r="CQ215" i="11"/>
  <c r="CW110" i="11"/>
  <c r="DB110" i="11" s="1"/>
  <c r="DB77" i="11"/>
  <c r="CW189" i="11"/>
  <c r="CW8" i="11"/>
  <c r="CU8" i="11"/>
  <c r="CH67" i="11"/>
  <c r="CI66" i="11" s="1"/>
  <c r="CI43" i="11"/>
  <c r="CI67" i="11" s="1"/>
  <c r="CI42" i="11"/>
  <c r="CM43" i="11"/>
  <c r="CQ197" i="11"/>
  <c r="CX198" i="11"/>
  <c r="CP206" i="11"/>
  <c r="CM205" i="11"/>
  <c r="CT206" i="11"/>
  <c r="CN206" i="11"/>
  <c r="CU37" i="11"/>
  <c r="CW37" i="11"/>
  <c r="CD198" i="11"/>
  <c r="CE171" i="11"/>
  <c r="CD171" i="11"/>
  <c r="CE172" i="11"/>
  <c r="CE198" i="11" s="1"/>
  <c r="CM172" i="11"/>
  <c r="DA190" i="11"/>
  <c r="CZ190" i="11"/>
  <c r="CP41" i="11"/>
  <c r="CN41" i="11"/>
  <c r="CT41" i="11"/>
  <c r="CZ55" i="11"/>
  <c r="DA55" i="11"/>
  <c r="CT122" i="11"/>
  <c r="CN122" i="11"/>
  <c r="CN158" i="11" s="1"/>
  <c r="CN159" i="11" s="1"/>
  <c r="CP122" i="11"/>
  <c r="CP158" i="11" s="1"/>
  <c r="CP159" i="11" s="1"/>
  <c r="CM158" i="11"/>
  <c r="CP121" i="11"/>
  <c r="CN121" i="11"/>
  <c r="DA50" i="11"/>
  <c r="CZ50" i="11"/>
  <c r="CU228" i="11"/>
  <c r="CW227" i="11"/>
  <c r="CU227" i="11"/>
  <c r="CT227" i="11"/>
  <c r="CW228" i="11"/>
  <c r="DB228" i="11" s="1"/>
  <c r="CY228" i="11"/>
  <c r="DA228" i="11" s="1"/>
  <c r="CW10" i="11"/>
  <c r="DB10" i="11" s="1"/>
  <c r="CU10" i="11"/>
  <c r="CU31" i="11" s="1"/>
  <c r="CW9" i="11"/>
  <c r="CT31" i="11"/>
  <c r="CU9" i="11"/>
  <c r="CY10" i="11"/>
  <c r="CP30" i="11"/>
  <c r="CN30" i="11"/>
  <c r="CU236" i="11"/>
  <c r="CW235" i="11"/>
  <c r="CW236" i="11"/>
  <c r="DB236" i="11" s="1"/>
  <c r="CT235" i="11"/>
  <c r="CZ235" i="11" s="1"/>
  <c r="CU235" i="11"/>
  <c r="CY236" i="11"/>
  <c r="CH213" i="11"/>
  <c r="CH216" i="11"/>
  <c r="CI214" i="11"/>
  <c r="CM214" i="11"/>
  <c r="CP170" i="11"/>
  <c r="CN170" i="11"/>
  <c r="CM169" i="11"/>
  <c r="CT170" i="11"/>
  <c r="CS43" i="11"/>
  <c r="CS67" i="11" s="1"/>
  <c r="CL67" i="11"/>
  <c r="CL249" i="11" s="1"/>
  <c r="CU120" i="11"/>
  <c r="CW120" i="11"/>
  <c r="BT169" i="11"/>
  <c r="BU166" i="11"/>
  <c r="BN168" i="11"/>
  <c r="BP7" i="11"/>
  <c r="BS203" i="11"/>
  <c r="BW55" i="11"/>
  <c r="BO169" i="11"/>
  <c r="BP8" i="11"/>
  <c r="BU17" i="11"/>
  <c r="BU204" i="11"/>
  <c r="BW204" i="11"/>
  <c r="BM228" i="11"/>
  <c r="BQ218" i="11"/>
  <c r="BP9" i="11"/>
  <c r="BN31" i="11"/>
  <c r="BP10" i="11"/>
  <c r="BW12" i="11"/>
  <c r="BW50" i="11"/>
  <c r="BW49" i="11"/>
  <c r="BU49" i="11"/>
  <c r="BS245" i="11"/>
  <c r="BW83" i="11"/>
  <c r="BQ6" i="11"/>
  <c r="BT11" i="11"/>
  <c r="BU27" i="11"/>
  <c r="BW27" i="11"/>
  <c r="BW26" i="11"/>
  <c r="BQ221" i="11"/>
  <c r="BQ16" i="11"/>
  <c r="BS17" i="11"/>
  <c r="BT186" i="11"/>
  <c r="BP186" i="11"/>
  <c r="BT20" i="11"/>
  <c r="BN214" i="11"/>
  <c r="BS212" i="11"/>
  <c r="BP212" i="11"/>
  <c r="BW47" i="11"/>
  <c r="BN231" i="11"/>
  <c r="BN55" i="11"/>
  <c r="BS55" i="11" s="1"/>
  <c r="BW54" i="11" s="1"/>
  <c r="BP52" i="11"/>
  <c r="BS5" i="11"/>
  <c r="BT6" i="11"/>
  <c r="BM172" i="11"/>
  <c r="BQ170" i="11"/>
  <c r="BQ8" i="11"/>
  <c r="BQ14" i="11"/>
  <c r="BQ31" i="11" s="1"/>
  <c r="BS15" i="11"/>
  <c r="BT16" i="11"/>
  <c r="BQ20" i="11"/>
  <c r="BS21" i="11"/>
  <c r="BS187" i="11" s="1"/>
  <c r="BT189" i="11"/>
  <c r="BW28" i="11"/>
  <c r="BQ29" i="11"/>
  <c r="BQ37" i="11"/>
  <c r="BP208" i="11"/>
  <c r="BS208" i="11"/>
  <c r="BS38" i="11"/>
  <c r="BO209" i="11"/>
  <c r="BP39" i="11"/>
  <c r="BP40" i="11"/>
  <c r="BQ44" i="11"/>
  <c r="BS45" i="11"/>
  <c r="BO222" i="11"/>
  <c r="BT222" i="11" s="1"/>
  <c r="BP46" i="11"/>
  <c r="BP47" i="11"/>
  <c r="BS52" i="11"/>
  <c r="BS234" i="11"/>
  <c r="BN236" i="11"/>
  <c r="BP54" i="11"/>
  <c r="BO239" i="11"/>
  <c r="BP57" i="11"/>
  <c r="BP63" i="11"/>
  <c r="BO67" i="11"/>
  <c r="BU72" i="11"/>
  <c r="BU74" i="11"/>
  <c r="BT110" i="11"/>
  <c r="BW77" i="11"/>
  <c r="BW76" i="11"/>
  <c r="BW87" i="11"/>
  <c r="BW89" i="11"/>
  <c r="BP90" i="11"/>
  <c r="BN91" i="11"/>
  <c r="BP92" i="11"/>
  <c r="BW97" i="11"/>
  <c r="BW127" i="11"/>
  <c r="BQ129" i="11"/>
  <c r="BM50" i="11"/>
  <c r="BQ50" i="11" s="1"/>
  <c r="BW136" i="11"/>
  <c r="BU136" i="11"/>
  <c r="BS164" i="11"/>
  <c r="BM176" i="11"/>
  <c r="BQ176" i="11" s="1"/>
  <c r="BS193" i="11"/>
  <c r="BT5" i="11"/>
  <c r="BT163" i="11" s="1"/>
  <c r="BP6" i="11"/>
  <c r="BQ7" i="11"/>
  <c r="BN172" i="11"/>
  <c r="BP171" i="11" s="1"/>
  <c r="BP170" i="11"/>
  <c r="BS8" i="11"/>
  <c r="BS14" i="11"/>
  <c r="BT15" i="11"/>
  <c r="BQ19" i="11"/>
  <c r="BU18" i="11" s="1"/>
  <c r="BO21" i="11"/>
  <c r="BS25" i="11"/>
  <c r="BW24" i="11" s="1"/>
  <c r="BP26" i="11"/>
  <c r="BT36" i="11"/>
  <c r="BT37" i="11"/>
  <c r="BQ39" i="11"/>
  <c r="BS40" i="11"/>
  <c r="BT43" i="11"/>
  <c r="BT44" i="11"/>
  <c r="BQ48" i="11"/>
  <c r="BP50" i="11"/>
  <c r="BP51" i="11"/>
  <c r="BT231" i="11"/>
  <c r="BU52" i="11"/>
  <c r="BO236" i="11"/>
  <c r="BT234" i="11"/>
  <c r="BU53" i="11"/>
  <c r="BM55" i="11"/>
  <c r="BP56" i="11"/>
  <c r="BQ57" i="11"/>
  <c r="BU58" i="11"/>
  <c r="BO241" i="11"/>
  <c r="BP58" i="11"/>
  <c r="BP59" i="11"/>
  <c r="BU60" i="11"/>
  <c r="BT243" i="11"/>
  <c r="BU61" i="11"/>
  <c r="BW72" i="11"/>
  <c r="BW75" i="11"/>
  <c r="BU76" i="11"/>
  <c r="BW78" i="11"/>
  <c r="BU82" i="11"/>
  <c r="BW86" i="11"/>
  <c r="BU92" i="11"/>
  <c r="BU93" i="11"/>
  <c r="BW108" i="11"/>
  <c r="BU108" i="11"/>
  <c r="BU107" i="11"/>
  <c r="BU119" i="11"/>
  <c r="BW125" i="11"/>
  <c r="BU125" i="11"/>
  <c r="BW128" i="11"/>
  <c r="BU132" i="11"/>
  <c r="BT131" i="11"/>
  <c r="BW135" i="11"/>
  <c r="BU142" i="11"/>
  <c r="BW142" i="11"/>
  <c r="BT146" i="11"/>
  <c r="BS166" i="11"/>
  <c r="BN183" i="11"/>
  <c r="BS184" i="11"/>
  <c r="BP183" i="11"/>
  <c r="BS185" i="11"/>
  <c r="BM191" i="11"/>
  <c r="BQ191" i="11"/>
  <c r="BT14" i="11"/>
  <c r="BU24" i="11"/>
  <c r="BO194" i="11"/>
  <c r="BP27" i="11"/>
  <c r="BU29" i="11"/>
  <c r="BP204" i="11"/>
  <c r="BW40" i="11"/>
  <c r="BP218" i="11"/>
  <c r="BO228" i="11"/>
  <c r="BT218" i="11"/>
  <c r="BN224" i="11"/>
  <c r="BS224" i="11" s="1"/>
  <c r="BN174" i="11"/>
  <c r="BS174" i="11" s="1"/>
  <c r="BQ51" i="11"/>
  <c r="BP55" i="11"/>
  <c r="BT239" i="11"/>
  <c r="BU57" i="11"/>
  <c r="BN245" i="11"/>
  <c r="BP62" i="11"/>
  <c r="BM248" i="11"/>
  <c r="BQ248" i="11" s="1"/>
  <c r="BQ65" i="11"/>
  <c r="BU79" i="11"/>
  <c r="BP91" i="11"/>
  <c r="BW94" i="11"/>
  <c r="BU117" i="11"/>
  <c r="BW117" i="11"/>
  <c r="BU120" i="11"/>
  <c r="BM158" i="11"/>
  <c r="BQ122" i="11"/>
  <c r="BM43" i="11"/>
  <c r="BS134" i="11"/>
  <c r="BW134" i="11" s="1"/>
  <c r="BP139" i="11"/>
  <c r="BW141" i="11"/>
  <c r="BW140" i="11"/>
  <c r="BU140" i="11"/>
  <c r="BQ177" i="11"/>
  <c r="BT214" i="11"/>
  <c r="BO213" i="11"/>
  <c r="BP214" i="11"/>
  <c r="BO216" i="11"/>
  <c r="BQ163" i="11"/>
  <c r="BQ5" i="11"/>
  <c r="BS6" i="11"/>
  <c r="BT7" i="11"/>
  <c r="BO31" i="11"/>
  <c r="BT10" i="11"/>
  <c r="BP14" i="11"/>
  <c r="BQ15" i="11"/>
  <c r="BN19" i="11"/>
  <c r="BP20" i="11"/>
  <c r="BQ21" i="11"/>
  <c r="BS23" i="11"/>
  <c r="BU25" i="11"/>
  <c r="BQ27" i="11"/>
  <c r="BU28" i="11"/>
  <c r="BN196" i="11"/>
  <c r="BP29" i="11"/>
  <c r="BP28" i="11"/>
  <c r="BW29" i="11"/>
  <c r="BM31" i="11"/>
  <c r="BP36" i="11"/>
  <c r="BP37" i="11"/>
  <c r="BQ207" i="11"/>
  <c r="BU208" i="11"/>
  <c r="BQ38" i="11"/>
  <c r="BP210" i="11"/>
  <c r="BS210" i="11"/>
  <c r="BT39" i="11"/>
  <c r="BU40" i="11"/>
  <c r="BP44" i="11"/>
  <c r="BQ219" i="11"/>
  <c r="BQ45" i="11"/>
  <c r="BS221" i="11"/>
  <c r="BT46" i="11"/>
  <c r="BO224" i="11"/>
  <c r="BO174" i="11"/>
  <c r="BO226" i="11"/>
  <c r="BO176" i="11"/>
  <c r="BP49" i="11"/>
  <c r="BT51" i="11"/>
  <c r="BS53" i="11"/>
  <c r="BU59" i="11"/>
  <c r="BW58" i="11"/>
  <c r="BN243" i="11"/>
  <c r="BS61" i="11"/>
  <c r="BP61" i="11"/>
  <c r="BP60" i="11"/>
  <c r="BU73" i="11"/>
  <c r="BP76" i="11"/>
  <c r="BN110" i="11"/>
  <c r="BP110" i="11" s="1"/>
  <c r="BW79" i="11"/>
  <c r="BQ83" i="11"/>
  <c r="BU83" i="11" s="1"/>
  <c r="BU84" i="11"/>
  <c r="BW88" i="11"/>
  <c r="BW90" i="11"/>
  <c r="BS93" i="11"/>
  <c r="BU98" i="11"/>
  <c r="BW104" i="11"/>
  <c r="BW116" i="11"/>
  <c r="BW118" i="11"/>
  <c r="BU118" i="11"/>
  <c r="BN122" i="11"/>
  <c r="BS120" i="11"/>
  <c r="BN41" i="11"/>
  <c r="BS41" i="11" s="1"/>
  <c r="BQ131" i="11"/>
  <c r="BQ141" i="11"/>
  <c r="BW137" i="11"/>
  <c r="BT139" i="11"/>
  <c r="BW156" i="11"/>
  <c r="BU156" i="11"/>
  <c r="BU155" i="11"/>
  <c r="BW155" i="11"/>
  <c r="BS170" i="11"/>
  <c r="BU192" i="11"/>
  <c r="BU191" i="11"/>
  <c r="BW192" i="11"/>
  <c r="BW191" i="11"/>
  <c r="BT191" i="11"/>
  <c r="BQ23" i="11"/>
  <c r="BQ36" i="11"/>
  <c r="BP206" i="11"/>
  <c r="BS206" i="11"/>
  <c r="BS37" i="11"/>
  <c r="BT38" i="11"/>
  <c r="BQ40" i="11"/>
  <c r="BN228" i="11"/>
  <c r="BS218" i="11"/>
  <c r="BS44" i="11"/>
  <c r="BT220" i="11"/>
  <c r="BP220" i="11"/>
  <c r="BT45" i="11"/>
  <c r="BQ47" i="11"/>
  <c r="BN226" i="11"/>
  <c r="BS226" i="11" s="1"/>
  <c r="BN176" i="11"/>
  <c r="BS176" i="11" s="1"/>
  <c r="BS48" i="11"/>
  <c r="BS51" i="11"/>
  <c r="BM236" i="11"/>
  <c r="BM235" i="11" s="1"/>
  <c r="BQ234" i="11"/>
  <c r="BQ53" i="11"/>
  <c r="BQ56" i="11"/>
  <c r="BS57" i="11"/>
  <c r="BT63" i="11"/>
  <c r="BP247" i="11"/>
  <c r="BS248" i="11"/>
  <c r="BP248" i="11"/>
  <c r="BM110" i="11"/>
  <c r="BQ77" i="11"/>
  <c r="BW85" i="11"/>
  <c r="BU99" i="11"/>
  <c r="BW101" i="11"/>
  <c r="BW102" i="11"/>
  <c r="BW105" i="11"/>
  <c r="BU115" i="11"/>
  <c r="BW143" i="11"/>
  <c r="BU145" i="11"/>
  <c r="BU148" i="11"/>
  <c r="BW147" i="11"/>
  <c r="BW150" i="11"/>
  <c r="BU168" i="11"/>
  <c r="BU182" i="11"/>
  <c r="BW182" i="11"/>
  <c r="BU184" i="11"/>
  <c r="BU190" i="11"/>
  <c r="BU212" i="11"/>
  <c r="BT56" i="11"/>
  <c r="BS59" i="11"/>
  <c r="BQ63" i="11"/>
  <c r="BU95" i="11"/>
  <c r="BT122" i="11"/>
  <c r="BP121" i="11"/>
  <c r="BW138" i="11"/>
  <c r="BP140" i="11"/>
  <c r="BN139" i="11"/>
  <c r="BU153" i="11"/>
  <c r="BW152" i="11"/>
  <c r="BO158" i="11"/>
  <c r="BQ181" i="11"/>
  <c r="BU183" i="11"/>
  <c r="BQ183" i="11"/>
  <c r="BQ185" i="11"/>
  <c r="BS189" i="11"/>
  <c r="BW166" i="11"/>
  <c r="BU178" i="11"/>
  <c r="BU177" i="11"/>
  <c r="BW180" i="11"/>
  <c r="BW190" i="11"/>
  <c r="BT211" i="11"/>
  <c r="BW212" i="11"/>
  <c r="BS231" i="11"/>
  <c r="BW232" i="11"/>
  <c r="BW164" i="11"/>
  <c r="BW208" i="11"/>
  <c r="BU196" i="11"/>
  <c r="BT195" i="11"/>
  <c r="BS239" i="11"/>
  <c r="BQ216" i="11"/>
  <c r="BQ214" i="11"/>
  <c r="BM215" i="11"/>
  <c r="BU242" i="11"/>
  <c r="BU241" i="11"/>
  <c r="BW242" i="11"/>
  <c r="BW241" i="11"/>
  <c r="BU246" i="11"/>
  <c r="BU245" i="11"/>
  <c r="BW246" i="11"/>
  <c r="BW245" i="11"/>
  <c r="BU230" i="11"/>
  <c r="BS237" i="11"/>
  <c r="BQ241" i="11"/>
  <c r="BW238" i="11"/>
  <c r="BU240" i="11"/>
  <c r="BU244" i="11"/>
  <c r="BU243" i="11"/>
  <c r="K178" i="2"/>
  <c r="CT158" i="11" l="1"/>
  <c r="CW121" i="11"/>
  <c r="CU121" i="11"/>
  <c r="CW122" i="11"/>
  <c r="CU122" i="11"/>
  <c r="CU158" i="11" s="1"/>
  <c r="CU159" i="11" s="1"/>
  <c r="CY122" i="11"/>
  <c r="CW170" i="11"/>
  <c r="CW169" i="11"/>
  <c r="CT169" i="11"/>
  <c r="CU170" i="11"/>
  <c r="DA236" i="11"/>
  <c r="CZ236" i="11"/>
  <c r="DA10" i="11"/>
  <c r="CY31" i="11"/>
  <c r="CZ10" i="11"/>
  <c r="CZ227" i="11"/>
  <c r="CP171" i="11"/>
  <c r="CM198" i="11"/>
  <c r="CN171" i="11"/>
  <c r="CT172" i="11"/>
  <c r="CP172" i="11"/>
  <c r="CP198" i="11" s="1"/>
  <c r="CM171" i="11"/>
  <c r="CN172" i="11"/>
  <c r="CN198" i="11" s="1"/>
  <c r="CU206" i="11"/>
  <c r="CW205" i="11"/>
  <c r="CT205" i="11"/>
  <c r="CW206" i="11"/>
  <c r="CM67" i="11"/>
  <c r="CP42" i="11"/>
  <c r="CT43" i="11"/>
  <c r="CN42" i="11"/>
  <c r="CP43" i="11"/>
  <c r="CP67" i="11" s="1"/>
  <c r="CN43" i="11"/>
  <c r="CS215" i="11"/>
  <c r="CQ249" i="11"/>
  <c r="CX250" i="11"/>
  <c r="CP214" i="11"/>
  <c r="CM213" i="11"/>
  <c r="CT214" i="11"/>
  <c r="CN214" i="11"/>
  <c r="CN157" i="11"/>
  <c r="CP157" i="11"/>
  <c r="CM159" i="11"/>
  <c r="CE197" i="11"/>
  <c r="CD197" i="11"/>
  <c r="CH250" i="11"/>
  <c r="CI216" i="11"/>
  <c r="CI250" i="11" s="1"/>
  <c r="CI215" i="11"/>
  <c r="CH215" i="11"/>
  <c r="CM216" i="11"/>
  <c r="CU30" i="11"/>
  <c r="CW31" i="11"/>
  <c r="DB31" i="11" s="1"/>
  <c r="CW30" i="11"/>
  <c r="CW41" i="11"/>
  <c r="CU41" i="11"/>
  <c r="CS249" i="11"/>
  <c r="CZ228" i="11"/>
  <c r="BP158" i="11"/>
  <c r="BP157" i="11"/>
  <c r="BQ236" i="11"/>
  <c r="BQ233" i="11"/>
  <c r="BQ223" i="11"/>
  <c r="BS217" i="11"/>
  <c r="BS229" i="11"/>
  <c r="BT237" i="11"/>
  <c r="BW56" i="11"/>
  <c r="BU56" i="11"/>
  <c r="BS175" i="11"/>
  <c r="BS205" i="11"/>
  <c r="BW206" i="11"/>
  <c r="BQ139" i="11"/>
  <c r="BU139" i="11" s="1"/>
  <c r="BN158" i="11"/>
  <c r="BP122" i="11"/>
  <c r="BN43" i="11"/>
  <c r="BS122" i="11"/>
  <c r="BW92" i="11"/>
  <c r="BS91" i="11"/>
  <c r="BW91" i="11" s="1"/>
  <c r="BW93" i="11"/>
  <c r="BU47" i="11"/>
  <c r="BS209" i="11"/>
  <c r="BP196" i="11"/>
  <c r="BP195" i="11"/>
  <c r="BS196" i="11"/>
  <c r="BW22" i="11"/>
  <c r="BT31" i="11"/>
  <c r="BW10" i="11"/>
  <c r="BW9" i="11"/>
  <c r="BU10" i="11"/>
  <c r="BU9" i="11"/>
  <c r="BQ158" i="11"/>
  <c r="BQ159" i="11" s="1"/>
  <c r="BU247" i="11"/>
  <c r="BU248" i="11"/>
  <c r="BQ247" i="11"/>
  <c r="BP227" i="11"/>
  <c r="BP228" i="11"/>
  <c r="BO227" i="11"/>
  <c r="BT228" i="11"/>
  <c r="BT177" i="11"/>
  <c r="BU14" i="11"/>
  <c r="BU13" i="11"/>
  <c r="BW14" i="11"/>
  <c r="BW13" i="11"/>
  <c r="BQ225" i="11"/>
  <c r="BW44" i="11"/>
  <c r="BU44" i="11"/>
  <c r="BT205" i="11"/>
  <c r="BW37" i="11"/>
  <c r="BT41" i="11"/>
  <c r="BU37" i="11"/>
  <c r="BW36" i="11"/>
  <c r="BU36" i="11"/>
  <c r="BQ175" i="11"/>
  <c r="BU128" i="11"/>
  <c r="BU129" i="11"/>
  <c r="BW52" i="11"/>
  <c r="BS219" i="11"/>
  <c r="BU11" i="11"/>
  <c r="BW11" i="11"/>
  <c r="BM227" i="11"/>
  <c r="BQ228" i="11"/>
  <c r="BW17" i="11"/>
  <c r="BS110" i="11"/>
  <c r="BS111" i="11" s="1"/>
  <c r="BQ165" i="11"/>
  <c r="BU48" i="11"/>
  <c r="BQ213" i="11"/>
  <c r="BW210" i="11"/>
  <c r="BQ203" i="11"/>
  <c r="BS241" i="11"/>
  <c r="BW59" i="11"/>
  <c r="BQ211" i="11"/>
  <c r="BQ110" i="11"/>
  <c r="BQ111" i="11" s="1"/>
  <c r="BT245" i="11"/>
  <c r="BW63" i="11"/>
  <c r="BW62" i="11"/>
  <c r="BU63" i="11"/>
  <c r="BU62" i="11"/>
  <c r="BS225" i="11"/>
  <c r="BU45" i="11"/>
  <c r="BW45" i="11"/>
  <c r="BT207" i="11"/>
  <c r="BU38" i="11"/>
  <c r="BW38" i="11"/>
  <c r="BW170" i="11"/>
  <c r="BS169" i="11"/>
  <c r="BU77" i="11"/>
  <c r="BW57" i="11"/>
  <c r="BP176" i="11"/>
  <c r="BT176" i="11"/>
  <c r="BT174" i="11"/>
  <c r="BP174" i="11"/>
  <c r="BN16" i="11"/>
  <c r="BP19" i="11"/>
  <c r="BP18" i="11"/>
  <c r="BS19" i="11"/>
  <c r="BP30" i="11"/>
  <c r="BP31" i="11"/>
  <c r="BW7" i="11"/>
  <c r="BT167" i="11"/>
  <c r="BU7" i="11"/>
  <c r="BU214" i="11"/>
  <c r="BQ167" i="11"/>
  <c r="BS173" i="11"/>
  <c r="BW25" i="11"/>
  <c r="BT171" i="11"/>
  <c r="BQ239" i="11"/>
  <c r="BU234" i="11"/>
  <c r="BT233" i="11"/>
  <c r="BW234" i="11"/>
  <c r="BT67" i="11"/>
  <c r="BU42" i="11"/>
  <c r="BQ209" i="11"/>
  <c r="BT21" i="11"/>
  <c r="BO188" i="11"/>
  <c r="BP21" i="11"/>
  <c r="BS177" i="11"/>
  <c r="BS163" i="11"/>
  <c r="BW110" i="11"/>
  <c r="BW111" i="11" s="1"/>
  <c r="BW109" i="11"/>
  <c r="BT111" i="11"/>
  <c r="BU110" i="11"/>
  <c r="BU111" i="11" s="1"/>
  <c r="BU109" i="11"/>
  <c r="BS236" i="11"/>
  <c r="BN235" i="11"/>
  <c r="BW48" i="11"/>
  <c r="BU222" i="11"/>
  <c r="BT221" i="11"/>
  <c r="BW222" i="11"/>
  <c r="BQ205" i="11"/>
  <c r="BT181" i="11"/>
  <c r="BU16" i="11"/>
  <c r="BQ169" i="11"/>
  <c r="BU170" i="11"/>
  <c r="BT165" i="11"/>
  <c r="BU6" i="11"/>
  <c r="BW6" i="11"/>
  <c r="BU20" i="11"/>
  <c r="BW20" i="11"/>
  <c r="BP168" i="11"/>
  <c r="BS168" i="11"/>
  <c r="BW8" i="11"/>
  <c r="BS31" i="11"/>
  <c r="BQ215" i="11"/>
  <c r="BW248" i="11"/>
  <c r="BS247" i="11"/>
  <c r="BW247" i="11"/>
  <c r="BQ237" i="11"/>
  <c r="BQ189" i="11"/>
  <c r="BW139" i="11"/>
  <c r="BS243" i="11"/>
  <c r="BW61" i="11"/>
  <c r="BT226" i="11"/>
  <c r="BP226" i="11"/>
  <c r="BP224" i="11"/>
  <c r="BT224" i="11"/>
  <c r="BU22" i="11"/>
  <c r="BQ187" i="11"/>
  <c r="BO250" i="11"/>
  <c r="BT216" i="11"/>
  <c r="BO215" i="11"/>
  <c r="BQ229" i="11"/>
  <c r="BS223" i="11"/>
  <c r="BS183" i="11"/>
  <c r="BW183" i="11"/>
  <c r="BW184" i="11"/>
  <c r="BU146" i="11"/>
  <c r="BW146" i="11"/>
  <c r="BW131" i="11"/>
  <c r="BU131" i="11"/>
  <c r="BW60" i="11"/>
  <c r="BT236" i="11"/>
  <c r="BP236" i="11"/>
  <c r="BO235" i="11"/>
  <c r="BP235" i="11"/>
  <c r="BS191" i="11"/>
  <c r="BU23" i="11"/>
  <c r="BN198" i="11"/>
  <c r="BN197" i="11" s="1"/>
  <c r="BN171" i="11"/>
  <c r="BS172" i="11"/>
  <c r="BP172" i="11"/>
  <c r="BW5" i="11"/>
  <c r="BU5" i="11"/>
  <c r="BP109" i="11"/>
  <c r="BS233" i="11"/>
  <c r="BM198" i="11"/>
  <c r="BM197" i="11" s="1"/>
  <c r="BQ172" i="11"/>
  <c r="BM171" i="11"/>
  <c r="BS211" i="11"/>
  <c r="BQ245" i="11"/>
  <c r="BM250" i="11"/>
  <c r="BM249" i="11" s="1"/>
  <c r="BQ179" i="11"/>
  <c r="BT158" i="11"/>
  <c r="BU122" i="11"/>
  <c r="BU121" i="11"/>
  <c r="BW121" i="11"/>
  <c r="BU220" i="11"/>
  <c r="BW220" i="11"/>
  <c r="BT219" i="11"/>
  <c r="BS228" i="11"/>
  <c r="BN227" i="11"/>
  <c r="BQ55" i="11"/>
  <c r="BT229" i="11"/>
  <c r="BW51" i="11"/>
  <c r="BU51" i="11"/>
  <c r="BU46" i="11"/>
  <c r="BW46" i="11"/>
  <c r="BT209" i="11"/>
  <c r="BU39" i="11"/>
  <c r="BW39" i="11"/>
  <c r="BU141" i="11"/>
  <c r="BQ43" i="11"/>
  <c r="BM67" i="11"/>
  <c r="BW120" i="11"/>
  <c r="BU64" i="11"/>
  <c r="BU65" i="11"/>
  <c r="BU218" i="11"/>
  <c r="BW218" i="11"/>
  <c r="BT217" i="11"/>
  <c r="BT194" i="11"/>
  <c r="BP193" i="11"/>
  <c r="BP194" i="11"/>
  <c r="BO198" i="11"/>
  <c r="BS165" i="11"/>
  <c r="BU19" i="11"/>
  <c r="BT179" i="11"/>
  <c r="BW15" i="11"/>
  <c r="BU15" i="11"/>
  <c r="BW53" i="11"/>
  <c r="BS207" i="11"/>
  <c r="BQ195" i="11"/>
  <c r="BQ193" i="11"/>
  <c r="BW23" i="11"/>
  <c r="BN216" i="11"/>
  <c r="BS214" i="11"/>
  <c r="BN213" i="11"/>
  <c r="BT185" i="11"/>
  <c r="BW186" i="11"/>
  <c r="BU186" i="11"/>
  <c r="BP41" i="11"/>
  <c r="BU26" i="11"/>
  <c r="BU50" i="11"/>
  <c r="BQ217" i="11"/>
  <c r="BT203" i="11"/>
  <c r="BU8" i="11"/>
  <c r="BL246" i="11"/>
  <c r="BL245" i="11"/>
  <c r="BL244" i="11"/>
  <c r="BL243" i="11"/>
  <c r="BK243" i="11"/>
  <c r="BL242" i="11"/>
  <c r="BI242" i="11"/>
  <c r="BL241" i="11"/>
  <c r="BL240" i="11"/>
  <c r="BL238" i="11"/>
  <c r="BL232" i="11"/>
  <c r="BL230" i="11"/>
  <c r="BK216" i="11"/>
  <c r="BI216" i="11"/>
  <c r="BJ214" i="11"/>
  <c r="BI214" i="11"/>
  <c r="BL212" i="11"/>
  <c r="BL210" i="11"/>
  <c r="BL208" i="11"/>
  <c r="BL206" i="11"/>
  <c r="BL204" i="11"/>
  <c r="BK202" i="11"/>
  <c r="BJ202" i="11"/>
  <c r="BI202" i="11"/>
  <c r="BI201" i="11"/>
  <c r="BL196" i="11"/>
  <c r="BL195" i="11"/>
  <c r="BL192" i="11"/>
  <c r="BL191" i="11"/>
  <c r="BK191" i="11"/>
  <c r="BL190" i="11"/>
  <c r="BI190" i="11"/>
  <c r="BL189" i="11"/>
  <c r="BL184" i="11"/>
  <c r="BK184" i="11"/>
  <c r="BJ184" i="11"/>
  <c r="BI184" i="11"/>
  <c r="BL183" i="11"/>
  <c r="BK183" i="11"/>
  <c r="BL182" i="11"/>
  <c r="BL180" i="11"/>
  <c r="BL178" i="11"/>
  <c r="BL177" i="11"/>
  <c r="BK172" i="11"/>
  <c r="BJ168" i="11"/>
  <c r="BK162" i="11"/>
  <c r="BJ162" i="11"/>
  <c r="BI162" i="11"/>
  <c r="BI161" i="11"/>
  <c r="BL156" i="11"/>
  <c r="BL155" i="11"/>
  <c r="BL153" i="11"/>
  <c r="BL152" i="11"/>
  <c r="BL150" i="11"/>
  <c r="BL149" i="11"/>
  <c r="BL148" i="11"/>
  <c r="BI148" i="11"/>
  <c r="BL147" i="11"/>
  <c r="BL146" i="11"/>
  <c r="BK146" i="11"/>
  <c r="BJ146" i="11"/>
  <c r="BI146" i="11"/>
  <c r="BL145" i="11"/>
  <c r="BL143" i="11"/>
  <c r="BL142" i="11"/>
  <c r="BI141" i="11"/>
  <c r="BI139" i="11"/>
  <c r="BJ138" i="11"/>
  <c r="BI138" i="11"/>
  <c r="BL137" i="11"/>
  <c r="BL135" i="11"/>
  <c r="BK135" i="11"/>
  <c r="BJ135" i="11"/>
  <c r="BJ134" i="11"/>
  <c r="BI134" i="11"/>
  <c r="BK133" i="11"/>
  <c r="BK134" i="11" s="1"/>
  <c r="BL134" i="11" s="1"/>
  <c r="BK132" i="11"/>
  <c r="BJ132" i="11"/>
  <c r="BJ141" i="11" s="1"/>
  <c r="BI131" i="11"/>
  <c r="BK130" i="11"/>
  <c r="BK129" i="11"/>
  <c r="BI129" i="11"/>
  <c r="BL125" i="11"/>
  <c r="BJ124" i="11"/>
  <c r="BL123" i="11"/>
  <c r="BJ123" i="11"/>
  <c r="BK122" i="11"/>
  <c r="BK120" i="11"/>
  <c r="BJ120" i="11"/>
  <c r="BI120" i="11"/>
  <c r="BI122" i="11" s="1"/>
  <c r="BL119" i="11"/>
  <c r="BL118" i="11"/>
  <c r="BL117" i="11"/>
  <c r="BL116" i="11"/>
  <c r="BL115" i="11"/>
  <c r="BK114" i="11"/>
  <c r="BK35" i="11" s="1"/>
  <c r="BJ114" i="11"/>
  <c r="BI114" i="11"/>
  <c r="BI113" i="11"/>
  <c r="BL108" i="11"/>
  <c r="BL107" i="11"/>
  <c r="BL105" i="11"/>
  <c r="BL104" i="11"/>
  <c r="BL102" i="11"/>
  <c r="BL101" i="11"/>
  <c r="BL100" i="11"/>
  <c r="BI100" i="11"/>
  <c r="BL99" i="11"/>
  <c r="BJ98" i="11"/>
  <c r="BI98" i="11"/>
  <c r="BL97" i="11"/>
  <c r="BL95" i="11"/>
  <c r="BL94" i="11"/>
  <c r="BK93" i="11"/>
  <c r="BI93" i="11"/>
  <c r="BI91" i="11"/>
  <c r="BL90" i="11"/>
  <c r="BK90" i="11"/>
  <c r="BJ90" i="11"/>
  <c r="BI90" i="11"/>
  <c r="BL89" i="11"/>
  <c r="BL87" i="11"/>
  <c r="BK87" i="11"/>
  <c r="BJ87" i="11"/>
  <c r="BJ86" i="11"/>
  <c r="BI86" i="11"/>
  <c r="BL85" i="11"/>
  <c r="BK85" i="11"/>
  <c r="BJ84" i="11"/>
  <c r="BK83" i="11"/>
  <c r="BL83" i="11" s="1"/>
  <c r="BJ83" i="11"/>
  <c r="BI83" i="11"/>
  <c r="BL82" i="11"/>
  <c r="BL81" i="11"/>
  <c r="BL80" i="11"/>
  <c r="BL79" i="11"/>
  <c r="BJ79" i="11"/>
  <c r="BJ127" i="11" s="1"/>
  <c r="BL78" i="11"/>
  <c r="BJ78" i="11"/>
  <c r="BJ126" i="11" s="1"/>
  <c r="BL126" i="11" s="1"/>
  <c r="BL77" i="11"/>
  <c r="BK77" i="11"/>
  <c r="BK110" i="11" s="1"/>
  <c r="BJ77" i="11"/>
  <c r="BI77" i="11"/>
  <c r="BL76" i="11"/>
  <c r="BL75" i="11"/>
  <c r="BL72" i="11"/>
  <c r="BK71" i="11"/>
  <c r="BJ71" i="11"/>
  <c r="BI71" i="11"/>
  <c r="BI70" i="11"/>
  <c r="BL65" i="11"/>
  <c r="BK65" i="11"/>
  <c r="BK247" i="11" s="1"/>
  <c r="BJ65" i="11"/>
  <c r="BJ248" i="11" s="1"/>
  <c r="BI65" i="11"/>
  <c r="BI248" i="11" s="1"/>
  <c r="BL64" i="11"/>
  <c r="BK63" i="11"/>
  <c r="BK245" i="11" s="1"/>
  <c r="BJ63" i="11"/>
  <c r="BI63" i="11"/>
  <c r="BI245" i="11" s="1"/>
  <c r="BL61" i="11"/>
  <c r="BJ61" i="11"/>
  <c r="BJ243" i="11" s="1"/>
  <c r="BI61" i="11"/>
  <c r="BI243" i="11" s="1"/>
  <c r="BL60" i="11"/>
  <c r="BK59" i="11"/>
  <c r="BK241" i="11" s="1"/>
  <c r="BJ59" i="11"/>
  <c r="BJ241" i="11" s="1"/>
  <c r="BI59" i="11"/>
  <c r="BL58" i="11"/>
  <c r="BL57" i="11"/>
  <c r="BK57" i="11"/>
  <c r="BK239" i="11" s="1"/>
  <c r="BJ57" i="11"/>
  <c r="BJ239" i="11" s="1"/>
  <c r="BI57" i="11"/>
  <c r="BI239" i="11" s="1"/>
  <c r="BK56" i="11"/>
  <c r="BJ56" i="11"/>
  <c r="BJ237" i="11" s="1"/>
  <c r="BI56" i="11"/>
  <c r="BI55" i="11"/>
  <c r="BK53" i="11"/>
  <c r="BJ53" i="11"/>
  <c r="BJ234" i="11" s="1"/>
  <c r="BI53" i="11"/>
  <c r="BI234" i="11" s="1"/>
  <c r="BK52" i="11"/>
  <c r="BK231" i="11" s="1"/>
  <c r="BJ52" i="11"/>
  <c r="BJ231" i="11" s="1"/>
  <c r="BI52" i="11"/>
  <c r="BI231" i="11" s="1"/>
  <c r="BK51" i="11"/>
  <c r="BK229" i="11" s="1"/>
  <c r="BJ51" i="11"/>
  <c r="BJ229" i="11" s="1"/>
  <c r="BI51" i="11"/>
  <c r="BI229" i="11" s="1"/>
  <c r="BK50" i="11"/>
  <c r="BI50" i="11"/>
  <c r="BK48" i="11"/>
  <c r="BK226" i="11" s="1"/>
  <c r="BJ48" i="11"/>
  <c r="BJ226" i="11" s="1"/>
  <c r="BI48" i="11"/>
  <c r="BI225" i="11" s="1"/>
  <c r="BK47" i="11"/>
  <c r="BK224" i="11" s="1"/>
  <c r="BJ47" i="11"/>
  <c r="BJ224" i="11" s="1"/>
  <c r="BI47" i="11"/>
  <c r="BI223" i="11" s="1"/>
  <c r="BL46" i="11"/>
  <c r="BK46" i="11"/>
  <c r="BK222" i="11" s="1"/>
  <c r="BJ46" i="11"/>
  <c r="BJ222" i="11" s="1"/>
  <c r="BI46" i="11"/>
  <c r="BK45" i="11"/>
  <c r="BJ45" i="11"/>
  <c r="BJ220" i="11" s="1"/>
  <c r="BI45" i="11"/>
  <c r="BI220" i="11" s="1"/>
  <c r="BK44" i="11"/>
  <c r="BK218" i="11" s="1"/>
  <c r="BJ44" i="11"/>
  <c r="BJ218" i="11" s="1"/>
  <c r="BI44" i="11"/>
  <c r="BI218" i="11" s="1"/>
  <c r="BK43" i="11"/>
  <c r="BI43" i="11"/>
  <c r="BI67" i="11" s="1"/>
  <c r="BK41" i="11"/>
  <c r="BJ41" i="11"/>
  <c r="BI41" i="11"/>
  <c r="BI213" i="11" s="1"/>
  <c r="BK40" i="11"/>
  <c r="BK211" i="11" s="1"/>
  <c r="BJ40" i="11"/>
  <c r="BJ211" i="11" s="1"/>
  <c r="BI40" i="11"/>
  <c r="BI211" i="11" s="1"/>
  <c r="BK39" i="11"/>
  <c r="BK209" i="11" s="1"/>
  <c r="BJ39" i="11"/>
  <c r="BJ209" i="11" s="1"/>
  <c r="BI39" i="11"/>
  <c r="BI209" i="11" s="1"/>
  <c r="BL38" i="11"/>
  <c r="BK38" i="11"/>
  <c r="BK207" i="11" s="1"/>
  <c r="BJ38" i="11"/>
  <c r="BJ207" i="11" s="1"/>
  <c r="BI38" i="11"/>
  <c r="BI208" i="11" s="1"/>
  <c r="BK37" i="11"/>
  <c r="BJ37" i="11"/>
  <c r="BJ205" i="11" s="1"/>
  <c r="BI37" i="11"/>
  <c r="BI205" i="11" s="1"/>
  <c r="BK36" i="11"/>
  <c r="BK203" i="11" s="1"/>
  <c r="BJ36" i="11"/>
  <c r="BI36" i="11"/>
  <c r="BI203" i="11" s="1"/>
  <c r="BL35" i="11"/>
  <c r="BJ35" i="11"/>
  <c r="BI35" i="11"/>
  <c r="BI34" i="11"/>
  <c r="BL29" i="11"/>
  <c r="BK29" i="11"/>
  <c r="BJ29" i="11"/>
  <c r="BI29" i="11"/>
  <c r="BI195" i="11" s="1"/>
  <c r="BK27" i="11"/>
  <c r="BJ27" i="11"/>
  <c r="BJ194" i="11" s="1"/>
  <c r="BI27" i="11"/>
  <c r="BI194" i="11" s="1"/>
  <c r="BL26" i="11"/>
  <c r="BJ25" i="11"/>
  <c r="BI25" i="11"/>
  <c r="BI191" i="11" s="1"/>
  <c r="BK23" i="11"/>
  <c r="BK189" i="11" s="1"/>
  <c r="BJ23" i="11"/>
  <c r="BJ189" i="11" s="1"/>
  <c r="BK21" i="11"/>
  <c r="BK188" i="11" s="1"/>
  <c r="BJ21" i="11"/>
  <c r="BJ188" i="11" s="1"/>
  <c r="BI21" i="11"/>
  <c r="BI187" i="11" s="1"/>
  <c r="BK20" i="11"/>
  <c r="BJ20" i="11"/>
  <c r="BJ186" i="11" s="1"/>
  <c r="BI20" i="11"/>
  <c r="BI185" i="11" s="1"/>
  <c r="BI19" i="11"/>
  <c r="BK17" i="11"/>
  <c r="BJ17" i="11"/>
  <c r="BI17" i="11"/>
  <c r="BJ16" i="11"/>
  <c r="BJ181" i="11" s="1"/>
  <c r="BI16" i="11"/>
  <c r="BI181" i="11" s="1"/>
  <c r="BK15" i="11"/>
  <c r="BJ15" i="11"/>
  <c r="BJ179" i="11" s="1"/>
  <c r="BI15" i="11"/>
  <c r="BI179" i="11" s="1"/>
  <c r="BK14" i="11"/>
  <c r="BK177" i="11" s="1"/>
  <c r="BJ14" i="11"/>
  <c r="BJ177" i="11" s="1"/>
  <c r="BI14" i="11"/>
  <c r="BI177" i="11" s="1"/>
  <c r="BK12" i="11"/>
  <c r="BK176" i="11" s="1"/>
  <c r="BJ12" i="11"/>
  <c r="BJ176" i="11" s="1"/>
  <c r="BI12" i="11"/>
  <c r="BI176" i="11" s="1"/>
  <c r="BL11" i="11"/>
  <c r="BK11" i="11"/>
  <c r="BK174" i="11" s="1"/>
  <c r="BJ11" i="11"/>
  <c r="BJ174" i="11" s="1"/>
  <c r="BI11" i="11"/>
  <c r="BL10" i="11"/>
  <c r="BK10" i="11"/>
  <c r="BJ10" i="11"/>
  <c r="BI10" i="11"/>
  <c r="BL9" i="11"/>
  <c r="BL8" i="11"/>
  <c r="BK8" i="11"/>
  <c r="BK169" i="11" s="1"/>
  <c r="BJ8" i="11"/>
  <c r="BJ170" i="11" s="1"/>
  <c r="BI8" i="11"/>
  <c r="BI170" i="11" s="1"/>
  <c r="BL7" i="11"/>
  <c r="BK7" i="11"/>
  <c r="BK167" i="11" s="1"/>
  <c r="BJ7" i="11"/>
  <c r="BI7" i="11"/>
  <c r="BI168" i="11" s="1"/>
  <c r="BL6" i="11"/>
  <c r="BK6" i="11"/>
  <c r="BK165" i="11" s="1"/>
  <c r="BJ6" i="11"/>
  <c r="BJ166" i="11" s="1"/>
  <c r="BI6" i="11"/>
  <c r="BI166" i="11" s="1"/>
  <c r="BK5" i="11"/>
  <c r="BJ5" i="11"/>
  <c r="BJ164" i="11" s="1"/>
  <c r="BI5" i="11"/>
  <c r="BI164" i="11" s="1"/>
  <c r="CW157" i="11" l="1"/>
  <c r="CT159" i="11"/>
  <c r="CU157" i="11"/>
  <c r="CN67" i="11"/>
  <c r="CN66" i="11"/>
  <c r="CP66" i="11"/>
  <c r="CW158" i="11"/>
  <c r="DB122" i="11"/>
  <c r="CW214" i="11"/>
  <c r="CU214" i="11"/>
  <c r="CW213" i="11"/>
  <c r="CT213" i="11"/>
  <c r="CU171" i="11"/>
  <c r="CW172" i="11"/>
  <c r="CT171" i="11"/>
  <c r="CU172" i="11"/>
  <c r="CU198" i="11" s="1"/>
  <c r="CW171" i="11"/>
  <c r="CT198" i="11"/>
  <c r="CY172" i="11"/>
  <c r="CM250" i="11"/>
  <c r="CT216" i="11"/>
  <c r="CN216" i="11"/>
  <c r="CN250" i="11" s="1"/>
  <c r="CP215" i="11"/>
  <c r="CN215" i="11"/>
  <c r="CM215" i="11"/>
  <c r="CP216" i="11"/>
  <c r="CP250" i="11" s="1"/>
  <c r="CH249" i="11"/>
  <c r="CI249" i="11"/>
  <c r="CT67" i="11"/>
  <c r="CW43" i="11"/>
  <c r="DB43" i="11" s="1"/>
  <c r="CU42" i="11"/>
  <c r="CU43" i="11"/>
  <c r="CU67" i="11" s="1"/>
  <c r="CW42" i="11"/>
  <c r="CY43" i="11"/>
  <c r="CN197" i="11"/>
  <c r="CM197" i="11"/>
  <c r="CP197" i="11"/>
  <c r="DA31" i="11"/>
  <c r="CZ31" i="11"/>
  <c r="DA122" i="11"/>
  <c r="CZ122" i="11"/>
  <c r="CY158" i="11"/>
  <c r="BW31" i="11"/>
  <c r="BW30" i="11"/>
  <c r="BU31" i="11"/>
  <c r="BU30" i="11"/>
  <c r="BS198" i="11"/>
  <c r="BS197" i="11" s="1"/>
  <c r="BS171" i="11"/>
  <c r="BW171" i="11"/>
  <c r="BW172" i="11"/>
  <c r="BW198" i="11" s="1"/>
  <c r="BU66" i="11"/>
  <c r="BP197" i="11"/>
  <c r="BO197" i="11"/>
  <c r="BW235" i="11"/>
  <c r="BW236" i="11"/>
  <c r="BT235" i="11"/>
  <c r="BU235" i="11"/>
  <c r="BU236" i="11"/>
  <c r="BT225" i="11"/>
  <c r="BW226" i="11"/>
  <c r="BU226" i="11"/>
  <c r="BW157" i="11"/>
  <c r="BT159" i="11"/>
  <c r="BU157" i="11"/>
  <c r="BU54" i="11"/>
  <c r="BU55" i="11"/>
  <c r="BS167" i="11"/>
  <c r="BW168" i="11"/>
  <c r="BS213" i="11"/>
  <c r="BQ198" i="11"/>
  <c r="BQ197" i="11" s="1"/>
  <c r="BQ171" i="11"/>
  <c r="BU171" i="11"/>
  <c r="BU172" i="11"/>
  <c r="BW214" i="11"/>
  <c r="BW41" i="11"/>
  <c r="BU41" i="11"/>
  <c r="BT213" i="11"/>
  <c r="BS158" i="11"/>
  <c r="BS159" i="11" s="1"/>
  <c r="BW122" i="11"/>
  <c r="BW158" i="11" s="1"/>
  <c r="BW159" i="11" s="1"/>
  <c r="BT250" i="11"/>
  <c r="BU215" i="11"/>
  <c r="BU216" i="11"/>
  <c r="BT215" i="11"/>
  <c r="BU224" i="11"/>
  <c r="BT223" i="11"/>
  <c r="BW224" i="11"/>
  <c r="BP188" i="11"/>
  <c r="BT188" i="11"/>
  <c r="BW174" i="11"/>
  <c r="BU174" i="11"/>
  <c r="BT173" i="11"/>
  <c r="BN67" i="11"/>
  <c r="BS43" i="11"/>
  <c r="BP43" i="11"/>
  <c r="BP42" i="11"/>
  <c r="BQ235" i="11"/>
  <c r="BN250" i="11"/>
  <c r="BN249" i="11" s="1"/>
  <c r="BN215" i="11"/>
  <c r="BS216" i="11"/>
  <c r="BU158" i="11"/>
  <c r="BU159" i="11" s="1"/>
  <c r="BP215" i="11"/>
  <c r="BQ250" i="11"/>
  <c r="BQ249" i="11" s="1"/>
  <c r="BW21" i="11"/>
  <c r="BU21" i="11"/>
  <c r="BN181" i="11"/>
  <c r="BS16" i="11"/>
  <c r="BP16" i="11"/>
  <c r="BU176" i="11"/>
  <c r="BT175" i="11"/>
  <c r="BW176" i="11"/>
  <c r="BQ227" i="11"/>
  <c r="BW195" i="11"/>
  <c r="BS195" i="11"/>
  <c r="BW196" i="11"/>
  <c r="BW194" i="11"/>
  <c r="BU194" i="11"/>
  <c r="BW193" i="11"/>
  <c r="BT193" i="11"/>
  <c r="BU193" i="11"/>
  <c r="BT198" i="11"/>
  <c r="BQ67" i="11"/>
  <c r="BU67" i="11" s="1"/>
  <c r="BS227" i="11"/>
  <c r="BP198" i="11"/>
  <c r="BP216" i="11"/>
  <c r="BO249" i="11"/>
  <c r="BS235" i="11"/>
  <c r="BU43" i="11"/>
  <c r="BW18" i="11"/>
  <c r="BW19" i="11"/>
  <c r="BW227" i="11"/>
  <c r="BU228" i="11"/>
  <c r="BT227" i="11"/>
  <c r="BW228" i="11"/>
  <c r="BU227" i="11"/>
  <c r="BL164" i="11"/>
  <c r="BK186" i="11"/>
  <c r="BL20" i="11"/>
  <c r="BL22" i="11"/>
  <c r="BI23" i="11"/>
  <c r="BL27" i="11"/>
  <c r="BK195" i="11"/>
  <c r="BL28" i="11"/>
  <c r="BJ228" i="11"/>
  <c r="BK234" i="11"/>
  <c r="BL53" i="11"/>
  <c r="BL234" i="11" s="1"/>
  <c r="BJ245" i="11"/>
  <c r="BL63" i="11"/>
  <c r="BL62" i="11"/>
  <c r="BI110" i="11"/>
  <c r="BL130" i="11"/>
  <c r="BK138" i="11"/>
  <c r="BJ139" i="11"/>
  <c r="BJ191" i="11"/>
  <c r="BK163" i="11"/>
  <c r="BL5" i="11"/>
  <c r="BL170" i="11"/>
  <c r="BJ172" i="11"/>
  <c r="BK179" i="11"/>
  <c r="BK16" i="11"/>
  <c r="BL188" i="11"/>
  <c r="BL25" i="11"/>
  <c r="BJ203" i="11"/>
  <c r="BL36" i="11"/>
  <c r="BK205" i="11"/>
  <c r="BL37" i="11"/>
  <c r="BK213" i="11"/>
  <c r="BL41" i="11"/>
  <c r="N147" i="2"/>
  <c r="BL168" i="11"/>
  <c r="BI172" i="11"/>
  <c r="BL166" i="11"/>
  <c r="BK171" i="11"/>
  <c r="BK31" i="11"/>
  <c r="BL174" i="11"/>
  <c r="BL12" i="11"/>
  <c r="BL13" i="11"/>
  <c r="BL14" i="11"/>
  <c r="BL15" i="11"/>
  <c r="BL17" i="11"/>
  <c r="BL21" i="11"/>
  <c r="BL23" i="11"/>
  <c r="BL24" i="11"/>
  <c r="BL194" i="11"/>
  <c r="BL193" i="11"/>
  <c r="BK220" i="11"/>
  <c r="BK228" i="11" s="1"/>
  <c r="BL45" i="11"/>
  <c r="BJ55" i="11"/>
  <c r="BL176" i="11"/>
  <c r="BL39" i="11"/>
  <c r="BI228" i="11"/>
  <c r="BL47" i="11"/>
  <c r="BL51" i="11"/>
  <c r="BJ236" i="11"/>
  <c r="BI237" i="11"/>
  <c r="BJ110" i="11"/>
  <c r="BL110" i="11" s="1"/>
  <c r="BL127" i="11"/>
  <c r="BL120" i="11"/>
  <c r="BJ122" i="11"/>
  <c r="BL122" i="11" s="1"/>
  <c r="BJ129" i="11"/>
  <c r="BL128" i="11" s="1"/>
  <c r="BL218" i="11"/>
  <c r="BL226" i="11"/>
  <c r="BK55" i="11"/>
  <c r="O154" i="2"/>
  <c r="BK237" i="11"/>
  <c r="BL56" i="11"/>
  <c r="BK91" i="11"/>
  <c r="BL92" i="11"/>
  <c r="BL98" i="11"/>
  <c r="BK158" i="11"/>
  <c r="BL124" i="11"/>
  <c r="BK141" i="11"/>
  <c r="BK131" i="11"/>
  <c r="BL132" i="11"/>
  <c r="BL40" i="11"/>
  <c r="BL44" i="11"/>
  <c r="BL224" i="11"/>
  <c r="BL48" i="11"/>
  <c r="BL52" i="11"/>
  <c r="BI236" i="11"/>
  <c r="BI235" i="11" s="1"/>
  <c r="BI158" i="11"/>
  <c r="BL59" i="11"/>
  <c r="BJ93" i="11"/>
  <c r="BI250" i="11"/>
  <c r="BI249" i="11" s="1"/>
  <c r="BI215" i="11"/>
  <c r="BK86" i="11"/>
  <c r="BL86" i="11" s="1"/>
  <c r="BJ131" i="11"/>
  <c r="BL248" i="11"/>
  <c r="BL247" i="11"/>
  <c r="BL84" i="11"/>
  <c r="BL133" i="11"/>
  <c r="BK198" i="11"/>
  <c r="BL171" i="11"/>
  <c r="BI183" i="11"/>
  <c r="BI189" i="11"/>
  <c r="BJ213" i="11"/>
  <c r="BJ216" i="11"/>
  <c r="BL214" i="11"/>
  <c r="BK215" i="11"/>
  <c r="BI241" i="11"/>
  <c r="K82" i="6"/>
  <c r="K80" i="6"/>
  <c r="J82" i="6"/>
  <c r="J80" i="6"/>
  <c r="K75" i="6"/>
  <c r="K73" i="6"/>
  <c r="J75" i="6"/>
  <c r="J73" i="6"/>
  <c r="K68" i="6"/>
  <c r="K66" i="6"/>
  <c r="J68" i="6"/>
  <c r="J66" i="6"/>
  <c r="O197" i="2"/>
  <c r="O196" i="2"/>
  <c r="O186" i="2"/>
  <c r="O185" i="2"/>
  <c r="O172" i="2"/>
  <c r="O171" i="2"/>
  <c r="O158" i="2"/>
  <c r="O157" i="2"/>
  <c r="O156" i="2"/>
  <c r="O122" i="2"/>
  <c r="O121" i="2"/>
  <c r="O101" i="2"/>
  <c r="O195" i="2"/>
  <c r="O184" i="2"/>
  <c r="O170" i="2"/>
  <c r="O150" i="2"/>
  <c r="O149" i="2"/>
  <c r="O98" i="2"/>
  <c r="N213" i="2"/>
  <c r="N197" i="2"/>
  <c r="N186" i="2"/>
  <c r="N172" i="2"/>
  <c r="N158" i="2"/>
  <c r="N122" i="2"/>
  <c r="N101" i="2"/>
  <c r="N196" i="2"/>
  <c r="N185" i="2"/>
  <c r="N171" i="2"/>
  <c r="N157" i="2"/>
  <c r="N156" i="2"/>
  <c r="N121" i="2"/>
  <c r="N195" i="2"/>
  <c r="N184" i="2"/>
  <c r="N170" i="2"/>
  <c r="N150" i="2"/>
  <c r="N149" i="2"/>
  <c r="N98" i="2"/>
  <c r="M197" i="2"/>
  <c r="M186" i="2"/>
  <c r="M172" i="2"/>
  <c r="M158" i="2"/>
  <c r="M122" i="2"/>
  <c r="M101" i="2"/>
  <c r="M196" i="2"/>
  <c r="M185" i="2"/>
  <c r="M171" i="2"/>
  <c r="M157" i="2"/>
  <c r="M156" i="2"/>
  <c r="M121" i="2"/>
  <c r="M195" i="2"/>
  <c r="M184" i="2"/>
  <c r="M170" i="2"/>
  <c r="M150" i="2"/>
  <c r="M149" i="2"/>
  <c r="M119" i="2"/>
  <c r="M98" i="2"/>
  <c r="CZ172" i="11" l="1"/>
  <c r="CY198" i="11"/>
  <c r="DA172" i="11"/>
  <c r="CW159" i="11"/>
  <c r="DB158" i="11"/>
  <c r="CW66" i="11"/>
  <c r="CU66" i="11"/>
  <c r="CW67" i="11"/>
  <c r="DB67" i="11" s="1"/>
  <c r="CY67" i="11"/>
  <c r="CT250" i="11"/>
  <c r="CU215" i="11"/>
  <c r="CT215" i="11"/>
  <c r="CZ215" i="11" s="1"/>
  <c r="CU216" i="11"/>
  <c r="CU250" i="11" s="1"/>
  <c r="CW215" i="11"/>
  <c r="CW216" i="11"/>
  <c r="CY216" i="11"/>
  <c r="CM249" i="11"/>
  <c r="CP249" i="11"/>
  <c r="CN249" i="11"/>
  <c r="CZ158" i="11"/>
  <c r="DA158" i="11"/>
  <c r="DA43" i="11"/>
  <c r="CZ43" i="11"/>
  <c r="CT197" i="11"/>
  <c r="CW197" i="11"/>
  <c r="CU197" i="11"/>
  <c r="CW198" i="11"/>
  <c r="DB198" i="11" s="1"/>
  <c r="DB172" i="11"/>
  <c r="BP249" i="11"/>
  <c r="BS250" i="11"/>
  <c r="BS249" i="11" s="1"/>
  <c r="BS215" i="11"/>
  <c r="BU188" i="11"/>
  <c r="BW188" i="11"/>
  <c r="BT187" i="11"/>
  <c r="BW16" i="11"/>
  <c r="BS67" i="11"/>
  <c r="BW43" i="11"/>
  <c r="BW42" i="11"/>
  <c r="BU250" i="11"/>
  <c r="BU249" i="11"/>
  <c r="BW249" i="11"/>
  <c r="BT249" i="11"/>
  <c r="BU197" i="11"/>
  <c r="BW197" i="11"/>
  <c r="BT197" i="11"/>
  <c r="BP67" i="11"/>
  <c r="BP66" i="11"/>
  <c r="BP250" i="11"/>
  <c r="BW215" i="11"/>
  <c r="BW216" i="11"/>
  <c r="BW250" i="11" s="1"/>
  <c r="BU198" i="11"/>
  <c r="O97" i="2"/>
  <c r="N212" i="2"/>
  <c r="M97" i="2"/>
  <c r="BL228" i="11"/>
  <c r="BL227" i="11"/>
  <c r="BK227" i="11"/>
  <c r="BK250" i="11"/>
  <c r="O178" i="2"/>
  <c r="N97" i="2"/>
  <c r="BJ250" i="11"/>
  <c r="BL215" i="11"/>
  <c r="BK139" i="11"/>
  <c r="BL139" i="11" s="1"/>
  <c r="BL141" i="11"/>
  <c r="BL140" i="11"/>
  <c r="BI198" i="11"/>
  <c r="BI171" i="11"/>
  <c r="BL109" i="11"/>
  <c r="BK181" i="11"/>
  <c r="BL16" i="11"/>
  <c r="BJ158" i="11"/>
  <c r="BL157" i="11" s="1"/>
  <c r="BJ43" i="11"/>
  <c r="BL220" i="11"/>
  <c r="O147" i="2"/>
  <c r="BL131" i="11"/>
  <c r="M213" i="2"/>
  <c r="BL55" i="11"/>
  <c r="BL54" i="11"/>
  <c r="BJ235" i="11"/>
  <c r="BI227" i="11"/>
  <c r="BJ198" i="11"/>
  <c r="BL198" i="11" s="1"/>
  <c r="BJ171" i="11"/>
  <c r="BL172" i="11"/>
  <c r="BL138" i="11"/>
  <c r="BL158" i="11"/>
  <c r="BJ50" i="11"/>
  <c r="BL129" i="11"/>
  <c r="BK236" i="11"/>
  <c r="BL186" i="11"/>
  <c r="BL216" i="11"/>
  <c r="BL197" i="11"/>
  <c r="BK197" i="11"/>
  <c r="BJ91" i="11"/>
  <c r="BL91" i="11" s="1"/>
  <c r="BJ19" i="11"/>
  <c r="BK67" i="11"/>
  <c r="BL121" i="11"/>
  <c r="BL93" i="11"/>
  <c r="M209" i="2"/>
  <c r="BI31" i="11"/>
  <c r="N209" i="2"/>
  <c r="N119" i="2"/>
  <c r="N81" i="2"/>
  <c r="M154" i="2"/>
  <c r="N118" i="2"/>
  <c r="O213" i="2"/>
  <c r="N154" i="2"/>
  <c r="M82" i="2"/>
  <c r="M83" i="2"/>
  <c r="M81" i="2"/>
  <c r="N83" i="2"/>
  <c r="N82" i="2"/>
  <c r="O83" i="2"/>
  <c r="O81" i="2"/>
  <c r="O75" i="2"/>
  <c r="O74" i="2"/>
  <c r="O73" i="2"/>
  <c r="N75" i="2"/>
  <c r="N74" i="2"/>
  <c r="N73" i="2"/>
  <c r="M75" i="2"/>
  <c r="M74" i="2"/>
  <c r="M73" i="2"/>
  <c r="O70" i="2"/>
  <c r="O69" i="2"/>
  <c r="O68" i="2"/>
  <c r="N70" i="2"/>
  <c r="N69" i="2"/>
  <c r="N68" i="2"/>
  <c r="M70" i="2"/>
  <c r="M69" i="2"/>
  <c r="M68" i="2"/>
  <c r="O60" i="2"/>
  <c r="O61" i="2"/>
  <c r="O62" i="2"/>
  <c r="N62" i="2"/>
  <c r="N61" i="2"/>
  <c r="N60" i="2"/>
  <c r="M62" i="2"/>
  <c r="M61" i="2"/>
  <c r="M60" i="2"/>
  <c r="M51" i="2"/>
  <c r="M50" i="2"/>
  <c r="N51" i="2"/>
  <c r="N50" i="2"/>
  <c r="N48" i="2"/>
  <c r="N47" i="2"/>
  <c r="O51" i="2"/>
  <c r="O50" i="2"/>
  <c r="O48" i="2"/>
  <c r="O47" i="2"/>
  <c r="O54" i="2"/>
  <c r="O53" i="2"/>
  <c r="N54" i="2"/>
  <c r="N53" i="2"/>
  <c r="M54" i="2"/>
  <c r="M53" i="2"/>
  <c r="M48" i="2"/>
  <c r="M47" i="2"/>
  <c r="J52" i="2"/>
  <c r="N32" i="2"/>
  <c r="O30" i="2"/>
  <c r="O31" i="2"/>
  <c r="O28" i="2"/>
  <c r="O29" i="2"/>
  <c r="O32" i="2"/>
  <c r="N28" i="2"/>
  <c r="N30" i="2"/>
  <c r="M30" i="2"/>
  <c r="M28" i="2"/>
  <c r="N31" i="2"/>
  <c r="N29" i="2"/>
  <c r="M31" i="2"/>
  <c r="M29" i="2"/>
  <c r="O17" i="2"/>
  <c r="N17" i="2"/>
  <c r="M17" i="2"/>
  <c r="L16" i="2"/>
  <c r="M16" i="2"/>
  <c r="M32" i="2"/>
  <c r="O16" i="2"/>
  <c r="N16" i="2"/>
  <c r="O14" i="2"/>
  <c r="N14" i="2"/>
  <c r="M14" i="2"/>
  <c r="L14" i="2"/>
  <c r="M119" i="9"/>
  <c r="DA216" i="11" l="1"/>
  <c r="CZ216" i="11"/>
  <c r="CY250" i="11"/>
  <c r="CW250" i="11"/>
  <c r="DB250" i="11" s="1"/>
  <c r="DB216" i="11"/>
  <c r="CZ67" i="11"/>
  <c r="DA67" i="11"/>
  <c r="CW249" i="11"/>
  <c r="CU249" i="11"/>
  <c r="CT249" i="11"/>
  <c r="CZ249" i="11" s="1"/>
  <c r="CZ198" i="11"/>
  <c r="DA198" i="11"/>
  <c r="BW67" i="11"/>
  <c r="BW66" i="11"/>
  <c r="BL49" i="11"/>
  <c r="BL50" i="11"/>
  <c r="BI197" i="11"/>
  <c r="O82" i="2"/>
  <c r="N100" i="2"/>
  <c r="BJ227" i="11"/>
  <c r="M212" i="2"/>
  <c r="BJ67" i="11"/>
  <c r="BL67" i="11" s="1"/>
  <c r="BL42" i="11"/>
  <c r="BL43" i="11"/>
  <c r="BJ183" i="11"/>
  <c r="BL18" i="11"/>
  <c r="BL19" i="11"/>
  <c r="BJ31" i="11"/>
  <c r="BJ197" i="11" s="1"/>
  <c r="M147" i="2"/>
  <c r="BL249" i="11"/>
  <c r="BK249" i="11"/>
  <c r="BL250" i="11"/>
  <c r="BL235" i="11"/>
  <c r="BL236" i="11"/>
  <c r="BK235" i="11"/>
  <c r="O119" i="2"/>
  <c r="BJ215" i="11"/>
  <c r="O212" i="2"/>
  <c r="M120" i="2"/>
  <c r="N120" i="2"/>
  <c r="M100" i="2"/>
  <c r="M52" i="2"/>
  <c r="O100" i="2"/>
  <c r="O120" i="2"/>
  <c r="N208" i="2"/>
  <c r="N211" i="2"/>
  <c r="J196" i="9"/>
  <c r="CZ250" i="11" l="1"/>
  <c r="DA250" i="11"/>
  <c r="O209" i="2"/>
  <c r="BL66" i="11"/>
  <c r="BL30" i="11"/>
  <c r="BL31" i="11"/>
  <c r="BJ249" i="11"/>
  <c r="M118" i="2"/>
  <c r="M208" i="2"/>
  <c r="N99" i="2"/>
  <c r="O99" i="2"/>
  <c r="M99" i="2"/>
  <c r="M211" i="2"/>
  <c r="O211" i="2"/>
  <c r="CE272" i="11"/>
  <c r="J211" i="9"/>
  <c r="CF272" i="11"/>
  <c r="CB272" i="11"/>
  <c r="BX272" i="11"/>
  <c r="BW272" i="11"/>
  <c r="CF264" i="11"/>
  <c r="CE264" i="11"/>
  <c r="CB264" i="11"/>
  <c r="CA264" i="11"/>
  <c r="BX264" i="11"/>
  <c r="BW264" i="11"/>
  <c r="BX259" i="11"/>
  <c r="CF257" i="11"/>
  <c r="CE257" i="11"/>
  <c r="CB257" i="11"/>
  <c r="CA257" i="11"/>
  <c r="BX257" i="11"/>
  <c r="BW257" i="11"/>
  <c r="CF255" i="11"/>
  <c r="CE255" i="11"/>
  <c r="CB255" i="11"/>
  <c r="CA255" i="11"/>
  <c r="BX255" i="11"/>
  <c r="BW255" i="11"/>
  <c r="CF259" i="11"/>
  <c r="CE259" i="11"/>
  <c r="CB259" i="11"/>
  <c r="CA259" i="11"/>
  <c r="BW259" i="11"/>
  <c r="CF253" i="11"/>
  <c r="CB253" i="11"/>
  <c r="BX253" i="11"/>
  <c r="CE267" i="11"/>
  <c r="J156" i="9"/>
  <c r="J155" i="9" s="1"/>
  <c r="BO272" i="11"/>
  <c r="BN272" i="11"/>
  <c r="BK272" i="11"/>
  <c r="BJ272" i="11"/>
  <c r="BO264" i="11"/>
  <c r="BN264" i="11"/>
  <c r="BK264" i="11"/>
  <c r="BJ264" i="11"/>
  <c r="BK259" i="11"/>
  <c r="BO257" i="11"/>
  <c r="BN257" i="11"/>
  <c r="BK257" i="11"/>
  <c r="BJ257" i="11"/>
  <c r="BO255" i="11"/>
  <c r="BN255" i="11"/>
  <c r="BK255" i="11"/>
  <c r="BJ255" i="11"/>
  <c r="BJ253" i="11"/>
  <c r="BO259" i="11"/>
  <c r="BN259" i="11"/>
  <c r="BJ259" i="11"/>
  <c r="BN261" i="11"/>
  <c r="BJ261" i="11"/>
  <c r="BN253" i="11"/>
  <c r="O210" i="2" l="1"/>
  <c r="N210" i="2"/>
  <c r="M210" i="2"/>
  <c r="O118" i="2"/>
  <c r="CA272" i="11"/>
  <c r="CF271" i="11"/>
  <c r="BW261" i="11"/>
  <c r="CA266" i="11"/>
  <c r="CB271" i="11"/>
  <c r="CE261" i="11"/>
  <c r="CE253" i="11"/>
  <c r="CB261" i="11"/>
  <c r="CA261" i="11"/>
  <c r="BX271" i="11"/>
  <c r="BW253" i="11"/>
  <c r="BW271" i="11"/>
  <c r="CA271" i="11"/>
  <c r="CE271" i="11"/>
  <c r="CB265" i="11"/>
  <c r="CA253" i="11"/>
  <c r="CA267" i="11"/>
  <c r="BN267" i="11"/>
  <c r="BJ271" i="11"/>
  <c r="BN271" i="11"/>
  <c r="BJ267" i="11"/>
  <c r="BN265" i="11"/>
  <c r="BK253" i="11"/>
  <c r="BK271" i="11"/>
  <c r="BO271" i="11"/>
  <c r="BO253" i="11"/>
  <c r="BK261" i="11"/>
  <c r="BK265" i="11"/>
  <c r="BG272" i="11"/>
  <c r="BG264" i="11"/>
  <c r="BF264" i="11"/>
  <c r="BG259" i="11"/>
  <c r="BF259" i="11"/>
  <c r="BG257" i="11"/>
  <c r="BF257" i="11"/>
  <c r="BG255" i="11"/>
  <c r="BF255" i="11"/>
  <c r="BH246" i="11"/>
  <c r="BH245" i="11"/>
  <c r="BG245" i="11"/>
  <c r="BH244" i="11"/>
  <c r="BH243" i="11"/>
  <c r="BG243" i="11"/>
  <c r="BH242" i="11"/>
  <c r="BE242" i="11"/>
  <c r="BH241" i="11"/>
  <c r="BF241" i="11"/>
  <c r="BH240" i="11"/>
  <c r="BF239" i="11"/>
  <c r="BH238" i="11"/>
  <c r="BF237" i="11"/>
  <c r="BF234" i="11"/>
  <c r="BF236" i="11" s="1"/>
  <c r="BH232" i="11"/>
  <c r="BG231" i="11"/>
  <c r="BF231" i="11"/>
  <c r="BH230" i="11"/>
  <c r="BF229" i="11"/>
  <c r="BF225" i="11"/>
  <c r="BF226" i="11" s="1"/>
  <c r="BH226" i="11" s="1"/>
  <c r="BF223" i="11"/>
  <c r="BF224" i="11" s="1"/>
  <c r="BH224" i="11" s="1"/>
  <c r="BF218" i="11"/>
  <c r="BF228" i="11" s="1"/>
  <c r="BG214" i="11"/>
  <c r="BH214" i="11" s="1"/>
  <c r="BF214" i="11"/>
  <c r="BF216" i="11" s="1"/>
  <c r="BE214" i="11"/>
  <c r="BE216" i="11" s="1"/>
  <c r="BH212" i="11"/>
  <c r="BE211" i="11"/>
  <c r="BH210" i="11"/>
  <c r="BE209" i="11"/>
  <c r="BH208" i="11"/>
  <c r="BH206" i="11"/>
  <c r="BE205" i="11"/>
  <c r="BH204" i="11"/>
  <c r="BG202" i="11"/>
  <c r="BF202" i="11"/>
  <c r="BE201" i="11"/>
  <c r="BF196" i="11"/>
  <c r="BG194" i="11"/>
  <c r="BH194" i="11" s="1"/>
  <c r="BH192" i="11"/>
  <c r="BH191" i="11"/>
  <c r="BG191" i="11"/>
  <c r="BH190" i="11"/>
  <c r="BE190" i="11"/>
  <c r="BH189" i="11"/>
  <c r="BG189" i="11"/>
  <c r="BG184" i="11"/>
  <c r="BG183" i="11" s="1"/>
  <c r="BF184" i="11"/>
  <c r="BE184" i="11"/>
  <c r="BH182" i="11"/>
  <c r="BH180" i="11"/>
  <c r="BH178" i="11"/>
  <c r="BE178" i="11"/>
  <c r="BE177" i="11" s="1"/>
  <c r="BH177" i="11"/>
  <c r="BH174" i="11"/>
  <c r="BG162" i="11"/>
  <c r="BF162" i="11"/>
  <c r="BE161" i="11"/>
  <c r="BH156" i="11"/>
  <c r="BH155" i="11"/>
  <c r="BH153" i="11"/>
  <c r="BH152" i="11"/>
  <c r="BH150" i="11"/>
  <c r="BH149" i="11"/>
  <c r="BH148" i="11"/>
  <c r="BH147" i="11"/>
  <c r="BH146" i="11"/>
  <c r="BG146" i="11"/>
  <c r="BF146" i="11"/>
  <c r="BE146" i="11"/>
  <c r="BH145" i="11"/>
  <c r="BH143" i="11"/>
  <c r="BH142" i="11"/>
  <c r="BG141" i="11"/>
  <c r="BF141" i="11"/>
  <c r="BF139" i="11" s="1"/>
  <c r="BE141" i="11"/>
  <c r="BE139" i="11" s="1"/>
  <c r="BH138" i="11"/>
  <c r="BG138" i="11"/>
  <c r="BF138" i="11"/>
  <c r="BE138" i="11"/>
  <c r="BH137" i="11"/>
  <c r="BH136" i="11"/>
  <c r="BH135" i="11"/>
  <c r="BG134" i="11"/>
  <c r="BH134" i="11" s="1"/>
  <c r="BF134" i="11"/>
  <c r="BE134" i="11"/>
  <c r="BH133" i="11"/>
  <c r="BH132" i="11"/>
  <c r="BH131" i="11"/>
  <c r="BG131" i="11"/>
  <c r="BF131" i="11"/>
  <c r="BE131" i="11"/>
  <c r="BH130" i="11"/>
  <c r="BG129" i="11"/>
  <c r="BF129" i="11"/>
  <c r="BE129" i="11"/>
  <c r="BH127" i="11"/>
  <c r="BH126" i="11"/>
  <c r="BH125" i="11"/>
  <c r="BH124" i="11"/>
  <c r="BH123" i="11"/>
  <c r="BH122" i="11"/>
  <c r="BG122" i="11"/>
  <c r="BH121" i="11"/>
  <c r="BH120" i="11"/>
  <c r="BG120" i="11"/>
  <c r="BF120" i="11"/>
  <c r="BF122" i="11" s="1"/>
  <c r="BE120" i="11"/>
  <c r="BH119" i="11"/>
  <c r="BH118" i="11"/>
  <c r="BH117" i="11"/>
  <c r="BH116" i="11"/>
  <c r="BH115" i="11"/>
  <c r="BG114" i="11"/>
  <c r="BF114" i="11"/>
  <c r="BE113" i="11"/>
  <c r="BE110" i="11"/>
  <c r="BH108" i="11"/>
  <c r="BH107" i="11"/>
  <c r="BH105" i="11"/>
  <c r="BH104" i="11"/>
  <c r="BH102" i="11"/>
  <c r="BH101" i="11"/>
  <c r="BH100" i="11"/>
  <c r="BE100" i="11"/>
  <c r="BH99" i="11"/>
  <c r="BG98" i="11"/>
  <c r="BH98" i="11" s="1"/>
  <c r="BF98" i="11"/>
  <c r="BE98" i="11"/>
  <c r="BH97" i="11"/>
  <c r="BH95" i="11"/>
  <c r="BH94" i="11"/>
  <c r="BF93" i="11"/>
  <c r="BE93" i="11"/>
  <c r="BE91" i="11" s="1"/>
  <c r="BG90" i="11"/>
  <c r="BH90" i="11" s="1"/>
  <c r="BF90" i="11"/>
  <c r="BE90" i="11"/>
  <c r="BH89" i="11"/>
  <c r="BH87" i="11"/>
  <c r="BG87" i="11"/>
  <c r="BG86" i="11" s="1"/>
  <c r="BF86" i="11"/>
  <c r="BE86" i="11"/>
  <c r="BH85" i="11"/>
  <c r="BG84" i="11"/>
  <c r="BF83" i="11"/>
  <c r="BE83" i="11"/>
  <c r="BH82" i="11"/>
  <c r="BH81" i="11"/>
  <c r="BH80" i="11"/>
  <c r="BH79" i="11"/>
  <c r="BH78" i="11"/>
  <c r="BG77" i="11"/>
  <c r="BF77" i="11"/>
  <c r="BE77" i="11"/>
  <c r="BH75" i="11"/>
  <c r="BH72" i="11"/>
  <c r="BG71" i="11"/>
  <c r="BF71" i="11"/>
  <c r="BE70" i="11"/>
  <c r="BH65" i="11"/>
  <c r="BG65" i="11"/>
  <c r="BG248" i="11" s="1"/>
  <c r="BF65" i="11"/>
  <c r="BF248" i="11" s="1"/>
  <c r="BE65" i="11"/>
  <c r="BE248" i="11" s="1"/>
  <c r="BH64" i="11"/>
  <c r="BG63" i="11"/>
  <c r="BH63" i="11" s="1"/>
  <c r="BF63" i="11"/>
  <c r="BF245" i="11" s="1"/>
  <c r="BE63" i="11"/>
  <c r="BE245" i="11" s="1"/>
  <c r="BF61" i="11"/>
  <c r="BE61" i="11"/>
  <c r="BE243" i="11" s="1"/>
  <c r="BG59" i="11"/>
  <c r="BF59" i="11"/>
  <c r="BE59" i="11"/>
  <c r="BE241" i="11" s="1"/>
  <c r="BH57" i="11"/>
  <c r="BG57" i="11"/>
  <c r="BG239" i="11" s="1"/>
  <c r="BF57" i="11"/>
  <c r="BE57" i="11"/>
  <c r="BE239" i="11" s="1"/>
  <c r="BH56" i="11"/>
  <c r="BG56" i="11"/>
  <c r="BG237" i="11" s="1"/>
  <c r="BF56" i="11"/>
  <c r="BE56" i="11"/>
  <c r="BE237" i="11" s="1"/>
  <c r="BF55" i="11"/>
  <c r="BE55" i="11"/>
  <c r="BH53" i="11"/>
  <c r="BH234" i="11" s="1"/>
  <c r="BG53" i="11"/>
  <c r="BG234" i="11" s="1"/>
  <c r="BG236" i="11" s="1"/>
  <c r="BF53" i="11"/>
  <c r="BE53" i="11"/>
  <c r="BE234" i="11" s="1"/>
  <c r="BE236" i="11" s="1"/>
  <c r="BE235" i="11" s="1"/>
  <c r="BH52" i="11"/>
  <c r="BF52" i="11"/>
  <c r="BE52" i="11"/>
  <c r="BE231" i="11" s="1"/>
  <c r="BH51" i="11"/>
  <c r="BG51" i="11"/>
  <c r="BG55" i="11" s="1"/>
  <c r="BG267" i="11" s="1"/>
  <c r="BF51" i="11"/>
  <c r="BE51" i="11"/>
  <c r="BE229" i="11" s="1"/>
  <c r="BG50" i="11"/>
  <c r="BE50" i="11"/>
  <c r="BH48" i="11"/>
  <c r="BG48" i="11"/>
  <c r="BF48" i="11"/>
  <c r="BE48" i="11"/>
  <c r="BE225" i="11" s="1"/>
  <c r="BH47" i="11"/>
  <c r="BG47" i="11"/>
  <c r="BF47" i="11"/>
  <c r="BE47" i="11"/>
  <c r="BE223" i="11" s="1"/>
  <c r="BH46" i="11"/>
  <c r="BG46" i="11"/>
  <c r="BG222" i="11" s="1"/>
  <c r="BG228" i="11" s="1"/>
  <c r="BF46" i="11"/>
  <c r="BF222" i="11" s="1"/>
  <c r="BE46" i="11"/>
  <c r="BH45" i="11"/>
  <c r="BG45" i="11"/>
  <c r="BF45" i="11"/>
  <c r="BF220" i="11" s="1"/>
  <c r="BH220" i="11" s="1"/>
  <c r="BE45" i="11"/>
  <c r="BE220" i="11" s="1"/>
  <c r="BH44" i="11"/>
  <c r="BG44" i="11"/>
  <c r="BF44" i="11"/>
  <c r="BE44" i="11"/>
  <c r="BE218" i="11" s="1"/>
  <c r="BE228" i="11" s="1"/>
  <c r="BE227" i="11" s="1"/>
  <c r="BG43" i="11"/>
  <c r="BG41" i="11"/>
  <c r="BF41" i="11"/>
  <c r="BH41" i="11" s="1"/>
  <c r="BG40" i="11"/>
  <c r="BG211" i="11" s="1"/>
  <c r="BF40" i="11"/>
  <c r="BE40" i="11"/>
  <c r="BG39" i="11"/>
  <c r="BG209" i="11" s="1"/>
  <c r="BF39" i="11"/>
  <c r="BE39" i="11"/>
  <c r="BG38" i="11"/>
  <c r="BF38" i="11"/>
  <c r="BF207" i="11" s="1"/>
  <c r="BE38" i="11"/>
  <c r="BE208" i="11" s="1"/>
  <c r="BG37" i="11"/>
  <c r="BG205" i="11" s="1"/>
  <c r="BF37" i="11"/>
  <c r="BF205" i="11" s="1"/>
  <c r="BE37" i="11"/>
  <c r="BG36" i="11"/>
  <c r="BG271" i="11" s="1"/>
  <c r="BF36" i="11"/>
  <c r="BE36" i="11"/>
  <c r="BH35" i="11"/>
  <c r="BG35" i="11"/>
  <c r="BF35" i="11"/>
  <c r="BE35" i="11"/>
  <c r="BE34" i="11"/>
  <c r="BH29" i="11"/>
  <c r="BG29" i="11"/>
  <c r="BG196" i="11" s="1"/>
  <c r="BF29" i="11"/>
  <c r="BE29" i="11"/>
  <c r="BE195" i="11" s="1"/>
  <c r="BH28" i="11"/>
  <c r="BH27" i="11"/>
  <c r="BG27" i="11"/>
  <c r="BF27" i="11"/>
  <c r="BF194" i="11" s="1"/>
  <c r="BE27" i="11"/>
  <c r="BE194" i="11" s="1"/>
  <c r="BH26" i="11"/>
  <c r="BH25" i="11"/>
  <c r="BF25" i="11"/>
  <c r="BF191" i="11" s="1"/>
  <c r="BE25" i="11"/>
  <c r="BE191" i="11" s="1"/>
  <c r="BH24" i="11"/>
  <c r="BG23" i="11"/>
  <c r="BF23" i="11"/>
  <c r="BE23" i="11"/>
  <c r="BE189" i="11" s="1"/>
  <c r="BG21" i="11"/>
  <c r="BF21" i="11"/>
  <c r="BF188" i="11" s="1"/>
  <c r="BE21" i="11"/>
  <c r="BE187" i="11" s="1"/>
  <c r="BG20" i="11"/>
  <c r="BF20" i="11"/>
  <c r="BF186" i="11" s="1"/>
  <c r="BE20" i="11"/>
  <c r="BE185" i="11" s="1"/>
  <c r="BF19" i="11"/>
  <c r="BE19" i="11"/>
  <c r="BE183" i="11" s="1"/>
  <c r="BG17" i="11"/>
  <c r="BH17" i="11" s="1"/>
  <c r="BF17" i="11"/>
  <c r="BE17" i="11"/>
  <c r="BE16" i="11"/>
  <c r="BE181" i="11" s="1"/>
  <c r="BG15" i="11"/>
  <c r="BH15" i="11" s="1"/>
  <c r="BF15" i="11"/>
  <c r="BF179" i="11" s="1"/>
  <c r="BE15" i="11"/>
  <c r="BE179" i="11" s="1"/>
  <c r="BG14" i="11"/>
  <c r="BF14" i="11"/>
  <c r="BF177" i="11" s="1"/>
  <c r="BE14" i="11"/>
  <c r="BH12" i="11"/>
  <c r="BG12" i="11"/>
  <c r="BF12" i="11"/>
  <c r="BF176" i="11" s="1"/>
  <c r="BH176" i="11" s="1"/>
  <c r="BE12" i="11"/>
  <c r="BE176" i="11" s="1"/>
  <c r="BH11" i="11"/>
  <c r="BG11" i="11"/>
  <c r="BF11" i="11"/>
  <c r="BE11" i="11"/>
  <c r="BG10" i="11"/>
  <c r="BE10" i="11"/>
  <c r="BE31" i="11" s="1"/>
  <c r="BH8" i="11"/>
  <c r="BG8" i="11"/>
  <c r="BF8" i="11"/>
  <c r="BF170" i="11" s="1"/>
  <c r="BE8" i="11"/>
  <c r="BE170" i="11" s="1"/>
  <c r="BE172" i="11" s="1"/>
  <c r="BH7" i="11"/>
  <c r="BG7" i="11"/>
  <c r="BG168" i="11" s="1"/>
  <c r="BH168" i="11" s="1"/>
  <c r="BF7" i="11"/>
  <c r="BF168" i="11" s="1"/>
  <c r="BE7" i="11"/>
  <c r="BE168" i="11" s="1"/>
  <c r="BH6" i="11"/>
  <c r="BG6" i="11"/>
  <c r="BG166" i="11" s="1"/>
  <c r="BH166" i="11" s="1"/>
  <c r="BF6" i="11"/>
  <c r="BF166" i="11" s="1"/>
  <c r="BE6" i="11"/>
  <c r="BE166" i="11" s="1"/>
  <c r="BH5" i="11"/>
  <c r="BG5" i="11"/>
  <c r="BG164" i="11" s="1"/>
  <c r="BG172" i="11" s="1"/>
  <c r="BF5" i="11"/>
  <c r="BF164" i="11" s="1"/>
  <c r="BE5" i="11"/>
  <c r="BE164" i="11" s="1"/>
  <c r="O208" i="2" l="1"/>
  <c r="CE266" i="11"/>
  <c r="BW267" i="11"/>
  <c r="BW265" i="11"/>
  <c r="BX261" i="11"/>
  <c r="CF267" i="11"/>
  <c r="CF261" i="11"/>
  <c r="CF265" i="11"/>
  <c r="BX265" i="11"/>
  <c r="BX267" i="11"/>
  <c r="CB266" i="11"/>
  <c r="CB267" i="11"/>
  <c r="BO261" i="11"/>
  <c r="BK267" i="11"/>
  <c r="BO265" i="11"/>
  <c r="BO267" i="11"/>
  <c r="BJ265" i="11"/>
  <c r="BE198" i="11"/>
  <c r="BE197" i="11" s="1"/>
  <c r="BE171" i="11"/>
  <c r="BF10" i="11"/>
  <c r="BF253" i="11"/>
  <c r="BF110" i="11"/>
  <c r="BF267" i="11"/>
  <c r="BF235" i="11"/>
  <c r="BG171" i="11"/>
  <c r="BG198" i="11"/>
  <c r="BG177" i="11"/>
  <c r="BH14" i="11"/>
  <c r="BH13" i="11"/>
  <c r="BG188" i="11"/>
  <c r="BH188" i="11" s="1"/>
  <c r="BH21" i="11"/>
  <c r="BH195" i="11"/>
  <c r="BH196" i="11"/>
  <c r="BH38" i="11"/>
  <c r="BH236" i="11"/>
  <c r="BH235" i="11"/>
  <c r="BG235" i="11"/>
  <c r="BG241" i="11"/>
  <c r="BH59" i="11"/>
  <c r="BH58" i="11"/>
  <c r="BG83" i="11"/>
  <c r="BH83" i="11" s="1"/>
  <c r="BG93" i="11"/>
  <c r="BG110" i="11" s="1"/>
  <c r="BH84" i="11"/>
  <c r="BH86" i="11"/>
  <c r="BF91" i="11"/>
  <c r="BF261" i="11"/>
  <c r="BG139" i="11"/>
  <c r="BH139" i="11" s="1"/>
  <c r="BH141" i="11"/>
  <c r="BH140" i="11"/>
  <c r="BG158" i="11"/>
  <c r="BH164" i="11"/>
  <c r="BE250" i="11"/>
  <c r="BH40" i="11"/>
  <c r="BF211" i="11"/>
  <c r="BH228" i="11"/>
  <c r="BH227" i="11"/>
  <c r="BG227" i="11"/>
  <c r="BG266" i="11"/>
  <c r="BH55" i="11"/>
  <c r="BH248" i="11"/>
  <c r="BH247" i="11"/>
  <c r="BE41" i="11"/>
  <c r="BE213" i="11" s="1"/>
  <c r="BE122" i="11"/>
  <c r="BF215" i="11"/>
  <c r="BF250" i="11"/>
  <c r="BH170" i="11"/>
  <c r="BF172" i="11"/>
  <c r="BG16" i="11"/>
  <c r="BH20" i="11"/>
  <c r="BG186" i="11"/>
  <c r="BH186" i="11" s="1"/>
  <c r="BF183" i="11"/>
  <c r="BF16" i="11"/>
  <c r="BF181" i="11" s="1"/>
  <c r="BH18" i="11"/>
  <c r="BH19" i="11"/>
  <c r="BF189" i="11"/>
  <c r="BH23" i="11"/>
  <c r="BH22" i="11"/>
  <c r="BG31" i="11"/>
  <c r="BH39" i="11"/>
  <c r="BF209" i="11"/>
  <c r="BG67" i="11"/>
  <c r="BH54" i="11"/>
  <c r="BF243" i="11"/>
  <c r="BH60" i="11"/>
  <c r="BH61" i="11"/>
  <c r="BF158" i="11"/>
  <c r="BF43" i="11"/>
  <c r="BH129" i="11"/>
  <c r="BH128" i="11"/>
  <c r="BF50" i="11"/>
  <c r="BG179" i="11"/>
  <c r="BH183" i="11"/>
  <c r="BH184" i="11"/>
  <c r="BH193" i="11"/>
  <c r="BG207" i="11"/>
  <c r="BF213" i="11"/>
  <c r="BG216" i="11"/>
  <c r="BH218" i="11"/>
  <c r="BG229" i="11"/>
  <c r="BG253" i="11"/>
  <c r="BG265" i="11"/>
  <c r="BH36" i="11"/>
  <c r="BH37" i="11"/>
  <c r="BH62" i="11"/>
  <c r="BH76" i="11"/>
  <c r="BH77" i="11"/>
  <c r="BG203" i="11"/>
  <c r="BG213" i="11"/>
  <c r="AH264" i="11"/>
  <c r="AG264" i="11"/>
  <c r="AH259" i="11"/>
  <c r="AG259" i="11"/>
  <c r="AH257" i="11"/>
  <c r="AG257" i="11"/>
  <c r="AH255" i="11"/>
  <c r="AG255" i="11"/>
  <c r="AI246" i="11"/>
  <c r="AI245" i="11"/>
  <c r="AI244" i="11"/>
  <c r="AI243" i="11"/>
  <c r="AH243" i="11"/>
  <c r="AI242" i="11"/>
  <c r="AF242" i="11"/>
  <c r="AI241" i="11"/>
  <c r="AI240" i="11"/>
  <c r="AI239" i="11"/>
  <c r="AI238" i="11"/>
  <c r="AI237" i="11"/>
  <c r="AI232" i="11"/>
  <c r="AH231" i="11"/>
  <c r="AI230" i="11"/>
  <c r="AF225" i="11"/>
  <c r="AF223" i="11"/>
  <c r="AF219" i="11"/>
  <c r="AF217" i="11"/>
  <c r="AH202" i="11"/>
  <c r="AG202" i="11"/>
  <c r="AF201" i="11"/>
  <c r="AI194" i="11"/>
  <c r="AI193" i="11"/>
  <c r="AI192" i="11"/>
  <c r="AH191" i="11"/>
  <c r="AF190" i="11"/>
  <c r="AI189" i="11"/>
  <c r="AH184" i="11"/>
  <c r="AH183" i="11" s="1"/>
  <c r="AG184" i="11"/>
  <c r="AF184" i="11"/>
  <c r="AI182" i="11"/>
  <c r="AI180" i="11"/>
  <c r="AH162" i="11"/>
  <c r="AG162" i="11"/>
  <c r="AF161" i="11"/>
  <c r="AI156" i="11"/>
  <c r="AI155" i="11"/>
  <c r="AI153" i="11"/>
  <c r="AI152" i="11"/>
  <c r="AI150" i="11"/>
  <c r="AI149" i="11"/>
  <c r="AI148" i="11"/>
  <c r="AF148" i="11"/>
  <c r="AI147" i="11"/>
  <c r="AH146" i="11"/>
  <c r="AG146" i="11"/>
  <c r="AF146" i="11"/>
  <c r="AI145" i="11"/>
  <c r="AI143" i="11"/>
  <c r="AI142" i="11"/>
  <c r="AH141" i="11"/>
  <c r="AI141" i="11" s="1"/>
  <c r="AG141" i="11"/>
  <c r="AF141" i="11"/>
  <c r="AH138" i="11"/>
  <c r="AG138" i="11"/>
  <c r="AF138" i="11"/>
  <c r="AI137" i="11"/>
  <c r="AI135" i="11"/>
  <c r="AH134" i="11"/>
  <c r="AG134" i="11"/>
  <c r="AF134" i="11"/>
  <c r="AI133" i="11"/>
  <c r="AI132" i="11"/>
  <c r="AH131" i="11"/>
  <c r="AI131" i="11" s="1"/>
  <c r="AG131" i="11"/>
  <c r="AF131" i="11"/>
  <c r="AI130" i="11"/>
  <c r="AI129" i="11"/>
  <c r="AH129" i="11"/>
  <c r="AG129" i="11"/>
  <c r="AI128" i="11"/>
  <c r="AI127" i="11"/>
  <c r="AF127" i="11"/>
  <c r="AI126" i="11"/>
  <c r="AF126" i="11"/>
  <c r="AF47" i="11" s="1"/>
  <c r="AI125" i="11"/>
  <c r="AI124" i="11"/>
  <c r="AF124" i="11"/>
  <c r="AF129" i="11" s="1"/>
  <c r="AF50" i="11" s="1"/>
  <c r="AI123" i="11"/>
  <c r="AH120" i="11"/>
  <c r="AH122" i="11" s="1"/>
  <c r="AG120" i="11"/>
  <c r="AG122" i="11" s="1"/>
  <c r="AF120" i="11"/>
  <c r="AF122" i="11" s="1"/>
  <c r="AF43" i="11" s="1"/>
  <c r="AI119" i="11"/>
  <c r="AI118" i="11"/>
  <c r="AI117" i="11"/>
  <c r="AI116" i="11"/>
  <c r="AI115" i="11"/>
  <c r="AH114" i="11"/>
  <c r="AG114" i="11"/>
  <c r="AF113" i="11"/>
  <c r="AI108" i="11"/>
  <c r="AI107" i="11"/>
  <c r="AI105" i="11"/>
  <c r="AI104" i="11"/>
  <c r="AI102" i="11"/>
  <c r="AI101" i="11"/>
  <c r="AI100" i="11"/>
  <c r="AI99" i="11"/>
  <c r="AH98" i="11"/>
  <c r="AI98" i="11" s="1"/>
  <c r="AG98" i="11"/>
  <c r="AF98" i="11"/>
  <c r="AI97" i="11"/>
  <c r="AI95" i="11"/>
  <c r="AI94" i="11"/>
  <c r="AH93" i="11"/>
  <c r="AG93" i="11"/>
  <c r="AF93" i="11"/>
  <c r="AF19" i="11" s="1"/>
  <c r="AH90" i="11"/>
  <c r="AI90" i="11" s="1"/>
  <c r="AG90" i="11"/>
  <c r="AF90" i="11"/>
  <c r="AI89" i="11"/>
  <c r="AI87" i="11"/>
  <c r="AH86" i="11"/>
  <c r="AG86" i="11"/>
  <c r="AI86" i="11" s="1"/>
  <c r="AF86" i="11"/>
  <c r="AI85" i="11"/>
  <c r="AI84" i="11"/>
  <c r="AH83" i="11"/>
  <c r="AG83" i="11"/>
  <c r="AF83" i="11"/>
  <c r="AI82" i="11"/>
  <c r="AI81" i="11"/>
  <c r="AI80" i="11"/>
  <c r="AI79" i="11"/>
  <c r="AI78" i="11"/>
  <c r="AH77" i="11"/>
  <c r="AH253" i="11" s="1"/>
  <c r="AG77" i="11"/>
  <c r="AG253" i="11" s="1"/>
  <c r="AF77" i="11"/>
  <c r="AI75" i="11"/>
  <c r="AI74" i="11"/>
  <c r="AI73" i="11"/>
  <c r="AI72" i="11"/>
  <c r="AH71" i="11"/>
  <c r="AG71" i="11"/>
  <c r="AF70" i="11"/>
  <c r="AH65" i="11"/>
  <c r="AH248" i="11" s="1"/>
  <c r="AG65" i="11"/>
  <c r="AG248" i="11" s="1"/>
  <c r="AF65" i="11"/>
  <c r="AF248" i="11" s="1"/>
  <c r="AH63" i="11"/>
  <c r="AH245" i="11" s="1"/>
  <c r="AG63" i="11"/>
  <c r="AG245" i="11" s="1"/>
  <c r="AF63" i="11"/>
  <c r="AF245" i="11" s="1"/>
  <c r="AG61" i="11"/>
  <c r="AG243" i="11" s="1"/>
  <c r="AF61" i="11"/>
  <c r="AF243" i="11" s="1"/>
  <c r="AH59" i="11"/>
  <c r="AG59" i="11"/>
  <c r="AG241" i="11" s="1"/>
  <c r="AF59" i="11"/>
  <c r="AF241" i="11" s="1"/>
  <c r="AH57" i="11"/>
  <c r="AH239" i="11" s="1"/>
  <c r="AG57" i="11"/>
  <c r="AG239" i="11" s="1"/>
  <c r="AF57" i="11"/>
  <c r="AF239" i="11" s="1"/>
  <c r="AH56" i="11"/>
  <c r="AH237" i="11" s="1"/>
  <c r="AG56" i="11"/>
  <c r="AG237" i="11" s="1"/>
  <c r="AF56" i="11"/>
  <c r="AF237" i="11" s="1"/>
  <c r="AF55" i="11"/>
  <c r="AH53" i="11"/>
  <c r="AH234" i="11" s="1"/>
  <c r="AH236" i="11" s="1"/>
  <c r="AG53" i="11"/>
  <c r="AG234" i="11" s="1"/>
  <c r="AG236" i="11" s="1"/>
  <c r="AF53" i="11"/>
  <c r="AF234" i="11" s="1"/>
  <c r="AF236" i="11" s="1"/>
  <c r="AF235" i="11" s="1"/>
  <c r="AG52" i="11"/>
  <c r="AI52" i="11" s="1"/>
  <c r="AF52" i="11"/>
  <c r="AF231" i="11" s="1"/>
  <c r="AH51" i="11"/>
  <c r="AH229" i="11" s="1"/>
  <c r="AG51" i="11"/>
  <c r="AG229" i="11" s="1"/>
  <c r="AF51" i="11"/>
  <c r="AF229" i="11" s="1"/>
  <c r="AH50" i="11"/>
  <c r="AI49" i="11" s="1"/>
  <c r="AG50" i="11"/>
  <c r="AH48" i="11"/>
  <c r="AH226" i="11" s="1"/>
  <c r="AG48" i="11"/>
  <c r="AG226" i="11" s="1"/>
  <c r="AF48" i="11"/>
  <c r="AF226" i="11" s="1"/>
  <c r="AH47" i="11"/>
  <c r="AG47" i="11"/>
  <c r="AG224" i="11" s="1"/>
  <c r="AH46" i="11"/>
  <c r="AG46" i="11"/>
  <c r="AF46" i="11"/>
  <c r="AH45" i="11"/>
  <c r="AH220" i="11" s="1"/>
  <c r="AG45" i="11"/>
  <c r="AG220" i="11" s="1"/>
  <c r="AF45" i="11"/>
  <c r="AH44" i="11"/>
  <c r="AG44" i="11"/>
  <c r="AG218" i="11" s="1"/>
  <c r="AF44" i="11"/>
  <c r="AF218" i="11" s="1"/>
  <c r="AH41" i="11"/>
  <c r="AI41" i="11" s="1"/>
  <c r="AG41" i="11"/>
  <c r="AF41" i="11"/>
  <c r="AH40" i="11"/>
  <c r="AH212" i="11" s="1"/>
  <c r="AG40" i="11"/>
  <c r="AG212" i="11" s="1"/>
  <c r="AF40" i="11"/>
  <c r="AF212" i="11" s="1"/>
  <c r="AH39" i="11"/>
  <c r="AH210" i="11" s="1"/>
  <c r="AG39" i="11"/>
  <c r="AG210" i="11" s="1"/>
  <c r="AF39" i="11"/>
  <c r="AF210" i="11" s="1"/>
  <c r="AH38" i="11"/>
  <c r="AH208" i="11" s="1"/>
  <c r="AG38" i="11"/>
  <c r="AG208" i="11" s="1"/>
  <c r="AF38" i="11"/>
  <c r="AF208" i="11" s="1"/>
  <c r="AH37" i="11"/>
  <c r="AH206" i="11" s="1"/>
  <c r="AG37" i="11"/>
  <c r="AG206" i="11" s="1"/>
  <c r="AF37" i="11"/>
  <c r="AF206" i="11" s="1"/>
  <c r="AF205" i="11" s="1"/>
  <c r="AH36" i="11"/>
  <c r="AH204" i="11" s="1"/>
  <c r="AG36" i="11"/>
  <c r="AG271" i="11" s="1"/>
  <c r="AF36" i="11"/>
  <c r="AF204" i="11" s="1"/>
  <c r="AF203" i="11" s="1"/>
  <c r="AI35" i="11"/>
  <c r="AH35" i="11"/>
  <c r="AG35" i="11"/>
  <c r="AF35" i="11"/>
  <c r="AF34" i="11"/>
  <c r="AI29" i="11"/>
  <c r="AH29" i="11"/>
  <c r="AH196" i="11" s="1"/>
  <c r="AG29" i="11"/>
  <c r="AG196" i="11" s="1"/>
  <c r="AF29" i="11"/>
  <c r="AF196" i="11" s="1"/>
  <c r="AI28" i="11"/>
  <c r="AH27" i="11"/>
  <c r="AI27" i="11" s="1"/>
  <c r="AG27" i="11"/>
  <c r="AG193" i="11" s="1"/>
  <c r="AF27" i="11"/>
  <c r="AF194" i="11" s="1"/>
  <c r="AG25" i="11"/>
  <c r="AG191" i="11" s="1"/>
  <c r="AF25" i="11"/>
  <c r="AF191" i="11" s="1"/>
  <c r="AH23" i="11"/>
  <c r="AI23" i="11" s="1"/>
  <c r="AG23" i="11"/>
  <c r="AG189" i="11" s="1"/>
  <c r="AF23" i="11"/>
  <c r="AF189" i="11" s="1"/>
  <c r="AH21" i="11"/>
  <c r="AI21" i="11" s="1"/>
  <c r="AG21" i="11"/>
  <c r="AG188" i="11" s="1"/>
  <c r="AF21" i="11"/>
  <c r="AF187" i="11" s="1"/>
  <c r="AH20" i="11"/>
  <c r="AG20" i="11"/>
  <c r="AG186" i="11" s="1"/>
  <c r="AF20" i="11"/>
  <c r="AF185" i="11" s="1"/>
  <c r="AH17" i="11"/>
  <c r="AG17" i="11"/>
  <c r="AF17" i="11"/>
  <c r="AF16" i="11"/>
  <c r="AF181" i="11" s="1"/>
  <c r="AH15" i="11"/>
  <c r="AG15" i="11"/>
  <c r="AG179" i="11" s="1"/>
  <c r="AF15" i="11"/>
  <c r="AF179" i="11" s="1"/>
  <c r="AH14" i="11"/>
  <c r="AG14" i="11"/>
  <c r="AG178" i="11" s="1"/>
  <c r="AI178" i="11" s="1"/>
  <c r="AF14" i="11"/>
  <c r="AH12" i="11"/>
  <c r="AH176" i="11" s="1"/>
  <c r="AG12" i="11"/>
  <c r="AG176" i="11" s="1"/>
  <c r="AF12" i="11"/>
  <c r="AF176" i="11" s="1"/>
  <c r="AH11" i="11"/>
  <c r="AH174" i="11" s="1"/>
  <c r="AG11" i="11"/>
  <c r="AG174" i="11" s="1"/>
  <c r="AF11" i="11"/>
  <c r="AF174" i="11" s="1"/>
  <c r="AH10" i="11"/>
  <c r="AF10" i="11"/>
  <c r="AH8" i="11"/>
  <c r="AH170" i="11" s="1"/>
  <c r="AG8" i="11"/>
  <c r="AG170" i="11" s="1"/>
  <c r="AF8" i="11"/>
  <c r="AF170" i="11" s="1"/>
  <c r="AH7" i="11"/>
  <c r="AH168" i="11" s="1"/>
  <c r="AG7" i="11"/>
  <c r="AG168" i="11" s="1"/>
  <c r="AF7" i="11"/>
  <c r="AF168" i="11" s="1"/>
  <c r="AH6" i="11"/>
  <c r="AH166" i="11" s="1"/>
  <c r="AG6" i="11"/>
  <c r="AG166" i="11" s="1"/>
  <c r="AF6" i="11"/>
  <c r="AF166" i="11" s="1"/>
  <c r="AH5" i="11"/>
  <c r="AH164" i="11" s="1"/>
  <c r="AG5" i="11"/>
  <c r="AG164" i="11" s="1"/>
  <c r="AF5" i="11"/>
  <c r="AF164" i="11" s="1"/>
  <c r="BJ266" i="11" l="1"/>
  <c r="CE265" i="11"/>
  <c r="BN266" i="11"/>
  <c r="CA265" i="11"/>
  <c r="BX266" i="11"/>
  <c r="BH110" i="11"/>
  <c r="BH109" i="11"/>
  <c r="BH16" i="11"/>
  <c r="BG181" i="11"/>
  <c r="BH43" i="11"/>
  <c r="BH42" i="11"/>
  <c r="BF67" i="11"/>
  <c r="BF265" i="11"/>
  <c r="BF171" i="11"/>
  <c r="BF198" i="11"/>
  <c r="BF197" i="11" s="1"/>
  <c r="BE158" i="11"/>
  <c r="BE43" i="11"/>
  <c r="BF31" i="11"/>
  <c r="BH9" i="11"/>
  <c r="BH10" i="11"/>
  <c r="BF266" i="11"/>
  <c r="BH50" i="11"/>
  <c r="BH49" i="11"/>
  <c r="BH31" i="11"/>
  <c r="BH30" i="11"/>
  <c r="BH171" i="11"/>
  <c r="BF227" i="11"/>
  <c r="BH198" i="11"/>
  <c r="BG197" i="11"/>
  <c r="BG250" i="11"/>
  <c r="BH216" i="11"/>
  <c r="BH215" i="11"/>
  <c r="BG215" i="11"/>
  <c r="BH66" i="11"/>
  <c r="BH67" i="11"/>
  <c r="BF249" i="11"/>
  <c r="BH158" i="11"/>
  <c r="BH157" i="11"/>
  <c r="BH93" i="11"/>
  <c r="BH92" i="11"/>
  <c r="BG261" i="11"/>
  <c r="BG91" i="11"/>
  <c r="BH91" i="11" s="1"/>
  <c r="BH172" i="11"/>
  <c r="AI83" i="11"/>
  <c r="AF67" i="11"/>
  <c r="AF31" i="11"/>
  <c r="AI76" i="11"/>
  <c r="AH91" i="11"/>
  <c r="AI184" i="11"/>
  <c r="AG10" i="11"/>
  <c r="AI10" i="11" s="1"/>
  <c r="AF110" i="11"/>
  <c r="AI210" i="11"/>
  <c r="AI220" i="11"/>
  <c r="AG214" i="11"/>
  <c r="AI47" i="11"/>
  <c r="AI168" i="11"/>
  <c r="AI11" i="11"/>
  <c r="AI12" i="11"/>
  <c r="AF214" i="11"/>
  <c r="AF213" i="11" s="1"/>
  <c r="AI44" i="11"/>
  <c r="AI226" i="11"/>
  <c r="AI50" i="11"/>
  <c r="AI51" i="11"/>
  <c r="AF139" i="11"/>
  <c r="AI146" i="11"/>
  <c r="AG231" i="11"/>
  <c r="AI206" i="11"/>
  <c r="AI77" i="11"/>
  <c r="AF91" i="11"/>
  <c r="AI134" i="11"/>
  <c r="AF183" i="11"/>
  <c r="AH189" i="11"/>
  <c r="AG268" i="11"/>
  <c r="AI17" i="11"/>
  <c r="AG228" i="11"/>
  <c r="AG227" i="11" s="1"/>
  <c r="AI46" i="11"/>
  <c r="AI56" i="11"/>
  <c r="AI57" i="11"/>
  <c r="AI176" i="11"/>
  <c r="AH31" i="11"/>
  <c r="AH110" i="11"/>
  <c r="AI138" i="11"/>
  <c r="AH224" i="11"/>
  <c r="AI224" i="11" s="1"/>
  <c r="AG172" i="11"/>
  <c r="AI166" i="11"/>
  <c r="AF172" i="11"/>
  <c r="AI13" i="11"/>
  <c r="AI14" i="11"/>
  <c r="AI196" i="11"/>
  <c r="AI195" i="11"/>
  <c r="AI208" i="11"/>
  <c r="AH268" i="11"/>
  <c r="AI59" i="11"/>
  <c r="AI58" i="11"/>
  <c r="AH241" i="11"/>
  <c r="AG139" i="11"/>
  <c r="AG55" i="11"/>
  <c r="AG267" i="11" s="1"/>
  <c r="AF220" i="11"/>
  <c r="AF228" i="11" s="1"/>
  <c r="AI248" i="11"/>
  <c r="AI247" i="11"/>
  <c r="AH179" i="11"/>
  <c r="AI15" i="11"/>
  <c r="AI164" i="11"/>
  <c r="AI20" i="11"/>
  <c r="AH186" i="11"/>
  <c r="AG158" i="11"/>
  <c r="AG43" i="11"/>
  <c r="AF158" i="11"/>
  <c r="AI177" i="11"/>
  <c r="AH188" i="11"/>
  <c r="AG204" i="11"/>
  <c r="AG272" i="11" s="1"/>
  <c r="AF211" i="11"/>
  <c r="AG91" i="11"/>
  <c r="AI91" i="11" s="1"/>
  <c r="AG261" i="11"/>
  <c r="AG110" i="11"/>
  <c r="AH16" i="11"/>
  <c r="AH172" i="11"/>
  <c r="AI170" i="11"/>
  <c r="AI174" i="11"/>
  <c r="AG19" i="11"/>
  <c r="AG31" i="11" s="1"/>
  <c r="AH272" i="11"/>
  <c r="AH214" i="11"/>
  <c r="AI235" i="11"/>
  <c r="AI61" i="11"/>
  <c r="AI60" i="11"/>
  <c r="AI122" i="11"/>
  <c r="AI158" i="11" s="1"/>
  <c r="AI121" i="11"/>
  <c r="AH158" i="11"/>
  <c r="AH43" i="11"/>
  <c r="AH139" i="11"/>
  <c r="AI212" i="11"/>
  <c r="AF224" i="11"/>
  <c r="AI22" i="11"/>
  <c r="AI25" i="11"/>
  <c r="AI191" i="11" s="1"/>
  <c r="AI36" i="11"/>
  <c r="AI37" i="11"/>
  <c r="AI38" i="11"/>
  <c r="AI39" i="11"/>
  <c r="AI40" i="11"/>
  <c r="AI62" i="11"/>
  <c r="AI63" i="11"/>
  <c r="AI92" i="11"/>
  <c r="AI93" i="11"/>
  <c r="AI110" i="11" s="1"/>
  <c r="AI120" i="11"/>
  <c r="AI140" i="11"/>
  <c r="AH193" i="11"/>
  <c r="AH218" i="11"/>
  <c r="AI5" i="11"/>
  <c r="AI6" i="11"/>
  <c r="AI7" i="11"/>
  <c r="AI8" i="11"/>
  <c r="AI24" i="11"/>
  <c r="AI26" i="11"/>
  <c r="AI45" i="11"/>
  <c r="AI48" i="11"/>
  <c r="AI53" i="11"/>
  <c r="AI234" i="11" s="1"/>
  <c r="AI236" i="11" s="1"/>
  <c r="AH55" i="11"/>
  <c r="AI64" i="11"/>
  <c r="AI65" i="11"/>
  <c r="AI183" i="11"/>
  <c r="AH261" i="11"/>
  <c r="AH271" i="11"/>
  <c r="CF266" i="11" l="1"/>
  <c r="BO266" i="11"/>
  <c r="BE67" i="11"/>
  <c r="BE249" i="11" s="1"/>
  <c r="BE215" i="11"/>
  <c r="BH250" i="11"/>
  <c r="BH249" i="11"/>
  <c r="BG249" i="11"/>
  <c r="BH197" i="11"/>
  <c r="AF216" i="11"/>
  <c r="AI109" i="11"/>
  <c r="AI9" i="11"/>
  <c r="AI139" i="11"/>
  <c r="AI204" i="11"/>
  <c r="AG266" i="11"/>
  <c r="AG235" i="11"/>
  <c r="AF178" i="11"/>
  <c r="AF177" i="11" s="1"/>
  <c r="AF227" i="11"/>
  <c r="AI30" i="11"/>
  <c r="AI31" i="11"/>
  <c r="AH267" i="11"/>
  <c r="AI54" i="11"/>
  <c r="AI55" i="11"/>
  <c r="AH235" i="11"/>
  <c r="AI157" i="11"/>
  <c r="AH216" i="11"/>
  <c r="AI214" i="11"/>
  <c r="AH213" i="11"/>
  <c r="AF171" i="11"/>
  <c r="AG216" i="11"/>
  <c r="AH181" i="11"/>
  <c r="AI188" i="11"/>
  <c r="AI187" i="11"/>
  <c r="AH228" i="11"/>
  <c r="AI218" i="11"/>
  <c r="AI185" i="11"/>
  <c r="AI186" i="11"/>
  <c r="AF215" i="11"/>
  <c r="AF250" i="11"/>
  <c r="AF249" i="11" s="1"/>
  <c r="AH265" i="11"/>
  <c r="AH67" i="11"/>
  <c r="AI43" i="11"/>
  <c r="AI42" i="11"/>
  <c r="AG183" i="11"/>
  <c r="AG16" i="11"/>
  <c r="AG181" i="11" s="1"/>
  <c r="AI18" i="11"/>
  <c r="AI19" i="11"/>
  <c r="AH198" i="11"/>
  <c r="AH171" i="11"/>
  <c r="AI172" i="11"/>
  <c r="AI171" i="11"/>
  <c r="AG265" i="11"/>
  <c r="AG67" i="11"/>
  <c r="AG198" i="11"/>
  <c r="AG197" i="11" s="1"/>
  <c r="AG171" i="11"/>
  <c r="AP264" i="11"/>
  <c r="AD264" i="11"/>
  <c r="AC264" i="11"/>
  <c r="AW263" i="11"/>
  <c r="AP263" i="11"/>
  <c r="AT262" i="11"/>
  <c r="AW262" i="11" s="1"/>
  <c r="AQ262" i="11"/>
  <c r="AX262" i="11" s="1"/>
  <c r="AP262" i="11"/>
  <c r="AW261" i="11"/>
  <c r="AP261" i="11"/>
  <c r="AT260" i="11"/>
  <c r="AW260" i="11" s="1"/>
  <c r="AQ260" i="11"/>
  <c r="AX260" i="11" s="1"/>
  <c r="AP260" i="11"/>
  <c r="AW259" i="11"/>
  <c r="AP259" i="11"/>
  <c r="AD259" i="11"/>
  <c r="AC259" i="11"/>
  <c r="AT258" i="11"/>
  <c r="AW258" i="11" s="1"/>
  <c r="AQ258" i="11"/>
  <c r="AX258" i="11" s="1"/>
  <c r="AP258" i="11"/>
  <c r="AW257" i="11"/>
  <c r="AP257" i="11"/>
  <c r="AD257" i="11"/>
  <c r="AC257" i="11"/>
  <c r="AT256" i="11"/>
  <c r="AW256" i="11" s="1"/>
  <c r="AQ256" i="11"/>
  <c r="AX256" i="11" s="1"/>
  <c r="AP256" i="11"/>
  <c r="AW255" i="11"/>
  <c r="AP255" i="11"/>
  <c r="AD255" i="11"/>
  <c r="AC255" i="11"/>
  <c r="AT254" i="11"/>
  <c r="AW254" i="11" s="1"/>
  <c r="AQ254" i="11"/>
  <c r="AX254" i="11" s="1"/>
  <c r="AP254" i="11"/>
  <c r="AW253" i="11"/>
  <c r="AQ253" i="11"/>
  <c r="AP253" i="11"/>
  <c r="AW252" i="11"/>
  <c r="AP252" i="11"/>
  <c r="AR246" i="11"/>
  <c r="AY246" i="11" s="1"/>
  <c r="AM246" i="11"/>
  <c r="AN245" i="11" s="1"/>
  <c r="AL246" i="11"/>
  <c r="AP245" i="11" s="1"/>
  <c r="AJ246" i="11"/>
  <c r="AE246" i="11"/>
  <c r="AE245" i="11"/>
  <c r="AR244" i="11"/>
  <c r="AY244" i="11" s="1"/>
  <c r="AM244" i="11"/>
  <c r="AL244" i="11"/>
  <c r="AJ244" i="11"/>
  <c r="AE244" i="11"/>
  <c r="AO243" i="11"/>
  <c r="AE243" i="11"/>
  <c r="AD243" i="11"/>
  <c r="AY242" i="11"/>
  <c r="AM242" i="11"/>
  <c r="AO241" i="11" s="1"/>
  <c r="AL242" i="11"/>
  <c r="AE242" i="11"/>
  <c r="AB242" i="11"/>
  <c r="AE241" i="11"/>
  <c r="AM240" i="11"/>
  <c r="AL240" i="11"/>
  <c r="AP239" i="11" s="1"/>
  <c r="AJ240" i="11"/>
  <c r="AE240" i="11"/>
  <c r="AE239" i="11"/>
  <c r="AO238" i="11"/>
  <c r="AM238" i="11"/>
  <c r="AL238" i="11"/>
  <c r="AJ238" i="11"/>
  <c r="AE238" i="11"/>
  <c r="AE237" i="11"/>
  <c r="AM232" i="11"/>
  <c r="AL232" i="11"/>
  <c r="AK232" i="11"/>
  <c r="AJ232" i="11"/>
  <c r="AE232" i="11"/>
  <c r="AM230" i="11"/>
  <c r="AO230" i="11" s="1"/>
  <c r="AL230" i="11"/>
  <c r="AK230" i="11"/>
  <c r="AJ230" i="11"/>
  <c r="AE230" i="11"/>
  <c r="AR228" i="11"/>
  <c r="AR226" i="11"/>
  <c r="AB225" i="11"/>
  <c r="AR224" i="11"/>
  <c r="AB223" i="11"/>
  <c r="AR222" i="11"/>
  <c r="AM222" i="11"/>
  <c r="AO222" i="11" s="1"/>
  <c r="AL222" i="11"/>
  <c r="AJ222" i="11"/>
  <c r="AR220" i="11"/>
  <c r="AB219" i="11"/>
  <c r="AR218" i="11"/>
  <c r="AB217" i="11"/>
  <c r="AZ202" i="11"/>
  <c r="AY202" i="11"/>
  <c r="AT202" i="11"/>
  <c r="AR202" i="11"/>
  <c r="AM202" i="11"/>
  <c r="AL202" i="11"/>
  <c r="AK202" i="11"/>
  <c r="AD202" i="11"/>
  <c r="AC202" i="11"/>
  <c r="AQ201" i="11"/>
  <c r="AJ201" i="11"/>
  <c r="AB201" i="11"/>
  <c r="AR192" i="11"/>
  <c r="AY192" i="11" s="1"/>
  <c r="AM192" i="11"/>
  <c r="AL192" i="11"/>
  <c r="AJ192" i="11"/>
  <c r="AE192" i="11"/>
  <c r="AD191" i="11"/>
  <c r="AM190" i="11"/>
  <c r="AB190" i="11"/>
  <c r="AE189" i="11"/>
  <c r="AJ188" i="11"/>
  <c r="AJ186" i="11"/>
  <c r="AD184" i="11"/>
  <c r="AC184" i="11"/>
  <c r="AB184" i="11"/>
  <c r="AM182" i="11"/>
  <c r="AL182" i="11"/>
  <c r="AK182" i="11"/>
  <c r="AJ182" i="11"/>
  <c r="AE182" i="11"/>
  <c r="AM180" i="11"/>
  <c r="AL180" i="11"/>
  <c r="AK180" i="11"/>
  <c r="AJ180" i="11"/>
  <c r="AE180" i="11"/>
  <c r="AK178" i="11"/>
  <c r="AD177" i="11"/>
  <c r="AZ162" i="11"/>
  <c r="AY162" i="11"/>
  <c r="AV162" i="11"/>
  <c r="AT162" i="11"/>
  <c r="AR162" i="11"/>
  <c r="AO162" i="11"/>
  <c r="AM162" i="11"/>
  <c r="AK162" i="11"/>
  <c r="AD162" i="11"/>
  <c r="AC162" i="11"/>
  <c r="AQ161" i="11"/>
  <c r="AJ161" i="11"/>
  <c r="AB161" i="11"/>
  <c r="BA160" i="11"/>
  <c r="AR156" i="11"/>
  <c r="AR65" i="11" s="1"/>
  <c r="AM156" i="11"/>
  <c r="AL156" i="11"/>
  <c r="AJ156" i="11"/>
  <c r="AE156" i="11"/>
  <c r="AE155" i="11"/>
  <c r="AR153" i="11"/>
  <c r="AY153" i="11" s="1"/>
  <c r="AM153" i="11"/>
  <c r="AL153" i="11"/>
  <c r="AJ153" i="11"/>
  <c r="AE153" i="11"/>
  <c r="AE152" i="11"/>
  <c r="AV151" i="11"/>
  <c r="AO151" i="11"/>
  <c r="AR150" i="11"/>
  <c r="AY150" i="11" s="1"/>
  <c r="AM150" i="11"/>
  <c r="AO150" i="11" s="1"/>
  <c r="AL150" i="11"/>
  <c r="AJ150" i="11"/>
  <c r="AE150" i="11"/>
  <c r="AE149" i="11"/>
  <c r="AM148" i="11"/>
  <c r="AO148" i="11" s="1"/>
  <c r="AL148" i="11"/>
  <c r="AE148" i="11"/>
  <c r="AB148" i="11"/>
  <c r="AB59" i="11" s="1"/>
  <c r="AB241" i="11" s="1"/>
  <c r="AE147" i="11"/>
  <c r="AD146" i="11"/>
  <c r="AC146" i="11"/>
  <c r="AB146" i="11"/>
  <c r="AR145" i="11"/>
  <c r="AR57" i="11" s="1"/>
  <c r="AM145" i="11"/>
  <c r="AO145" i="11" s="1"/>
  <c r="AL145" i="11"/>
  <c r="AJ145" i="11"/>
  <c r="AE145" i="11"/>
  <c r="AV144" i="11"/>
  <c r="AO144" i="11"/>
  <c r="AR143" i="11"/>
  <c r="AM143" i="11"/>
  <c r="AL143" i="11"/>
  <c r="AJ143" i="11"/>
  <c r="AE143" i="11"/>
  <c r="AR142" i="11"/>
  <c r="AR146" i="11" s="1"/>
  <c r="AM142" i="11"/>
  <c r="AO142" i="11" s="1"/>
  <c r="AL142" i="11"/>
  <c r="AS142" i="11" s="1"/>
  <c r="AJ142" i="11"/>
  <c r="AE142" i="11"/>
  <c r="AD141" i="11"/>
  <c r="AC141" i="11"/>
  <c r="AC139" i="11" s="1"/>
  <c r="AB141" i="11"/>
  <c r="AB55" i="11" s="1"/>
  <c r="AD138" i="11"/>
  <c r="AC138" i="11"/>
  <c r="AB138" i="11"/>
  <c r="AM137" i="11"/>
  <c r="AL137" i="11"/>
  <c r="AJ137" i="11"/>
  <c r="AE137" i="11"/>
  <c r="AM135" i="11"/>
  <c r="AL135" i="11"/>
  <c r="AK135" i="11"/>
  <c r="AJ135" i="11"/>
  <c r="AE135" i="11"/>
  <c r="AD134" i="11"/>
  <c r="AC134" i="11"/>
  <c r="AE134" i="11" s="1"/>
  <c r="AB134" i="11"/>
  <c r="AM133" i="11"/>
  <c r="AL133" i="11"/>
  <c r="AK133" i="11"/>
  <c r="AJ133" i="11"/>
  <c r="AJ134" i="11" s="1"/>
  <c r="AE133" i="11"/>
  <c r="AM132" i="11"/>
  <c r="AL132" i="11"/>
  <c r="AK132" i="11"/>
  <c r="AJ132" i="11"/>
  <c r="AE132" i="11"/>
  <c r="AD131" i="11"/>
  <c r="AC131" i="11"/>
  <c r="AB131" i="11"/>
  <c r="AM130" i="11"/>
  <c r="AL130" i="11"/>
  <c r="AL131" i="11" s="1"/>
  <c r="AK130" i="11"/>
  <c r="AJ130" i="11"/>
  <c r="AE130" i="11"/>
  <c r="AD129" i="11"/>
  <c r="AC129" i="11"/>
  <c r="AE129" i="11" s="1"/>
  <c r="AR127" i="11"/>
  <c r="AM127" i="11"/>
  <c r="AO127" i="11" s="1"/>
  <c r="AL127" i="11"/>
  <c r="AE127" i="11"/>
  <c r="AB127" i="11"/>
  <c r="AB48" i="11" s="1"/>
  <c r="AR126" i="11"/>
  <c r="AM126" i="11"/>
  <c r="AL126" i="11"/>
  <c r="AE126" i="11"/>
  <c r="AB126" i="11"/>
  <c r="AR125" i="11"/>
  <c r="AM125" i="11"/>
  <c r="AO125" i="11" s="1"/>
  <c r="AL125" i="11"/>
  <c r="AJ125" i="11"/>
  <c r="AE125" i="11"/>
  <c r="AR124" i="11"/>
  <c r="AR45" i="11" s="1"/>
  <c r="AM124" i="11"/>
  <c r="AO124" i="11" s="1"/>
  <c r="AL124" i="11"/>
  <c r="AE124" i="11"/>
  <c r="AB124" i="11"/>
  <c r="AB45" i="11" s="1"/>
  <c r="AB220" i="11" s="1"/>
  <c r="AR123" i="11"/>
  <c r="AM123" i="11"/>
  <c r="AO123" i="11" s="1"/>
  <c r="AL123" i="11"/>
  <c r="AJ123" i="11"/>
  <c r="AE123" i="11"/>
  <c r="AK120" i="11"/>
  <c r="AK122" i="11" s="1"/>
  <c r="AD120" i="11"/>
  <c r="AD122" i="11" s="1"/>
  <c r="AD158" i="11" s="1"/>
  <c r="AC120" i="11"/>
  <c r="AC122" i="11" s="1"/>
  <c r="AB120" i="11"/>
  <c r="AB122" i="11" s="1"/>
  <c r="AR119" i="11"/>
  <c r="AR40" i="11" s="1"/>
  <c r="AM119" i="11"/>
  <c r="AL119" i="11"/>
  <c r="AJ119" i="11"/>
  <c r="AE119" i="11"/>
  <c r="AR118" i="11"/>
  <c r="AM118" i="11"/>
  <c r="AL118" i="11"/>
  <c r="AJ118" i="11"/>
  <c r="AE118" i="11"/>
  <c r="AR117" i="11"/>
  <c r="AR38" i="11" s="1"/>
  <c r="AM117" i="11"/>
  <c r="AL117" i="11"/>
  <c r="AJ117" i="11"/>
  <c r="AE117" i="11"/>
  <c r="AR116" i="11"/>
  <c r="AM116" i="11"/>
  <c r="AL116" i="11"/>
  <c r="AJ116" i="11"/>
  <c r="AE116" i="11"/>
  <c r="AR115" i="11"/>
  <c r="AR36" i="11" s="1"/>
  <c r="AM115" i="11"/>
  <c r="AL115" i="11"/>
  <c r="AJ115" i="11"/>
  <c r="AE115" i="11"/>
  <c r="BC114" i="11"/>
  <c r="AZ114" i="11"/>
  <c r="AY114" i="11"/>
  <c r="AV114" i="11"/>
  <c r="AT114" i="11"/>
  <c r="AR114" i="11"/>
  <c r="AO114" i="11"/>
  <c r="AL114" i="11"/>
  <c r="AK114" i="11"/>
  <c r="AD114" i="11"/>
  <c r="AD35" i="11" s="1"/>
  <c r="AC114" i="11"/>
  <c r="AQ113" i="11"/>
  <c r="AJ113" i="11"/>
  <c r="AB113" i="11"/>
  <c r="AR108" i="11"/>
  <c r="AR29" i="11" s="1"/>
  <c r="AR196" i="11" s="1"/>
  <c r="AY196" i="11" s="1"/>
  <c r="AM108" i="11"/>
  <c r="AL108" i="11"/>
  <c r="AJ108" i="11"/>
  <c r="AE108" i="11"/>
  <c r="AE107" i="11"/>
  <c r="AR105" i="11"/>
  <c r="AY105" i="11" s="1"/>
  <c r="AM105" i="11"/>
  <c r="AL105" i="11"/>
  <c r="AJ105" i="11"/>
  <c r="AE105" i="11"/>
  <c r="AO104" i="11"/>
  <c r="AE104" i="11"/>
  <c r="AV103" i="11"/>
  <c r="AO103" i="11"/>
  <c r="AR102" i="11"/>
  <c r="AY102" i="11" s="1"/>
  <c r="AM102" i="11"/>
  <c r="AO102" i="11" s="1"/>
  <c r="AL102" i="11"/>
  <c r="AJ102" i="11"/>
  <c r="AE102" i="11"/>
  <c r="AO101" i="11"/>
  <c r="AE101" i="11"/>
  <c r="AR100" i="11"/>
  <c r="AY100" i="11" s="1"/>
  <c r="AM100" i="11"/>
  <c r="AL100" i="11"/>
  <c r="AJ100" i="11"/>
  <c r="AE100" i="11"/>
  <c r="AE99" i="11"/>
  <c r="AD98" i="11"/>
  <c r="AC98" i="11"/>
  <c r="AB98" i="11"/>
  <c r="AY97" i="11"/>
  <c r="AR97" i="11"/>
  <c r="AM97" i="11"/>
  <c r="AL97" i="11"/>
  <c r="AJ97" i="11"/>
  <c r="AE97" i="11"/>
  <c r="AV96" i="11"/>
  <c r="AO96" i="11"/>
  <c r="AE96" i="11"/>
  <c r="AR95" i="11"/>
  <c r="AM95" i="11"/>
  <c r="AL95" i="11"/>
  <c r="AJ95" i="11"/>
  <c r="AE95" i="11"/>
  <c r="AR94" i="11"/>
  <c r="AR98" i="11" s="1"/>
  <c r="AM94" i="11"/>
  <c r="AL94" i="11"/>
  <c r="AJ94" i="11"/>
  <c r="AE94" i="11"/>
  <c r="AD93" i="11"/>
  <c r="AD19" i="11" s="1"/>
  <c r="AC93" i="11"/>
  <c r="AC19" i="11" s="1"/>
  <c r="AB93" i="11"/>
  <c r="AD90" i="11"/>
  <c r="AC90" i="11"/>
  <c r="AB90" i="11"/>
  <c r="AM89" i="11"/>
  <c r="AL89" i="11"/>
  <c r="AJ89" i="11"/>
  <c r="AE89" i="11"/>
  <c r="AM87" i="11"/>
  <c r="AL87" i="11"/>
  <c r="AK87" i="11"/>
  <c r="AJ87" i="11"/>
  <c r="AE87" i="11"/>
  <c r="AD86" i="11"/>
  <c r="AC86" i="11"/>
  <c r="AB86" i="11"/>
  <c r="AM85" i="11"/>
  <c r="AL85" i="11"/>
  <c r="AK85" i="11"/>
  <c r="AJ85" i="11"/>
  <c r="AE85" i="11"/>
  <c r="AM84" i="11"/>
  <c r="AL84" i="11"/>
  <c r="AK84" i="11"/>
  <c r="AK15" i="11" s="1"/>
  <c r="AK179" i="11" s="1"/>
  <c r="AJ84" i="11"/>
  <c r="AE84" i="11"/>
  <c r="AD83" i="11"/>
  <c r="AC83" i="11"/>
  <c r="AB83" i="11"/>
  <c r="AM82" i="11"/>
  <c r="AL82" i="11"/>
  <c r="AK82" i="11"/>
  <c r="AO82" i="11" s="1"/>
  <c r="AJ82" i="11"/>
  <c r="AE82" i="11"/>
  <c r="AR81" i="11"/>
  <c r="AY81" i="11" s="1"/>
  <c r="AM81" i="11"/>
  <c r="AO80" i="11" s="1"/>
  <c r="AL81" i="11"/>
  <c r="AJ81" i="11"/>
  <c r="AE81" i="11"/>
  <c r="AE79" i="11" s="1"/>
  <c r="AE80" i="11"/>
  <c r="AR79" i="11"/>
  <c r="AM79" i="11"/>
  <c r="AL79" i="11"/>
  <c r="AJ79" i="11"/>
  <c r="AR78" i="11"/>
  <c r="AM78" i="11"/>
  <c r="AL78" i="11"/>
  <c r="AJ78" i="11"/>
  <c r="AK77" i="11"/>
  <c r="AD77" i="11"/>
  <c r="AD253" i="11" s="1"/>
  <c r="AB77" i="11"/>
  <c r="AB110" i="11" s="1"/>
  <c r="AR75" i="11"/>
  <c r="AR8" i="11" s="1"/>
  <c r="AM75" i="11"/>
  <c r="AL75" i="11"/>
  <c r="AJ75" i="11"/>
  <c r="AE75" i="11"/>
  <c r="AR74" i="11"/>
  <c r="AR7" i="11" s="1"/>
  <c r="AM74" i="11"/>
  <c r="AN74" i="11" s="1"/>
  <c r="AL74" i="11"/>
  <c r="AJ74" i="11"/>
  <c r="AE74" i="11"/>
  <c r="AR73" i="11"/>
  <c r="AM73" i="11"/>
  <c r="AO73" i="11" s="1"/>
  <c r="AL73" i="11"/>
  <c r="AJ73" i="11"/>
  <c r="AE73" i="11"/>
  <c r="AR72" i="11"/>
  <c r="AR5" i="11" s="1"/>
  <c r="AM72" i="11"/>
  <c r="AJ72" i="11"/>
  <c r="AC72" i="11"/>
  <c r="AC77" i="11" s="1"/>
  <c r="AC10" i="11" s="1"/>
  <c r="BC71" i="11"/>
  <c r="AZ71" i="11"/>
  <c r="AY71" i="11"/>
  <c r="AT71" i="11"/>
  <c r="AR71" i="11"/>
  <c r="AM71" i="11"/>
  <c r="AM114" i="11" s="1"/>
  <c r="AK71" i="11"/>
  <c r="AD71" i="11"/>
  <c r="AC71" i="11"/>
  <c r="AQ70" i="11"/>
  <c r="AJ70" i="11"/>
  <c r="AB70" i="11"/>
  <c r="BA69" i="11"/>
  <c r="AK65" i="11"/>
  <c r="AD65" i="11"/>
  <c r="AD248" i="11" s="1"/>
  <c r="AC65" i="11"/>
  <c r="AB65" i="11"/>
  <c r="AB248" i="11" s="1"/>
  <c r="AR63" i="11"/>
  <c r="AR245" i="11" s="1"/>
  <c r="AK63" i="11"/>
  <c r="AK245" i="11" s="1"/>
  <c r="AD63" i="11"/>
  <c r="AC63" i="11"/>
  <c r="AC245" i="11" s="1"/>
  <c r="AB63" i="11"/>
  <c r="AB245" i="11" s="1"/>
  <c r="AR61" i="11"/>
  <c r="AR243" i="11" s="1"/>
  <c r="AK61" i="11"/>
  <c r="AK243" i="11" s="1"/>
  <c r="AC61" i="11"/>
  <c r="AE61" i="11" s="1"/>
  <c r="AB61" i="11"/>
  <c r="AB243" i="11" s="1"/>
  <c r="AK59" i="11"/>
  <c r="AD59" i="11"/>
  <c r="AE59" i="11" s="1"/>
  <c r="AC59" i="11"/>
  <c r="AS58" i="11"/>
  <c r="AK57" i="11"/>
  <c r="AD57" i="11"/>
  <c r="AC57" i="11"/>
  <c r="AC239" i="11" s="1"/>
  <c r="AB57" i="11"/>
  <c r="AB239" i="11" s="1"/>
  <c r="AR56" i="11"/>
  <c r="AK56" i="11"/>
  <c r="AD56" i="11"/>
  <c r="AD237" i="11" s="1"/>
  <c r="AC56" i="11"/>
  <c r="AC237" i="11" s="1"/>
  <c r="AB56" i="11"/>
  <c r="AB237" i="11" s="1"/>
  <c r="AD55" i="11"/>
  <c r="AR53" i="11"/>
  <c r="AR234" i="11" s="1"/>
  <c r="AK53" i="11"/>
  <c r="AK234" i="11" s="1"/>
  <c r="AD53" i="11"/>
  <c r="AD234" i="11" s="1"/>
  <c r="AC53" i="11"/>
  <c r="AC234" i="11" s="1"/>
  <c r="AB53" i="11"/>
  <c r="AB234" i="11" s="1"/>
  <c r="AK52" i="11"/>
  <c r="AD52" i="11"/>
  <c r="AD231" i="11" s="1"/>
  <c r="AC52" i="11"/>
  <c r="AB52" i="11"/>
  <c r="AB231" i="11" s="1"/>
  <c r="AK51" i="11"/>
  <c r="AK229" i="11" s="1"/>
  <c r="AD51" i="11"/>
  <c r="AC51" i="11"/>
  <c r="AC229" i="11" s="1"/>
  <c r="AB51" i="11"/>
  <c r="AB229" i="11" s="1"/>
  <c r="AK50" i="11"/>
  <c r="AR48" i="11"/>
  <c r="AK48" i="11"/>
  <c r="AD48" i="11"/>
  <c r="AC48" i="11"/>
  <c r="AC226" i="11" s="1"/>
  <c r="AR47" i="11"/>
  <c r="AK47" i="11"/>
  <c r="AD47" i="11"/>
  <c r="AD224" i="11" s="1"/>
  <c r="AC47" i="11"/>
  <c r="AC224" i="11" s="1"/>
  <c r="AB47" i="11"/>
  <c r="AR46" i="11"/>
  <c r="AK46" i="11"/>
  <c r="AD46" i="11"/>
  <c r="AC46" i="11"/>
  <c r="AB46" i="11"/>
  <c r="AK45" i="11"/>
  <c r="AC45" i="11"/>
  <c r="AC220" i="11" s="1"/>
  <c r="AR44" i="11"/>
  <c r="AK44" i="11"/>
  <c r="AD44" i="11"/>
  <c r="AD218" i="11" s="1"/>
  <c r="AC44" i="11"/>
  <c r="AB44" i="11"/>
  <c r="AD43" i="11"/>
  <c r="AB43" i="11"/>
  <c r="AK41" i="11"/>
  <c r="AD41" i="11"/>
  <c r="AB41" i="11"/>
  <c r="AK40" i="11"/>
  <c r="AK212" i="11" s="1"/>
  <c r="AD40" i="11"/>
  <c r="AC40" i="11"/>
  <c r="AC212" i="11" s="1"/>
  <c r="AB40" i="11"/>
  <c r="AB212" i="11" s="1"/>
  <c r="AR39" i="11"/>
  <c r="AK39" i="11"/>
  <c r="AK210" i="11" s="1"/>
  <c r="AD39" i="11"/>
  <c r="AD210" i="11" s="1"/>
  <c r="AC39" i="11"/>
  <c r="AC210" i="11" s="1"/>
  <c r="AB39" i="11"/>
  <c r="AB210" i="11" s="1"/>
  <c r="AK38" i="11"/>
  <c r="AK208" i="11" s="1"/>
  <c r="AD38" i="11"/>
  <c r="AC38" i="11"/>
  <c r="AC208" i="11" s="1"/>
  <c r="AB38" i="11"/>
  <c r="AB208" i="11" s="1"/>
  <c r="AR37" i="11"/>
  <c r="AK37" i="11"/>
  <c r="AK206" i="11" s="1"/>
  <c r="AD37" i="11"/>
  <c r="AD206" i="11" s="1"/>
  <c r="AC37" i="11"/>
  <c r="AC206" i="11" s="1"/>
  <c r="AB37" i="11"/>
  <c r="AB206" i="11" s="1"/>
  <c r="AK36" i="11"/>
  <c r="AK204" i="11" s="1"/>
  <c r="AD36" i="11"/>
  <c r="AC36" i="11"/>
  <c r="AB36" i="11"/>
  <c r="AB204" i="11" s="1"/>
  <c r="AZ35" i="11"/>
  <c r="AX35" i="11"/>
  <c r="AW35" i="11"/>
  <c r="AW202" i="11" s="1"/>
  <c r="AV35" i="11"/>
  <c r="AU35" i="11"/>
  <c r="AU202" i="11" s="1"/>
  <c r="AT35" i="11"/>
  <c r="AS35" i="11"/>
  <c r="AQ35" i="11"/>
  <c r="AP35" i="11"/>
  <c r="AP202" i="11" s="1"/>
  <c r="AO35" i="11"/>
  <c r="AM35" i="11"/>
  <c r="AJ35" i="11"/>
  <c r="AE35" i="11"/>
  <c r="AC35" i="11"/>
  <c r="AB35" i="11"/>
  <c r="AQ34" i="11"/>
  <c r="AJ34" i="11"/>
  <c r="AB34" i="11"/>
  <c r="AY29" i="11"/>
  <c r="AK29" i="11"/>
  <c r="AK195" i="11" s="1"/>
  <c r="AD29" i="11"/>
  <c r="AD195" i="11" s="1"/>
  <c r="AC29" i="11"/>
  <c r="AC196" i="11" s="1"/>
  <c r="AB29" i="11"/>
  <c r="AB196" i="11" s="1"/>
  <c r="AR27" i="11"/>
  <c r="AK27" i="11"/>
  <c r="AK194" i="11" s="1"/>
  <c r="AD27" i="11"/>
  <c r="AC27" i="11"/>
  <c r="AC194" i="11" s="1"/>
  <c r="AB27" i="11"/>
  <c r="AB194" i="11" s="1"/>
  <c r="AK25" i="11"/>
  <c r="AK191" i="11" s="1"/>
  <c r="AC25" i="11"/>
  <c r="AB25" i="11"/>
  <c r="AB191" i="11" s="1"/>
  <c r="AD23" i="11"/>
  <c r="AC23" i="11"/>
  <c r="AC189" i="11" s="1"/>
  <c r="AB23" i="11"/>
  <c r="AR21" i="11"/>
  <c r="AR188" i="11" s="1"/>
  <c r="AK21" i="11"/>
  <c r="AK188" i="11" s="1"/>
  <c r="AD21" i="11"/>
  <c r="AC21" i="11"/>
  <c r="AC188" i="11" s="1"/>
  <c r="AB21" i="11"/>
  <c r="AB187" i="11" s="1"/>
  <c r="AR20" i="11"/>
  <c r="AR186" i="11" s="1"/>
  <c r="AK20" i="11"/>
  <c r="AK186" i="11" s="1"/>
  <c r="AD20" i="11"/>
  <c r="AC20" i="11"/>
  <c r="AC186" i="11" s="1"/>
  <c r="AB20" i="11"/>
  <c r="AB185" i="11" s="1"/>
  <c r="AB19" i="11"/>
  <c r="AR17" i="11"/>
  <c r="AK17" i="11"/>
  <c r="AD17" i="11"/>
  <c r="AC17" i="11"/>
  <c r="AB17" i="11"/>
  <c r="AB16" i="11"/>
  <c r="AB181" i="11" s="1"/>
  <c r="AD15" i="11"/>
  <c r="AD179" i="11" s="1"/>
  <c r="AC15" i="11"/>
  <c r="AB15" i="11"/>
  <c r="AB179" i="11" s="1"/>
  <c r="AR14" i="11"/>
  <c r="AY14" i="11" s="1"/>
  <c r="AK14" i="11"/>
  <c r="AK177" i="11" s="1"/>
  <c r="AC14" i="11"/>
  <c r="AB14" i="11"/>
  <c r="AR12" i="11"/>
  <c r="AK12" i="11"/>
  <c r="AD12" i="11"/>
  <c r="AC12" i="11"/>
  <c r="AC176" i="11" s="1"/>
  <c r="AB12" i="11"/>
  <c r="AB176" i="11" s="1"/>
  <c r="AR11" i="11"/>
  <c r="AK11" i="11"/>
  <c r="AD11" i="11"/>
  <c r="AC11" i="11"/>
  <c r="AC174" i="11" s="1"/>
  <c r="AB11" i="11"/>
  <c r="AB174" i="11" s="1"/>
  <c r="AK10" i="11"/>
  <c r="AK8" i="11"/>
  <c r="AK170" i="11" s="1"/>
  <c r="AD8" i="11"/>
  <c r="AD170" i="11" s="1"/>
  <c r="AC8" i="11"/>
  <c r="AB8" i="11"/>
  <c r="AB170" i="11" s="1"/>
  <c r="AK7" i="11"/>
  <c r="AK168" i="11" s="1"/>
  <c r="AD7" i="11"/>
  <c r="AD168" i="11" s="1"/>
  <c r="AC7" i="11"/>
  <c r="AB7" i="11"/>
  <c r="AB168" i="11" s="1"/>
  <c r="AK6" i="11"/>
  <c r="AK166" i="11" s="1"/>
  <c r="AD6" i="11"/>
  <c r="AD166" i="11" s="1"/>
  <c r="AC6" i="11"/>
  <c r="AB6" i="11"/>
  <c r="AB166" i="11" s="1"/>
  <c r="AK5" i="11"/>
  <c r="AK164" i="11" s="1"/>
  <c r="AD5" i="11"/>
  <c r="AD164" i="11" s="1"/>
  <c r="AB5" i="11"/>
  <c r="AB164" i="11" s="1"/>
  <c r="AX4" i="11"/>
  <c r="AN4" i="11"/>
  <c r="AJ4" i="11"/>
  <c r="BA2" i="11"/>
  <c r="BW266" i="11" l="1"/>
  <c r="BK266" i="11"/>
  <c r="AF198" i="11"/>
  <c r="AF197" i="11" s="1"/>
  <c r="AB218" i="11"/>
  <c r="AE83" i="11"/>
  <c r="AE131" i="11"/>
  <c r="AN72" i="11"/>
  <c r="AE78" i="11"/>
  <c r="AE86" i="11"/>
  <c r="AN155" i="11"/>
  <c r="AJ190" i="11"/>
  <c r="AN246" i="11"/>
  <c r="AZ258" i="11"/>
  <c r="AZ260" i="11"/>
  <c r="AI16" i="11"/>
  <c r="AR25" i="11"/>
  <c r="AC50" i="11"/>
  <c r="AP149" i="11"/>
  <c r="AP238" i="11"/>
  <c r="AE28" i="11"/>
  <c r="AK231" i="11"/>
  <c r="AE58" i="11"/>
  <c r="AR120" i="11"/>
  <c r="AR41" i="11" s="1"/>
  <c r="AK141" i="11"/>
  <c r="AK158" i="11" s="1"/>
  <c r="AR148" i="11"/>
  <c r="AY156" i="11"/>
  <c r="AN79" i="11"/>
  <c r="AK134" i="11"/>
  <c r="AO180" i="11"/>
  <c r="AP240" i="11"/>
  <c r="AC5" i="11"/>
  <c r="AE5" i="11" s="1"/>
  <c r="AD10" i="11"/>
  <c r="AD31" i="11" s="1"/>
  <c r="AE45" i="11"/>
  <c r="AE220" i="11" s="1"/>
  <c r="AR223" i="11"/>
  <c r="AE138" i="11"/>
  <c r="AE146" i="11"/>
  <c r="AE37" i="11"/>
  <c r="AE39" i="11"/>
  <c r="AE56" i="11"/>
  <c r="AY61" i="11"/>
  <c r="AO117" i="11"/>
  <c r="AN117" i="11"/>
  <c r="AK43" i="11"/>
  <c r="AE6" i="11"/>
  <c r="AE22" i="11"/>
  <c r="AE26" i="11"/>
  <c r="AE29" i="11"/>
  <c r="AE47" i="11"/>
  <c r="AE224" i="11" s="1"/>
  <c r="AE76" i="11"/>
  <c r="AO81" i="11"/>
  <c r="AN137" i="11"/>
  <c r="AN143" i="11"/>
  <c r="AO143" i="11"/>
  <c r="AB91" i="11"/>
  <c r="AO95" i="11"/>
  <c r="AN95" i="11"/>
  <c r="AO115" i="11"/>
  <c r="AN115" i="11"/>
  <c r="AY63" i="11"/>
  <c r="AR77" i="11"/>
  <c r="AP78" i="11"/>
  <c r="AP81" i="11"/>
  <c r="AN82" i="11"/>
  <c r="AP95" i="11"/>
  <c r="AE98" i="11"/>
  <c r="AP105" i="11"/>
  <c r="AP107" i="11"/>
  <c r="AR129" i="11"/>
  <c r="AO132" i="11"/>
  <c r="AB139" i="11"/>
  <c r="AP222" i="11"/>
  <c r="AP243" i="11"/>
  <c r="AI190" i="11"/>
  <c r="AI198" i="11" s="1"/>
  <c r="AX264" i="11"/>
  <c r="AM83" i="11"/>
  <c r="AN83" i="11" s="1"/>
  <c r="AJ86" i="11"/>
  <c r="AN87" i="11"/>
  <c r="AP126" i="11"/>
  <c r="AD139" i="11"/>
  <c r="AE139" i="11" s="1"/>
  <c r="AE183" i="11"/>
  <c r="AO240" i="11"/>
  <c r="AO244" i="11"/>
  <c r="AO245" i="11"/>
  <c r="AO246" i="11"/>
  <c r="AZ254" i="11"/>
  <c r="AZ262" i="11"/>
  <c r="AL83" i="11"/>
  <c r="AJ83" i="11"/>
  <c r="AZ256" i="11"/>
  <c r="AP155" i="11"/>
  <c r="AH227" i="11"/>
  <c r="AI228" i="11"/>
  <c r="AI227" i="11"/>
  <c r="AH266" i="11"/>
  <c r="AP73" i="11"/>
  <c r="AO74" i="11"/>
  <c r="AL86" i="11"/>
  <c r="AP99" i="11"/>
  <c r="AP101" i="11"/>
  <c r="AO105" i="11"/>
  <c r="AN108" i="11"/>
  <c r="AO126" i="11"/>
  <c r="AP147" i="11"/>
  <c r="AN149" i="11"/>
  <c r="AO156" i="11"/>
  <c r="AI67" i="11"/>
  <c r="AI66" i="11"/>
  <c r="AG250" i="11"/>
  <c r="AG249" i="11" s="1"/>
  <c r="AG215" i="11"/>
  <c r="AH197" i="11"/>
  <c r="AI197" i="11"/>
  <c r="AH215" i="11"/>
  <c r="AI216" i="11"/>
  <c r="AI215" i="11"/>
  <c r="AH250" i="11"/>
  <c r="AN73" i="11"/>
  <c r="AP82" i="11"/>
  <c r="AP87" i="11"/>
  <c r="AP104" i="11"/>
  <c r="AP117" i="11"/>
  <c r="AP132" i="11"/>
  <c r="AP137" i="11"/>
  <c r="AK172" i="11"/>
  <c r="AC31" i="11"/>
  <c r="AE31" i="11" s="1"/>
  <c r="AE9" i="11"/>
  <c r="AC179" i="11"/>
  <c r="AD188" i="11"/>
  <c r="AE21" i="11"/>
  <c r="AD271" i="11"/>
  <c r="AD204" i="11"/>
  <c r="AE36" i="11"/>
  <c r="AC158" i="11"/>
  <c r="AE157" i="11" s="1"/>
  <c r="AC43" i="11"/>
  <c r="AE42" i="11" s="1"/>
  <c r="AC168" i="11"/>
  <c r="AC170" i="11"/>
  <c r="AE170" i="11" s="1"/>
  <c r="AD176" i="11"/>
  <c r="AE12" i="11"/>
  <c r="AE19" i="11"/>
  <c r="AM25" i="11"/>
  <c r="AD229" i="11"/>
  <c r="AE51" i="11"/>
  <c r="AC166" i="11"/>
  <c r="AE166" i="11" s="1"/>
  <c r="AE10" i="11"/>
  <c r="AE15" i="11"/>
  <c r="AE17" i="11"/>
  <c r="AD186" i="11"/>
  <c r="AE20" i="11"/>
  <c r="AD189" i="11"/>
  <c r="AM23" i="11"/>
  <c r="AE23" i="11"/>
  <c r="AR23" i="11"/>
  <c r="AY23" i="11" s="1"/>
  <c r="AC191" i="11"/>
  <c r="AE25" i="11"/>
  <c r="AE191" i="11" s="1"/>
  <c r="AE24" i="11"/>
  <c r="AE27" i="11"/>
  <c r="AD194" i="11"/>
  <c r="AR194" i="11"/>
  <c r="AY194" i="11" s="1"/>
  <c r="AY27" i="11"/>
  <c r="AE43" i="11"/>
  <c r="AB228" i="11"/>
  <c r="AD226" i="11"/>
  <c r="AE48" i="11"/>
  <c r="AE226" i="11" s="1"/>
  <c r="AC164" i="11"/>
  <c r="AE164" i="11" s="1"/>
  <c r="AE7" i="11"/>
  <c r="AE8" i="11"/>
  <c r="AD174" i="11"/>
  <c r="AE11" i="11"/>
  <c r="AC178" i="11"/>
  <c r="AE14" i="11"/>
  <c r="AE13" i="11"/>
  <c r="AC16" i="11"/>
  <c r="AR190" i="11"/>
  <c r="AR191" i="11"/>
  <c r="AY25" i="11"/>
  <c r="AE212" i="11"/>
  <c r="AC214" i="11"/>
  <c r="AD183" i="11"/>
  <c r="AE18" i="11"/>
  <c r="AD16" i="11"/>
  <c r="AD236" i="11"/>
  <c r="AD267" i="11" s="1"/>
  <c r="AC248" i="11"/>
  <c r="AN80" i="11"/>
  <c r="AP83" i="11"/>
  <c r="AN84" i="11"/>
  <c r="AN85" i="11"/>
  <c r="AK86" i="11"/>
  <c r="AP89" i="11"/>
  <c r="AO94" i="11"/>
  <c r="AP94" i="11"/>
  <c r="AO100" i="11"/>
  <c r="AN99" i="11"/>
  <c r="AP100" i="11"/>
  <c r="AO99" i="11"/>
  <c r="AN104" i="11"/>
  <c r="AN105" i="11"/>
  <c r="AN119" i="11"/>
  <c r="AP119" i="11"/>
  <c r="AK131" i="11"/>
  <c r="AK138" i="11"/>
  <c r="AL134" i="11"/>
  <c r="AE141" i="11"/>
  <c r="AY148" i="11"/>
  <c r="AR59" i="11"/>
  <c r="AY59" i="11" s="1"/>
  <c r="AD172" i="11"/>
  <c r="AR6" i="11"/>
  <c r="AB172" i="11"/>
  <c r="AK190" i="11"/>
  <c r="AO189" i="11" s="1"/>
  <c r="AK23" i="11"/>
  <c r="AS202" i="11"/>
  <c r="AS114" i="11"/>
  <c r="AC271" i="11"/>
  <c r="AC204" i="11"/>
  <c r="AB205" i="11"/>
  <c r="AE40" i="11"/>
  <c r="AE46" i="11"/>
  <c r="AC231" i="11"/>
  <c r="AE53" i="11"/>
  <c r="AE234" i="11" s="1"/>
  <c r="AK55" i="11"/>
  <c r="AD239" i="11"/>
  <c r="AE57" i="11"/>
  <c r="AD241" i="11"/>
  <c r="AD268" i="11"/>
  <c r="AR248" i="11"/>
  <c r="AY248" i="11" s="1"/>
  <c r="AY65" i="11"/>
  <c r="AL72" i="11"/>
  <c r="AO72" i="11"/>
  <c r="AP74" i="11"/>
  <c r="AC253" i="11"/>
  <c r="AC110" i="11"/>
  <c r="AN78" i="11"/>
  <c r="AO78" i="11"/>
  <c r="AN81" i="11"/>
  <c r="AO87" i="11"/>
  <c r="AC261" i="11"/>
  <c r="AC91" i="11"/>
  <c r="AN94" i="11"/>
  <c r="AN100" i="11"/>
  <c r="AN101" i="11"/>
  <c r="AN102" i="11"/>
  <c r="AN118" i="11"/>
  <c r="AP118" i="11"/>
  <c r="AO118" i="11"/>
  <c r="AO119" i="11"/>
  <c r="AP135" i="11"/>
  <c r="AN135" i="11"/>
  <c r="AO135" i="11"/>
  <c r="AM134" i="11"/>
  <c r="AN153" i="11"/>
  <c r="AP153" i="11"/>
  <c r="AO152" i="11"/>
  <c r="AO153" i="11"/>
  <c r="AN152" i="11"/>
  <c r="AP152" i="11"/>
  <c r="AE168" i="11"/>
  <c r="AK214" i="11"/>
  <c r="AN75" i="11"/>
  <c r="AO75" i="11"/>
  <c r="AY77" i="11"/>
  <c r="AK83" i="11"/>
  <c r="AE90" i="11"/>
  <c r="AK90" i="11"/>
  <c r="AD261" i="11"/>
  <c r="AE93" i="11"/>
  <c r="AE92" i="11"/>
  <c r="AD91" i="11"/>
  <c r="AK93" i="11"/>
  <c r="AN97" i="11"/>
  <c r="AO97" i="11"/>
  <c r="AY108" i="11"/>
  <c r="AD110" i="11"/>
  <c r="AE109" i="11" s="1"/>
  <c r="AP116" i="11"/>
  <c r="AN116" i="11"/>
  <c r="AE120" i="11"/>
  <c r="AC41" i="11"/>
  <c r="AB10" i="11"/>
  <c r="AR10" i="11"/>
  <c r="AD208" i="11"/>
  <c r="AE38" i="11"/>
  <c r="AC218" i="11"/>
  <c r="AC55" i="11"/>
  <c r="AE55" i="11" s="1"/>
  <c r="AC243" i="11"/>
  <c r="AE60" i="11"/>
  <c r="AM61" i="11"/>
  <c r="AD245" i="11"/>
  <c r="AE63" i="11"/>
  <c r="AE62" i="11"/>
  <c r="AE64" i="11"/>
  <c r="AP75" i="11"/>
  <c r="AO79" i="11"/>
  <c r="AP79" i="11"/>
  <c r="AO84" i="11"/>
  <c r="AP84" i="11"/>
  <c r="AM86" i="11"/>
  <c r="AO85" i="11"/>
  <c r="AN89" i="11"/>
  <c r="AO89" i="11"/>
  <c r="AP97" i="11"/>
  <c r="AP102" i="11"/>
  <c r="AO108" i="11"/>
  <c r="AN107" i="11"/>
  <c r="AP108" i="11"/>
  <c r="AO107" i="11"/>
  <c r="AP115" i="11"/>
  <c r="AO116" i="11"/>
  <c r="AE121" i="11"/>
  <c r="AE122" i="11"/>
  <c r="AE158" i="11" s="1"/>
  <c r="AO130" i="11"/>
  <c r="AJ131" i="11"/>
  <c r="AN132" i="11"/>
  <c r="AP143" i="11"/>
  <c r="AN182" i="11"/>
  <c r="AB203" i="11"/>
  <c r="AE206" i="11"/>
  <c r="AD214" i="11"/>
  <c r="AE210" i="11"/>
  <c r="AB214" i="11"/>
  <c r="AB211" i="11"/>
  <c r="AE44" i="11"/>
  <c r="AE218" i="11" s="1"/>
  <c r="AE228" i="11" s="1"/>
  <c r="AD50" i="11"/>
  <c r="AD67" i="11" s="1"/>
  <c r="AE52" i="11"/>
  <c r="AM52" i="11"/>
  <c r="AC236" i="11"/>
  <c r="AC241" i="11"/>
  <c r="AC268" i="11"/>
  <c r="AE65" i="11"/>
  <c r="AE72" i="11"/>
  <c r="AE77" i="11"/>
  <c r="AP80" i="11"/>
  <c r="AP85" i="11"/>
  <c r="AP123" i="11"/>
  <c r="AN123" i="11"/>
  <c r="AP127" i="11"/>
  <c r="AM131" i="11"/>
  <c r="AN130" i="11"/>
  <c r="AN133" i="11"/>
  <c r="AE195" i="11"/>
  <c r="AE196" i="11"/>
  <c r="AD228" i="11"/>
  <c r="AB236" i="11"/>
  <c r="AB235" i="11" s="1"/>
  <c r="AE248" i="11"/>
  <c r="AE247" i="11"/>
  <c r="AP124" i="11"/>
  <c r="AP125" i="11"/>
  <c r="AN125" i="11"/>
  <c r="AJ141" i="11"/>
  <c r="AE140" i="11"/>
  <c r="AN142" i="11"/>
  <c r="AP142" i="11"/>
  <c r="AN145" i="11"/>
  <c r="AP145" i="11"/>
  <c r="AE128" i="11"/>
  <c r="AB129" i="11"/>
  <c r="AB158" i="11" s="1"/>
  <c r="AO133" i="11"/>
  <c r="AO137" i="11"/>
  <c r="AN150" i="11"/>
  <c r="AP150" i="11"/>
  <c r="AO149" i="11"/>
  <c r="AP156" i="11"/>
  <c r="AO155" i="11"/>
  <c r="AN156" i="11"/>
  <c r="AB183" i="11"/>
  <c r="AN189" i="11"/>
  <c r="AP148" i="11"/>
  <c r="AO147" i="11"/>
  <c r="AP180" i="11"/>
  <c r="AN180" i="11"/>
  <c r="AP182" i="11"/>
  <c r="AK184" i="11"/>
  <c r="AP192" i="11"/>
  <c r="AO182" i="11"/>
  <c r="AC183" i="11"/>
  <c r="AB189" i="11"/>
  <c r="AB226" i="11"/>
  <c r="AN192" i="11"/>
  <c r="AN191" i="11"/>
  <c r="AO192" i="11"/>
  <c r="AO191" i="11"/>
  <c r="AR219" i="11"/>
  <c r="AN238" i="11"/>
  <c r="AE184" i="11"/>
  <c r="AB224" i="11"/>
  <c r="AR225" i="11"/>
  <c r="AY228" i="11"/>
  <c r="AP230" i="11"/>
  <c r="AN230" i="11"/>
  <c r="AO232" i="11"/>
  <c r="AN244" i="11"/>
  <c r="AN243" i="11"/>
  <c r="AR217" i="11"/>
  <c r="AN222" i="11"/>
  <c r="AN240" i="11"/>
  <c r="AP242" i="11"/>
  <c r="AO242" i="11"/>
  <c r="AP241" i="11"/>
  <c r="AE236" i="11"/>
  <c r="AQ264" i="11"/>
  <c r="AK236" i="11"/>
  <c r="AK235" i="11" s="1"/>
  <c r="AN232" i="11"/>
  <c r="AP232" i="11"/>
  <c r="AZ264" i="11"/>
  <c r="AP237" i="11"/>
  <c r="AP244" i="11"/>
  <c r="AP246" i="11"/>
  <c r="AT264" i="11"/>
  <c r="AW264" i="11" s="1"/>
  <c r="AO190" i="11" l="1"/>
  <c r="AR122" i="11"/>
  <c r="AO83" i="11"/>
  <c r="AK67" i="11"/>
  <c r="AE110" i="11"/>
  <c r="AE30" i="11"/>
  <c r="AI250" i="11"/>
  <c r="AE91" i="11"/>
  <c r="AY129" i="11"/>
  <c r="AR50" i="11"/>
  <c r="AI249" i="11"/>
  <c r="AH249" i="11"/>
  <c r="AG270" i="11"/>
  <c r="AG269" i="11" s="1"/>
  <c r="AH270" i="11"/>
  <c r="AH269" i="11" s="1"/>
  <c r="AK91" i="11"/>
  <c r="AK19" i="11"/>
  <c r="AK183" i="11" s="1"/>
  <c r="AC272" i="11"/>
  <c r="AO22" i="11"/>
  <c r="AO23" i="11"/>
  <c r="AM189" i="11"/>
  <c r="AE214" i="11"/>
  <c r="AD216" i="11"/>
  <c r="AD213" i="11"/>
  <c r="AK216" i="11"/>
  <c r="AK213" i="11"/>
  <c r="AP72" i="11"/>
  <c r="AK189" i="11"/>
  <c r="AC181" i="11"/>
  <c r="AE174" i="11"/>
  <c r="AK110" i="11"/>
  <c r="AK111" i="11" s="1"/>
  <c r="AM243" i="11"/>
  <c r="AO60" i="11"/>
  <c r="AO61" i="11"/>
  <c r="AD198" i="11"/>
  <c r="AD171" i="11"/>
  <c r="AE187" i="11"/>
  <c r="AE188" i="11"/>
  <c r="AO131" i="11"/>
  <c r="AP131" i="11"/>
  <c r="AN131" i="11"/>
  <c r="AC235" i="11"/>
  <c r="AB216" i="11"/>
  <c r="AB213" i="11"/>
  <c r="AC267" i="11"/>
  <c r="AE54" i="11"/>
  <c r="AC228" i="11"/>
  <c r="AE208" i="11"/>
  <c r="AE41" i="11"/>
  <c r="AB171" i="11"/>
  <c r="AE186" i="11"/>
  <c r="AE185" i="11"/>
  <c r="AM191" i="11"/>
  <c r="AO25" i="11"/>
  <c r="AO24" i="11"/>
  <c r="AE176" i="11"/>
  <c r="AD272" i="11"/>
  <c r="AE204" i="11"/>
  <c r="AD227" i="11"/>
  <c r="AN86" i="11"/>
  <c r="AP86" i="11"/>
  <c r="AO86" i="11"/>
  <c r="AY10" i="11"/>
  <c r="AE235" i="11"/>
  <c r="AD235" i="11"/>
  <c r="AR189" i="11"/>
  <c r="AY190" i="11"/>
  <c r="AB50" i="11"/>
  <c r="AB227" i="11" s="1"/>
  <c r="AR43" i="11"/>
  <c r="AY122" i="11"/>
  <c r="AM231" i="11"/>
  <c r="AO52" i="11"/>
  <c r="AD266" i="11"/>
  <c r="AE50" i="11"/>
  <c r="AE227" i="11" s="1"/>
  <c r="AE49" i="11"/>
  <c r="AB31" i="11"/>
  <c r="AP134" i="11"/>
  <c r="AN134" i="11"/>
  <c r="AO134" i="11"/>
  <c r="AK139" i="11"/>
  <c r="AD181" i="11"/>
  <c r="AE16" i="11"/>
  <c r="AC213" i="11"/>
  <c r="AC216" i="11"/>
  <c r="AE178" i="11"/>
  <c r="AE177" i="11"/>
  <c r="AC177" i="11"/>
  <c r="AL178" i="11"/>
  <c r="AB178" i="11"/>
  <c r="AE193" i="11"/>
  <c r="AE194" i="11"/>
  <c r="AM178" i="11"/>
  <c r="AC172" i="11"/>
  <c r="AE172" i="11" s="1"/>
  <c r="AC67" i="11"/>
  <c r="AK198" i="11"/>
  <c r="AK171" i="11"/>
  <c r="AE190" i="11" l="1"/>
  <c r="AE198" i="11"/>
  <c r="AY50" i="11"/>
  <c r="AR227" i="11"/>
  <c r="AO178" i="11"/>
  <c r="AP177" i="11"/>
  <c r="AP178" i="11"/>
  <c r="AO177" i="11"/>
  <c r="AC227" i="11"/>
  <c r="AC266" i="11"/>
  <c r="AB177" i="11"/>
  <c r="AE67" i="11"/>
  <c r="AB250" i="11"/>
  <c r="AB215" i="11"/>
  <c r="AD197" i="11"/>
  <c r="AC250" i="11"/>
  <c r="AC249" i="11" s="1"/>
  <c r="AC215" i="11"/>
  <c r="AE66" i="11"/>
  <c r="AB198" i="11"/>
  <c r="AB197" i="11" s="1"/>
  <c r="AE216" i="11"/>
  <c r="AE250" i="11" s="1"/>
  <c r="AD215" i="11"/>
  <c r="AE215" i="11"/>
  <c r="AD250" i="11"/>
  <c r="AD265" i="11"/>
  <c r="AC265" i="11"/>
  <c r="AC198" i="11"/>
  <c r="AC171" i="11"/>
  <c r="AY43" i="11"/>
  <c r="AB67" i="11"/>
  <c r="AE171" i="11"/>
  <c r="AK250" i="11"/>
  <c r="AK249" i="11" s="1"/>
  <c r="AK215" i="11"/>
  <c r="AK16" i="11"/>
  <c r="AK181" i="11" s="1"/>
  <c r="AK31" i="11"/>
  <c r="AC197" i="11" l="1"/>
  <c r="AE197" i="11"/>
  <c r="AC270" i="11"/>
  <c r="AC269" i="11"/>
  <c r="AE249" i="11"/>
  <c r="AD249" i="11"/>
  <c r="AD270" i="11"/>
  <c r="AD269" i="11" s="1"/>
  <c r="AK197" i="11"/>
  <c r="AB249" i="11"/>
  <c r="H156" i="2" l="1"/>
  <c r="H156" i="9" s="1"/>
  <c r="Z264" i="11" l="1"/>
  <c r="Y264" i="11"/>
  <c r="Z259" i="11"/>
  <c r="Y259" i="11"/>
  <c r="Z257" i="11"/>
  <c r="Y257" i="11"/>
  <c r="Z255" i="11"/>
  <c r="Y255" i="11"/>
  <c r="AA246" i="11"/>
  <c r="AA245" i="11"/>
  <c r="AA244" i="11"/>
  <c r="AA243" i="11"/>
  <c r="Z243" i="11"/>
  <c r="AA242" i="11"/>
  <c r="X242" i="11"/>
  <c r="AJ242" i="11" s="1"/>
  <c r="AA241" i="11"/>
  <c r="AA240" i="11"/>
  <c r="AA239" i="11"/>
  <c r="AA238" i="11"/>
  <c r="AA237" i="11"/>
  <c r="AA232" i="11"/>
  <c r="AA182" i="11" s="1"/>
  <c r="Z231" i="11"/>
  <c r="AA230" i="11"/>
  <c r="AA180" i="11" s="1"/>
  <c r="Z202" i="11"/>
  <c r="Y202" i="11"/>
  <c r="X201" i="11"/>
  <c r="AA192" i="11"/>
  <c r="Z191" i="11"/>
  <c r="X190" i="11"/>
  <c r="Z184" i="11"/>
  <c r="Y184" i="11"/>
  <c r="AL184" i="11" s="1"/>
  <c r="X184" i="11"/>
  <c r="AJ184" i="11" s="1"/>
  <c r="AA177" i="11"/>
  <c r="Z162" i="11"/>
  <c r="Y162" i="11"/>
  <c r="X161" i="11"/>
  <c r="AA156" i="11"/>
  <c r="AA155" i="11"/>
  <c r="AA153" i="11"/>
  <c r="AA152" i="11"/>
  <c r="AA150" i="11"/>
  <c r="AA149" i="11"/>
  <c r="AA148" i="11"/>
  <c r="X148" i="11"/>
  <c r="AJ148" i="11" s="1"/>
  <c r="AA147" i="11"/>
  <c r="Z146" i="11"/>
  <c r="Y146" i="11"/>
  <c r="AL146" i="11" s="1"/>
  <c r="X146" i="11"/>
  <c r="AJ146" i="11" s="1"/>
  <c r="AA145" i="11"/>
  <c r="AA143" i="11"/>
  <c r="AA142" i="11"/>
  <c r="Z141" i="11"/>
  <c r="AM141" i="11" s="1"/>
  <c r="Y141" i="11"/>
  <c r="AL141" i="11" s="1"/>
  <c r="X141" i="11"/>
  <c r="X139" i="11" s="1"/>
  <c r="Z138" i="11"/>
  <c r="AM138" i="11" s="1"/>
  <c r="Y138" i="11"/>
  <c r="AL138" i="11" s="1"/>
  <c r="X138" i="11"/>
  <c r="AJ138" i="11" s="1"/>
  <c r="AA137" i="11"/>
  <c r="AA135" i="11"/>
  <c r="Z134" i="11"/>
  <c r="Y134" i="11"/>
  <c r="X134" i="11"/>
  <c r="AA133" i="11"/>
  <c r="AA132" i="11"/>
  <c r="Z131" i="11"/>
  <c r="Y131" i="11"/>
  <c r="AA131" i="11" s="1"/>
  <c r="X131" i="11"/>
  <c r="AA130" i="11"/>
  <c r="Z129" i="11"/>
  <c r="AM129" i="11" s="1"/>
  <c r="Y129" i="11"/>
  <c r="AA128" i="11" s="1"/>
  <c r="AA127" i="11"/>
  <c r="X127" i="11"/>
  <c r="AJ127" i="11" s="1"/>
  <c r="AA126" i="11"/>
  <c r="X126" i="11"/>
  <c r="AJ126" i="11" s="1"/>
  <c r="AN126" i="11" s="1"/>
  <c r="AA125" i="11"/>
  <c r="AA124" i="11"/>
  <c r="X124" i="11"/>
  <c r="AJ124" i="11" s="1"/>
  <c r="AA123" i="11"/>
  <c r="Z120" i="11"/>
  <c r="AM120" i="11" s="1"/>
  <c r="Y120" i="11"/>
  <c r="X120" i="11"/>
  <c r="AJ120" i="11" s="1"/>
  <c r="AA119" i="11"/>
  <c r="AA118" i="11"/>
  <c r="AA117" i="11"/>
  <c r="AA116" i="11"/>
  <c r="AA115" i="11"/>
  <c r="Y114" i="11"/>
  <c r="Y35" i="11" s="1"/>
  <c r="X113" i="11"/>
  <c r="AA108" i="11"/>
  <c r="AA107" i="11"/>
  <c r="AA105" i="11"/>
  <c r="AA104" i="11"/>
  <c r="AA102" i="11"/>
  <c r="AA101" i="11"/>
  <c r="AA100" i="11"/>
  <c r="AA99" i="11"/>
  <c r="Z98" i="11"/>
  <c r="AM98" i="11" s="1"/>
  <c r="Y98" i="11"/>
  <c r="AL98" i="11" s="1"/>
  <c r="X98" i="11"/>
  <c r="AJ98" i="11" s="1"/>
  <c r="AA97" i="11"/>
  <c r="AA96" i="11"/>
  <c r="AA95" i="11"/>
  <c r="AA94" i="11"/>
  <c r="Z93" i="11"/>
  <c r="Y93" i="11"/>
  <c r="AA93" i="11" s="1"/>
  <c r="X93" i="11"/>
  <c r="AJ93" i="11" s="1"/>
  <c r="Z90" i="11"/>
  <c r="AM90" i="11" s="1"/>
  <c r="Y90" i="11"/>
  <c r="AL90" i="11" s="1"/>
  <c r="X90" i="11"/>
  <c r="AA89" i="11"/>
  <c r="AA87" i="11"/>
  <c r="Z86" i="11"/>
  <c r="Y86" i="11"/>
  <c r="X86" i="11"/>
  <c r="AA85" i="11"/>
  <c r="AA84" i="11"/>
  <c r="Z83" i="11"/>
  <c r="Y83" i="11"/>
  <c r="X83" i="11"/>
  <c r="AA82" i="11"/>
  <c r="AA81" i="11"/>
  <c r="AA79" i="11" s="1"/>
  <c r="AA80" i="11"/>
  <c r="Z77" i="11"/>
  <c r="AM77" i="11" s="1"/>
  <c r="Y77" i="11"/>
  <c r="AL77" i="11" s="1"/>
  <c r="X77" i="11"/>
  <c r="AJ77" i="11" s="1"/>
  <c r="AA75" i="11"/>
  <c r="AA74" i="11"/>
  <c r="AA73" i="11"/>
  <c r="AA72" i="11"/>
  <c r="Z71" i="11"/>
  <c r="Y71" i="11"/>
  <c r="X70" i="11"/>
  <c r="Z65" i="11"/>
  <c r="AM65" i="11" s="1"/>
  <c r="Y65" i="11"/>
  <c r="X65" i="11"/>
  <c r="Z63" i="11"/>
  <c r="Y63" i="11"/>
  <c r="X63" i="11"/>
  <c r="Y61" i="11"/>
  <c r="AL61" i="11" s="1"/>
  <c r="X61" i="11"/>
  <c r="Z59" i="11"/>
  <c r="Y59" i="11"/>
  <c r="X59" i="11"/>
  <c r="AJ59" i="11" s="1"/>
  <c r="Z57" i="11"/>
  <c r="Y57" i="11"/>
  <c r="X57" i="11"/>
  <c r="Z56" i="11"/>
  <c r="Y56" i="11"/>
  <c r="AL56" i="11" s="1"/>
  <c r="AL237" i="11" s="1"/>
  <c r="X56" i="11"/>
  <c r="Z53" i="11"/>
  <c r="Y53" i="11"/>
  <c r="AL53" i="11" s="1"/>
  <c r="X53" i="11"/>
  <c r="Y52" i="11"/>
  <c r="X52" i="11"/>
  <c r="Z51" i="11"/>
  <c r="Y51" i="11"/>
  <c r="X51" i="11"/>
  <c r="Z50" i="11"/>
  <c r="AM50" i="11" s="1"/>
  <c r="Y50" i="11"/>
  <c r="AL50" i="11" s="1"/>
  <c r="Z48" i="11"/>
  <c r="Y48" i="11"/>
  <c r="X48" i="11"/>
  <c r="Z47" i="11"/>
  <c r="AM47" i="11" s="1"/>
  <c r="Y47" i="11"/>
  <c r="Z46" i="11"/>
  <c r="AM46" i="11" s="1"/>
  <c r="Y46" i="11"/>
  <c r="AL46" i="11" s="1"/>
  <c r="X46" i="11"/>
  <c r="AJ46" i="11" s="1"/>
  <c r="Z45" i="11"/>
  <c r="AM45" i="11" s="1"/>
  <c r="Y45" i="11"/>
  <c r="X45" i="11"/>
  <c r="Z44" i="11"/>
  <c r="Y44" i="11"/>
  <c r="AL44" i="11" s="1"/>
  <c r="X44" i="11"/>
  <c r="Y41" i="11"/>
  <c r="AL41" i="11" s="1"/>
  <c r="X41" i="11"/>
  <c r="AJ41" i="11" s="1"/>
  <c r="Z40" i="11"/>
  <c r="Y40" i="11"/>
  <c r="X40" i="11"/>
  <c r="Z39" i="11"/>
  <c r="Y39" i="11"/>
  <c r="AL39" i="11" s="1"/>
  <c r="X39" i="11"/>
  <c r="Z38" i="11"/>
  <c r="Y38" i="11"/>
  <c r="X38" i="11"/>
  <c r="Z37" i="11"/>
  <c r="Y37" i="11"/>
  <c r="AL37" i="11" s="1"/>
  <c r="X37" i="11"/>
  <c r="Z36" i="11"/>
  <c r="AM36" i="11" s="1"/>
  <c r="Y36" i="11"/>
  <c r="AL36" i="11" s="1"/>
  <c r="X36" i="11"/>
  <c r="AJ36" i="11" s="1"/>
  <c r="AA35" i="11"/>
  <c r="Z35" i="11"/>
  <c r="X35" i="11"/>
  <c r="X34" i="11"/>
  <c r="Z29" i="11"/>
  <c r="Y29" i="11"/>
  <c r="X29" i="11"/>
  <c r="Z27" i="11"/>
  <c r="Y27" i="11"/>
  <c r="X27" i="11"/>
  <c r="Y25" i="11"/>
  <c r="X25" i="11"/>
  <c r="Y23" i="11"/>
  <c r="X23" i="11"/>
  <c r="Z21" i="11"/>
  <c r="Y21" i="11"/>
  <c r="X21" i="11"/>
  <c r="Z20" i="11"/>
  <c r="Y20" i="11"/>
  <c r="X20" i="11"/>
  <c r="Z19" i="11"/>
  <c r="Y19" i="11"/>
  <c r="X19" i="11"/>
  <c r="Z17" i="11"/>
  <c r="AM17" i="11" s="1"/>
  <c r="Y17" i="11"/>
  <c r="AL17" i="11" s="1"/>
  <c r="X17" i="11"/>
  <c r="AJ17" i="11" s="1"/>
  <c r="X16" i="11"/>
  <c r="Z15" i="11"/>
  <c r="Y15" i="11"/>
  <c r="X15" i="11"/>
  <c r="Z14" i="11"/>
  <c r="Y14" i="11"/>
  <c r="X14" i="11"/>
  <c r="AJ14" i="11" s="1"/>
  <c r="Z12" i="11"/>
  <c r="Y12" i="11"/>
  <c r="X12" i="11"/>
  <c r="Z11" i="11"/>
  <c r="Y11" i="11"/>
  <c r="X11" i="11"/>
  <c r="Z10" i="11"/>
  <c r="AM10" i="11" s="1"/>
  <c r="Y10" i="11"/>
  <c r="X10" i="11"/>
  <c r="AJ10" i="11" s="1"/>
  <c r="Z8" i="11"/>
  <c r="Y8" i="11"/>
  <c r="X8" i="11"/>
  <c r="Z7" i="11"/>
  <c r="Y7" i="11"/>
  <c r="X7" i="11"/>
  <c r="Z6" i="11"/>
  <c r="Y6" i="11"/>
  <c r="X6" i="11"/>
  <c r="Z5" i="11"/>
  <c r="Y5" i="11"/>
  <c r="X5" i="11"/>
  <c r="AA11" i="11" l="1"/>
  <c r="AA78" i="11"/>
  <c r="AA86" i="11"/>
  <c r="AA184" i="11"/>
  <c r="AA21" i="11"/>
  <c r="X47" i="11"/>
  <c r="AA57" i="11"/>
  <c r="AJ110" i="11"/>
  <c r="AJ111" i="11" s="1"/>
  <c r="Y166" i="11"/>
  <c r="AL166" i="11" s="1"/>
  <c r="AL6" i="11"/>
  <c r="Y168" i="11"/>
  <c r="AL168" i="11" s="1"/>
  <c r="AL7" i="11"/>
  <c r="Z164" i="11"/>
  <c r="AM164" i="11" s="1"/>
  <c r="AM5" i="11"/>
  <c r="AA6" i="11"/>
  <c r="X170" i="11"/>
  <c r="AJ170" i="11" s="1"/>
  <c r="AJ8" i="11"/>
  <c r="Y174" i="11"/>
  <c r="AL174" i="11" s="1"/>
  <c r="AL11" i="11"/>
  <c r="Z177" i="11"/>
  <c r="AM14" i="11"/>
  <c r="X181" i="11"/>
  <c r="AJ16" i="11"/>
  <c r="Y186" i="11"/>
  <c r="AL186" i="11" s="1"/>
  <c r="AL20" i="11"/>
  <c r="X194" i="11"/>
  <c r="AJ194" i="11" s="1"/>
  <c r="AJ27" i="11"/>
  <c r="X166" i="11"/>
  <c r="AJ166" i="11" s="1"/>
  <c r="AJ6" i="11"/>
  <c r="X168" i="11"/>
  <c r="AJ168" i="11" s="1"/>
  <c r="AJ7" i="11"/>
  <c r="Y170" i="11"/>
  <c r="AL170" i="11" s="1"/>
  <c r="AL8" i="11"/>
  <c r="Y31" i="11"/>
  <c r="AL10" i="11"/>
  <c r="Z174" i="11"/>
  <c r="AM174" i="11" s="1"/>
  <c r="AM11" i="11"/>
  <c r="Z176" i="11"/>
  <c r="AM176" i="11" s="1"/>
  <c r="AM12" i="11"/>
  <c r="X179" i="11"/>
  <c r="AJ15" i="11"/>
  <c r="AJ179" i="11" s="1"/>
  <c r="Y183" i="11"/>
  <c r="AL19" i="11"/>
  <c r="Z186" i="11"/>
  <c r="AM186" i="11" s="1"/>
  <c r="AM20" i="11"/>
  <c r="X191" i="11"/>
  <c r="AJ25" i="11"/>
  <c r="Y194" i="11"/>
  <c r="AL194" i="11" s="1"/>
  <c r="AL193" i="11" s="1"/>
  <c r="AL27" i="11"/>
  <c r="Z196" i="11"/>
  <c r="AM196" i="11" s="1"/>
  <c r="AM29" i="11"/>
  <c r="AP36" i="11"/>
  <c r="AO36" i="11"/>
  <c r="AN36" i="11"/>
  <c r="X208" i="11"/>
  <c r="AJ208" i="11" s="1"/>
  <c r="AJ38" i="11"/>
  <c r="Y212" i="11"/>
  <c r="AL212" i="11" s="1"/>
  <c r="AL40" i="11"/>
  <c r="X220" i="11"/>
  <c r="AJ220" i="11" s="1"/>
  <c r="AJ45" i="11"/>
  <c r="AN45" i="11" s="1"/>
  <c r="AL221" i="11"/>
  <c r="Y224" i="11"/>
  <c r="AL224" i="11" s="1"/>
  <c r="AL47" i="11"/>
  <c r="Z226" i="11"/>
  <c r="AM226" i="11" s="1"/>
  <c r="AM48" i="11"/>
  <c r="X229" i="11"/>
  <c r="AJ51" i="11"/>
  <c r="X231" i="11"/>
  <c r="AJ52" i="11"/>
  <c r="Z239" i="11"/>
  <c r="AM57" i="11"/>
  <c r="Y241" i="11"/>
  <c r="AL59" i="11"/>
  <c r="AL241" i="11" s="1"/>
  <c r="AL243" i="11"/>
  <c r="AP61" i="11"/>
  <c r="AP60" i="11"/>
  <c r="X248" i="11"/>
  <c r="AJ248" i="11" s="1"/>
  <c r="AJ65" i="11"/>
  <c r="AN77" i="11"/>
  <c r="AO76" i="11"/>
  <c r="AP77" i="11"/>
  <c r="AP76" i="11"/>
  <c r="AN76" i="11"/>
  <c r="AO77" i="11"/>
  <c r="AA83" i="11"/>
  <c r="Z91" i="11"/>
  <c r="Z261" i="11"/>
  <c r="AM93" i="11"/>
  <c r="AM110" i="11" s="1"/>
  <c r="AP98" i="11"/>
  <c r="AN98" i="11"/>
  <c r="AO98" i="11"/>
  <c r="AN120" i="11"/>
  <c r="AO120" i="11"/>
  <c r="AO128" i="11"/>
  <c r="AO129" i="11"/>
  <c r="X164" i="11"/>
  <c r="AJ164" i="11" s="1"/>
  <c r="AJ5" i="11"/>
  <c r="Z170" i="11"/>
  <c r="AM170" i="11" s="1"/>
  <c r="AM8" i="11"/>
  <c r="X187" i="11"/>
  <c r="AJ21" i="11"/>
  <c r="AJ187" i="11" s="1"/>
  <c r="Y191" i="11"/>
  <c r="AL25" i="11"/>
  <c r="Z194" i="11"/>
  <c r="AM194" i="11" s="1"/>
  <c r="AM27" i="11"/>
  <c r="X206" i="11"/>
  <c r="AJ206" i="11" s="1"/>
  <c r="AJ37" i="11"/>
  <c r="Y208" i="11"/>
  <c r="AL208" i="11" s="1"/>
  <c r="AL38" i="11"/>
  <c r="Z210" i="11"/>
  <c r="AM210" i="11" s="1"/>
  <c r="AM39" i="11"/>
  <c r="Z212" i="11"/>
  <c r="AM212" i="11" s="1"/>
  <c r="AM40" i="11"/>
  <c r="X218" i="11"/>
  <c r="AJ218" i="11" s="1"/>
  <c r="AJ44" i="11"/>
  <c r="Y220" i="11"/>
  <c r="AL220" i="11" s="1"/>
  <c r="AL45" i="11"/>
  <c r="AP45" i="11" s="1"/>
  <c r="AM221" i="11"/>
  <c r="AO221" i="11" s="1"/>
  <c r="AP46" i="11"/>
  <c r="AN46" i="11"/>
  <c r="AO46" i="11"/>
  <c r="AO47" i="11"/>
  <c r="AP47" i="11"/>
  <c r="Y229" i="11"/>
  <c r="AL51" i="11"/>
  <c r="AL229" i="11" s="1"/>
  <c r="Y231" i="11"/>
  <c r="AL52" i="11"/>
  <c r="Z234" i="11"/>
  <c r="AM234" i="11" s="1"/>
  <c r="AM53" i="11"/>
  <c r="Z237" i="11"/>
  <c r="AM56" i="11"/>
  <c r="Z241" i="11"/>
  <c r="AM59" i="11"/>
  <c r="X245" i="11"/>
  <c r="AJ63" i="11"/>
  <c r="AJ245" i="11" s="1"/>
  <c r="Y248" i="11"/>
  <c r="AL248" i="11" s="1"/>
  <c r="AL247" i="11" s="1"/>
  <c r="AL65" i="11"/>
  <c r="X91" i="11"/>
  <c r="AJ90" i="11"/>
  <c r="AA92" i="11"/>
  <c r="AA98" i="11"/>
  <c r="AJ139" i="11"/>
  <c r="AA146" i="11"/>
  <c r="AM146" i="11"/>
  <c r="AO9" i="11"/>
  <c r="AO10" i="11"/>
  <c r="AN10" i="11"/>
  <c r="AN9" i="11"/>
  <c r="AP9" i="11"/>
  <c r="AP10" i="11"/>
  <c r="Y179" i="11"/>
  <c r="AL15" i="11"/>
  <c r="Z183" i="11"/>
  <c r="AM19" i="11"/>
  <c r="X189" i="11"/>
  <c r="AJ23" i="11"/>
  <c r="Y164" i="11"/>
  <c r="AL164" i="11" s="1"/>
  <c r="AL5" i="11"/>
  <c r="Z166" i="11"/>
  <c r="AM166" i="11" s="1"/>
  <c r="AM6" i="11"/>
  <c r="Z168" i="11"/>
  <c r="AM168" i="11" s="1"/>
  <c r="AM7" i="11"/>
  <c r="AA8" i="11"/>
  <c r="X174" i="11"/>
  <c r="AJ174" i="11" s="1"/>
  <c r="AJ11" i="11"/>
  <c r="X176" i="11"/>
  <c r="AJ176" i="11" s="1"/>
  <c r="AJ12" i="11"/>
  <c r="Y177" i="11"/>
  <c r="AL14" i="11"/>
  <c r="Z179" i="11"/>
  <c r="AM15" i="11"/>
  <c r="AP17" i="11"/>
  <c r="AO17" i="11"/>
  <c r="AN17" i="11"/>
  <c r="X185" i="11"/>
  <c r="AJ20" i="11"/>
  <c r="AJ185" i="11" s="1"/>
  <c r="Y188" i="11"/>
  <c r="AL188" i="11" s="1"/>
  <c r="AL21" i="11"/>
  <c r="Y190" i="11"/>
  <c r="AL190" i="11" s="1"/>
  <c r="AL23" i="11"/>
  <c r="AA25" i="11"/>
  <c r="AA191" i="11" s="1"/>
  <c r="X196" i="11"/>
  <c r="AJ196" i="11" s="1"/>
  <c r="AJ195" i="11" s="1"/>
  <c r="AJ29" i="11"/>
  <c r="Z208" i="11"/>
  <c r="AM208" i="11" s="1"/>
  <c r="AM38" i="11"/>
  <c r="AA39" i="11"/>
  <c r="AO45" i="11"/>
  <c r="AA46" i="11"/>
  <c r="X226" i="11"/>
  <c r="AJ226" i="11" s="1"/>
  <c r="AJ48" i="11"/>
  <c r="Z229" i="11"/>
  <c r="AM51" i="11"/>
  <c r="AA52" i="11"/>
  <c r="Z55" i="11"/>
  <c r="X239" i="11"/>
  <c r="AJ57" i="11"/>
  <c r="AA58" i="11"/>
  <c r="AA59" i="11"/>
  <c r="Y245" i="11"/>
  <c r="AL63" i="11"/>
  <c r="AL245" i="11" s="1"/>
  <c r="AO64" i="11"/>
  <c r="AN65" i="11"/>
  <c r="AP65" i="11"/>
  <c r="AP64" i="11"/>
  <c r="AN64" i="11"/>
  <c r="AO65" i="11"/>
  <c r="AJ91" i="11"/>
  <c r="X110" i="11"/>
  <c r="AN124" i="11"/>
  <c r="X129" i="11"/>
  <c r="AA134" i="11"/>
  <c r="AL139" i="11"/>
  <c r="AL183" i="11"/>
  <c r="Y176" i="11"/>
  <c r="AL176" i="11" s="1"/>
  <c r="AL12" i="11"/>
  <c r="X183" i="11"/>
  <c r="AJ19" i="11"/>
  <c r="Z188" i="11"/>
  <c r="AM188" i="11" s="1"/>
  <c r="AM21" i="11"/>
  <c r="AA24" i="11"/>
  <c r="Y196" i="11"/>
  <c r="AL196" i="11" s="1"/>
  <c r="AL29" i="11"/>
  <c r="Z206" i="11"/>
  <c r="AM206" i="11" s="1"/>
  <c r="AM37" i="11"/>
  <c r="X210" i="11"/>
  <c r="AJ210" i="11" s="1"/>
  <c r="AJ39" i="11"/>
  <c r="X212" i="11"/>
  <c r="AJ212" i="11" s="1"/>
  <c r="AJ40" i="11"/>
  <c r="Z218" i="11"/>
  <c r="AM218" i="11" s="1"/>
  <c r="AM44" i="11"/>
  <c r="AJ221" i="11"/>
  <c r="X224" i="11"/>
  <c r="AJ224" i="11" s="1"/>
  <c r="AJ47" i="11"/>
  <c r="Y226" i="11"/>
  <c r="AL226" i="11" s="1"/>
  <c r="AL48" i="11"/>
  <c r="AP50" i="11"/>
  <c r="AO49" i="11"/>
  <c r="AO50" i="11"/>
  <c r="AP49" i="11"/>
  <c r="AA51" i="11"/>
  <c r="X234" i="11"/>
  <c r="AJ234" i="11" s="1"/>
  <c r="AJ53" i="11"/>
  <c r="X237" i="11"/>
  <c r="AJ56" i="11"/>
  <c r="AJ237" i="11" s="1"/>
  <c r="Y239" i="11"/>
  <c r="AL57" i="11"/>
  <c r="AL239" i="11" s="1"/>
  <c r="X243" i="11"/>
  <c r="AJ61" i="11"/>
  <c r="Z245" i="11"/>
  <c r="AM63" i="11"/>
  <c r="AO90" i="11"/>
  <c r="AN90" i="11"/>
  <c r="AP90" i="11"/>
  <c r="Y261" i="11"/>
  <c r="AL93" i="11"/>
  <c r="AL91" i="11" s="1"/>
  <c r="Y122" i="11"/>
  <c r="Y158" i="11" s="1"/>
  <c r="AL120" i="11"/>
  <c r="AN127" i="11"/>
  <c r="AA129" i="11"/>
  <c r="AL129" i="11"/>
  <c r="AP129" i="11" s="1"/>
  <c r="AP138" i="11"/>
  <c r="AN138" i="11"/>
  <c r="AO138" i="11"/>
  <c r="AO140" i="11"/>
  <c r="AP141" i="11"/>
  <c r="AO141" i="11"/>
  <c r="AP140" i="11"/>
  <c r="AM139" i="11"/>
  <c r="AN141" i="11"/>
  <c r="AN140" i="11"/>
  <c r="AN147" i="11"/>
  <c r="AN148" i="11"/>
  <c r="AA183" i="11"/>
  <c r="AM184" i="11"/>
  <c r="AN242" i="11"/>
  <c r="AJ241" i="11"/>
  <c r="AN241" i="11"/>
  <c r="AA176" i="11"/>
  <c r="X204" i="11"/>
  <c r="AJ204" i="11" s="1"/>
  <c r="AJ203" i="11" s="1"/>
  <c r="AA26" i="11"/>
  <c r="AA27" i="11"/>
  <c r="Y271" i="11"/>
  <c r="Y204" i="11"/>
  <c r="AL204" i="11" s="1"/>
  <c r="AL203" i="11" s="1"/>
  <c r="AA38" i="11"/>
  <c r="Y218" i="11"/>
  <c r="AL218" i="11" s="1"/>
  <c r="Y206" i="11"/>
  <c r="AL206" i="11" s="1"/>
  <c r="AL205" i="11" s="1"/>
  <c r="Z248" i="11"/>
  <c r="AM248" i="11" s="1"/>
  <c r="AA65" i="11"/>
  <c r="AA64" i="11"/>
  <c r="AA5" i="11"/>
  <c r="AA7" i="11"/>
  <c r="AA12" i="11"/>
  <c r="AA13" i="11"/>
  <c r="AA14" i="11"/>
  <c r="AA18" i="11"/>
  <c r="AA19" i="11"/>
  <c r="AA189" i="11"/>
  <c r="AA9" i="11"/>
  <c r="AA10" i="11"/>
  <c r="AA15" i="11"/>
  <c r="Y16" i="11"/>
  <c r="AL16" i="11" s="1"/>
  <c r="AL181" i="11" s="1"/>
  <c r="AA17" i="11"/>
  <c r="AA20" i="11"/>
  <c r="AA23" i="11"/>
  <c r="AA195" i="11"/>
  <c r="AA196" i="11"/>
  <c r="X31" i="11"/>
  <c r="Z271" i="11"/>
  <c r="Z204" i="11"/>
  <c r="AM204" i="11" s="1"/>
  <c r="AA37" i="11"/>
  <c r="Y210" i="11"/>
  <c r="AL210" i="11" s="1"/>
  <c r="AL209" i="11" s="1"/>
  <c r="Z220" i="11"/>
  <c r="AM220" i="11" s="1"/>
  <c r="AA45" i="11"/>
  <c r="AA220" i="11" s="1"/>
  <c r="Z224" i="11"/>
  <c r="AM224" i="11" s="1"/>
  <c r="AA47" i="11"/>
  <c r="AA224" i="11" s="1"/>
  <c r="Y243" i="11"/>
  <c r="AA60" i="11"/>
  <c r="AA61" i="11"/>
  <c r="AA120" i="11"/>
  <c r="Z122" i="11"/>
  <c r="AM122" i="11" s="1"/>
  <c r="Z41" i="11"/>
  <c r="AA41" i="11" s="1"/>
  <c r="AA194" i="11"/>
  <c r="Z31" i="11"/>
  <c r="X228" i="11"/>
  <c r="AJ228" i="11" s="1"/>
  <c r="Z16" i="11"/>
  <c r="AM16" i="11" s="1"/>
  <c r="AA188" i="11"/>
  <c r="AA22" i="11"/>
  <c r="AA28" i="11"/>
  <c r="AA29" i="11"/>
  <c r="AA36" i="11"/>
  <c r="X205" i="11"/>
  <c r="AA40" i="11"/>
  <c r="AA44" i="11"/>
  <c r="AA218" i="11" s="1"/>
  <c r="Y234" i="11"/>
  <c r="AL234" i="11" s="1"/>
  <c r="AL233" i="11" s="1"/>
  <c r="Y237" i="11"/>
  <c r="Y253" i="11"/>
  <c r="Y110" i="11"/>
  <c r="AA141" i="11"/>
  <c r="AA140" i="11"/>
  <c r="Y139" i="11"/>
  <c r="AA48" i="11"/>
  <c r="AA226" i="11" s="1"/>
  <c r="Y55" i="11"/>
  <c r="AA54" i="11" s="1"/>
  <c r="AA62" i="11"/>
  <c r="AA63" i="11"/>
  <c r="AA90" i="11"/>
  <c r="Z253" i="11"/>
  <c r="Z110" i="11"/>
  <c r="AA109" i="11" s="1"/>
  <c r="X211" i="11"/>
  <c r="X214" i="11"/>
  <c r="AJ214" i="11" s="1"/>
  <c r="AJ213" i="11" s="1"/>
  <c r="AA49" i="11"/>
  <c r="AA50" i="11"/>
  <c r="AA53" i="11"/>
  <c r="AA234" i="11" s="1"/>
  <c r="AA236" i="11" s="1"/>
  <c r="X55" i="11"/>
  <c r="AA56" i="11"/>
  <c r="AA76" i="11"/>
  <c r="AA77" i="11"/>
  <c r="AA110" i="11" s="1"/>
  <c r="Z139" i="11"/>
  <c r="AA138" i="11"/>
  <c r="X122" i="11"/>
  <c r="AJ122" i="11" s="1"/>
  <c r="Y91" i="11"/>
  <c r="AA91" i="11" s="1"/>
  <c r="X241" i="11"/>
  <c r="AA170" i="11" l="1"/>
  <c r="Z214" i="11"/>
  <c r="AM214" i="11" s="1"/>
  <c r="X172" i="11"/>
  <c r="AJ172" i="11" s="1"/>
  <c r="AA174" i="11"/>
  <c r="AA208" i="11"/>
  <c r="AA186" i="11"/>
  <c r="AA190" i="11" s="1"/>
  <c r="Z236" i="11"/>
  <c r="AM236" i="11" s="1"/>
  <c r="AA193" i="11"/>
  <c r="AL195" i="11"/>
  <c r="AJ31" i="11"/>
  <c r="Z172" i="11"/>
  <c r="AM172" i="11" s="1"/>
  <c r="X236" i="11"/>
  <c r="X235" i="11" s="1"/>
  <c r="Z228" i="11"/>
  <c r="AM228" i="11" s="1"/>
  <c r="AA212" i="11"/>
  <c r="AJ175" i="11"/>
  <c r="AA166" i="11"/>
  <c r="AJ173" i="11"/>
  <c r="Y172" i="11"/>
  <c r="AL172" i="11" s="1"/>
  <c r="AA164" i="11"/>
  <c r="AA168" i="11"/>
  <c r="AJ247" i="11"/>
  <c r="AL211" i="11"/>
  <c r="AL165" i="11"/>
  <c r="AL225" i="11"/>
  <c r="AL167" i="11"/>
  <c r="AJ223" i="11"/>
  <c r="AL223" i="11"/>
  <c r="AJ219" i="11"/>
  <c r="AM111" i="11"/>
  <c r="AN109" i="11"/>
  <c r="AO109" i="11"/>
  <c r="AO110" i="11"/>
  <c r="AA139" i="11"/>
  <c r="AO228" i="11"/>
  <c r="AN227" i="11"/>
  <c r="AM227" i="11"/>
  <c r="AO227" i="11"/>
  <c r="AN228" i="11"/>
  <c r="AA228" i="11"/>
  <c r="AA227" i="11" s="1"/>
  <c r="AP16" i="11"/>
  <c r="AM181" i="11"/>
  <c r="AN16" i="11"/>
  <c r="AO16" i="11"/>
  <c r="AP220" i="11"/>
  <c r="AO220" i="11"/>
  <c r="AN220" i="11"/>
  <c r="AM219" i="11"/>
  <c r="AN139" i="11"/>
  <c r="AO139" i="11"/>
  <c r="AL110" i="11"/>
  <c r="AL111" i="11" s="1"/>
  <c r="AO44" i="11"/>
  <c r="AN44" i="11"/>
  <c r="AP44" i="11"/>
  <c r="AJ211" i="11"/>
  <c r="AM205" i="11"/>
  <c r="AO206" i="11"/>
  <c r="AP206" i="11"/>
  <c r="AN206" i="11"/>
  <c r="AJ239" i="11"/>
  <c r="AM55" i="11"/>
  <c r="AM235" i="11" s="1"/>
  <c r="AN51" i="11"/>
  <c r="AO51" i="11"/>
  <c r="AP51" i="11"/>
  <c r="AM229" i="11"/>
  <c r="AJ225" i="11"/>
  <c r="AO38" i="11"/>
  <c r="AP38" i="11"/>
  <c r="AN38" i="11"/>
  <c r="AL189" i="11"/>
  <c r="AP189" i="11"/>
  <c r="AO15" i="11"/>
  <c r="AM179" i="11"/>
  <c r="AN15" i="11"/>
  <c r="AP15" i="11"/>
  <c r="AP166" i="11"/>
  <c r="AO166" i="11"/>
  <c r="AN166" i="11"/>
  <c r="AM165" i="11"/>
  <c r="AM237" i="11"/>
  <c r="AO56" i="11"/>
  <c r="AN56" i="11"/>
  <c r="AP56" i="11"/>
  <c r="AL231" i="11"/>
  <c r="AP52" i="11"/>
  <c r="AL219" i="11"/>
  <c r="AM211" i="11"/>
  <c r="AP212" i="11"/>
  <c r="AO212" i="11"/>
  <c r="AN212" i="11"/>
  <c r="AL207" i="11"/>
  <c r="AP194" i="11"/>
  <c r="AN193" i="11"/>
  <c r="AO194" i="11"/>
  <c r="AP193" i="11"/>
  <c r="AN194" i="11"/>
  <c r="AO193" i="11"/>
  <c r="AM193" i="11"/>
  <c r="AJ231" i="11"/>
  <c r="AJ55" i="11"/>
  <c r="AN52" i="11"/>
  <c r="AP48" i="11"/>
  <c r="AO48" i="11"/>
  <c r="AN48" i="11"/>
  <c r="AJ207" i="11"/>
  <c r="AO28" i="11"/>
  <c r="AO29" i="11"/>
  <c r="AP29" i="11"/>
  <c r="AN28" i="11"/>
  <c r="AN29" i="11"/>
  <c r="AP28" i="11"/>
  <c r="AJ191" i="11"/>
  <c r="AN25" i="11"/>
  <c r="AN24" i="11"/>
  <c r="AM173" i="11"/>
  <c r="AP174" i="11"/>
  <c r="AN174" i="11"/>
  <c r="AO174" i="11"/>
  <c r="AL169" i="11"/>
  <c r="AJ165" i="11"/>
  <c r="AL185" i="11"/>
  <c r="AJ169" i="11"/>
  <c r="AO235" i="11"/>
  <c r="AO236" i="11"/>
  <c r="AJ171" i="11"/>
  <c r="AN204" i="11"/>
  <c r="AO204" i="11"/>
  <c r="AM203" i="11"/>
  <c r="AP204" i="11"/>
  <c r="AN248" i="11"/>
  <c r="AP248" i="11"/>
  <c r="AN247" i="11"/>
  <c r="AM247" i="11"/>
  <c r="AO247" i="11" s="1"/>
  <c r="AO248" i="11"/>
  <c r="AP247" i="11"/>
  <c r="AM183" i="11"/>
  <c r="AN183" i="11"/>
  <c r="AO183" i="11"/>
  <c r="AO184" i="11"/>
  <c r="AP183" i="11"/>
  <c r="AN184" i="11"/>
  <c r="AL122" i="11"/>
  <c r="AL158" i="11" s="1"/>
  <c r="AL159" i="11" s="1"/>
  <c r="Y43" i="11"/>
  <c r="AL43" i="11" s="1"/>
  <c r="AN63" i="11"/>
  <c r="AP62" i="11"/>
  <c r="AO63" i="11"/>
  <c r="AM245" i="11"/>
  <c r="AP63" i="11"/>
  <c r="AO62" i="11"/>
  <c r="AN62" i="11"/>
  <c r="AN218" i="11"/>
  <c r="AM217" i="11"/>
  <c r="AO218" i="11"/>
  <c r="AN21" i="11"/>
  <c r="AP21" i="11"/>
  <c r="AO21" i="11"/>
  <c r="AP184" i="11"/>
  <c r="AJ129" i="11"/>
  <c r="AJ158" i="11" s="1"/>
  <c r="AJ159" i="11" s="1"/>
  <c r="X50" i="11"/>
  <c r="AJ50" i="11" s="1"/>
  <c r="AJ227" i="11" s="1"/>
  <c r="AP208" i="11"/>
  <c r="AN208" i="11"/>
  <c r="AO208" i="11"/>
  <c r="AM207" i="11"/>
  <c r="AO7" i="11"/>
  <c r="AN7" i="11"/>
  <c r="AN19" i="11"/>
  <c r="AN18" i="11"/>
  <c r="AP18" i="11"/>
  <c r="AP19" i="11"/>
  <c r="AO19" i="11"/>
  <c r="AO18" i="11"/>
  <c r="AJ183" i="11"/>
  <c r="AO39" i="11"/>
  <c r="AP39" i="11"/>
  <c r="AN39" i="11"/>
  <c r="AL191" i="11"/>
  <c r="AP24" i="11"/>
  <c r="AP25" i="11"/>
  <c r="AP191" i="11" s="1"/>
  <c r="AJ163" i="11"/>
  <c r="AP128" i="11"/>
  <c r="AM239" i="11"/>
  <c r="AO57" i="11"/>
  <c r="AN57" i="11"/>
  <c r="AP57" i="11"/>
  <c r="AM225" i="11"/>
  <c r="AO225" i="11" s="1"/>
  <c r="AP226" i="11"/>
  <c r="AN226" i="11"/>
  <c r="AO226" i="11"/>
  <c r="AP195" i="11"/>
  <c r="AO196" i="11"/>
  <c r="AM195" i="11"/>
  <c r="AP196" i="11"/>
  <c r="AN196" i="11"/>
  <c r="AO195" i="11"/>
  <c r="AN195" i="11"/>
  <c r="AO12" i="11"/>
  <c r="AP12" i="11"/>
  <c r="AN12" i="11"/>
  <c r="AL31" i="11"/>
  <c r="AJ181" i="11"/>
  <c r="AA55" i="11"/>
  <c r="AL55" i="11"/>
  <c r="AP224" i="11"/>
  <c r="AO224" i="11"/>
  <c r="AM223" i="11"/>
  <c r="AO223" i="11" s="1"/>
  <c r="AN224" i="11"/>
  <c r="AO214" i="11"/>
  <c r="AN214" i="11"/>
  <c r="AP218" i="11"/>
  <c r="AL217" i="11"/>
  <c r="AJ209" i="11"/>
  <c r="AP188" i="11"/>
  <c r="AO188" i="11"/>
  <c r="AP187" i="11"/>
  <c r="AM187" i="11"/>
  <c r="AN188" i="11"/>
  <c r="AL175" i="11"/>
  <c r="AP139" i="11"/>
  <c r="AL187" i="11"/>
  <c r="AL177" i="11"/>
  <c r="AO168" i="11"/>
  <c r="AN168" i="11"/>
  <c r="AM167" i="11"/>
  <c r="AP168" i="11"/>
  <c r="AL163" i="11"/>
  <c r="AM31" i="11"/>
  <c r="AO146" i="11"/>
  <c r="AN146" i="11"/>
  <c r="AP146" i="11"/>
  <c r="AM241" i="11"/>
  <c r="AP58" i="11"/>
  <c r="AN59" i="11"/>
  <c r="AP59" i="11"/>
  <c r="AO59" i="11"/>
  <c r="AO58" i="11"/>
  <c r="AN58" i="11"/>
  <c r="AN53" i="11"/>
  <c r="AO53" i="11"/>
  <c r="AP53" i="11"/>
  <c r="AN47" i="11"/>
  <c r="AJ217" i="11"/>
  <c r="AP210" i="11"/>
  <c r="AN210" i="11"/>
  <c r="AO210" i="11"/>
  <c r="AM209" i="11"/>
  <c r="AJ205" i="11"/>
  <c r="AO8" i="11"/>
  <c r="AN8" i="11"/>
  <c r="AJ229" i="11"/>
  <c r="AP20" i="11"/>
  <c r="AN20" i="11"/>
  <c r="AO20" i="11"/>
  <c r="AN176" i="11"/>
  <c r="AP176" i="11"/>
  <c r="AO176" i="11"/>
  <c r="AM175" i="11"/>
  <c r="AJ167" i="11"/>
  <c r="AJ193" i="11"/>
  <c r="AL173" i="11"/>
  <c r="AO5" i="11"/>
  <c r="AN5" i="11"/>
  <c r="AP5" i="11"/>
  <c r="AO122" i="11"/>
  <c r="AM158" i="11"/>
  <c r="AP122" i="11"/>
  <c r="AP158" i="11" s="1"/>
  <c r="AP159" i="11" s="1"/>
  <c r="AN122" i="11"/>
  <c r="AN121" i="11"/>
  <c r="AO121" i="11"/>
  <c r="AM198" i="11"/>
  <c r="AN172" i="11"/>
  <c r="AO171" i="11"/>
  <c r="AO172" i="11"/>
  <c r="AN171" i="11"/>
  <c r="AM171" i="11"/>
  <c r="AN61" i="11"/>
  <c r="AN60" i="11"/>
  <c r="AJ243" i="11"/>
  <c r="AJ236" i="11"/>
  <c r="AN235" i="11" s="1"/>
  <c r="AJ233" i="11"/>
  <c r="AO37" i="11"/>
  <c r="AM41" i="11"/>
  <c r="AP37" i="11"/>
  <c r="AN37" i="11"/>
  <c r="AP22" i="11"/>
  <c r="AP23" i="11"/>
  <c r="AN6" i="11"/>
  <c r="AO6" i="11"/>
  <c r="AJ189" i="11"/>
  <c r="AN22" i="11"/>
  <c r="AN23" i="11"/>
  <c r="AL179" i="11"/>
  <c r="AO234" i="11"/>
  <c r="AM233" i="11"/>
  <c r="AO233" i="11" s="1"/>
  <c r="AP234" i="11"/>
  <c r="AN234" i="11"/>
  <c r="AN40" i="11"/>
  <c r="AP40" i="11"/>
  <c r="AO40" i="11"/>
  <c r="AO26" i="11"/>
  <c r="AN27" i="11"/>
  <c r="AN26" i="11"/>
  <c r="AP26" i="11"/>
  <c r="AO27" i="11"/>
  <c r="AP27" i="11"/>
  <c r="AM169" i="11"/>
  <c r="AO170" i="11"/>
  <c r="AN170" i="11"/>
  <c r="AP170" i="11"/>
  <c r="AP120" i="11"/>
  <c r="AN93" i="11"/>
  <c r="AN110" i="11" s="1"/>
  <c r="AP93" i="11"/>
  <c r="AP110" i="11" s="1"/>
  <c r="AP92" i="11"/>
  <c r="AN92" i="11"/>
  <c r="AO93" i="11"/>
  <c r="AO92" i="11"/>
  <c r="AM91" i="11"/>
  <c r="AM185" i="11"/>
  <c r="AN186" i="11"/>
  <c r="AN190" i="11" s="1"/>
  <c r="AP186" i="11"/>
  <c r="AP190" i="11" s="1"/>
  <c r="AO186" i="11"/>
  <c r="AP185" i="11"/>
  <c r="AN11" i="11"/>
  <c r="AO11" i="11"/>
  <c r="AP11" i="11"/>
  <c r="AO14" i="11"/>
  <c r="AN14" i="11"/>
  <c r="AP13" i="11"/>
  <c r="AP14" i="11"/>
  <c r="AN13" i="11"/>
  <c r="AO13" i="11"/>
  <c r="AM177" i="11"/>
  <c r="AM163" i="11"/>
  <c r="AO164" i="11"/>
  <c r="AN164" i="11"/>
  <c r="AP164" i="11"/>
  <c r="Z227" i="11"/>
  <c r="X171" i="11"/>
  <c r="Y214" i="11"/>
  <c r="X203" i="11"/>
  <c r="X213" i="11"/>
  <c r="X216" i="11"/>
  <c r="AJ216" i="11" s="1"/>
  <c r="AA206" i="11"/>
  <c r="Z235" i="11"/>
  <c r="Z181" i="11"/>
  <c r="AA16" i="11"/>
  <c r="AA31" i="11"/>
  <c r="AA30" i="11"/>
  <c r="Z216" i="11"/>
  <c r="AM216" i="11" s="1"/>
  <c r="Z213" i="11"/>
  <c r="AA247" i="11"/>
  <c r="AA248" i="11"/>
  <c r="Z158" i="11"/>
  <c r="AA157" i="11" s="1"/>
  <c r="AA122" i="11"/>
  <c r="AA158" i="11" s="1"/>
  <c r="AA121" i="11"/>
  <c r="Z43" i="11"/>
  <c r="AM43" i="11" s="1"/>
  <c r="X158" i="11"/>
  <c r="X43" i="11"/>
  <c r="AJ43" i="11" s="1"/>
  <c r="AA210" i="11"/>
  <c r="Z266" i="11"/>
  <c r="Y236" i="11"/>
  <c r="AL236" i="11" s="1"/>
  <c r="AL235" i="11" s="1"/>
  <c r="X227" i="11"/>
  <c r="X178" i="11"/>
  <c r="AJ178" i="11" s="1"/>
  <c r="AJ198" i="11" s="1"/>
  <c r="Z267" i="11"/>
  <c r="Z272" i="11"/>
  <c r="AA204" i="11"/>
  <c r="Y181" i="11"/>
  <c r="Z198" i="11"/>
  <c r="Z171" i="11"/>
  <c r="Y67" i="11"/>
  <c r="Y228" i="11"/>
  <c r="AL228" i="11" s="1"/>
  <c r="AP227" i="11" s="1"/>
  <c r="Y272" i="11"/>
  <c r="AP172" i="11" l="1"/>
  <c r="AA172" i="11"/>
  <c r="Y198" i="11"/>
  <c r="Y197" i="11" s="1"/>
  <c r="AP171" i="11"/>
  <c r="AP121" i="11"/>
  <c r="AL171" i="11"/>
  <c r="AA171" i="11"/>
  <c r="AL198" i="11"/>
  <c r="AJ67" i="11"/>
  <c r="Y171" i="11"/>
  <c r="AP198" i="11"/>
  <c r="AA178" i="11"/>
  <c r="AP7" i="11"/>
  <c r="AJ199" i="11"/>
  <c r="AJ197" i="11"/>
  <c r="AA214" i="11"/>
  <c r="AL214" i="11"/>
  <c r="AP6" i="11"/>
  <c r="AO41" i="11"/>
  <c r="AP41" i="11"/>
  <c r="AN41" i="11"/>
  <c r="AP8" i="11"/>
  <c r="AP235" i="11"/>
  <c r="AN236" i="11"/>
  <c r="AJ235" i="11"/>
  <c r="AO54" i="11"/>
  <c r="AO55" i="11"/>
  <c r="AN54" i="11"/>
  <c r="AP54" i="11"/>
  <c r="AN55" i="11"/>
  <c r="AP55" i="11"/>
  <c r="AP228" i="11"/>
  <c r="AL227" i="11"/>
  <c r="AM159" i="11"/>
  <c r="AP157" i="11"/>
  <c r="AO158" i="11"/>
  <c r="AN157" i="11"/>
  <c r="AO157" i="11"/>
  <c r="AM213" i="11"/>
  <c r="AL197" i="11"/>
  <c r="AP109" i="11"/>
  <c r="AN177" i="11"/>
  <c r="AJ177" i="11"/>
  <c r="AN178" i="11"/>
  <c r="AN198" i="11" s="1"/>
  <c r="AP43" i="11"/>
  <c r="AO43" i="11"/>
  <c r="AO42" i="11"/>
  <c r="AN42" i="11"/>
  <c r="AM67" i="11"/>
  <c r="AN43" i="11"/>
  <c r="AP42" i="11"/>
  <c r="AJ215" i="11"/>
  <c r="AJ250" i="11"/>
  <c r="AN216" i="11"/>
  <c r="AM215" i="11"/>
  <c r="AO215" i="11"/>
  <c r="AM250" i="11"/>
  <c r="AO216" i="11"/>
  <c r="AN215" i="11"/>
  <c r="AN49" i="11"/>
  <c r="AN50" i="11"/>
  <c r="AN91" i="11"/>
  <c r="AO91" i="11"/>
  <c r="AP91" i="11"/>
  <c r="AM197" i="11"/>
  <c r="AO197" i="11"/>
  <c r="AN197" i="11"/>
  <c r="AP197" i="11"/>
  <c r="AO198" i="11"/>
  <c r="AO31" i="11"/>
  <c r="AN30" i="11"/>
  <c r="AO30" i="11"/>
  <c r="AN31" i="11"/>
  <c r="AP30" i="11"/>
  <c r="AP31" i="11"/>
  <c r="AN128" i="11"/>
  <c r="AN129" i="11"/>
  <c r="AN158" i="11" s="1"/>
  <c r="AN159" i="11" s="1"/>
  <c r="AL67" i="11"/>
  <c r="AL68" i="11" s="1"/>
  <c r="AP236" i="11"/>
  <c r="Z197" i="11"/>
  <c r="AA197" i="11"/>
  <c r="X250" i="11"/>
  <c r="X215" i="11"/>
  <c r="AA198" i="11"/>
  <c r="Y235" i="11"/>
  <c r="Y227" i="11"/>
  <c r="Y266" i="11"/>
  <c r="X177" i="11"/>
  <c r="Y267" i="11"/>
  <c r="X67" i="11"/>
  <c r="Z265" i="11"/>
  <c r="Z67" i="11"/>
  <c r="AA43" i="11"/>
  <c r="AA42" i="11"/>
  <c r="AA235" i="11"/>
  <c r="X198" i="11"/>
  <c r="X197" i="11" s="1"/>
  <c r="Z250" i="11"/>
  <c r="Z215" i="11"/>
  <c r="Y216" i="11"/>
  <c r="AL216" i="11" s="1"/>
  <c r="Y213" i="11"/>
  <c r="AN250" i="11" l="1"/>
  <c r="AL215" i="11"/>
  <c r="AL250" i="11"/>
  <c r="AL249" i="11" s="1"/>
  <c r="AJ265" i="11"/>
  <c r="AJ249" i="11"/>
  <c r="AO67" i="11"/>
  <c r="AM68" i="11"/>
  <c r="AP66" i="11"/>
  <c r="AO66" i="11"/>
  <c r="AP67" i="11"/>
  <c r="AN66" i="11"/>
  <c r="AN67" i="11"/>
  <c r="AL213" i="11"/>
  <c r="AP214" i="11"/>
  <c r="AP215" i="11"/>
  <c r="AA216" i="11"/>
  <c r="AA250" i="11" s="1"/>
  <c r="AP216" i="11"/>
  <c r="AP250" i="11" s="1"/>
  <c r="AA215" i="11"/>
  <c r="X249" i="11"/>
  <c r="AN249" i="11"/>
  <c r="AM249" i="11"/>
  <c r="AO250" i="11"/>
  <c r="AO249" i="11"/>
  <c r="Z249" i="11"/>
  <c r="Y250" i="11"/>
  <c r="Y249" i="11" s="1"/>
  <c r="Y215" i="11"/>
  <c r="Y265" i="11"/>
  <c r="AA67" i="11"/>
  <c r="AA66" i="11"/>
  <c r="AP249" i="11" l="1"/>
  <c r="AA249" i="11"/>
  <c r="O264" i="11"/>
  <c r="N264" i="11"/>
  <c r="O259" i="11"/>
  <c r="N259" i="11"/>
  <c r="O257" i="11"/>
  <c r="N257" i="11"/>
  <c r="O255" i="11"/>
  <c r="N255" i="11"/>
  <c r="P246" i="11"/>
  <c r="P245" i="11"/>
  <c r="P244" i="11"/>
  <c r="P243" i="11"/>
  <c r="O243" i="11"/>
  <c r="M242" i="11"/>
  <c r="P240" i="11"/>
  <c r="P238" i="11"/>
  <c r="O232" i="11"/>
  <c r="P232" i="11" s="1"/>
  <c r="P230" i="11"/>
  <c r="M217" i="11"/>
  <c r="O202" i="11"/>
  <c r="N202" i="11"/>
  <c r="M201" i="11"/>
  <c r="P192" i="11"/>
  <c r="P191" i="11"/>
  <c r="O191" i="11"/>
  <c r="M190" i="11"/>
  <c r="O184" i="11"/>
  <c r="N184" i="11"/>
  <c r="M184" i="11"/>
  <c r="P182" i="11"/>
  <c r="P180" i="11"/>
  <c r="P178" i="11"/>
  <c r="P177" i="11"/>
  <c r="O177" i="11"/>
  <c r="O162" i="11"/>
  <c r="N162" i="11"/>
  <c r="M161" i="11"/>
  <c r="P156" i="11"/>
  <c r="P155" i="11"/>
  <c r="P153" i="11"/>
  <c r="P152" i="11"/>
  <c r="P150" i="11"/>
  <c r="P149" i="11"/>
  <c r="P148" i="11"/>
  <c r="M148" i="11"/>
  <c r="M59" i="11" s="1"/>
  <c r="P147" i="11"/>
  <c r="O146" i="11"/>
  <c r="N146" i="11"/>
  <c r="M146" i="11"/>
  <c r="P145" i="11"/>
  <c r="P143" i="11"/>
  <c r="P142" i="11"/>
  <c r="N141" i="11"/>
  <c r="P141" i="11" s="1"/>
  <c r="M141" i="11"/>
  <c r="O138" i="11"/>
  <c r="O139" i="11" s="1"/>
  <c r="N138" i="11"/>
  <c r="M138" i="11"/>
  <c r="P137" i="11"/>
  <c r="O135" i="11"/>
  <c r="P135" i="11" s="1"/>
  <c r="N134" i="11"/>
  <c r="M134" i="11"/>
  <c r="P133" i="11"/>
  <c r="P132" i="11"/>
  <c r="O131" i="11"/>
  <c r="N131" i="11"/>
  <c r="M131" i="11"/>
  <c r="P130" i="11"/>
  <c r="O129" i="11"/>
  <c r="N129" i="11"/>
  <c r="N50" i="11" s="1"/>
  <c r="P127" i="11"/>
  <c r="M127" i="11"/>
  <c r="M48" i="11" s="1"/>
  <c r="P126" i="11"/>
  <c r="M126" i="11"/>
  <c r="M47" i="11" s="1"/>
  <c r="P125" i="11"/>
  <c r="P124" i="11"/>
  <c r="M124" i="11"/>
  <c r="M129" i="11" s="1"/>
  <c r="M50" i="11" s="1"/>
  <c r="P123" i="11"/>
  <c r="O120" i="11"/>
  <c r="O122" i="11" s="1"/>
  <c r="O43" i="11" s="1"/>
  <c r="N120" i="11"/>
  <c r="N122" i="11" s="1"/>
  <c r="N158" i="11" s="1"/>
  <c r="M120" i="11"/>
  <c r="P119" i="11"/>
  <c r="P118" i="11"/>
  <c r="P117" i="11"/>
  <c r="P116" i="11"/>
  <c r="P115" i="11"/>
  <c r="O114" i="11"/>
  <c r="O35" i="11" s="1"/>
  <c r="N114" i="11"/>
  <c r="N35" i="11" s="1"/>
  <c r="M113" i="11"/>
  <c r="P108" i="11"/>
  <c r="P107" i="11"/>
  <c r="P105" i="11"/>
  <c r="P104" i="11"/>
  <c r="P102" i="11"/>
  <c r="P101" i="11"/>
  <c r="P100" i="11"/>
  <c r="P99" i="11"/>
  <c r="O98" i="11"/>
  <c r="N98" i="11"/>
  <c r="M98" i="11"/>
  <c r="P97" i="11"/>
  <c r="P95" i="11"/>
  <c r="P94" i="11"/>
  <c r="O93" i="11"/>
  <c r="O261" i="11" s="1"/>
  <c r="N93" i="11"/>
  <c r="N261" i="11" s="1"/>
  <c r="M93" i="11"/>
  <c r="M19" i="11" s="1"/>
  <c r="O90" i="11"/>
  <c r="N90" i="11"/>
  <c r="M90" i="11"/>
  <c r="P89" i="11"/>
  <c r="P87" i="11"/>
  <c r="O86" i="11"/>
  <c r="N86" i="11"/>
  <c r="M86" i="11"/>
  <c r="P85" i="11"/>
  <c r="P84" i="11"/>
  <c r="O83" i="11"/>
  <c r="N83" i="11"/>
  <c r="M83" i="11"/>
  <c r="P82" i="11"/>
  <c r="P81" i="11"/>
  <c r="P80" i="11"/>
  <c r="N78" i="11"/>
  <c r="N11" i="11" s="1"/>
  <c r="N174" i="11" s="1"/>
  <c r="O77" i="11"/>
  <c r="N77" i="11"/>
  <c r="N253" i="11" s="1"/>
  <c r="M77" i="11"/>
  <c r="P75" i="11"/>
  <c r="P74" i="11"/>
  <c r="P73" i="11"/>
  <c r="P72" i="11"/>
  <c r="O71" i="11"/>
  <c r="N71" i="11"/>
  <c r="M70" i="11"/>
  <c r="O65" i="11"/>
  <c r="N65" i="11"/>
  <c r="N248" i="11" s="1"/>
  <c r="M65" i="11"/>
  <c r="M248" i="11" s="1"/>
  <c r="O63" i="11"/>
  <c r="N63" i="11"/>
  <c r="N245" i="11" s="1"/>
  <c r="M63" i="11"/>
  <c r="M245" i="11" s="1"/>
  <c r="N61" i="11"/>
  <c r="P60" i="11" s="1"/>
  <c r="M61" i="11"/>
  <c r="M243" i="11" s="1"/>
  <c r="O59" i="11"/>
  <c r="O241" i="11" s="1"/>
  <c r="N59" i="11"/>
  <c r="N242" i="11" s="1"/>
  <c r="P242" i="11" s="1"/>
  <c r="O57" i="11"/>
  <c r="N57" i="11"/>
  <c r="N239" i="11" s="1"/>
  <c r="M57" i="11"/>
  <c r="M239" i="11" s="1"/>
  <c r="O56" i="11"/>
  <c r="O237" i="11" s="1"/>
  <c r="N56" i="11"/>
  <c r="N237" i="11" s="1"/>
  <c r="M56" i="11"/>
  <c r="M237" i="11" s="1"/>
  <c r="O53" i="11"/>
  <c r="O234" i="11" s="1"/>
  <c r="N53" i="11"/>
  <c r="N234" i="11" s="1"/>
  <c r="N236" i="11" s="1"/>
  <c r="M53" i="11"/>
  <c r="M234" i="11" s="1"/>
  <c r="M236" i="11" s="1"/>
  <c r="N52" i="11"/>
  <c r="N231" i="11" s="1"/>
  <c r="M52" i="11"/>
  <c r="M231" i="11" s="1"/>
  <c r="O51" i="11"/>
  <c r="O55" i="11" s="1"/>
  <c r="O235" i="11" s="1"/>
  <c r="N51" i="11"/>
  <c r="N229" i="11" s="1"/>
  <c r="M51" i="11"/>
  <c r="M229" i="11" s="1"/>
  <c r="O48" i="11"/>
  <c r="O226" i="11" s="1"/>
  <c r="N48" i="11"/>
  <c r="N226" i="11" s="1"/>
  <c r="O47" i="11"/>
  <c r="O224" i="11" s="1"/>
  <c r="N47" i="11"/>
  <c r="N224" i="11" s="1"/>
  <c r="O46" i="11"/>
  <c r="N46" i="11"/>
  <c r="M46" i="11"/>
  <c r="O45" i="11"/>
  <c r="N45" i="11"/>
  <c r="N220" i="11" s="1"/>
  <c r="M45" i="11"/>
  <c r="O44" i="11"/>
  <c r="O218" i="11" s="1"/>
  <c r="N44" i="11"/>
  <c r="N218" i="11" s="1"/>
  <c r="M44" i="11"/>
  <c r="O41" i="11"/>
  <c r="N41" i="11"/>
  <c r="O40" i="11"/>
  <c r="N40" i="11"/>
  <c r="N212" i="11" s="1"/>
  <c r="M40" i="11"/>
  <c r="M212" i="11" s="1"/>
  <c r="O39" i="11"/>
  <c r="O210" i="11" s="1"/>
  <c r="N39" i="11"/>
  <c r="N210" i="11" s="1"/>
  <c r="M39" i="11"/>
  <c r="M210" i="11" s="1"/>
  <c r="O38" i="11"/>
  <c r="N38" i="11"/>
  <c r="N208" i="11" s="1"/>
  <c r="M38" i="11"/>
  <c r="M208" i="11" s="1"/>
  <c r="O37" i="11"/>
  <c r="O206" i="11" s="1"/>
  <c r="N37" i="11"/>
  <c r="N206" i="11" s="1"/>
  <c r="M37" i="11"/>
  <c r="M206" i="11" s="1"/>
  <c r="M205" i="11" s="1"/>
  <c r="O36" i="11"/>
  <c r="N36" i="11"/>
  <c r="N204" i="11" s="1"/>
  <c r="M36" i="11"/>
  <c r="M204" i="11" s="1"/>
  <c r="M203" i="11" s="1"/>
  <c r="P35" i="11"/>
  <c r="M35" i="11"/>
  <c r="M34" i="11"/>
  <c r="O29" i="11"/>
  <c r="O196" i="11" s="1"/>
  <c r="N29" i="11"/>
  <c r="N196" i="11" s="1"/>
  <c r="M29" i="11"/>
  <c r="M196" i="11" s="1"/>
  <c r="O27" i="11"/>
  <c r="N27" i="11"/>
  <c r="N194" i="11" s="1"/>
  <c r="M27" i="11"/>
  <c r="M194" i="11" s="1"/>
  <c r="N25" i="11"/>
  <c r="P25" i="11" s="1"/>
  <c r="M25" i="11"/>
  <c r="M191" i="11" s="1"/>
  <c r="O23" i="11"/>
  <c r="N23" i="11"/>
  <c r="N190" i="11" s="1"/>
  <c r="M23" i="11"/>
  <c r="O21" i="11"/>
  <c r="O188" i="11" s="1"/>
  <c r="N21" i="11"/>
  <c r="N188" i="11" s="1"/>
  <c r="M21" i="11"/>
  <c r="M187" i="11" s="1"/>
  <c r="O20" i="11"/>
  <c r="O186" i="11" s="1"/>
  <c r="N20" i="11"/>
  <c r="N186" i="11" s="1"/>
  <c r="M20" i="11"/>
  <c r="M185" i="11" s="1"/>
  <c r="N19" i="11"/>
  <c r="N183" i="11" s="1"/>
  <c r="O17" i="11"/>
  <c r="N17" i="11"/>
  <c r="M17" i="11"/>
  <c r="M16" i="11"/>
  <c r="M181" i="11" s="1"/>
  <c r="O15" i="11"/>
  <c r="O179" i="11" s="1"/>
  <c r="N15" i="11"/>
  <c r="N179" i="11" s="1"/>
  <c r="M15" i="11"/>
  <c r="M179" i="11" s="1"/>
  <c r="N14" i="11"/>
  <c r="N177" i="11" s="1"/>
  <c r="M14" i="11"/>
  <c r="O12" i="11"/>
  <c r="O176" i="11" s="1"/>
  <c r="M12" i="11"/>
  <c r="M176" i="11" s="1"/>
  <c r="O11" i="11"/>
  <c r="M11" i="11"/>
  <c r="O10" i="11"/>
  <c r="N10" i="11"/>
  <c r="M10" i="11"/>
  <c r="O8" i="11"/>
  <c r="O170" i="11" s="1"/>
  <c r="N8" i="11"/>
  <c r="N170" i="11" s="1"/>
  <c r="M8" i="11"/>
  <c r="M170" i="11" s="1"/>
  <c r="O7" i="11"/>
  <c r="O168" i="11" s="1"/>
  <c r="N7" i="11"/>
  <c r="N168" i="11" s="1"/>
  <c r="M7" i="11"/>
  <c r="M168" i="11" s="1"/>
  <c r="O6" i="11"/>
  <c r="O166" i="11" s="1"/>
  <c r="N6" i="11"/>
  <c r="N166" i="11" s="1"/>
  <c r="M6" i="11"/>
  <c r="M166" i="11" s="1"/>
  <c r="O5" i="11"/>
  <c r="O164" i="11" s="1"/>
  <c r="N5" i="11"/>
  <c r="N164" i="11" s="1"/>
  <c r="M5" i="11"/>
  <c r="M164" i="11" s="1"/>
  <c r="P18" i="11" l="1"/>
  <c r="P98" i="11"/>
  <c r="P57" i="11"/>
  <c r="P164" i="11"/>
  <c r="P224" i="11"/>
  <c r="M110" i="11"/>
  <c r="M91" i="11"/>
  <c r="P131" i="11"/>
  <c r="P206" i="11"/>
  <c r="P120" i="11"/>
  <c r="M139" i="11"/>
  <c r="P10" i="11"/>
  <c r="M189" i="11"/>
  <c r="P38" i="11"/>
  <c r="P41" i="11"/>
  <c r="P168" i="11"/>
  <c r="M31" i="11"/>
  <c r="P13" i="11"/>
  <c r="P23" i="11"/>
  <c r="P195" i="11"/>
  <c r="P45" i="11"/>
  <c r="P51" i="11"/>
  <c r="P61" i="11"/>
  <c r="O110" i="11"/>
  <c r="P86" i="11"/>
  <c r="P140" i="11"/>
  <c r="P184" i="11"/>
  <c r="P196" i="11"/>
  <c r="N214" i="11"/>
  <c r="P226" i="11"/>
  <c r="P90" i="11"/>
  <c r="P138" i="11"/>
  <c r="O183" i="11"/>
  <c r="O189" i="11"/>
  <c r="O239" i="11"/>
  <c r="N243" i="11"/>
  <c r="O253" i="11"/>
  <c r="N228" i="11"/>
  <c r="N266" i="11" s="1"/>
  <c r="M183" i="11"/>
  <c r="M218" i="11"/>
  <c r="P166" i="11"/>
  <c r="M172" i="11"/>
  <c r="M171" i="11" s="1"/>
  <c r="P11" i="11"/>
  <c r="P17" i="11"/>
  <c r="P188" i="11"/>
  <c r="P56" i="11"/>
  <c r="P59" i="11"/>
  <c r="P83" i="11"/>
  <c r="N91" i="11"/>
  <c r="P121" i="11"/>
  <c r="O134" i="11"/>
  <c r="P134" i="11" s="1"/>
  <c r="N139" i="11"/>
  <c r="P139" i="11" s="1"/>
  <c r="P146" i="11"/>
  <c r="O174" i="11"/>
  <c r="P174" i="11" s="1"/>
  <c r="O229" i="11"/>
  <c r="P186" i="11"/>
  <c r="P58" i="11"/>
  <c r="P76" i="11"/>
  <c r="P77" i="11"/>
  <c r="P92" i="11"/>
  <c r="P93" i="11"/>
  <c r="N227" i="11"/>
  <c r="P247" i="11"/>
  <c r="P248" i="11"/>
  <c r="P235" i="11"/>
  <c r="P236" i="11"/>
  <c r="P189" i="11"/>
  <c r="P190" i="11"/>
  <c r="N216" i="11"/>
  <c r="N213" i="11"/>
  <c r="N172" i="11"/>
  <c r="O50" i="11"/>
  <c r="P129" i="11"/>
  <c r="P128" i="11"/>
  <c r="O172" i="11"/>
  <c r="N16" i="11"/>
  <c r="N181" i="11" s="1"/>
  <c r="P27" i="11"/>
  <c r="P26" i="11"/>
  <c r="O194" i="11"/>
  <c r="O31" i="11"/>
  <c r="N272" i="11"/>
  <c r="O67" i="11"/>
  <c r="P5" i="11"/>
  <c r="P6" i="11"/>
  <c r="P7" i="11"/>
  <c r="P210" i="11" s="1"/>
  <c r="P8" i="11"/>
  <c r="O16" i="11"/>
  <c r="P19" i="11"/>
  <c r="P20" i="11"/>
  <c r="P21" i="11"/>
  <c r="P28" i="11"/>
  <c r="P29" i="11"/>
  <c r="O204" i="11"/>
  <c r="O271" i="11"/>
  <c r="P36" i="11"/>
  <c r="P40" i="11"/>
  <c r="N43" i="11"/>
  <c r="O245" i="11"/>
  <c r="P63" i="11"/>
  <c r="P62" i="11"/>
  <c r="P122" i="11"/>
  <c r="O208" i="11"/>
  <c r="P208" i="11" s="1"/>
  <c r="P218" i="11"/>
  <c r="O231" i="11"/>
  <c r="P241" i="11"/>
  <c r="O267" i="11"/>
  <c r="M214" i="11"/>
  <c r="M211" i="11"/>
  <c r="M41" i="11"/>
  <c r="M122" i="11"/>
  <c r="N31" i="11"/>
  <c r="N191" i="11"/>
  <c r="P24" i="11"/>
  <c r="P37" i="11"/>
  <c r="P44" i="11"/>
  <c r="P48" i="11"/>
  <c r="P53" i="11"/>
  <c r="P234" i="11" s="1"/>
  <c r="P65" i="11"/>
  <c r="N79" i="11"/>
  <c r="P78" i="11"/>
  <c r="P9" i="11"/>
  <c r="P14" i="11"/>
  <c r="P15" i="11"/>
  <c r="P22" i="11"/>
  <c r="P39" i="11"/>
  <c r="P46" i="11"/>
  <c r="M55" i="11"/>
  <c r="M235" i="11" s="1"/>
  <c r="O158" i="11"/>
  <c r="P170" i="11"/>
  <c r="O212" i="11"/>
  <c r="M241" i="11"/>
  <c r="N271" i="11"/>
  <c r="N55" i="11"/>
  <c r="N235" i="11" s="1"/>
  <c r="O91" i="11"/>
  <c r="P91" i="11" s="1"/>
  <c r="N110" i="11"/>
  <c r="P109" i="11" s="1"/>
  <c r="O220" i="11"/>
  <c r="P220" i="11" s="1"/>
  <c r="O247" i="11"/>
  <c r="P47" i="11"/>
  <c r="P52" i="11"/>
  <c r="P64" i="11"/>
  <c r="P183" i="11"/>
  <c r="P54" i="11" l="1"/>
  <c r="N267" i="11"/>
  <c r="P55" i="11"/>
  <c r="N12" i="11"/>
  <c r="P79" i="11"/>
  <c r="M213" i="11"/>
  <c r="M216" i="11"/>
  <c r="O228" i="11"/>
  <c r="O266" i="11" s="1"/>
  <c r="N265" i="11"/>
  <c r="N67" i="11"/>
  <c r="P66" i="11" s="1"/>
  <c r="O272" i="11"/>
  <c r="P204" i="11"/>
  <c r="P42" i="11"/>
  <c r="P30" i="11"/>
  <c r="P31" i="11"/>
  <c r="P110" i="11"/>
  <c r="O181" i="11"/>
  <c r="P16" i="11"/>
  <c r="P49" i="11"/>
  <c r="P50" i="11"/>
  <c r="P212" i="11"/>
  <c r="O214" i="11"/>
  <c r="N198" i="11"/>
  <c r="N197" i="11" s="1"/>
  <c r="N171" i="11"/>
  <c r="P158" i="11"/>
  <c r="P157" i="11"/>
  <c r="M158" i="11"/>
  <c r="M43" i="11"/>
  <c r="M67" i="11" s="1"/>
  <c r="P43" i="11"/>
  <c r="P194" i="11"/>
  <c r="P193" i="11"/>
  <c r="O198" i="11"/>
  <c r="O171" i="11"/>
  <c r="P172" i="11"/>
  <c r="P198" i="11" s="1"/>
  <c r="P171" i="11"/>
  <c r="N215" i="11"/>
  <c r="N250" i="11"/>
  <c r="N249" i="11" s="1"/>
  <c r="P67" i="11" l="1"/>
  <c r="P214" i="11"/>
  <c r="O213" i="11"/>
  <c r="O216" i="11"/>
  <c r="P228" i="11"/>
  <c r="P227" i="11"/>
  <c r="O227" i="11"/>
  <c r="M215" i="11"/>
  <c r="O197" i="11"/>
  <c r="P197" i="11"/>
  <c r="N176" i="11"/>
  <c r="P176" i="11" s="1"/>
  <c r="P12" i="11"/>
  <c r="P216" i="11" l="1"/>
  <c r="O250" i="11"/>
  <c r="O215" i="11"/>
  <c r="P215" i="11"/>
  <c r="O265" i="11"/>
  <c r="P250" i="11" l="1"/>
  <c r="P249" i="11"/>
  <c r="O249" i="11"/>
  <c r="W264" i="11" l="1"/>
  <c r="K264" i="11"/>
  <c r="J264" i="11"/>
  <c r="W263" i="11"/>
  <c r="W262" i="11"/>
  <c r="W261" i="11"/>
  <c r="W260" i="11"/>
  <c r="W259" i="11"/>
  <c r="J259" i="11"/>
  <c r="W258" i="11"/>
  <c r="W257" i="11"/>
  <c r="K257" i="11"/>
  <c r="J257" i="11"/>
  <c r="W256" i="11"/>
  <c r="W255" i="11"/>
  <c r="K255" i="11"/>
  <c r="J255" i="11"/>
  <c r="W254" i="11"/>
  <c r="W253" i="11"/>
  <c r="W252" i="11"/>
  <c r="T246" i="11"/>
  <c r="S246" i="11"/>
  <c r="AS246" i="11" s="1"/>
  <c r="Q246" i="11"/>
  <c r="AQ246" i="11" s="1"/>
  <c r="L246" i="11"/>
  <c r="V245" i="11"/>
  <c r="L245" i="11"/>
  <c r="T244" i="11"/>
  <c r="AT244" i="11" s="1"/>
  <c r="S244" i="11"/>
  <c r="AS244" i="11" s="1"/>
  <c r="Q244" i="11"/>
  <c r="AQ244" i="11" s="1"/>
  <c r="L244" i="11"/>
  <c r="L243" i="11"/>
  <c r="K243" i="11"/>
  <c r="R242" i="11"/>
  <c r="J242" i="11"/>
  <c r="L241" i="11" s="1"/>
  <c r="I242" i="11"/>
  <c r="K241" i="11"/>
  <c r="T240" i="11"/>
  <c r="AT240" i="11" s="1"/>
  <c r="S240" i="11"/>
  <c r="AS240" i="11" s="1"/>
  <c r="Q240" i="11"/>
  <c r="AQ240" i="11" s="1"/>
  <c r="L240" i="11"/>
  <c r="T238" i="11"/>
  <c r="AT238" i="11" s="1"/>
  <c r="S238" i="11"/>
  <c r="AS238" i="11" s="1"/>
  <c r="Q238" i="11"/>
  <c r="AQ238" i="11" s="1"/>
  <c r="L238" i="11"/>
  <c r="T232" i="11"/>
  <c r="AT232" i="11" s="1"/>
  <c r="S232" i="11"/>
  <c r="AS232" i="11" s="1"/>
  <c r="R232" i="11"/>
  <c r="AR232" i="11" s="1"/>
  <c r="Q232" i="11"/>
  <c r="AQ232" i="11" s="1"/>
  <c r="L232" i="11"/>
  <c r="T230" i="11"/>
  <c r="AT230" i="11" s="1"/>
  <c r="S230" i="11"/>
  <c r="AS230" i="11" s="1"/>
  <c r="R230" i="11"/>
  <c r="AR230" i="11" s="1"/>
  <c r="Q230" i="11"/>
  <c r="AQ230" i="11" s="1"/>
  <c r="L230" i="11"/>
  <c r="I225" i="11"/>
  <c r="M225" i="11" s="1"/>
  <c r="M226" i="11" s="1"/>
  <c r="I223" i="11"/>
  <c r="M223" i="11" s="1"/>
  <c r="T222" i="11"/>
  <c r="S222" i="11"/>
  <c r="AS222" i="11" s="1"/>
  <c r="Q222" i="11"/>
  <c r="AQ222" i="11" s="1"/>
  <c r="I219" i="11"/>
  <c r="M219" i="11" s="1"/>
  <c r="M220" i="11" s="1"/>
  <c r="M228" i="11" s="1"/>
  <c r="I217" i="11"/>
  <c r="T202" i="11"/>
  <c r="S202" i="11"/>
  <c r="R202" i="11"/>
  <c r="K202" i="11"/>
  <c r="J202" i="11"/>
  <c r="Q201" i="11"/>
  <c r="I201" i="11"/>
  <c r="T192" i="11"/>
  <c r="AT192" i="11" s="1"/>
  <c r="S192" i="11"/>
  <c r="AS192" i="11" s="1"/>
  <c r="Q192" i="11"/>
  <c r="AQ192" i="11" s="1"/>
  <c r="L192" i="11"/>
  <c r="L191" i="11"/>
  <c r="K191" i="11"/>
  <c r="I190" i="11"/>
  <c r="Q188" i="11"/>
  <c r="AQ188" i="11" s="1"/>
  <c r="Q186" i="11"/>
  <c r="AQ186" i="11" s="1"/>
  <c r="AQ190" i="11" s="1"/>
  <c r="K184" i="11"/>
  <c r="J184" i="11"/>
  <c r="S184" i="11" s="1"/>
  <c r="AS184" i="11" s="1"/>
  <c r="I184" i="11"/>
  <c r="R182" i="11"/>
  <c r="AR182" i="11" s="1"/>
  <c r="Q182" i="11"/>
  <c r="L182" i="11"/>
  <c r="T180" i="11"/>
  <c r="AT180" i="11" s="1"/>
  <c r="S180" i="11"/>
  <c r="AS180" i="11" s="1"/>
  <c r="R180" i="11"/>
  <c r="AR180" i="11" s="1"/>
  <c r="Q180" i="11"/>
  <c r="AQ180" i="11" s="1"/>
  <c r="L180" i="11"/>
  <c r="T178" i="11"/>
  <c r="S178" i="11"/>
  <c r="AS178" i="11" s="1"/>
  <c r="R178" i="11"/>
  <c r="AR178" i="11" s="1"/>
  <c r="L178" i="11"/>
  <c r="L177" i="11"/>
  <c r="V162" i="11"/>
  <c r="T162" i="11"/>
  <c r="R162" i="11"/>
  <c r="K162" i="11"/>
  <c r="J162" i="11"/>
  <c r="Q161" i="11"/>
  <c r="I161" i="11"/>
  <c r="U156" i="11"/>
  <c r="T156" i="11"/>
  <c r="AT156" i="11" s="1"/>
  <c r="S156" i="11"/>
  <c r="AS156" i="11" s="1"/>
  <c r="Q156" i="11"/>
  <c r="L156" i="11"/>
  <c r="L155" i="11"/>
  <c r="T153" i="11"/>
  <c r="AT153" i="11" s="1"/>
  <c r="S153" i="11"/>
  <c r="AS153" i="11" s="1"/>
  <c r="Q153" i="11"/>
  <c r="AQ153" i="11" s="1"/>
  <c r="AX153" i="11" s="1"/>
  <c r="L153" i="11"/>
  <c r="L152" i="11"/>
  <c r="V151" i="11"/>
  <c r="T150" i="11"/>
  <c r="AT150" i="11" s="1"/>
  <c r="S150" i="11"/>
  <c r="AS150" i="11" s="1"/>
  <c r="Q150" i="11"/>
  <c r="L150" i="11"/>
  <c r="L149" i="11"/>
  <c r="T148" i="11"/>
  <c r="AT148" i="11" s="1"/>
  <c r="J148" i="11"/>
  <c r="L147" i="11" s="1"/>
  <c r="I148" i="11"/>
  <c r="I59" i="11" s="1"/>
  <c r="K146" i="11"/>
  <c r="J146" i="11"/>
  <c r="I146" i="11"/>
  <c r="T145" i="11"/>
  <c r="AT145" i="11" s="1"/>
  <c r="S145" i="11"/>
  <c r="AS145" i="11" s="1"/>
  <c r="Q145" i="11"/>
  <c r="AQ145" i="11" s="1"/>
  <c r="L145" i="11"/>
  <c r="V144" i="11"/>
  <c r="T143" i="11"/>
  <c r="AT143" i="11" s="1"/>
  <c r="S143" i="11"/>
  <c r="AS143" i="11" s="1"/>
  <c r="Q143" i="11"/>
  <c r="AQ143" i="11" s="1"/>
  <c r="L143" i="11"/>
  <c r="T142" i="11"/>
  <c r="AT142" i="11" s="1"/>
  <c r="Q142" i="11"/>
  <c r="AQ142" i="11" s="1"/>
  <c r="L142" i="11"/>
  <c r="K141" i="11"/>
  <c r="J141" i="11"/>
  <c r="I141" i="11"/>
  <c r="I55" i="11" s="1"/>
  <c r="K138" i="11"/>
  <c r="J138" i="11"/>
  <c r="I138" i="11"/>
  <c r="T137" i="11"/>
  <c r="AT137" i="11" s="1"/>
  <c r="S137" i="11"/>
  <c r="AS137" i="11" s="1"/>
  <c r="Q137" i="11"/>
  <c r="AQ137" i="11" s="1"/>
  <c r="L137" i="11"/>
  <c r="T135" i="11"/>
  <c r="AT135" i="11" s="1"/>
  <c r="S135" i="11"/>
  <c r="AS135" i="11" s="1"/>
  <c r="R135" i="11"/>
  <c r="AR135" i="11" s="1"/>
  <c r="Q135" i="11"/>
  <c r="AQ135" i="11" s="1"/>
  <c r="L135" i="11"/>
  <c r="K134" i="11"/>
  <c r="J134" i="11"/>
  <c r="I134" i="11"/>
  <c r="T133" i="11"/>
  <c r="AT133" i="11" s="1"/>
  <c r="S133" i="11"/>
  <c r="AS133" i="11" s="1"/>
  <c r="R133" i="11"/>
  <c r="AR133" i="11" s="1"/>
  <c r="Q133" i="11"/>
  <c r="AQ133" i="11" s="1"/>
  <c r="AQ134" i="11" s="1"/>
  <c r="L133" i="11"/>
  <c r="T132" i="11"/>
  <c r="AT132" i="11" s="1"/>
  <c r="S132" i="11"/>
  <c r="AS132" i="11" s="1"/>
  <c r="R132" i="11"/>
  <c r="Q132" i="11"/>
  <c r="AQ132" i="11" s="1"/>
  <c r="L132" i="11"/>
  <c r="K131" i="11"/>
  <c r="J131" i="11"/>
  <c r="I131" i="11"/>
  <c r="T130" i="11"/>
  <c r="AT130" i="11" s="1"/>
  <c r="S130" i="11"/>
  <c r="AS130" i="11" s="1"/>
  <c r="AS131" i="11" s="1"/>
  <c r="R130" i="11"/>
  <c r="Q130" i="11"/>
  <c r="L130" i="11"/>
  <c r="S129" i="11"/>
  <c r="AS129" i="11" s="1"/>
  <c r="K129" i="11"/>
  <c r="T127" i="11"/>
  <c r="AT127" i="11" s="1"/>
  <c r="S127" i="11"/>
  <c r="AS127" i="11" s="1"/>
  <c r="L127" i="11"/>
  <c r="I127" i="11"/>
  <c r="Q127" i="11" s="1"/>
  <c r="T126" i="11"/>
  <c r="AT126" i="11" s="1"/>
  <c r="S126" i="11"/>
  <c r="AS126" i="11" s="1"/>
  <c r="L126" i="11"/>
  <c r="I126" i="11"/>
  <c r="T125" i="11"/>
  <c r="AT125" i="11" s="1"/>
  <c r="S125" i="11"/>
  <c r="AS125" i="11" s="1"/>
  <c r="Q125" i="11"/>
  <c r="AQ125" i="11" s="1"/>
  <c r="L125" i="11"/>
  <c r="T124" i="11"/>
  <c r="AT124" i="11" s="1"/>
  <c r="S124" i="11"/>
  <c r="AS124" i="11" s="1"/>
  <c r="L124" i="11"/>
  <c r="I124" i="11"/>
  <c r="T123" i="11"/>
  <c r="AT123" i="11" s="1"/>
  <c r="S123" i="11"/>
  <c r="AS123" i="11" s="1"/>
  <c r="Q123" i="11"/>
  <c r="AQ123" i="11" s="1"/>
  <c r="L123" i="11"/>
  <c r="R120" i="11"/>
  <c r="R122" i="11" s="1"/>
  <c r="R43" i="11" s="1"/>
  <c r="K120" i="11"/>
  <c r="J120" i="11"/>
  <c r="J122" i="11" s="1"/>
  <c r="J158" i="11" s="1"/>
  <c r="I120" i="11"/>
  <c r="I122" i="11" s="1"/>
  <c r="V119" i="11"/>
  <c r="T119" i="11"/>
  <c r="S119" i="11"/>
  <c r="AS119" i="11" s="1"/>
  <c r="Q119" i="11"/>
  <c r="AQ119" i="11" s="1"/>
  <c r="L119" i="11"/>
  <c r="T118" i="11"/>
  <c r="S118" i="11"/>
  <c r="AS118" i="11" s="1"/>
  <c r="Q118" i="11"/>
  <c r="AQ118" i="11" s="1"/>
  <c r="L118" i="11"/>
  <c r="T117" i="11"/>
  <c r="AT117" i="11" s="1"/>
  <c r="S117" i="11"/>
  <c r="AS117" i="11" s="1"/>
  <c r="Q117" i="11"/>
  <c r="AQ117" i="11" s="1"/>
  <c r="L117" i="11"/>
  <c r="T116" i="11"/>
  <c r="S116" i="11"/>
  <c r="AS116" i="11" s="1"/>
  <c r="Q116" i="11"/>
  <c r="AQ116" i="11" s="1"/>
  <c r="L116" i="11"/>
  <c r="T115" i="11"/>
  <c r="S115" i="11"/>
  <c r="AS115" i="11" s="1"/>
  <c r="Q115" i="11"/>
  <c r="AQ115" i="11" s="1"/>
  <c r="L115" i="11"/>
  <c r="V114" i="11"/>
  <c r="S114" i="11"/>
  <c r="R114" i="11"/>
  <c r="K114" i="11"/>
  <c r="K35" i="11" s="1"/>
  <c r="J114" i="11"/>
  <c r="Q113" i="11"/>
  <c r="I113" i="11"/>
  <c r="T108" i="11"/>
  <c r="V107" i="11" s="1"/>
  <c r="S108" i="11"/>
  <c r="Q108" i="11"/>
  <c r="AQ108" i="11" s="1"/>
  <c r="AX108" i="11" s="1"/>
  <c r="L108" i="11"/>
  <c r="L107" i="11"/>
  <c r="T105" i="11"/>
  <c r="S105" i="11"/>
  <c r="AS105" i="11" s="1"/>
  <c r="Q105" i="11"/>
  <c r="AQ105" i="11" s="1"/>
  <c r="AX105" i="11" s="1"/>
  <c r="L105" i="11"/>
  <c r="V104" i="11"/>
  <c r="L104" i="11"/>
  <c r="V103" i="11"/>
  <c r="T102" i="11"/>
  <c r="AT102" i="11" s="1"/>
  <c r="S102" i="11"/>
  <c r="AS102" i="11" s="1"/>
  <c r="Q102" i="11"/>
  <c r="AQ102" i="11" s="1"/>
  <c r="AX102" i="11" s="1"/>
  <c r="L102" i="11"/>
  <c r="V101" i="11"/>
  <c r="L101" i="11"/>
  <c r="S100" i="11"/>
  <c r="AS100" i="11" s="1"/>
  <c r="K100" i="11"/>
  <c r="K259" i="11" s="1"/>
  <c r="K98" i="11"/>
  <c r="J98" i="11"/>
  <c r="I98" i="11"/>
  <c r="T97" i="11"/>
  <c r="AT97" i="11" s="1"/>
  <c r="S97" i="11"/>
  <c r="AS97" i="11" s="1"/>
  <c r="Q97" i="11"/>
  <c r="AQ97" i="11" s="1"/>
  <c r="AX97" i="11" s="1"/>
  <c r="L97" i="11"/>
  <c r="V96" i="11"/>
  <c r="T95" i="11"/>
  <c r="S95" i="11"/>
  <c r="AS95" i="11" s="1"/>
  <c r="Q95" i="11"/>
  <c r="AQ95" i="11" s="1"/>
  <c r="L95" i="11"/>
  <c r="T94" i="11"/>
  <c r="AT94" i="11" s="1"/>
  <c r="S94" i="11"/>
  <c r="AS94" i="11" s="1"/>
  <c r="Q94" i="11"/>
  <c r="AQ94" i="11" s="1"/>
  <c r="L94" i="11"/>
  <c r="K93" i="11"/>
  <c r="K261" i="11" s="1"/>
  <c r="J93" i="11"/>
  <c r="J261" i="11" s="1"/>
  <c r="I93" i="11"/>
  <c r="I91" i="11" s="1"/>
  <c r="K90" i="11"/>
  <c r="J90" i="11"/>
  <c r="I90" i="11"/>
  <c r="T89" i="11"/>
  <c r="S89" i="11"/>
  <c r="AS89" i="11" s="1"/>
  <c r="Q89" i="11"/>
  <c r="AQ89" i="11" s="1"/>
  <c r="L89" i="11"/>
  <c r="T87" i="11"/>
  <c r="S87" i="11"/>
  <c r="AS87" i="11" s="1"/>
  <c r="R87" i="11"/>
  <c r="AR87" i="11" s="1"/>
  <c r="Q87" i="11"/>
  <c r="AQ87" i="11" s="1"/>
  <c r="L87" i="11"/>
  <c r="K86" i="11"/>
  <c r="J86" i="11"/>
  <c r="I86" i="11"/>
  <c r="T85" i="11"/>
  <c r="S85" i="11"/>
  <c r="AS85" i="11" s="1"/>
  <c r="R85" i="11"/>
  <c r="Q85" i="11"/>
  <c r="AQ85" i="11" s="1"/>
  <c r="AQ86" i="11" s="1"/>
  <c r="L85" i="11"/>
  <c r="T84" i="11"/>
  <c r="AT84" i="11" s="1"/>
  <c r="S84" i="11"/>
  <c r="AS84" i="11" s="1"/>
  <c r="R84" i="11"/>
  <c r="AR84" i="11" s="1"/>
  <c r="Q84" i="11"/>
  <c r="AQ84" i="11" s="1"/>
  <c r="L84" i="11"/>
  <c r="K83" i="11"/>
  <c r="J83" i="11"/>
  <c r="I83" i="11"/>
  <c r="T82" i="11"/>
  <c r="AT82" i="11" s="1"/>
  <c r="S82" i="11"/>
  <c r="R82" i="11"/>
  <c r="Q82" i="11"/>
  <c r="AQ82" i="11" s="1"/>
  <c r="L82" i="11"/>
  <c r="T81" i="11"/>
  <c r="AT81" i="11" s="1"/>
  <c r="S81" i="11"/>
  <c r="AS81" i="11" s="1"/>
  <c r="Q81" i="11"/>
  <c r="AQ81" i="11" s="1"/>
  <c r="AX81" i="11" s="1"/>
  <c r="L81" i="11"/>
  <c r="L80" i="11"/>
  <c r="S79" i="11"/>
  <c r="AS79" i="11" s="1"/>
  <c r="Q79" i="11"/>
  <c r="AQ79" i="11" s="1"/>
  <c r="L79" i="11"/>
  <c r="S78" i="11"/>
  <c r="AS78" i="11" s="1"/>
  <c r="Q78" i="11"/>
  <c r="AQ78" i="11" s="1"/>
  <c r="T78" i="11"/>
  <c r="AT78" i="11" s="1"/>
  <c r="L78" i="11"/>
  <c r="R77" i="11"/>
  <c r="K77" i="11"/>
  <c r="T77" i="11" s="1"/>
  <c r="AT77" i="11" s="1"/>
  <c r="J77" i="11"/>
  <c r="I77" i="11"/>
  <c r="I110" i="11" s="1"/>
  <c r="Q75" i="11"/>
  <c r="AQ75" i="11" s="1"/>
  <c r="L75" i="11"/>
  <c r="S74" i="11"/>
  <c r="AS74" i="11" s="1"/>
  <c r="Q74" i="11"/>
  <c r="AQ74" i="11" s="1"/>
  <c r="T74" i="11"/>
  <c r="AT74" i="11" s="1"/>
  <c r="L74" i="11"/>
  <c r="S73" i="11"/>
  <c r="AS73" i="11" s="1"/>
  <c r="Q73" i="11"/>
  <c r="AQ73" i="11" s="1"/>
  <c r="T73" i="11"/>
  <c r="AT73" i="11" s="1"/>
  <c r="L73" i="11"/>
  <c r="T72" i="11"/>
  <c r="S72" i="11"/>
  <c r="Q72" i="11"/>
  <c r="AQ72" i="11" s="1"/>
  <c r="L72" i="11"/>
  <c r="T71" i="11"/>
  <c r="T114" i="11" s="1"/>
  <c r="R71" i="11"/>
  <c r="K71" i="11"/>
  <c r="J71" i="11"/>
  <c r="Q70" i="11"/>
  <c r="I70" i="11"/>
  <c r="R65" i="11"/>
  <c r="R248" i="11" s="1"/>
  <c r="K65" i="11"/>
  <c r="K248" i="11" s="1"/>
  <c r="J65" i="11"/>
  <c r="J248" i="11" s="1"/>
  <c r="I65" i="11"/>
  <c r="I248" i="11" s="1"/>
  <c r="R63" i="11"/>
  <c r="R245" i="11" s="1"/>
  <c r="K63" i="11"/>
  <c r="J63" i="11"/>
  <c r="J245" i="11" s="1"/>
  <c r="I63" i="11"/>
  <c r="I245" i="11" s="1"/>
  <c r="T61" i="11"/>
  <c r="AT61" i="11" s="1"/>
  <c r="R61" i="11"/>
  <c r="R243" i="11" s="1"/>
  <c r="J61" i="11"/>
  <c r="J243" i="11" s="1"/>
  <c r="I61" i="11"/>
  <c r="R59" i="11"/>
  <c r="R241" i="11" s="1"/>
  <c r="J59" i="11"/>
  <c r="R57" i="11"/>
  <c r="R239" i="11" s="1"/>
  <c r="K57" i="11"/>
  <c r="J57" i="11"/>
  <c r="J239" i="11" s="1"/>
  <c r="I57" i="11"/>
  <c r="I239" i="11" s="1"/>
  <c r="R56" i="11"/>
  <c r="R237" i="11" s="1"/>
  <c r="K56" i="11"/>
  <c r="K237" i="11" s="1"/>
  <c r="J56" i="11"/>
  <c r="I56" i="11"/>
  <c r="I237" i="11" s="1"/>
  <c r="R53" i="11"/>
  <c r="R234" i="11" s="1"/>
  <c r="K53" i="11"/>
  <c r="K234" i="11" s="1"/>
  <c r="J53" i="11"/>
  <c r="J234" i="11" s="1"/>
  <c r="I53" i="11"/>
  <c r="I234" i="11" s="1"/>
  <c r="R52" i="11"/>
  <c r="K52" i="11"/>
  <c r="K231" i="11" s="1"/>
  <c r="J52" i="11"/>
  <c r="J231" i="11" s="1"/>
  <c r="I52" i="11"/>
  <c r="I231" i="11" s="1"/>
  <c r="R51" i="11"/>
  <c r="K51" i="11"/>
  <c r="K229" i="11" s="1"/>
  <c r="J51" i="11"/>
  <c r="J229" i="11" s="1"/>
  <c r="I51" i="11"/>
  <c r="I229" i="11" s="1"/>
  <c r="R50" i="11"/>
  <c r="K50" i="11"/>
  <c r="J50" i="11"/>
  <c r="R48" i="11"/>
  <c r="K48" i="11"/>
  <c r="K226" i="11" s="1"/>
  <c r="J48" i="11"/>
  <c r="J226" i="11" s="1"/>
  <c r="I48" i="11"/>
  <c r="R47" i="11"/>
  <c r="K47" i="11"/>
  <c r="K224" i="11" s="1"/>
  <c r="J47" i="11"/>
  <c r="J224" i="11" s="1"/>
  <c r="I47" i="11"/>
  <c r="R46" i="11"/>
  <c r="K46" i="11"/>
  <c r="J46" i="11"/>
  <c r="I46" i="11"/>
  <c r="R45" i="11"/>
  <c r="K45" i="11"/>
  <c r="K220" i="11" s="1"/>
  <c r="J45" i="11"/>
  <c r="J220" i="11" s="1"/>
  <c r="I45" i="11"/>
  <c r="I220" i="11" s="1"/>
  <c r="R44" i="11"/>
  <c r="K44" i="11"/>
  <c r="K218" i="11" s="1"/>
  <c r="J44" i="11"/>
  <c r="J218" i="11" s="1"/>
  <c r="I44" i="11"/>
  <c r="I218" i="11" s="1"/>
  <c r="J43" i="11"/>
  <c r="I43" i="11"/>
  <c r="K41" i="11"/>
  <c r="J41" i="11"/>
  <c r="I41" i="11"/>
  <c r="R40" i="11"/>
  <c r="R212" i="11" s="1"/>
  <c r="AR212" i="11" s="1"/>
  <c r="K40" i="11"/>
  <c r="K212" i="11" s="1"/>
  <c r="J40" i="11"/>
  <c r="J212" i="11" s="1"/>
  <c r="I40" i="11"/>
  <c r="I212" i="11" s="1"/>
  <c r="R39" i="11"/>
  <c r="R210" i="11" s="1"/>
  <c r="AR210" i="11" s="1"/>
  <c r="AR209" i="11" s="1"/>
  <c r="K39" i="11"/>
  <c r="K210" i="11" s="1"/>
  <c r="T210" i="11" s="1"/>
  <c r="AT210" i="11" s="1"/>
  <c r="J39" i="11"/>
  <c r="J210" i="11" s="1"/>
  <c r="S210" i="11" s="1"/>
  <c r="AS210" i="11" s="1"/>
  <c r="I39" i="11"/>
  <c r="I210" i="11" s="1"/>
  <c r="Q210" i="11" s="1"/>
  <c r="AQ210" i="11" s="1"/>
  <c r="R38" i="11"/>
  <c r="R208" i="11" s="1"/>
  <c r="AR208" i="11" s="1"/>
  <c r="AR207" i="11" s="1"/>
  <c r="K38" i="11"/>
  <c r="K208" i="11" s="1"/>
  <c r="J38" i="11"/>
  <c r="J208" i="11" s="1"/>
  <c r="S208" i="11" s="1"/>
  <c r="AS208" i="11" s="1"/>
  <c r="I38" i="11"/>
  <c r="I208" i="11" s="1"/>
  <c r="Q208" i="11" s="1"/>
  <c r="AQ208" i="11" s="1"/>
  <c r="R37" i="11"/>
  <c r="R206" i="11" s="1"/>
  <c r="AR206" i="11" s="1"/>
  <c r="AR205" i="11" s="1"/>
  <c r="K37" i="11"/>
  <c r="K206" i="11" s="1"/>
  <c r="J37" i="11"/>
  <c r="J206" i="11" s="1"/>
  <c r="S206" i="11" s="1"/>
  <c r="AS206" i="11" s="1"/>
  <c r="I37" i="11"/>
  <c r="I206" i="11" s="1"/>
  <c r="R36" i="11"/>
  <c r="R204" i="11" s="1"/>
  <c r="AR204" i="11" s="1"/>
  <c r="AR203" i="11" s="1"/>
  <c r="K36" i="11"/>
  <c r="J36" i="11"/>
  <c r="I36" i="11"/>
  <c r="I204" i="11" s="1"/>
  <c r="W35" i="11"/>
  <c r="W202" i="11" s="1"/>
  <c r="V35" i="11"/>
  <c r="T35" i="11"/>
  <c r="Q35" i="11"/>
  <c r="L35" i="11"/>
  <c r="J35" i="11"/>
  <c r="I35" i="11"/>
  <c r="Q34" i="11"/>
  <c r="I34" i="11"/>
  <c r="R29" i="11"/>
  <c r="R195" i="11" s="1"/>
  <c r="K29" i="11"/>
  <c r="K196" i="11" s="1"/>
  <c r="J29" i="11"/>
  <c r="J196" i="11" s="1"/>
  <c r="I29" i="11"/>
  <c r="I196" i="11" s="1"/>
  <c r="R27" i="11"/>
  <c r="R194" i="11" s="1"/>
  <c r="K27" i="11"/>
  <c r="K193" i="11" s="1"/>
  <c r="J27" i="11"/>
  <c r="J194" i="11" s="1"/>
  <c r="I27" i="11"/>
  <c r="I194" i="11" s="1"/>
  <c r="T25" i="11"/>
  <c r="R25" i="11"/>
  <c r="R191" i="11" s="1"/>
  <c r="L25" i="11"/>
  <c r="J25" i="11"/>
  <c r="J191" i="11" s="1"/>
  <c r="I25" i="11"/>
  <c r="I191" i="11" s="1"/>
  <c r="K23" i="11"/>
  <c r="J23" i="11"/>
  <c r="I23" i="11"/>
  <c r="R21" i="11"/>
  <c r="R188" i="11" s="1"/>
  <c r="K21" i="11"/>
  <c r="K188" i="11" s="1"/>
  <c r="J21" i="11"/>
  <c r="J188" i="11" s="1"/>
  <c r="I21" i="11"/>
  <c r="I187" i="11" s="1"/>
  <c r="R20" i="11"/>
  <c r="R186" i="11" s="1"/>
  <c r="K20" i="11"/>
  <c r="K186" i="11" s="1"/>
  <c r="J20" i="11"/>
  <c r="J186" i="11" s="1"/>
  <c r="I20" i="11"/>
  <c r="I185" i="11" s="1"/>
  <c r="J19" i="11"/>
  <c r="I19" i="11"/>
  <c r="I183" i="11" s="1"/>
  <c r="R17" i="11"/>
  <c r="K17" i="11"/>
  <c r="J17" i="11"/>
  <c r="I17" i="11"/>
  <c r="K16" i="11"/>
  <c r="K181" i="11" s="1"/>
  <c r="J16" i="11"/>
  <c r="J181" i="11" s="1"/>
  <c r="I16" i="11"/>
  <c r="I181" i="11" s="1"/>
  <c r="K15" i="11"/>
  <c r="K179" i="11" s="1"/>
  <c r="J15" i="11"/>
  <c r="J179" i="11" s="1"/>
  <c r="I15" i="11"/>
  <c r="I179" i="11" s="1"/>
  <c r="R14" i="11"/>
  <c r="K14" i="11"/>
  <c r="K177" i="11" s="1"/>
  <c r="J14" i="11"/>
  <c r="J177" i="11" s="1"/>
  <c r="I14" i="11"/>
  <c r="R12" i="11"/>
  <c r="K12" i="11"/>
  <c r="K176" i="11" s="1"/>
  <c r="J12" i="11"/>
  <c r="J176" i="11" s="1"/>
  <c r="I12" i="11"/>
  <c r="I176" i="11" s="1"/>
  <c r="R11" i="11"/>
  <c r="K11" i="11"/>
  <c r="K174" i="11" s="1"/>
  <c r="J11" i="11"/>
  <c r="J174" i="11" s="1"/>
  <c r="I11" i="11"/>
  <c r="R10" i="11"/>
  <c r="J10" i="11"/>
  <c r="R8" i="11"/>
  <c r="R170" i="11" s="1"/>
  <c r="AR170" i="11" s="1"/>
  <c r="K8" i="11"/>
  <c r="K170" i="11" s="1"/>
  <c r="J8" i="11"/>
  <c r="J170" i="11" s="1"/>
  <c r="I8" i="11"/>
  <c r="I170" i="11" s="1"/>
  <c r="R7" i="11"/>
  <c r="R168" i="11" s="1"/>
  <c r="AR168" i="11" s="1"/>
  <c r="AR167" i="11" s="1"/>
  <c r="K7" i="11"/>
  <c r="K168" i="11" s="1"/>
  <c r="T168" i="11" s="1"/>
  <c r="AT168" i="11" s="1"/>
  <c r="J7" i="11"/>
  <c r="J168" i="11" s="1"/>
  <c r="S168" i="11" s="1"/>
  <c r="AS168" i="11" s="1"/>
  <c r="I7" i="11"/>
  <c r="I168" i="11" s="1"/>
  <c r="Q168" i="11" s="1"/>
  <c r="AQ168" i="11" s="1"/>
  <c r="R6" i="11"/>
  <c r="R166" i="11" s="1"/>
  <c r="AR166" i="11" s="1"/>
  <c r="AR165" i="11" s="1"/>
  <c r="K6" i="11"/>
  <c r="K166" i="11" s="1"/>
  <c r="J6" i="11"/>
  <c r="J166" i="11" s="1"/>
  <c r="S166" i="11" s="1"/>
  <c r="AS166" i="11" s="1"/>
  <c r="I6" i="11"/>
  <c r="I166" i="11" s="1"/>
  <c r="Q166" i="11" s="1"/>
  <c r="AQ166" i="11" s="1"/>
  <c r="R5" i="11"/>
  <c r="R164" i="11" s="1"/>
  <c r="AR164" i="11" s="1"/>
  <c r="AR163" i="11" s="1"/>
  <c r="K5" i="11"/>
  <c r="K164" i="11" s="1"/>
  <c r="J5" i="11"/>
  <c r="J164" i="11" s="1"/>
  <c r="S164" i="11" s="1"/>
  <c r="AS164" i="11" s="1"/>
  <c r="I5" i="11"/>
  <c r="I164" i="11" s="1"/>
  <c r="U4" i="11"/>
  <c r="Q4" i="11"/>
  <c r="I10" i="11" l="1"/>
  <c r="J183" i="11"/>
  <c r="I189" i="11"/>
  <c r="L49" i="11"/>
  <c r="L61" i="11"/>
  <c r="J139" i="11"/>
  <c r="R231" i="11"/>
  <c r="R236" i="11"/>
  <c r="R235" i="11" s="1"/>
  <c r="L60" i="11"/>
  <c r="I241" i="11"/>
  <c r="W150" i="11"/>
  <c r="L242" i="11"/>
  <c r="K19" i="11"/>
  <c r="L15" i="11"/>
  <c r="S19" i="11"/>
  <c r="AS19" i="11" s="1"/>
  <c r="L21" i="11"/>
  <c r="L134" i="11"/>
  <c r="L138" i="11"/>
  <c r="L36" i="11"/>
  <c r="L46" i="11"/>
  <c r="L47" i="11"/>
  <c r="T39" i="11"/>
  <c r="AT39" i="11" s="1"/>
  <c r="AV39" i="11" s="1"/>
  <c r="L40" i="11"/>
  <c r="AW137" i="11"/>
  <c r="L5" i="11"/>
  <c r="L12" i="11"/>
  <c r="K139" i="11"/>
  <c r="R41" i="11"/>
  <c r="L50" i="11"/>
  <c r="AW80" i="11"/>
  <c r="V126" i="11"/>
  <c r="W191" i="11"/>
  <c r="S6" i="11"/>
  <c r="AS6" i="11" s="1"/>
  <c r="L8" i="11"/>
  <c r="K10" i="11"/>
  <c r="L53" i="11"/>
  <c r="L234" i="11" s="1"/>
  <c r="L90" i="11"/>
  <c r="AR184" i="11"/>
  <c r="L184" i="11"/>
  <c r="U245" i="11"/>
  <c r="AV168" i="11"/>
  <c r="AU168" i="11"/>
  <c r="AW168" i="11"/>
  <c r="I31" i="11"/>
  <c r="R190" i="11"/>
  <c r="V73" i="11"/>
  <c r="AU82" i="11"/>
  <c r="AU84" i="11"/>
  <c r="AT83" i="11"/>
  <c r="AW82" i="11"/>
  <c r="AV84" i="11"/>
  <c r="AW84" i="11"/>
  <c r="AS86" i="11"/>
  <c r="AU102" i="11"/>
  <c r="AZ102" i="11"/>
  <c r="AU101" i="11"/>
  <c r="AV101" i="11"/>
  <c r="AV102" i="11"/>
  <c r="AW102" i="11"/>
  <c r="BD102" i="11" s="1"/>
  <c r="V105" i="11"/>
  <c r="AT105" i="11"/>
  <c r="AU123" i="11"/>
  <c r="AV123" i="11"/>
  <c r="AW123" i="11"/>
  <c r="AW124" i="11"/>
  <c r="AV124" i="11"/>
  <c r="AU125" i="11"/>
  <c r="AW125" i="11"/>
  <c r="AV125" i="11"/>
  <c r="AV126" i="11"/>
  <c r="AW126" i="11"/>
  <c r="R138" i="11"/>
  <c r="AR130" i="11"/>
  <c r="AR138" i="11" s="1"/>
  <c r="AV133" i="11"/>
  <c r="AU133" i="11"/>
  <c r="AW133" i="11"/>
  <c r="R134" i="11"/>
  <c r="AS134" i="11"/>
  <c r="L140" i="11"/>
  <c r="L141" i="11"/>
  <c r="L146" i="11"/>
  <c r="AV150" i="11"/>
  <c r="AV149" i="11"/>
  <c r="AW149" i="11"/>
  <c r="AZ150" i="11"/>
  <c r="AW150" i="11"/>
  <c r="BD150" i="11" s="1"/>
  <c r="AV156" i="11"/>
  <c r="AW155" i="11"/>
  <c r="AW156" i="11"/>
  <c r="BD156" i="11" s="1"/>
  <c r="AZ156" i="11"/>
  <c r="AV155" i="11"/>
  <c r="AW180" i="11"/>
  <c r="AV180" i="11"/>
  <c r="AU180" i="11"/>
  <c r="T184" i="11"/>
  <c r="V192" i="11"/>
  <c r="V222" i="11"/>
  <c r="AT222" i="11"/>
  <c r="AV232" i="11"/>
  <c r="AU232" i="11"/>
  <c r="AW232" i="11"/>
  <c r="AZ244" i="11"/>
  <c r="AV243" i="11"/>
  <c r="AV244" i="11"/>
  <c r="AW243" i="11"/>
  <c r="AW244" i="11"/>
  <c r="BD244" i="11" s="1"/>
  <c r="AU243" i="11"/>
  <c r="AT243" i="11"/>
  <c r="AW73" i="11"/>
  <c r="AV73" i="11"/>
  <c r="AU73" i="11"/>
  <c r="AV77" i="11"/>
  <c r="AV76" i="11"/>
  <c r="AZ77" i="11"/>
  <c r="AQ83" i="11"/>
  <c r="V85" i="11"/>
  <c r="AT85" i="11"/>
  <c r="V87" i="11"/>
  <c r="AT87" i="11"/>
  <c r="K91" i="11"/>
  <c r="AW94" i="11"/>
  <c r="AU94" i="11"/>
  <c r="AV94" i="11"/>
  <c r="W108" i="11"/>
  <c r="AS108" i="11"/>
  <c r="U115" i="11"/>
  <c r="AT115" i="11"/>
  <c r="AV127" i="11"/>
  <c r="AW127" i="11"/>
  <c r="R141" i="11"/>
  <c r="R158" i="11" s="1"/>
  <c r="AR132" i="11"/>
  <c r="AW135" i="11"/>
  <c r="AT141" i="11"/>
  <c r="AU135" i="11"/>
  <c r="AT134" i="11"/>
  <c r="AV135" i="11"/>
  <c r="AW142" i="11"/>
  <c r="AV142" i="11"/>
  <c r="AU142" i="11"/>
  <c r="AV143" i="11"/>
  <c r="AU143" i="11"/>
  <c r="AW143" i="11"/>
  <c r="W177" i="11"/>
  <c r="AT178" i="11"/>
  <c r="AS183" i="11"/>
  <c r="AX190" i="11"/>
  <c r="AX192" i="11"/>
  <c r="M227" i="11"/>
  <c r="M178" i="11"/>
  <c r="M250" i="11"/>
  <c r="M249" i="11" s="1"/>
  <c r="M173" i="11"/>
  <c r="M174" i="11" s="1"/>
  <c r="M224" i="11"/>
  <c r="AR236" i="11"/>
  <c r="AV238" i="11"/>
  <c r="AU238" i="11"/>
  <c r="AW238" i="11"/>
  <c r="AX246" i="11"/>
  <c r="L24" i="11"/>
  <c r="AV210" i="11"/>
  <c r="AW210" i="11"/>
  <c r="AU210" i="11"/>
  <c r="AR214" i="11"/>
  <c r="AR211" i="11"/>
  <c r="L59" i="11"/>
  <c r="AV61" i="11"/>
  <c r="AZ61" i="11"/>
  <c r="AV60" i="11"/>
  <c r="W72" i="11"/>
  <c r="AS72" i="11"/>
  <c r="AW74" i="11"/>
  <c r="AV74" i="11"/>
  <c r="AU74" i="11"/>
  <c r="W80" i="11"/>
  <c r="AV81" i="11"/>
  <c r="AV80" i="11"/>
  <c r="AU81" i="11"/>
  <c r="AU80" i="11"/>
  <c r="AZ81" i="11"/>
  <c r="AW81" i="11"/>
  <c r="BD81" i="11" s="1"/>
  <c r="R90" i="11"/>
  <c r="AR82" i="11"/>
  <c r="AV82" i="11" s="1"/>
  <c r="AR93" i="11"/>
  <c r="AR15" i="11"/>
  <c r="AR179" i="11" s="1"/>
  <c r="W87" i="11"/>
  <c r="U89" i="11"/>
  <c r="AT89" i="11"/>
  <c r="W94" i="11"/>
  <c r="U95" i="11"/>
  <c r="AT95" i="11"/>
  <c r="L98" i="11"/>
  <c r="V108" i="11"/>
  <c r="AT108" i="11"/>
  <c r="V115" i="11"/>
  <c r="W116" i="11"/>
  <c r="AT116" i="11"/>
  <c r="AV117" i="11"/>
  <c r="AU117" i="11"/>
  <c r="AW117" i="11"/>
  <c r="W118" i="11"/>
  <c r="AT118" i="11"/>
  <c r="W119" i="11"/>
  <c r="AT119" i="11"/>
  <c r="U127" i="11"/>
  <c r="AQ127" i="11"/>
  <c r="AU127" i="11" s="1"/>
  <c r="V127" i="11"/>
  <c r="AV130" i="11"/>
  <c r="AW130" i="11"/>
  <c r="S131" i="11"/>
  <c r="W135" i="11"/>
  <c r="AV137" i="11"/>
  <c r="AU137" i="11"/>
  <c r="AW145" i="11"/>
  <c r="AV145" i="11"/>
  <c r="AU145" i="11"/>
  <c r="L148" i="11"/>
  <c r="U149" i="11"/>
  <c r="AQ150" i="11"/>
  <c r="AX150" i="11" s="1"/>
  <c r="U155" i="11"/>
  <c r="AQ156" i="11"/>
  <c r="AX156" i="11" s="1"/>
  <c r="V178" i="11"/>
  <c r="AY184" i="11"/>
  <c r="AQ182" i="11"/>
  <c r="L183" i="11"/>
  <c r="AU222" i="11"/>
  <c r="V238" i="11"/>
  <c r="AU244" i="11"/>
  <c r="AX244" i="11"/>
  <c r="AS165" i="11"/>
  <c r="AR172" i="11"/>
  <c r="AR169" i="11"/>
  <c r="L11" i="11"/>
  <c r="L14" i="11"/>
  <c r="T191" i="11"/>
  <c r="AT25" i="11"/>
  <c r="L27" i="11"/>
  <c r="L39" i="11"/>
  <c r="L41" i="11"/>
  <c r="L58" i="11"/>
  <c r="L65" i="11"/>
  <c r="U72" i="11"/>
  <c r="AT72" i="11"/>
  <c r="AV78" i="11"/>
  <c r="AW78" i="11"/>
  <c r="AU78" i="11"/>
  <c r="V81" i="11"/>
  <c r="S83" i="11"/>
  <c r="AS82" i="11"/>
  <c r="AS83" i="11" s="1"/>
  <c r="L83" i="11"/>
  <c r="R86" i="11"/>
  <c r="AR85" i="11"/>
  <c r="L86" i="11"/>
  <c r="AR86" i="11"/>
  <c r="AZ97" i="11"/>
  <c r="AV97" i="11"/>
  <c r="AU97" i="11"/>
  <c r="AW97" i="11"/>
  <c r="BD97" i="11" s="1"/>
  <c r="L99" i="11"/>
  <c r="AW101" i="11"/>
  <c r="U104" i="11"/>
  <c r="I129" i="11"/>
  <c r="I50" i="11" s="1"/>
  <c r="Q131" i="11"/>
  <c r="AQ130" i="11"/>
  <c r="AU130" i="11" s="1"/>
  <c r="AV132" i="11"/>
  <c r="AW132" i="11"/>
  <c r="AU132" i="11"/>
  <c r="AT131" i="11"/>
  <c r="AR134" i="11"/>
  <c r="AR52" i="11"/>
  <c r="AV148" i="11"/>
  <c r="AV147" i="11"/>
  <c r="AZ148" i="11"/>
  <c r="AU152" i="11"/>
  <c r="AW153" i="11"/>
  <c r="BD153" i="11" s="1"/>
  <c r="AW152" i="11"/>
  <c r="AZ153" i="11"/>
  <c r="AU153" i="11"/>
  <c r="AV153" i="11"/>
  <c r="AV152" i="11"/>
  <c r="AY178" i="11"/>
  <c r="AR177" i="11"/>
  <c r="W178" i="11"/>
  <c r="AV191" i="11"/>
  <c r="AW192" i="11"/>
  <c r="AZ192" i="11"/>
  <c r="AU192" i="11"/>
  <c r="AV192" i="11"/>
  <c r="AU191" i="11"/>
  <c r="AT191" i="11"/>
  <c r="AU230" i="11"/>
  <c r="AW230" i="11"/>
  <c r="AV230" i="11"/>
  <c r="W238" i="11"/>
  <c r="AV240" i="11"/>
  <c r="AW240" i="11"/>
  <c r="AU240" i="11"/>
  <c r="U246" i="11"/>
  <c r="AT246" i="11"/>
  <c r="W152" i="11"/>
  <c r="W101" i="11"/>
  <c r="W117" i="11"/>
  <c r="V123" i="11"/>
  <c r="Q148" i="11"/>
  <c r="AQ148" i="11" s="1"/>
  <c r="AX148" i="11" s="1"/>
  <c r="V153" i="11"/>
  <c r="V240" i="11"/>
  <c r="W78" i="11"/>
  <c r="T83" i="11"/>
  <c r="W83" i="11" s="1"/>
  <c r="V84" i="11"/>
  <c r="W95" i="11"/>
  <c r="V102" i="11"/>
  <c r="W107" i="11"/>
  <c r="V117" i="11"/>
  <c r="Q134" i="11"/>
  <c r="V137" i="11"/>
  <c r="U180" i="11"/>
  <c r="V191" i="11"/>
  <c r="W240" i="11"/>
  <c r="V246" i="11"/>
  <c r="V116" i="11"/>
  <c r="V118" i="11"/>
  <c r="U94" i="11"/>
  <c r="V97" i="11"/>
  <c r="V133" i="11"/>
  <c r="W137" i="11"/>
  <c r="U145" i="11"/>
  <c r="V152" i="11"/>
  <c r="V180" i="11"/>
  <c r="U222" i="11"/>
  <c r="W168" i="11"/>
  <c r="V168" i="11"/>
  <c r="U168" i="11"/>
  <c r="T206" i="11"/>
  <c r="AT206" i="11" s="1"/>
  <c r="L206" i="11"/>
  <c r="K228" i="11"/>
  <c r="K266" i="11" s="1"/>
  <c r="L218" i="11"/>
  <c r="W74" i="11"/>
  <c r="U74" i="11"/>
  <c r="T164" i="11"/>
  <c r="AT164" i="11" s="1"/>
  <c r="L164" i="11"/>
  <c r="S165" i="11"/>
  <c r="Q7" i="11"/>
  <c r="AQ7" i="11" s="1"/>
  <c r="AQ167" i="11" s="1"/>
  <c r="L176" i="11"/>
  <c r="V24" i="11"/>
  <c r="S25" i="11"/>
  <c r="J31" i="11"/>
  <c r="K271" i="11"/>
  <c r="K204" i="11"/>
  <c r="Q38" i="11"/>
  <c r="L212" i="11"/>
  <c r="K214" i="11"/>
  <c r="J228" i="11"/>
  <c r="L224" i="11"/>
  <c r="R55" i="11"/>
  <c r="R67" i="11" s="1"/>
  <c r="K55" i="11"/>
  <c r="V74" i="11"/>
  <c r="U80" i="11"/>
  <c r="S86" i="11"/>
  <c r="Q86" i="11"/>
  <c r="U87" i="11"/>
  <c r="T166" i="11"/>
  <c r="AT166" i="11" s="1"/>
  <c r="L166" i="11"/>
  <c r="I172" i="11"/>
  <c r="R23" i="11"/>
  <c r="R189" i="11" s="1"/>
  <c r="K31" i="11"/>
  <c r="Q39" i="11"/>
  <c r="AQ39" i="11" s="1"/>
  <c r="AQ209" i="11" s="1"/>
  <c r="L226" i="11"/>
  <c r="J237" i="11"/>
  <c r="K245" i="11"/>
  <c r="L63" i="11"/>
  <c r="K236" i="11"/>
  <c r="L168" i="11"/>
  <c r="S7" i="11"/>
  <c r="AS7" i="11" s="1"/>
  <c r="AS167" i="11" s="1"/>
  <c r="J172" i="11"/>
  <c r="S170" i="11"/>
  <c r="AS170" i="11" s="1"/>
  <c r="R172" i="11"/>
  <c r="L9" i="11"/>
  <c r="L16" i="11"/>
  <c r="L19" i="11"/>
  <c r="T19" i="11"/>
  <c r="AT19" i="11" s="1"/>
  <c r="K190" i="11"/>
  <c r="L186" i="11"/>
  <c r="L22" i="11"/>
  <c r="L193" i="11"/>
  <c r="L194" i="11"/>
  <c r="L28" i="11"/>
  <c r="L196" i="11"/>
  <c r="L195" i="11"/>
  <c r="I203" i="11"/>
  <c r="L37" i="11"/>
  <c r="T208" i="11"/>
  <c r="AT208" i="11" s="1"/>
  <c r="L208" i="11"/>
  <c r="S38" i="11"/>
  <c r="AS38" i="11" s="1"/>
  <c r="AS207" i="11" s="1"/>
  <c r="V39" i="11"/>
  <c r="I211" i="11"/>
  <c r="I214" i="11"/>
  <c r="L44" i="11"/>
  <c r="L220" i="11"/>
  <c r="L48" i="11"/>
  <c r="L51" i="11"/>
  <c r="S52" i="11"/>
  <c r="AS52" i="11" s="1"/>
  <c r="AS231" i="11" s="1"/>
  <c r="J236" i="11"/>
  <c r="K239" i="11"/>
  <c r="L57" i="11"/>
  <c r="L62" i="11"/>
  <c r="V77" i="11"/>
  <c r="W85" i="11"/>
  <c r="J190" i="11"/>
  <c r="I236" i="11"/>
  <c r="I235" i="11" s="1"/>
  <c r="U78" i="11"/>
  <c r="V78" i="11"/>
  <c r="R93" i="11"/>
  <c r="R110" i="11" s="1"/>
  <c r="R83" i="11"/>
  <c r="V83" i="11" s="1"/>
  <c r="L6" i="11"/>
  <c r="T6" i="11"/>
  <c r="AT6" i="11" s="1"/>
  <c r="Q6" i="11"/>
  <c r="AQ6" i="11" s="1"/>
  <c r="AQ165" i="11" s="1"/>
  <c r="L7" i="11"/>
  <c r="L210" i="11" s="1"/>
  <c r="T7" i="11"/>
  <c r="AT7" i="11" s="1"/>
  <c r="AT167" i="11" s="1"/>
  <c r="K172" i="11"/>
  <c r="T170" i="11"/>
  <c r="AT170" i="11" s="1"/>
  <c r="L170" i="11"/>
  <c r="L10" i="11"/>
  <c r="L174" i="11"/>
  <c r="L13" i="11"/>
  <c r="R15" i="11"/>
  <c r="L17" i="11"/>
  <c r="L20" i="11"/>
  <c r="L188" i="11"/>
  <c r="L23" i="11"/>
  <c r="V25" i="11"/>
  <c r="L26" i="11"/>
  <c r="L29" i="11"/>
  <c r="J271" i="11"/>
  <c r="J204" i="11"/>
  <c r="I205" i="11"/>
  <c r="L38" i="11"/>
  <c r="T38" i="11"/>
  <c r="AT38" i="11" s="1"/>
  <c r="U210" i="11"/>
  <c r="W210" i="11"/>
  <c r="V210" i="11"/>
  <c r="S39" i="11"/>
  <c r="AS39" i="11" s="1"/>
  <c r="AW39" i="11" s="1"/>
  <c r="J214" i="11"/>
  <c r="R214" i="11"/>
  <c r="I228" i="11"/>
  <c r="L45" i="11"/>
  <c r="J266" i="11"/>
  <c r="L52" i="11"/>
  <c r="T52" i="11"/>
  <c r="AT52" i="11" s="1"/>
  <c r="J55" i="11"/>
  <c r="L56" i="11"/>
  <c r="I243" i="11"/>
  <c r="V61" i="11"/>
  <c r="W73" i="11"/>
  <c r="U73" i="11"/>
  <c r="V76" i="11"/>
  <c r="J253" i="11"/>
  <c r="J110" i="11"/>
  <c r="L77" i="11"/>
  <c r="S77" i="11"/>
  <c r="L76" i="11"/>
  <c r="U82" i="11"/>
  <c r="Q83" i="11"/>
  <c r="U191" i="11"/>
  <c r="U192" i="11"/>
  <c r="T242" i="11"/>
  <c r="AT242" i="11" s="1"/>
  <c r="L64" i="11"/>
  <c r="L247" i="11"/>
  <c r="L248" i="11"/>
  <c r="V72" i="11"/>
  <c r="V80" i="11"/>
  <c r="U81" i="11"/>
  <c r="U84" i="11"/>
  <c r="W89" i="11"/>
  <c r="U107" i="11"/>
  <c r="U108" i="11"/>
  <c r="U119" i="11"/>
  <c r="U123" i="11"/>
  <c r="V60" i="11"/>
  <c r="S61" i="11"/>
  <c r="AS61" i="11" s="1"/>
  <c r="AS243" i="11" s="1"/>
  <c r="K253" i="11"/>
  <c r="K110" i="11"/>
  <c r="W81" i="11"/>
  <c r="V82" i="11"/>
  <c r="W84" i="11"/>
  <c r="U85" i="11"/>
  <c r="T86" i="11"/>
  <c r="U101" i="11"/>
  <c r="U102" i="11"/>
  <c r="W104" i="11"/>
  <c r="W105" i="11"/>
  <c r="W115" i="11"/>
  <c r="U137" i="11"/>
  <c r="V142" i="11"/>
  <c r="U142" i="11"/>
  <c r="W142" i="11"/>
  <c r="W82" i="11"/>
  <c r="V89" i="11"/>
  <c r="U97" i="11"/>
  <c r="L93" i="11"/>
  <c r="V94" i="11"/>
  <c r="V95" i="11"/>
  <c r="U117" i="11"/>
  <c r="U118" i="11"/>
  <c r="W97" i="11"/>
  <c r="W102" i="11"/>
  <c r="L120" i="11"/>
  <c r="K122" i="11"/>
  <c r="W124" i="11"/>
  <c r="L129" i="11"/>
  <c r="L128" i="11"/>
  <c r="T129" i="11"/>
  <c r="AT129" i="11" s="1"/>
  <c r="S148" i="11"/>
  <c r="AS148" i="11" s="1"/>
  <c r="AW147" i="11" s="1"/>
  <c r="I224" i="11"/>
  <c r="I173" i="11"/>
  <c r="I174" i="11" s="1"/>
  <c r="J91" i="11"/>
  <c r="L92" i="11"/>
  <c r="T100" i="11"/>
  <c r="AT100" i="11" s="1"/>
  <c r="U105" i="11"/>
  <c r="W125" i="11"/>
  <c r="V125" i="11"/>
  <c r="U125" i="11"/>
  <c r="V132" i="11"/>
  <c r="U132" i="11"/>
  <c r="T131" i="11"/>
  <c r="W132" i="11"/>
  <c r="V124" i="11"/>
  <c r="W126" i="11"/>
  <c r="L131" i="11"/>
  <c r="R131" i="11"/>
  <c r="U133" i="11"/>
  <c r="S134" i="11"/>
  <c r="U153" i="11"/>
  <c r="U152" i="11"/>
  <c r="W153" i="11"/>
  <c r="V155" i="11"/>
  <c r="U130" i="11"/>
  <c r="R139" i="11"/>
  <c r="V143" i="11"/>
  <c r="U143" i="11"/>
  <c r="Q146" i="11"/>
  <c r="AQ146" i="11" s="1"/>
  <c r="V148" i="11"/>
  <c r="U148" i="11"/>
  <c r="V147" i="11"/>
  <c r="W184" i="11"/>
  <c r="T183" i="11"/>
  <c r="W183" i="11"/>
  <c r="U116" i="11"/>
  <c r="V130" i="11"/>
  <c r="V135" i="11"/>
  <c r="U135" i="11"/>
  <c r="T134" i="11"/>
  <c r="I139" i="11"/>
  <c r="W143" i="11"/>
  <c r="W145" i="11"/>
  <c r="V145" i="11"/>
  <c r="V150" i="11"/>
  <c r="W149" i="11"/>
  <c r="U150" i="11"/>
  <c r="V149" i="11"/>
  <c r="W156" i="11"/>
  <c r="V156" i="11"/>
  <c r="W155" i="11"/>
  <c r="V177" i="11"/>
  <c r="R177" i="11"/>
  <c r="W180" i="11"/>
  <c r="S183" i="11"/>
  <c r="W232" i="11"/>
  <c r="S231" i="11"/>
  <c r="W123" i="11"/>
  <c r="W127" i="11"/>
  <c r="W130" i="11"/>
  <c r="W133" i="11"/>
  <c r="R179" i="11"/>
  <c r="R184" i="11"/>
  <c r="W192" i="11"/>
  <c r="U238" i="11"/>
  <c r="U240" i="11"/>
  <c r="V244" i="11"/>
  <c r="T243" i="11"/>
  <c r="U244" i="11"/>
  <c r="W243" i="11"/>
  <c r="U243" i="11"/>
  <c r="W244" i="11"/>
  <c r="V243" i="11"/>
  <c r="I226" i="11"/>
  <c r="W230" i="11"/>
  <c r="V230" i="11"/>
  <c r="V232" i="11"/>
  <c r="U232" i="11"/>
  <c r="W245" i="11"/>
  <c r="W246" i="11"/>
  <c r="U230" i="11"/>
  <c r="W222" i="11"/>
  <c r="R229" i="11"/>
  <c r="S242" i="11"/>
  <c r="AS242" i="11" s="1"/>
  <c r="J241" i="11"/>
  <c r="S167" i="11" l="1"/>
  <c r="L139" i="11"/>
  <c r="I158" i="11"/>
  <c r="L91" i="11"/>
  <c r="S207" i="11"/>
  <c r="K183" i="11"/>
  <c r="L18" i="11"/>
  <c r="T231" i="11"/>
  <c r="AT209" i="11"/>
  <c r="Q209" i="11"/>
  <c r="T209" i="11"/>
  <c r="AV129" i="11"/>
  <c r="AV128" i="11"/>
  <c r="AZ129" i="11"/>
  <c r="AW129" i="11"/>
  <c r="BD129" i="11" s="1"/>
  <c r="AV170" i="11"/>
  <c r="AW170" i="11"/>
  <c r="AW164" i="11"/>
  <c r="AV164" i="11"/>
  <c r="AV206" i="11"/>
  <c r="AW206" i="11"/>
  <c r="BD192" i="11"/>
  <c r="BC153" i="11"/>
  <c r="BA153" i="11"/>
  <c r="BB153" i="11"/>
  <c r="AW148" i="11"/>
  <c r="BD148" i="11" s="1"/>
  <c r="AU72" i="11"/>
  <c r="AW72" i="11"/>
  <c r="AV72" i="11"/>
  <c r="AW119" i="11"/>
  <c r="AU119" i="11"/>
  <c r="AV119" i="11"/>
  <c r="AR83" i="11"/>
  <c r="AV83" i="11" s="1"/>
  <c r="AR216" i="11"/>
  <c r="AR213" i="11"/>
  <c r="AU134" i="11"/>
  <c r="AW134" i="11"/>
  <c r="AV134" i="11"/>
  <c r="AR141" i="11"/>
  <c r="AR51" i="11"/>
  <c r="AR229" i="11" s="1"/>
  <c r="AR131" i="11"/>
  <c r="AV115" i="11"/>
  <c r="AU115" i="11"/>
  <c r="AW115" i="11"/>
  <c r="AU39" i="11"/>
  <c r="AT184" i="11"/>
  <c r="BB156" i="11"/>
  <c r="BA156" i="11"/>
  <c r="BC156" i="11"/>
  <c r="AU156" i="11"/>
  <c r="AW52" i="11"/>
  <c r="AV52" i="11"/>
  <c r="AV38" i="11"/>
  <c r="AW38" i="11"/>
  <c r="AW166" i="11"/>
  <c r="AU166" i="11"/>
  <c r="AT165" i="11"/>
  <c r="AV166" i="11"/>
  <c r="W25" i="11"/>
  <c r="AS25" i="11"/>
  <c r="AS191" i="11" s="1"/>
  <c r="AZ246" i="11"/>
  <c r="AV246" i="11"/>
  <c r="AV245" i="11"/>
  <c r="AW246" i="11"/>
  <c r="BD246" i="11" s="1"/>
  <c r="AU245" i="11"/>
  <c r="AU246" i="11"/>
  <c r="AW245" i="11"/>
  <c r="BA148" i="11"/>
  <c r="BB148" i="11"/>
  <c r="BC148" i="11"/>
  <c r="AZ25" i="11"/>
  <c r="AV24" i="11"/>
  <c r="AV25" i="11"/>
  <c r="AW24" i="11"/>
  <c r="AR198" i="11"/>
  <c r="AR171" i="11"/>
  <c r="AY172" i="11"/>
  <c r="AR231" i="11"/>
  <c r="AU95" i="11"/>
  <c r="AV95" i="11"/>
  <c r="AW95" i="11"/>
  <c r="AW89" i="11"/>
  <c r="AV89" i="11"/>
  <c r="AU89" i="11"/>
  <c r="AW60" i="11"/>
  <c r="AW87" i="11"/>
  <c r="AU87" i="11"/>
  <c r="AW85" i="11"/>
  <c r="AV87" i="11"/>
  <c r="AT86" i="11"/>
  <c r="AS209" i="11"/>
  <c r="AT231" i="11"/>
  <c r="AV222" i="11"/>
  <c r="AW221" i="11"/>
  <c r="AW222" i="11"/>
  <c r="AU221" i="11"/>
  <c r="AU150" i="11"/>
  <c r="AQ131" i="11"/>
  <c r="AW104" i="11"/>
  <c r="AU105" i="11"/>
  <c r="AZ105" i="11"/>
  <c r="AV105" i="11"/>
  <c r="AU104" i="11"/>
  <c r="AV104" i="11"/>
  <c r="AW105" i="11"/>
  <c r="BD105" i="11" s="1"/>
  <c r="AW99" i="11"/>
  <c r="AZ100" i="11"/>
  <c r="AV99" i="11"/>
  <c r="AV100" i="11"/>
  <c r="AW100" i="11"/>
  <c r="BD100" i="11" s="1"/>
  <c r="AZ242" i="11"/>
  <c r="AW242" i="11"/>
  <c r="BD242" i="11" s="1"/>
  <c r="AW241" i="11"/>
  <c r="AV241" i="11"/>
  <c r="AV242" i="11"/>
  <c r="W76" i="11"/>
  <c r="AS77" i="11"/>
  <c r="AW7" i="11"/>
  <c r="AU7" i="11"/>
  <c r="AV7" i="11"/>
  <c r="AT207" i="11"/>
  <c r="AW208" i="11"/>
  <c r="AV208" i="11"/>
  <c r="AU208" i="11"/>
  <c r="Q207" i="11"/>
  <c r="AQ38" i="11"/>
  <c r="AQ207" i="11" s="1"/>
  <c r="AU148" i="11"/>
  <c r="AW131" i="11"/>
  <c r="AV131" i="11"/>
  <c r="AU131" i="11"/>
  <c r="AV118" i="11"/>
  <c r="AU118" i="11"/>
  <c r="AW118" i="11"/>
  <c r="AV107" i="11"/>
  <c r="AV108" i="11"/>
  <c r="AW107" i="11"/>
  <c r="AU108" i="11"/>
  <c r="AW108" i="11"/>
  <c r="BD108" i="11" s="1"/>
  <c r="AU107" i="11"/>
  <c r="AZ108" i="11"/>
  <c r="AY93" i="11"/>
  <c r="AR110" i="11"/>
  <c r="AR19" i="11"/>
  <c r="AV18" i="11" s="1"/>
  <c r="BB81" i="11"/>
  <c r="BA81" i="11"/>
  <c r="BC81" i="11"/>
  <c r="BC61" i="11"/>
  <c r="I67" i="11"/>
  <c r="AZ178" i="11"/>
  <c r="AW177" i="11"/>
  <c r="AV177" i="11"/>
  <c r="AW178" i="11"/>
  <c r="BD178" i="11" s="1"/>
  <c r="AV178" i="11"/>
  <c r="AV140" i="11"/>
  <c r="AZ141" i="11"/>
  <c r="AV141" i="11"/>
  <c r="AW128" i="11"/>
  <c r="BC77" i="11"/>
  <c r="AU149" i="11"/>
  <c r="AV6" i="11"/>
  <c r="AW6" i="11"/>
  <c r="AU6" i="11"/>
  <c r="AW19" i="11"/>
  <c r="BD19" i="11" s="1"/>
  <c r="AZ19" i="11"/>
  <c r="AW18" i="11"/>
  <c r="BA192" i="11"/>
  <c r="BB192" i="11"/>
  <c r="BC192" i="11"/>
  <c r="AU147" i="11"/>
  <c r="BC97" i="11"/>
  <c r="BB97" i="11"/>
  <c r="BA97" i="11"/>
  <c r="AU116" i="11"/>
  <c r="AV116" i="11"/>
  <c r="AW116" i="11"/>
  <c r="AR90" i="11"/>
  <c r="AR91" i="11" s="1"/>
  <c r="AW61" i="11"/>
  <c r="BD61" i="11" s="1"/>
  <c r="AY236" i="11"/>
  <c r="M177" i="11"/>
  <c r="M198" i="11"/>
  <c r="M197" i="11" s="1"/>
  <c r="AV85" i="11"/>
  <c r="AU85" i="11"/>
  <c r="BC244" i="11"/>
  <c r="BB244" i="11"/>
  <c r="BA244" i="11"/>
  <c r="AU155" i="11"/>
  <c r="BB150" i="11"/>
  <c r="BA150" i="11"/>
  <c r="BC150" i="11"/>
  <c r="BA102" i="11"/>
  <c r="BC102" i="11"/>
  <c r="BB102" i="11"/>
  <c r="AU83" i="11"/>
  <c r="AW83" i="11"/>
  <c r="U147" i="11"/>
  <c r="U83" i="11"/>
  <c r="Q165" i="11"/>
  <c r="J267" i="11"/>
  <c r="W148" i="11"/>
  <c r="W147" i="11"/>
  <c r="L122" i="11"/>
  <c r="L121" i="11"/>
  <c r="K158" i="11"/>
  <c r="K43" i="11"/>
  <c r="T79" i="11"/>
  <c r="AT79" i="11" s="1"/>
  <c r="I227" i="11"/>
  <c r="I178" i="11"/>
  <c r="J216" i="11"/>
  <c r="J213" i="11"/>
  <c r="S214" i="11"/>
  <c r="AS214" i="11" s="1"/>
  <c r="V170" i="11"/>
  <c r="W170" i="11"/>
  <c r="V7" i="11"/>
  <c r="W7" i="11"/>
  <c r="U7" i="11"/>
  <c r="U6" i="11"/>
  <c r="W6" i="11"/>
  <c r="V6" i="11"/>
  <c r="V208" i="11"/>
  <c r="T207" i="11"/>
  <c r="U208" i="11"/>
  <c r="W208" i="11"/>
  <c r="V166" i="11"/>
  <c r="U166" i="11"/>
  <c r="T165" i="11"/>
  <c r="W166" i="11"/>
  <c r="K267" i="11"/>
  <c r="L55" i="11"/>
  <c r="L54" i="11"/>
  <c r="W39" i="11"/>
  <c r="W60" i="11"/>
  <c r="W242" i="11"/>
  <c r="V242" i="11"/>
  <c r="W241" i="11"/>
  <c r="R216" i="11"/>
  <c r="R213" i="11"/>
  <c r="L171" i="11"/>
  <c r="K198" i="11"/>
  <c r="K171" i="11"/>
  <c r="L172" i="11"/>
  <c r="I213" i="11"/>
  <c r="I216" i="11"/>
  <c r="L189" i="11"/>
  <c r="K189" i="11"/>
  <c r="T190" i="11"/>
  <c r="AT190" i="11" s="1"/>
  <c r="L190" i="11"/>
  <c r="W77" i="11"/>
  <c r="L31" i="11"/>
  <c r="L30" i="11"/>
  <c r="K216" i="11"/>
  <c r="T214" i="11"/>
  <c r="AT214" i="11" s="1"/>
  <c r="L214" i="11"/>
  <c r="K213" i="11"/>
  <c r="S191" i="11"/>
  <c r="W24" i="11"/>
  <c r="W206" i="11"/>
  <c r="V206" i="11"/>
  <c r="W99" i="11"/>
  <c r="V100" i="11"/>
  <c r="V99" i="11"/>
  <c r="J67" i="11"/>
  <c r="W38" i="11"/>
  <c r="U38" i="11"/>
  <c r="V38" i="11"/>
  <c r="W61" i="11"/>
  <c r="J235" i="11"/>
  <c r="V184" i="11"/>
  <c r="W129" i="11"/>
  <c r="V129" i="11"/>
  <c r="W128" i="11"/>
  <c r="V128" i="11"/>
  <c r="J171" i="11"/>
  <c r="J198" i="11"/>
  <c r="J197" i="11" s="1"/>
  <c r="J227" i="11"/>
  <c r="K272" i="11"/>
  <c r="T204" i="11"/>
  <c r="AT204" i="11" s="1"/>
  <c r="L204" i="11"/>
  <c r="Q167" i="11"/>
  <c r="W164" i="11"/>
  <c r="V164" i="11"/>
  <c r="W52" i="11"/>
  <c r="V52" i="11"/>
  <c r="S243" i="11"/>
  <c r="U134" i="11"/>
  <c r="W134" i="11"/>
  <c r="V134" i="11"/>
  <c r="V183" i="11"/>
  <c r="U131" i="11"/>
  <c r="V131" i="11"/>
  <c r="W131" i="11"/>
  <c r="U86" i="11"/>
  <c r="V86" i="11"/>
  <c r="W86" i="11"/>
  <c r="L109" i="11"/>
  <c r="L110" i="11"/>
  <c r="J272" i="11"/>
  <c r="S204" i="11"/>
  <c r="AS204" i="11" s="1"/>
  <c r="R91" i="11"/>
  <c r="R19" i="11"/>
  <c r="R183" i="11" s="1"/>
  <c r="S190" i="11"/>
  <c r="AS190" i="11" s="1"/>
  <c r="J189" i="11"/>
  <c r="S209" i="11"/>
  <c r="W18" i="11"/>
  <c r="W19" i="11"/>
  <c r="R171" i="11"/>
  <c r="R198" i="11"/>
  <c r="L235" i="11"/>
  <c r="L236" i="11"/>
  <c r="K235" i="11"/>
  <c r="U39" i="11"/>
  <c r="I198" i="11"/>
  <c r="I197" i="11" s="1"/>
  <c r="I171" i="11"/>
  <c r="L228" i="11"/>
  <c r="L227" i="11"/>
  <c r="K227" i="11"/>
  <c r="T167" i="11"/>
  <c r="AV19" i="11" l="1"/>
  <c r="BC178" i="11"/>
  <c r="BC242" i="11"/>
  <c r="BC105" i="11"/>
  <c r="BB105" i="11"/>
  <c r="BA105" i="11"/>
  <c r="AU86" i="11"/>
  <c r="AV86" i="11"/>
  <c r="AW86" i="11"/>
  <c r="AY198" i="11"/>
  <c r="AY141" i="11"/>
  <c r="AR139" i="11"/>
  <c r="AR158" i="11"/>
  <c r="AY158" i="11" s="1"/>
  <c r="AV214" i="11"/>
  <c r="AW214" i="11"/>
  <c r="AY19" i="11"/>
  <c r="BC19" i="11" s="1"/>
  <c r="AR31" i="11"/>
  <c r="AY31" i="11" s="1"/>
  <c r="AR16" i="11"/>
  <c r="AR181" i="11" s="1"/>
  <c r="AR183" i="11"/>
  <c r="BA108" i="11"/>
  <c r="BB108" i="11"/>
  <c r="BC108" i="11"/>
  <c r="AW76" i="11"/>
  <c r="AW77" i="11"/>
  <c r="AV183" i="11"/>
  <c r="AV184" i="11"/>
  <c r="AZ184" i="11"/>
  <c r="AT183" i="11"/>
  <c r="AW184" i="11"/>
  <c r="BD184" i="11" s="1"/>
  <c r="AW183" i="11"/>
  <c r="AR250" i="11"/>
  <c r="AY216" i="11"/>
  <c r="AR215" i="11"/>
  <c r="BC129" i="11"/>
  <c r="AW204" i="11"/>
  <c r="AV204" i="11"/>
  <c r="AZ190" i="11"/>
  <c r="AV189" i="11"/>
  <c r="AU189" i="11"/>
  <c r="AV190" i="11"/>
  <c r="AW189" i="11"/>
  <c r="AW79" i="11"/>
  <c r="AV79" i="11"/>
  <c r="AU79" i="11"/>
  <c r="BC141" i="11"/>
  <c r="AR111" i="11"/>
  <c r="AY110" i="11"/>
  <c r="BC100" i="11"/>
  <c r="AW25" i="11"/>
  <c r="BB246" i="11"/>
  <c r="BA246" i="11"/>
  <c r="BC246" i="11"/>
  <c r="AU38" i="11"/>
  <c r="BC25" i="11"/>
  <c r="AR55" i="11"/>
  <c r="K250" i="11"/>
  <c r="L216" i="11"/>
  <c r="L215" i="11"/>
  <c r="K215" i="11"/>
  <c r="V19" i="11"/>
  <c r="V214" i="11"/>
  <c r="W214" i="11"/>
  <c r="I177" i="11"/>
  <c r="K265" i="11"/>
  <c r="K67" i="11"/>
  <c r="L42" i="11"/>
  <c r="L43" i="11"/>
  <c r="W204" i="11"/>
  <c r="V204" i="11"/>
  <c r="I250" i="11"/>
  <c r="I249" i="11" s="1"/>
  <c r="I215" i="11"/>
  <c r="R250" i="11"/>
  <c r="R249" i="11" s="1"/>
  <c r="R215" i="11"/>
  <c r="R16" i="11"/>
  <c r="R31" i="11"/>
  <c r="L198" i="11"/>
  <c r="L197" i="11"/>
  <c r="K197" i="11"/>
  <c r="J250" i="11"/>
  <c r="J249" i="11" s="1"/>
  <c r="J215" i="11"/>
  <c r="J265" i="11"/>
  <c r="W79" i="11"/>
  <c r="V79" i="11"/>
  <c r="U79" i="11"/>
  <c r="L158" i="11"/>
  <c r="L157" i="11"/>
  <c r="V18" i="11"/>
  <c r="W190" i="11"/>
  <c r="V190" i="11"/>
  <c r="V189" i="11"/>
  <c r="W189" i="11"/>
  <c r="AR197" i="11" l="1"/>
  <c r="BC184" i="11"/>
  <c r="BD77" i="11"/>
  <c r="AY55" i="11"/>
  <c r="AR67" i="11"/>
  <c r="AY67" i="11" s="1"/>
  <c r="AR235" i="11"/>
  <c r="BD25" i="11"/>
  <c r="BD191" i="11" s="1"/>
  <c r="AW191" i="11"/>
  <c r="BC190" i="11"/>
  <c r="BA190" i="11"/>
  <c r="BB190" i="11"/>
  <c r="AY250" i="11"/>
  <c r="R197" i="11"/>
  <c r="R181" i="11"/>
  <c r="K249" i="11"/>
  <c r="L250" i="11"/>
  <c r="L249" i="11"/>
  <c r="L66" i="11"/>
  <c r="L67" i="11"/>
  <c r="A243" i="11"/>
  <c r="A245" i="11" s="1"/>
  <c r="A247" i="11" s="1"/>
  <c r="A241" i="11"/>
  <c r="A235" i="11"/>
  <c r="A227" i="11"/>
  <c r="A191" i="11"/>
  <c r="A193" i="11" s="1"/>
  <c r="A195" i="11" s="1"/>
  <c r="A189" i="11"/>
  <c r="A183" i="11"/>
  <c r="A177" i="11"/>
  <c r="E16" i="2"/>
  <c r="E16" i="9" s="1"/>
  <c r="E28" i="2"/>
  <c r="E28" i="9" s="1"/>
  <c r="K39" i="7"/>
  <c r="K38" i="7"/>
  <c r="H38" i="7"/>
  <c r="F38" i="7"/>
  <c r="E38" i="7"/>
  <c r="D38" i="7"/>
  <c r="E5" i="11"/>
  <c r="E8" i="11"/>
  <c r="Q8" i="11" s="1"/>
  <c r="AQ8" i="11" s="1"/>
  <c r="N39" i="7"/>
  <c r="M39" i="7"/>
  <c r="L39" i="7"/>
  <c r="J39" i="7"/>
  <c r="I39" i="7"/>
  <c r="H39" i="7"/>
  <c r="G39" i="7"/>
  <c r="F39" i="7"/>
  <c r="E39" i="7"/>
  <c r="D39" i="7"/>
  <c r="C39" i="7"/>
  <c r="N38" i="7"/>
  <c r="M38" i="7"/>
  <c r="L38" i="7"/>
  <c r="J38" i="7"/>
  <c r="I38" i="7"/>
  <c r="G38" i="7"/>
  <c r="C38" i="7"/>
  <c r="N16" i="7"/>
  <c r="M16" i="7"/>
  <c r="L16" i="7"/>
  <c r="K16" i="7"/>
  <c r="J16" i="7"/>
  <c r="I16" i="7"/>
  <c r="H16" i="7"/>
  <c r="G16" i="7"/>
  <c r="F16" i="7"/>
  <c r="E16" i="7"/>
  <c r="D16" i="7"/>
  <c r="C16" i="7"/>
  <c r="G231" i="11"/>
  <c r="J117" i="9"/>
  <c r="H246" i="11"/>
  <c r="H245" i="11"/>
  <c r="H244" i="11"/>
  <c r="H243" i="11"/>
  <c r="G243" i="11"/>
  <c r="F242" i="11"/>
  <c r="E242" i="11"/>
  <c r="Q242" i="11" s="1"/>
  <c r="H240" i="11"/>
  <c r="H238" i="11"/>
  <c r="H232" i="11"/>
  <c r="H230" i="11"/>
  <c r="G216" i="11"/>
  <c r="G212" i="11"/>
  <c r="G202" i="11"/>
  <c r="F202" i="11"/>
  <c r="E201" i="11"/>
  <c r="H192" i="11"/>
  <c r="H191" i="11"/>
  <c r="G191" i="11"/>
  <c r="E190" i="11"/>
  <c r="Q190" i="11" s="1"/>
  <c r="F184" i="11"/>
  <c r="E184" i="11"/>
  <c r="Q184" i="11" s="1"/>
  <c r="H183" i="11"/>
  <c r="G183" i="11"/>
  <c r="G182" i="11"/>
  <c r="H180" i="11"/>
  <c r="H175" i="11"/>
  <c r="F175" i="11"/>
  <c r="H173" i="11"/>
  <c r="F173" i="11"/>
  <c r="E173" i="11"/>
  <c r="G172" i="11"/>
  <c r="G162" i="11"/>
  <c r="F162" i="11"/>
  <c r="E161" i="11"/>
  <c r="H156" i="11"/>
  <c r="H155" i="11"/>
  <c r="H153" i="11"/>
  <c r="H152" i="11"/>
  <c r="H150" i="11"/>
  <c r="H149" i="11"/>
  <c r="F148" i="11"/>
  <c r="E148" i="11"/>
  <c r="G146" i="11"/>
  <c r="F146" i="11"/>
  <c r="E146" i="11"/>
  <c r="H145" i="11"/>
  <c r="H143" i="11"/>
  <c r="H142" i="11"/>
  <c r="G141" i="11"/>
  <c r="F141" i="11"/>
  <c r="F55" i="11" s="1"/>
  <c r="F267" i="11" s="1"/>
  <c r="E141" i="11"/>
  <c r="Q141" i="11" s="1"/>
  <c r="G138" i="11"/>
  <c r="H138" i="11" s="1"/>
  <c r="F138" i="11"/>
  <c r="E138" i="11"/>
  <c r="Q138" i="11" s="1"/>
  <c r="AQ138" i="11" s="1"/>
  <c r="H137" i="11"/>
  <c r="H135" i="11"/>
  <c r="G134" i="11"/>
  <c r="F134" i="11"/>
  <c r="E134" i="11"/>
  <c r="H133" i="11"/>
  <c r="H132" i="11"/>
  <c r="G131" i="11"/>
  <c r="F131" i="11"/>
  <c r="E131" i="11"/>
  <c r="H130" i="11"/>
  <c r="E126" i="11"/>
  <c r="H125" i="11"/>
  <c r="E124" i="11"/>
  <c r="Q124" i="11" s="1"/>
  <c r="F123" i="11"/>
  <c r="G120" i="11"/>
  <c r="G41" i="11" s="1"/>
  <c r="S41" i="11" s="1"/>
  <c r="F120" i="11"/>
  <c r="E120" i="11"/>
  <c r="Q120" i="11" s="1"/>
  <c r="AQ120" i="11" s="1"/>
  <c r="H119" i="11"/>
  <c r="H116" i="11"/>
  <c r="H115" i="11"/>
  <c r="G114" i="11"/>
  <c r="G35" i="11" s="1"/>
  <c r="F114" i="11"/>
  <c r="E113" i="11"/>
  <c r="H108" i="11"/>
  <c r="H107" i="11"/>
  <c r="H105" i="11"/>
  <c r="H104" i="11"/>
  <c r="H102" i="11"/>
  <c r="H101" i="11"/>
  <c r="E100" i="11"/>
  <c r="Q100" i="11" s="1"/>
  <c r="H99" i="11"/>
  <c r="G98" i="11"/>
  <c r="F98" i="11"/>
  <c r="E98" i="11"/>
  <c r="Q98" i="11" s="1"/>
  <c r="AQ98" i="11" s="1"/>
  <c r="H97" i="11"/>
  <c r="H95" i="11"/>
  <c r="H94" i="11"/>
  <c r="G93" i="11"/>
  <c r="G110" i="11" s="1"/>
  <c r="D82" i="2" s="1"/>
  <c r="F93" i="11"/>
  <c r="E93" i="11"/>
  <c r="G90" i="11"/>
  <c r="F90" i="11"/>
  <c r="E90" i="11"/>
  <c r="Q90" i="11" s="1"/>
  <c r="AQ90" i="11" s="1"/>
  <c r="H89" i="11"/>
  <c r="H87" i="11"/>
  <c r="G86" i="11"/>
  <c r="F86" i="11"/>
  <c r="E86" i="11"/>
  <c r="H85" i="11"/>
  <c r="H84" i="11"/>
  <c r="G83" i="11"/>
  <c r="F83" i="11"/>
  <c r="E83" i="11"/>
  <c r="H82" i="11"/>
  <c r="H81" i="11"/>
  <c r="H80" i="11"/>
  <c r="F79" i="11"/>
  <c r="F12" i="11" s="1"/>
  <c r="F78" i="11"/>
  <c r="F77" i="11"/>
  <c r="E77" i="11"/>
  <c r="Q77" i="11" s="1"/>
  <c r="G75" i="11"/>
  <c r="G71" i="11"/>
  <c r="F71" i="11"/>
  <c r="E70" i="11"/>
  <c r="G65" i="11"/>
  <c r="G248" i="11" s="1"/>
  <c r="F65" i="11"/>
  <c r="E65" i="11"/>
  <c r="Q65" i="11" s="1"/>
  <c r="AQ65" i="11" s="1"/>
  <c r="AX65" i="11" s="1"/>
  <c r="G63" i="11"/>
  <c r="F63" i="11"/>
  <c r="F245" i="11" s="1"/>
  <c r="E63" i="11"/>
  <c r="Q63" i="11" s="1"/>
  <c r="F61" i="11"/>
  <c r="F243" i="11" s="1"/>
  <c r="E61" i="11"/>
  <c r="Q61" i="11" s="1"/>
  <c r="G59" i="11"/>
  <c r="G57" i="11"/>
  <c r="F57" i="11"/>
  <c r="E57" i="11"/>
  <c r="Q57" i="11" s="1"/>
  <c r="G56" i="11"/>
  <c r="F56" i="11"/>
  <c r="F237" i="11" s="1"/>
  <c r="E56" i="11"/>
  <c r="G53" i="11"/>
  <c r="F53" i="11"/>
  <c r="F234" i="11" s="1"/>
  <c r="E53" i="11"/>
  <c r="Q53" i="11" s="1"/>
  <c r="AQ53" i="11" s="1"/>
  <c r="F52" i="11"/>
  <c r="H52" i="11" s="1"/>
  <c r="E52" i="11"/>
  <c r="Q52" i="11" s="1"/>
  <c r="G51" i="11"/>
  <c r="F51" i="11"/>
  <c r="F229" i="11" s="1"/>
  <c r="E51" i="11"/>
  <c r="G50" i="11"/>
  <c r="G48" i="11"/>
  <c r="E48" i="11"/>
  <c r="G47" i="11"/>
  <c r="G46" i="11"/>
  <c r="F46" i="11"/>
  <c r="H46" i="11" s="1"/>
  <c r="E46" i="11"/>
  <c r="Q46" i="11" s="1"/>
  <c r="G45" i="11"/>
  <c r="G44" i="11"/>
  <c r="F44" i="11"/>
  <c r="F218" i="11" s="1"/>
  <c r="E44" i="11"/>
  <c r="G40" i="11"/>
  <c r="H40" i="11" s="1"/>
  <c r="F40" i="11"/>
  <c r="E40" i="11"/>
  <c r="G37" i="11"/>
  <c r="F37" i="11"/>
  <c r="F206" i="11" s="1"/>
  <c r="E37" i="11"/>
  <c r="Q37" i="11" s="1"/>
  <c r="AQ37" i="11" s="1"/>
  <c r="G36" i="11"/>
  <c r="F36" i="11"/>
  <c r="F204" i="11" s="1"/>
  <c r="E36" i="11"/>
  <c r="Q36" i="11" s="1"/>
  <c r="AQ36" i="11" s="1"/>
  <c r="H35" i="11"/>
  <c r="F35" i="11"/>
  <c r="E35" i="11"/>
  <c r="E34" i="11"/>
  <c r="G29" i="11"/>
  <c r="F29" i="11"/>
  <c r="F196" i="11" s="1"/>
  <c r="E29" i="11"/>
  <c r="G27" i="11"/>
  <c r="F27" i="11"/>
  <c r="E27" i="11"/>
  <c r="F25" i="11"/>
  <c r="E25" i="11"/>
  <c r="Q25" i="11" s="1"/>
  <c r="G23" i="11"/>
  <c r="F23" i="11"/>
  <c r="E23" i="11"/>
  <c r="Q23" i="11" s="1"/>
  <c r="AQ23" i="11" s="1"/>
  <c r="G21" i="11"/>
  <c r="G188" i="11" s="1"/>
  <c r="F21" i="11"/>
  <c r="E21" i="11"/>
  <c r="G20" i="11"/>
  <c r="F20" i="11"/>
  <c r="F186" i="11" s="1"/>
  <c r="E20" i="11"/>
  <c r="Q20" i="11" s="1"/>
  <c r="F19" i="11"/>
  <c r="H18" i="11" s="1"/>
  <c r="G17" i="11"/>
  <c r="F17" i="11"/>
  <c r="E17" i="11"/>
  <c r="Q17" i="11" s="1"/>
  <c r="AQ17" i="11" s="1"/>
  <c r="E16" i="11"/>
  <c r="Q16" i="11" s="1"/>
  <c r="G15" i="11"/>
  <c r="F15" i="11"/>
  <c r="E15" i="11"/>
  <c r="Q15" i="11" s="1"/>
  <c r="G14" i="11"/>
  <c r="G177" i="11" s="1"/>
  <c r="D30" i="2" s="1"/>
  <c r="D30" i="9" s="1"/>
  <c r="F14" i="11"/>
  <c r="E14" i="11"/>
  <c r="Q14" i="11" s="1"/>
  <c r="AQ14" i="11" s="1"/>
  <c r="AX14" i="11" s="1"/>
  <c r="G12" i="11"/>
  <c r="G176" i="11" s="1"/>
  <c r="E12" i="11"/>
  <c r="G11" i="11"/>
  <c r="G174" i="11" s="1"/>
  <c r="E11" i="11"/>
  <c r="Q11" i="11" s="1"/>
  <c r="AQ11" i="11" s="1"/>
  <c r="G10" i="11"/>
  <c r="G8" i="11"/>
  <c r="F8" i="11"/>
  <c r="F170" i="11" s="1"/>
  <c r="H170" i="11" s="1"/>
  <c r="E170" i="11"/>
  <c r="Q170" i="11" s="1"/>
  <c r="G5" i="11"/>
  <c r="F5" i="11"/>
  <c r="O172" i="9"/>
  <c r="K172" i="2"/>
  <c r="K172" i="9" s="1"/>
  <c r="L158" i="2"/>
  <c r="L158" i="9" s="1"/>
  <c r="L17" i="2"/>
  <c r="L17" i="9" s="1"/>
  <c r="N28" i="9"/>
  <c r="M28" i="9"/>
  <c r="L30" i="2"/>
  <c r="L30" i="9" s="1"/>
  <c r="J28" i="2"/>
  <c r="J28" i="9" s="1"/>
  <c r="G55" i="11"/>
  <c r="H54" i="11" s="1"/>
  <c r="H51" i="11"/>
  <c r="H14" i="11"/>
  <c r="H29" i="11"/>
  <c r="F236" i="11"/>
  <c r="H53" i="11"/>
  <c r="H234" i="11" s="1"/>
  <c r="G239" i="11"/>
  <c r="H98" i="11"/>
  <c r="F212" i="11"/>
  <c r="E243" i="11"/>
  <c r="H20" i="11"/>
  <c r="F231" i="11"/>
  <c r="G194" i="11"/>
  <c r="H13" i="11"/>
  <c r="G16" i="11"/>
  <c r="H21" i="11"/>
  <c r="G122" i="11"/>
  <c r="H148" i="11"/>
  <c r="H93" i="11"/>
  <c r="H123" i="11"/>
  <c r="F124" i="11"/>
  <c r="H140" i="11"/>
  <c r="H141" i="11"/>
  <c r="I59" i="10"/>
  <c r="I52" i="10"/>
  <c r="I38" i="10"/>
  <c r="I24" i="10"/>
  <c r="I17" i="10"/>
  <c r="I21" i="10" s="1"/>
  <c r="I10" i="10"/>
  <c r="I14" i="10" s="1"/>
  <c r="I82" i="10"/>
  <c r="I80" i="10"/>
  <c r="I84" i="10"/>
  <c r="I78" i="10"/>
  <c r="I75" i="10"/>
  <c r="I73" i="10"/>
  <c r="I77" i="10" s="1"/>
  <c r="I71" i="10"/>
  <c r="I68" i="10"/>
  <c r="I66" i="10"/>
  <c r="I70" i="10"/>
  <c r="I64" i="10"/>
  <c r="I61" i="10"/>
  <c r="I57" i="10"/>
  <c r="I54" i="10"/>
  <c r="I56" i="10" s="1"/>
  <c r="I50" i="10"/>
  <c r="I47" i="10"/>
  <c r="I45" i="10"/>
  <c r="I49" i="10" s="1"/>
  <c r="I43" i="10"/>
  <c r="I40" i="10"/>
  <c r="I42" i="10"/>
  <c r="I36" i="10"/>
  <c r="I33" i="10"/>
  <c r="I31" i="10"/>
  <c r="I35" i="10" s="1"/>
  <c r="I29" i="10"/>
  <c r="I26" i="10"/>
  <c r="I28" i="10" s="1"/>
  <c r="I22" i="10"/>
  <c r="I19" i="10"/>
  <c r="I15" i="10"/>
  <c r="I12" i="10"/>
  <c r="I8" i="10"/>
  <c r="I5" i="10"/>
  <c r="I3" i="10"/>
  <c r="I7" i="10" s="1"/>
  <c r="I1" i="10"/>
  <c r="I84" i="6"/>
  <c r="I77" i="6"/>
  <c r="I70" i="6"/>
  <c r="I63" i="6"/>
  <c r="I56" i="6"/>
  <c r="I49" i="6"/>
  <c r="I42" i="6"/>
  <c r="I35" i="6"/>
  <c r="I28" i="6"/>
  <c r="I21" i="6"/>
  <c r="I14" i="6"/>
  <c r="I7" i="6"/>
  <c r="N207" i="9"/>
  <c r="M207" i="9"/>
  <c r="L207" i="9"/>
  <c r="K207" i="9"/>
  <c r="J207" i="9"/>
  <c r="I207" i="9"/>
  <c r="H207" i="9"/>
  <c r="G207" i="9"/>
  <c r="F207" i="9"/>
  <c r="E207" i="9"/>
  <c r="D207" i="9"/>
  <c r="O207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O169" i="9"/>
  <c r="I169" i="9"/>
  <c r="N169" i="9"/>
  <c r="M169" i="9"/>
  <c r="L169" i="9"/>
  <c r="K169" i="9"/>
  <c r="J169" i="9"/>
  <c r="H169" i="9"/>
  <c r="G169" i="9"/>
  <c r="F169" i="9"/>
  <c r="E169" i="9"/>
  <c r="D169" i="9"/>
  <c r="O117" i="9"/>
  <c r="N117" i="9"/>
  <c r="M117" i="9"/>
  <c r="L117" i="9"/>
  <c r="K117" i="9"/>
  <c r="I117" i="9"/>
  <c r="H117" i="9"/>
  <c r="G117" i="9"/>
  <c r="F117" i="9"/>
  <c r="E117" i="9"/>
  <c r="D117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O96" i="9"/>
  <c r="O95" i="9"/>
  <c r="N96" i="9"/>
  <c r="N95" i="9"/>
  <c r="M96" i="9"/>
  <c r="M95" i="9"/>
  <c r="L96" i="9"/>
  <c r="L95" i="9"/>
  <c r="K96" i="9"/>
  <c r="K95" i="9"/>
  <c r="J96" i="9"/>
  <c r="J95" i="9"/>
  <c r="I96" i="9"/>
  <c r="I95" i="9"/>
  <c r="H96" i="9"/>
  <c r="H95" i="9"/>
  <c r="G96" i="9"/>
  <c r="G95" i="9"/>
  <c r="F96" i="9"/>
  <c r="F95" i="9"/>
  <c r="E96" i="9"/>
  <c r="E95" i="9"/>
  <c r="D96" i="9"/>
  <c r="D95" i="9"/>
  <c r="L145" i="9"/>
  <c r="I145" i="9"/>
  <c r="G145" i="9"/>
  <c r="F145" i="9"/>
  <c r="E145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O145" i="9"/>
  <c r="N145" i="9"/>
  <c r="M145" i="9"/>
  <c r="K145" i="9"/>
  <c r="J145" i="9"/>
  <c r="H145" i="9"/>
  <c r="D145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O59" i="9"/>
  <c r="H59" i="9"/>
  <c r="G59" i="9"/>
  <c r="F59" i="9"/>
  <c r="E59" i="9"/>
  <c r="N59" i="9"/>
  <c r="M59" i="9"/>
  <c r="L59" i="9"/>
  <c r="K59" i="9"/>
  <c r="J59" i="9"/>
  <c r="I59" i="9"/>
  <c r="D59" i="9"/>
  <c r="O44" i="9"/>
  <c r="O45" i="9"/>
  <c r="N45" i="9"/>
  <c r="M45" i="9"/>
  <c r="L45" i="9"/>
  <c r="K45" i="9"/>
  <c r="J45" i="9"/>
  <c r="I45" i="9"/>
  <c r="H45" i="9"/>
  <c r="G45" i="9"/>
  <c r="F45" i="9"/>
  <c r="E45" i="9"/>
  <c r="D45" i="9"/>
  <c r="N44" i="9"/>
  <c r="M44" i="9"/>
  <c r="L44" i="9"/>
  <c r="K44" i="9"/>
  <c r="J44" i="9"/>
  <c r="I44" i="9"/>
  <c r="H44" i="9"/>
  <c r="G44" i="9"/>
  <c r="F44" i="9"/>
  <c r="E44" i="9"/>
  <c r="D44" i="9"/>
  <c r="K43" i="9"/>
  <c r="D27" i="9"/>
  <c r="O27" i="9"/>
  <c r="N27" i="9"/>
  <c r="M27" i="9"/>
  <c r="L27" i="9"/>
  <c r="K27" i="9"/>
  <c r="J27" i="9"/>
  <c r="I27" i="9"/>
  <c r="H27" i="9"/>
  <c r="G27" i="9"/>
  <c r="F27" i="9"/>
  <c r="E27" i="9"/>
  <c r="O26" i="9"/>
  <c r="N26" i="9"/>
  <c r="M26" i="9"/>
  <c r="L26" i="9"/>
  <c r="K26" i="9"/>
  <c r="J26" i="9"/>
  <c r="I26" i="9"/>
  <c r="H26" i="9"/>
  <c r="G26" i="9"/>
  <c r="F26" i="9"/>
  <c r="E26" i="9"/>
  <c r="D26" i="9"/>
  <c r="O12" i="9"/>
  <c r="N12" i="9"/>
  <c r="M12" i="9"/>
  <c r="L12" i="9"/>
  <c r="K12" i="9"/>
  <c r="J12" i="9"/>
  <c r="I12" i="9"/>
  <c r="H12" i="9"/>
  <c r="G12" i="9"/>
  <c r="F12" i="9"/>
  <c r="E12" i="9"/>
  <c r="D12" i="9"/>
  <c r="O11" i="9"/>
  <c r="N11" i="9"/>
  <c r="M11" i="9"/>
  <c r="L11" i="9"/>
  <c r="K11" i="9"/>
  <c r="J11" i="9"/>
  <c r="I11" i="9"/>
  <c r="H11" i="9"/>
  <c r="G11" i="9"/>
  <c r="F11" i="9"/>
  <c r="E11" i="9"/>
  <c r="D11" i="9"/>
  <c r="E144" i="2"/>
  <c r="E144" i="9"/>
  <c r="F144" i="2"/>
  <c r="F144" i="9" s="1"/>
  <c r="G144" i="2"/>
  <c r="G144" i="9" s="1"/>
  <c r="H144" i="2"/>
  <c r="H144" i="9" s="1"/>
  <c r="I144" i="2"/>
  <c r="I144" i="9" s="1"/>
  <c r="J144" i="2"/>
  <c r="J144" i="9" s="1"/>
  <c r="K144" i="2"/>
  <c r="K144" i="9" s="1"/>
  <c r="L144" i="2"/>
  <c r="L144" i="9" s="1"/>
  <c r="M144" i="2"/>
  <c r="M144" i="9"/>
  <c r="N144" i="2"/>
  <c r="N144" i="9" s="1"/>
  <c r="O144" i="2"/>
  <c r="O144" i="9" s="1"/>
  <c r="D144" i="2"/>
  <c r="D144" i="9" s="1"/>
  <c r="D43" i="2"/>
  <c r="D43" i="9" s="1"/>
  <c r="O43" i="2"/>
  <c r="O43" i="9" s="1"/>
  <c r="N43" i="2"/>
  <c r="N43" i="9" s="1"/>
  <c r="M43" i="2"/>
  <c r="M43" i="9" s="1"/>
  <c r="L43" i="2"/>
  <c r="L43" i="9" s="1"/>
  <c r="K43" i="2"/>
  <c r="J43" i="2"/>
  <c r="J43" i="9"/>
  <c r="I43" i="2"/>
  <c r="I43" i="9" s="1"/>
  <c r="H43" i="2"/>
  <c r="H43" i="9" s="1"/>
  <c r="G43" i="2"/>
  <c r="G43" i="9"/>
  <c r="F43" i="2"/>
  <c r="F43" i="9" s="1"/>
  <c r="E43" i="2"/>
  <c r="E43" i="9" s="1"/>
  <c r="H3" i="4"/>
  <c r="L3" i="4" s="1"/>
  <c r="H4" i="4"/>
  <c r="L4" i="4" s="1"/>
  <c r="H5" i="4"/>
  <c r="L5" i="4" s="1"/>
  <c r="H6" i="4"/>
  <c r="L6" i="4" s="1"/>
  <c r="H7" i="4"/>
  <c r="L7" i="4" s="1"/>
  <c r="H9" i="4"/>
  <c r="L9" i="4" s="1"/>
  <c r="H10" i="4"/>
  <c r="L10" i="4" s="1"/>
  <c r="H11" i="4"/>
  <c r="L11" i="4" s="1"/>
  <c r="H12" i="4"/>
  <c r="L12" i="4" s="1"/>
  <c r="H13" i="4"/>
  <c r="L13" i="4" s="1"/>
  <c r="C7" i="7"/>
  <c r="D7" i="7"/>
  <c r="E7" i="7"/>
  <c r="F7" i="7"/>
  <c r="G7" i="7"/>
  <c r="H7" i="7"/>
  <c r="I7" i="7"/>
  <c r="J7" i="7"/>
  <c r="K7" i="7"/>
  <c r="L7" i="7"/>
  <c r="M7" i="7"/>
  <c r="N7" i="7"/>
  <c r="F8" i="7"/>
  <c r="F10" i="7" s="1"/>
  <c r="C10" i="7"/>
  <c r="D10" i="7"/>
  <c r="E10" i="7"/>
  <c r="G10" i="7"/>
  <c r="H10" i="7"/>
  <c r="I10" i="7"/>
  <c r="J10" i="7"/>
  <c r="K10" i="7"/>
  <c r="L10" i="7"/>
  <c r="M10" i="7"/>
  <c r="N10" i="7"/>
  <c r="C13" i="7"/>
  <c r="D13" i="7"/>
  <c r="E13" i="7"/>
  <c r="F13" i="7"/>
  <c r="G13" i="7"/>
  <c r="H13" i="7"/>
  <c r="I13" i="7"/>
  <c r="J13" i="7"/>
  <c r="K13" i="7"/>
  <c r="L13" i="7"/>
  <c r="M13" i="7"/>
  <c r="N13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I31" i="7"/>
  <c r="J30" i="7"/>
  <c r="K30" i="7"/>
  <c r="L30" i="7"/>
  <c r="M30" i="7"/>
  <c r="N30" i="7"/>
  <c r="C31" i="7"/>
  <c r="E31" i="7"/>
  <c r="F31" i="7"/>
  <c r="G31" i="7"/>
  <c r="H31" i="7"/>
  <c r="M31" i="7"/>
  <c r="C32" i="7"/>
  <c r="C34" i="7" s="1"/>
  <c r="D32" i="7"/>
  <c r="E32" i="7"/>
  <c r="G32" i="7"/>
  <c r="H32" i="7"/>
  <c r="I32" i="7"/>
  <c r="J32" i="7"/>
  <c r="K32" i="7"/>
  <c r="L32" i="7"/>
  <c r="M32" i="7"/>
  <c r="N32" i="7"/>
  <c r="C33" i="7"/>
  <c r="D33" i="7"/>
  <c r="E33" i="7"/>
  <c r="E34" i="7" s="1"/>
  <c r="F33" i="7"/>
  <c r="G33" i="7"/>
  <c r="H33" i="7"/>
  <c r="I33" i="7"/>
  <c r="J33" i="7"/>
  <c r="K33" i="7"/>
  <c r="L33" i="7"/>
  <c r="M33" i="7"/>
  <c r="N33" i="7"/>
  <c r="G34" i="7"/>
  <c r="J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D1" i="10"/>
  <c r="E1" i="10"/>
  <c r="F1" i="10"/>
  <c r="G1" i="10"/>
  <c r="H1" i="10"/>
  <c r="J1" i="10"/>
  <c r="K1" i="10"/>
  <c r="G3" i="10"/>
  <c r="H3" i="10"/>
  <c r="D5" i="10"/>
  <c r="D7" i="10" s="1"/>
  <c r="E5" i="10"/>
  <c r="E7" i="10" s="1"/>
  <c r="F5" i="10"/>
  <c r="F7" i="10" s="1"/>
  <c r="G5" i="10"/>
  <c r="G7" i="10" s="1"/>
  <c r="H5" i="10"/>
  <c r="G6" i="10"/>
  <c r="J6" i="10"/>
  <c r="K6" i="10"/>
  <c r="D8" i="10"/>
  <c r="E8" i="10"/>
  <c r="F8" i="10"/>
  <c r="G8" i="10"/>
  <c r="H8" i="10"/>
  <c r="J8" i="10"/>
  <c r="K8" i="10"/>
  <c r="G10" i="10"/>
  <c r="H10" i="10"/>
  <c r="D12" i="10"/>
  <c r="D14" i="10"/>
  <c r="E12" i="10"/>
  <c r="E14" i="10"/>
  <c r="F12" i="10"/>
  <c r="F14" i="10"/>
  <c r="G12" i="10"/>
  <c r="H12" i="10"/>
  <c r="H14" i="10" s="1"/>
  <c r="D15" i="10"/>
  <c r="E15" i="10"/>
  <c r="F15" i="10"/>
  <c r="G15" i="10"/>
  <c r="H15" i="10"/>
  <c r="J15" i="10"/>
  <c r="K15" i="10"/>
  <c r="G17" i="10"/>
  <c r="G21" i="10" s="1"/>
  <c r="H17" i="10"/>
  <c r="H21" i="10" s="1"/>
  <c r="D19" i="10"/>
  <c r="D21" i="10" s="1"/>
  <c r="E19" i="10"/>
  <c r="E21" i="10" s="1"/>
  <c r="F19" i="10"/>
  <c r="F21" i="10" s="1"/>
  <c r="G19" i="10"/>
  <c r="H19" i="10"/>
  <c r="D22" i="10"/>
  <c r="E22" i="10"/>
  <c r="F22" i="10"/>
  <c r="G22" i="10"/>
  <c r="H22" i="10"/>
  <c r="J22" i="10"/>
  <c r="K22" i="10"/>
  <c r="F24" i="10"/>
  <c r="G24" i="10"/>
  <c r="H24" i="10"/>
  <c r="H28" i="10"/>
  <c r="D26" i="10"/>
  <c r="D28" i="10"/>
  <c r="E26" i="10"/>
  <c r="E28" i="10"/>
  <c r="F26" i="10"/>
  <c r="G26" i="10"/>
  <c r="H26" i="10"/>
  <c r="D29" i="10"/>
  <c r="E29" i="10"/>
  <c r="F29" i="10"/>
  <c r="G29" i="10"/>
  <c r="H29" i="10"/>
  <c r="J29" i="10"/>
  <c r="K29" i="10"/>
  <c r="F31" i="10"/>
  <c r="G31" i="10"/>
  <c r="H31" i="10"/>
  <c r="D33" i="10"/>
  <c r="D35" i="10" s="1"/>
  <c r="E33" i="10"/>
  <c r="E35" i="10" s="1"/>
  <c r="F33" i="10"/>
  <c r="F35" i="10" s="1"/>
  <c r="G33" i="10"/>
  <c r="H33" i="10"/>
  <c r="H35" i="10"/>
  <c r="D36" i="10"/>
  <c r="E36" i="10"/>
  <c r="F36" i="10"/>
  <c r="G36" i="10"/>
  <c r="H36" i="10"/>
  <c r="J36" i="10"/>
  <c r="K36" i="10"/>
  <c r="F38" i="10"/>
  <c r="F42" i="10" s="1"/>
  <c r="G38" i="10"/>
  <c r="H38" i="10"/>
  <c r="H42" i="10"/>
  <c r="D40" i="10"/>
  <c r="D42" i="10"/>
  <c r="E40" i="10"/>
  <c r="E42" i="10"/>
  <c r="F40" i="10"/>
  <c r="G40" i="10"/>
  <c r="H40" i="10"/>
  <c r="D43" i="10"/>
  <c r="E43" i="10"/>
  <c r="F43" i="10"/>
  <c r="G43" i="10"/>
  <c r="H43" i="10"/>
  <c r="J43" i="10"/>
  <c r="K43" i="10"/>
  <c r="F45" i="10"/>
  <c r="G45" i="10"/>
  <c r="G49" i="10" s="1"/>
  <c r="H45" i="10"/>
  <c r="D47" i="10"/>
  <c r="D49" i="10"/>
  <c r="E47" i="10"/>
  <c r="E49" i="10"/>
  <c r="F47" i="10"/>
  <c r="G47" i="10"/>
  <c r="H47" i="10"/>
  <c r="H49" i="10"/>
  <c r="D50" i="10"/>
  <c r="E50" i="10"/>
  <c r="F50" i="10"/>
  <c r="G50" i="10"/>
  <c r="H50" i="10"/>
  <c r="J50" i="10"/>
  <c r="K50" i="10"/>
  <c r="F52" i="10"/>
  <c r="F56" i="10" s="1"/>
  <c r="G52" i="10"/>
  <c r="H52" i="10"/>
  <c r="D54" i="10"/>
  <c r="D56" i="10" s="1"/>
  <c r="E54" i="10"/>
  <c r="E56" i="10" s="1"/>
  <c r="F54" i="10"/>
  <c r="G54" i="10"/>
  <c r="G56" i="10"/>
  <c r="H54" i="10"/>
  <c r="D57" i="10"/>
  <c r="E57" i="10"/>
  <c r="F57" i="10"/>
  <c r="G57" i="10"/>
  <c r="H57" i="10"/>
  <c r="J57" i="10"/>
  <c r="K57" i="10"/>
  <c r="F59" i="10"/>
  <c r="G59" i="10"/>
  <c r="H59" i="10"/>
  <c r="H63" i="10"/>
  <c r="D61" i="10"/>
  <c r="D63" i="10"/>
  <c r="E61" i="10"/>
  <c r="E63" i="10"/>
  <c r="F61" i="10"/>
  <c r="F63" i="10"/>
  <c r="G61" i="10"/>
  <c r="G63" i="10"/>
  <c r="H61" i="10"/>
  <c r="D64" i="10"/>
  <c r="E64" i="10"/>
  <c r="F64" i="10"/>
  <c r="G64" i="10"/>
  <c r="H64" i="10"/>
  <c r="J64" i="10"/>
  <c r="K64" i="10"/>
  <c r="F66" i="10"/>
  <c r="F70" i="10" s="1"/>
  <c r="G66" i="10"/>
  <c r="G70" i="10" s="1"/>
  <c r="H66" i="10"/>
  <c r="H70" i="10" s="1"/>
  <c r="D68" i="10"/>
  <c r="D70" i="10" s="1"/>
  <c r="E68" i="10"/>
  <c r="E70" i="10" s="1"/>
  <c r="F68" i="10"/>
  <c r="G68" i="10"/>
  <c r="H68" i="10"/>
  <c r="D71" i="10"/>
  <c r="E71" i="10"/>
  <c r="F71" i="10"/>
  <c r="G71" i="10"/>
  <c r="H71" i="10"/>
  <c r="J71" i="10"/>
  <c r="K71" i="10"/>
  <c r="F73" i="10"/>
  <c r="G73" i="10"/>
  <c r="H73" i="10"/>
  <c r="D75" i="10"/>
  <c r="D77" i="10" s="1"/>
  <c r="E75" i="10"/>
  <c r="E77" i="10" s="1"/>
  <c r="F75" i="10"/>
  <c r="G75" i="10"/>
  <c r="G77" i="10"/>
  <c r="H75" i="10"/>
  <c r="D78" i="10"/>
  <c r="E78" i="10"/>
  <c r="F78" i="10"/>
  <c r="G78" i="10"/>
  <c r="H78" i="10"/>
  <c r="J78" i="10"/>
  <c r="K78" i="10"/>
  <c r="F80" i="10"/>
  <c r="G80" i="10"/>
  <c r="H80" i="10"/>
  <c r="H84" i="10" s="1"/>
  <c r="D82" i="10"/>
  <c r="D84" i="10" s="1"/>
  <c r="E82" i="10"/>
  <c r="E84" i="10" s="1"/>
  <c r="F82" i="10"/>
  <c r="F84" i="10" s="1"/>
  <c r="G82" i="10"/>
  <c r="H82" i="10"/>
  <c r="J3" i="6"/>
  <c r="K3" i="6"/>
  <c r="K3" i="10" s="1"/>
  <c r="J5" i="6"/>
  <c r="J5" i="10" s="1"/>
  <c r="K5" i="6"/>
  <c r="K5" i="10" s="1"/>
  <c r="K7" i="10" s="1"/>
  <c r="G6" i="6"/>
  <c r="D7" i="6"/>
  <c r="E7" i="6"/>
  <c r="F7" i="6"/>
  <c r="G7" i="6"/>
  <c r="H7" i="6"/>
  <c r="J10" i="6"/>
  <c r="J10" i="10" s="1"/>
  <c r="K10" i="6"/>
  <c r="K10" i="10" s="1"/>
  <c r="J12" i="6"/>
  <c r="J12" i="10" s="1"/>
  <c r="K12" i="6"/>
  <c r="K12" i="10" s="1"/>
  <c r="D14" i="6"/>
  <c r="E14" i="6"/>
  <c r="F14" i="6"/>
  <c r="G14" i="6"/>
  <c r="H14" i="6"/>
  <c r="J17" i="6"/>
  <c r="J17" i="10" s="1"/>
  <c r="K17" i="6"/>
  <c r="K17" i="10" s="1"/>
  <c r="J19" i="6"/>
  <c r="J19" i="10" s="1"/>
  <c r="K19" i="6"/>
  <c r="K19" i="10" s="1"/>
  <c r="D21" i="6"/>
  <c r="E21" i="6"/>
  <c r="F21" i="6"/>
  <c r="G21" i="6"/>
  <c r="H21" i="6"/>
  <c r="J24" i="6"/>
  <c r="J24" i="10" s="1"/>
  <c r="K24" i="6"/>
  <c r="K24" i="10" s="1"/>
  <c r="J26" i="6"/>
  <c r="K26" i="6"/>
  <c r="K26" i="10" s="1"/>
  <c r="D28" i="6"/>
  <c r="E28" i="6"/>
  <c r="F28" i="6"/>
  <c r="G28" i="6"/>
  <c r="H28" i="6"/>
  <c r="J31" i="6"/>
  <c r="K31" i="6"/>
  <c r="K31" i="10" s="1"/>
  <c r="J33" i="6"/>
  <c r="J33" i="10" s="1"/>
  <c r="K33" i="6"/>
  <c r="K33" i="10" s="1"/>
  <c r="D35" i="6"/>
  <c r="E35" i="6"/>
  <c r="F35" i="6"/>
  <c r="G35" i="6"/>
  <c r="H35" i="6"/>
  <c r="J38" i="6"/>
  <c r="J38" i="10" s="1"/>
  <c r="K38" i="6"/>
  <c r="K38" i="10" s="1"/>
  <c r="J40" i="6"/>
  <c r="J40" i="10" s="1"/>
  <c r="K40" i="6"/>
  <c r="D42" i="6"/>
  <c r="E42" i="6"/>
  <c r="F42" i="6"/>
  <c r="G42" i="6"/>
  <c r="H42" i="6"/>
  <c r="J45" i="6"/>
  <c r="J45" i="10" s="1"/>
  <c r="K45" i="6"/>
  <c r="K45" i="10" s="1"/>
  <c r="J47" i="6"/>
  <c r="J47" i="10" s="1"/>
  <c r="K47" i="6"/>
  <c r="K47" i="10" s="1"/>
  <c r="D49" i="6"/>
  <c r="E49" i="6"/>
  <c r="F49" i="6"/>
  <c r="G49" i="6"/>
  <c r="H49" i="6"/>
  <c r="J52" i="6"/>
  <c r="J52" i="10" s="1"/>
  <c r="K52" i="6"/>
  <c r="J54" i="6"/>
  <c r="J54" i="10" s="1"/>
  <c r="K54" i="6"/>
  <c r="K54" i="10" s="1"/>
  <c r="D56" i="6"/>
  <c r="E56" i="6"/>
  <c r="F56" i="6"/>
  <c r="G56" i="6"/>
  <c r="H56" i="6"/>
  <c r="J59" i="6"/>
  <c r="J59" i="10" s="1"/>
  <c r="K59" i="6"/>
  <c r="K59" i="10" s="1"/>
  <c r="K63" i="10" s="1"/>
  <c r="J61" i="6"/>
  <c r="J61" i="10" s="1"/>
  <c r="K61" i="6"/>
  <c r="K61" i="10" s="1"/>
  <c r="D63" i="6"/>
  <c r="E63" i="6"/>
  <c r="F63" i="6"/>
  <c r="G63" i="6"/>
  <c r="H63" i="6"/>
  <c r="J66" i="10"/>
  <c r="K66" i="10"/>
  <c r="J68" i="10"/>
  <c r="D70" i="6"/>
  <c r="E70" i="6"/>
  <c r="F70" i="6"/>
  <c r="G70" i="6"/>
  <c r="H70" i="6"/>
  <c r="J73" i="10"/>
  <c r="K73" i="10"/>
  <c r="J75" i="10"/>
  <c r="K75" i="10"/>
  <c r="D77" i="6"/>
  <c r="E77" i="6"/>
  <c r="F77" i="6"/>
  <c r="G77" i="6"/>
  <c r="H77" i="6"/>
  <c r="J80" i="10"/>
  <c r="K80" i="10"/>
  <c r="J82" i="10"/>
  <c r="K82" i="10"/>
  <c r="D84" i="6"/>
  <c r="E84" i="6"/>
  <c r="F84" i="6"/>
  <c r="G84" i="6"/>
  <c r="H84" i="6"/>
  <c r="G62" i="2"/>
  <c r="G62" i="9" s="1"/>
  <c r="H62" i="2"/>
  <c r="H62" i="9" s="1"/>
  <c r="I62" i="2"/>
  <c r="I62" i="9" s="1"/>
  <c r="G82" i="2"/>
  <c r="D3" i="9"/>
  <c r="E3" i="9"/>
  <c r="F3" i="9"/>
  <c r="G3" i="9"/>
  <c r="H3" i="9"/>
  <c r="I3" i="9"/>
  <c r="J3" i="9"/>
  <c r="K3" i="9"/>
  <c r="L3" i="9"/>
  <c r="M3" i="9"/>
  <c r="N3" i="9"/>
  <c r="O3" i="9"/>
  <c r="D4" i="9"/>
  <c r="E4" i="9"/>
  <c r="F4" i="9"/>
  <c r="G4" i="9"/>
  <c r="H4" i="9"/>
  <c r="I4" i="9"/>
  <c r="J4" i="9"/>
  <c r="K4" i="9"/>
  <c r="L4" i="9"/>
  <c r="M4" i="9"/>
  <c r="N4" i="9"/>
  <c r="O4" i="9"/>
  <c r="D5" i="9"/>
  <c r="E5" i="9"/>
  <c r="F5" i="9"/>
  <c r="G5" i="9"/>
  <c r="H5" i="9"/>
  <c r="I5" i="9"/>
  <c r="J5" i="9"/>
  <c r="K5" i="9"/>
  <c r="L5" i="9"/>
  <c r="M5" i="9"/>
  <c r="N5" i="9"/>
  <c r="O5" i="9"/>
  <c r="D6" i="9"/>
  <c r="E6" i="9"/>
  <c r="F6" i="9"/>
  <c r="G6" i="9"/>
  <c r="H6" i="9"/>
  <c r="I6" i="9"/>
  <c r="J6" i="9"/>
  <c r="K6" i="9"/>
  <c r="L6" i="9"/>
  <c r="M6" i="9"/>
  <c r="N6" i="9"/>
  <c r="O6" i="9"/>
  <c r="D7" i="9"/>
  <c r="E7" i="9"/>
  <c r="F7" i="9"/>
  <c r="G7" i="9"/>
  <c r="H7" i="9"/>
  <c r="I7" i="9"/>
  <c r="J7" i="9"/>
  <c r="K7" i="9"/>
  <c r="L7" i="9"/>
  <c r="M7" i="9"/>
  <c r="N7" i="9"/>
  <c r="O7" i="9"/>
  <c r="D8" i="9"/>
  <c r="E8" i="9"/>
  <c r="F8" i="9"/>
  <c r="G8" i="9"/>
  <c r="H8" i="9"/>
  <c r="I8" i="9"/>
  <c r="J8" i="9"/>
  <c r="K8" i="9"/>
  <c r="L8" i="9"/>
  <c r="M8" i="9"/>
  <c r="N8" i="9"/>
  <c r="O8" i="9"/>
  <c r="D9" i="9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8" i="9"/>
  <c r="E18" i="9"/>
  <c r="F18" i="9"/>
  <c r="G18" i="9"/>
  <c r="H18" i="9"/>
  <c r="I18" i="9"/>
  <c r="J18" i="9"/>
  <c r="K18" i="9"/>
  <c r="L18" i="9"/>
  <c r="M18" i="9"/>
  <c r="N18" i="9"/>
  <c r="O18" i="9"/>
  <c r="D19" i="9"/>
  <c r="E19" i="9"/>
  <c r="F19" i="9"/>
  <c r="G19" i="9"/>
  <c r="H19" i="9"/>
  <c r="I19" i="9"/>
  <c r="J19" i="9"/>
  <c r="K19" i="9"/>
  <c r="L19" i="9"/>
  <c r="M19" i="9"/>
  <c r="N19" i="9"/>
  <c r="O19" i="9"/>
  <c r="D20" i="9"/>
  <c r="E20" i="9"/>
  <c r="F20" i="9"/>
  <c r="G20" i="9"/>
  <c r="H20" i="9"/>
  <c r="I20" i="9"/>
  <c r="J20" i="9"/>
  <c r="K20" i="9"/>
  <c r="L20" i="9"/>
  <c r="M20" i="9"/>
  <c r="N20" i="9"/>
  <c r="O20" i="9"/>
  <c r="D21" i="9"/>
  <c r="E21" i="9"/>
  <c r="F21" i="9"/>
  <c r="G21" i="9"/>
  <c r="H21" i="9"/>
  <c r="I21" i="9"/>
  <c r="J21" i="9"/>
  <c r="K21" i="9"/>
  <c r="L21" i="9"/>
  <c r="M21" i="9"/>
  <c r="N21" i="9"/>
  <c r="O21" i="9"/>
  <c r="D22" i="9"/>
  <c r="E22" i="9"/>
  <c r="F22" i="9"/>
  <c r="G22" i="9"/>
  <c r="H22" i="9"/>
  <c r="I22" i="9"/>
  <c r="J22" i="9"/>
  <c r="K22" i="9"/>
  <c r="L22" i="9"/>
  <c r="M22" i="9"/>
  <c r="N22" i="9"/>
  <c r="O22" i="9"/>
  <c r="D23" i="9"/>
  <c r="E23" i="9"/>
  <c r="F23" i="9"/>
  <c r="G23" i="9"/>
  <c r="H23" i="9"/>
  <c r="I23" i="9"/>
  <c r="J23" i="9"/>
  <c r="K23" i="9"/>
  <c r="L23" i="9"/>
  <c r="M23" i="9"/>
  <c r="N23" i="9"/>
  <c r="O23" i="9"/>
  <c r="D24" i="9"/>
  <c r="E24" i="9"/>
  <c r="F24" i="9"/>
  <c r="G24" i="9"/>
  <c r="H24" i="9"/>
  <c r="I24" i="9"/>
  <c r="J24" i="9"/>
  <c r="K24" i="9"/>
  <c r="L24" i="9"/>
  <c r="M24" i="9"/>
  <c r="N24" i="9"/>
  <c r="O24" i="9"/>
  <c r="D25" i="9"/>
  <c r="E25" i="9"/>
  <c r="F25" i="9"/>
  <c r="G25" i="9"/>
  <c r="H25" i="9"/>
  <c r="I25" i="9"/>
  <c r="J25" i="9"/>
  <c r="K25" i="9"/>
  <c r="L25" i="9"/>
  <c r="M25" i="9"/>
  <c r="N25" i="9"/>
  <c r="O25" i="9"/>
  <c r="D33" i="9"/>
  <c r="E33" i="9"/>
  <c r="F33" i="9"/>
  <c r="G33" i="9"/>
  <c r="H33" i="9"/>
  <c r="I33" i="9"/>
  <c r="J33" i="9"/>
  <c r="K33" i="9"/>
  <c r="L33" i="9"/>
  <c r="M33" i="9"/>
  <c r="N33" i="9"/>
  <c r="O33" i="9"/>
  <c r="D34" i="9"/>
  <c r="E34" i="9"/>
  <c r="F34" i="9"/>
  <c r="G34" i="9"/>
  <c r="H34" i="9"/>
  <c r="I34" i="9"/>
  <c r="J34" i="9"/>
  <c r="K34" i="9"/>
  <c r="L34" i="9"/>
  <c r="M34" i="9"/>
  <c r="N34" i="9"/>
  <c r="O34" i="9"/>
  <c r="D35" i="9"/>
  <c r="E35" i="9"/>
  <c r="F35" i="9"/>
  <c r="G35" i="9"/>
  <c r="H35" i="9"/>
  <c r="I35" i="9"/>
  <c r="J35" i="9"/>
  <c r="K35" i="9"/>
  <c r="L35" i="9"/>
  <c r="M35" i="9"/>
  <c r="N35" i="9"/>
  <c r="O35" i="9"/>
  <c r="D36" i="9"/>
  <c r="E36" i="9"/>
  <c r="F36" i="9"/>
  <c r="G36" i="9"/>
  <c r="H36" i="9"/>
  <c r="I36" i="9"/>
  <c r="J36" i="9"/>
  <c r="K36" i="9"/>
  <c r="L36" i="9"/>
  <c r="M36" i="9"/>
  <c r="N36" i="9"/>
  <c r="O36" i="9"/>
  <c r="D37" i="9"/>
  <c r="E37" i="9"/>
  <c r="F37" i="9"/>
  <c r="G37" i="9"/>
  <c r="H37" i="9"/>
  <c r="I37" i="9"/>
  <c r="J37" i="9"/>
  <c r="K37" i="9"/>
  <c r="L37" i="9"/>
  <c r="M37" i="9"/>
  <c r="N37" i="9"/>
  <c r="O37" i="9"/>
  <c r="D38" i="9"/>
  <c r="E38" i="9"/>
  <c r="F38" i="9"/>
  <c r="G38" i="9"/>
  <c r="H38" i="9"/>
  <c r="I38" i="9"/>
  <c r="J38" i="9"/>
  <c r="K38" i="9"/>
  <c r="L38" i="9"/>
  <c r="M38" i="9"/>
  <c r="N38" i="9"/>
  <c r="O38" i="9"/>
  <c r="D39" i="9"/>
  <c r="E39" i="9"/>
  <c r="F39" i="9"/>
  <c r="G39" i="9"/>
  <c r="H39" i="9"/>
  <c r="I39" i="9"/>
  <c r="J39" i="9"/>
  <c r="K39" i="9"/>
  <c r="L39" i="9"/>
  <c r="M39" i="9"/>
  <c r="N39" i="9"/>
  <c r="O39" i="9"/>
  <c r="D41" i="9"/>
  <c r="E41" i="9"/>
  <c r="F41" i="9"/>
  <c r="G41" i="9"/>
  <c r="H41" i="9"/>
  <c r="I41" i="9"/>
  <c r="J41" i="9"/>
  <c r="K41" i="9"/>
  <c r="L41" i="9"/>
  <c r="M41" i="9"/>
  <c r="N41" i="9"/>
  <c r="O41" i="9"/>
  <c r="D42" i="9"/>
  <c r="E42" i="9"/>
  <c r="F42" i="9"/>
  <c r="G42" i="9"/>
  <c r="H42" i="9"/>
  <c r="I42" i="9"/>
  <c r="J42" i="9"/>
  <c r="K42" i="9"/>
  <c r="L42" i="9"/>
  <c r="M42" i="9"/>
  <c r="N42" i="9"/>
  <c r="O42" i="9"/>
  <c r="D55" i="9"/>
  <c r="E55" i="9"/>
  <c r="F55" i="9"/>
  <c r="G55" i="9"/>
  <c r="H55" i="9"/>
  <c r="I55" i="9"/>
  <c r="J55" i="9"/>
  <c r="K55" i="9"/>
  <c r="L55" i="9"/>
  <c r="M55" i="9"/>
  <c r="N55" i="9"/>
  <c r="O55" i="9"/>
  <c r="D56" i="9"/>
  <c r="E56" i="9"/>
  <c r="F56" i="9"/>
  <c r="G56" i="9"/>
  <c r="H56" i="9"/>
  <c r="I56" i="9"/>
  <c r="J56" i="9"/>
  <c r="K56" i="9"/>
  <c r="L56" i="9"/>
  <c r="M56" i="9"/>
  <c r="N56" i="9"/>
  <c r="O56" i="9"/>
  <c r="D57" i="9"/>
  <c r="E57" i="9"/>
  <c r="F57" i="9"/>
  <c r="G57" i="9"/>
  <c r="H57" i="9"/>
  <c r="I57" i="9"/>
  <c r="J57" i="9"/>
  <c r="K57" i="9"/>
  <c r="L57" i="9"/>
  <c r="M57" i="9"/>
  <c r="N57" i="9"/>
  <c r="O57" i="9"/>
  <c r="D58" i="9"/>
  <c r="E58" i="9"/>
  <c r="F58" i="9"/>
  <c r="G58" i="9"/>
  <c r="H58" i="9"/>
  <c r="I58" i="9"/>
  <c r="J58" i="9"/>
  <c r="K58" i="9"/>
  <c r="L58" i="9"/>
  <c r="M58" i="9"/>
  <c r="N58" i="9"/>
  <c r="O58" i="9"/>
  <c r="D63" i="9"/>
  <c r="E63" i="9"/>
  <c r="F63" i="9"/>
  <c r="G63" i="9"/>
  <c r="H63" i="9"/>
  <c r="I63" i="9"/>
  <c r="J63" i="9"/>
  <c r="K63" i="9"/>
  <c r="L63" i="9"/>
  <c r="M63" i="9"/>
  <c r="N63" i="9"/>
  <c r="O63" i="9"/>
  <c r="D64" i="9"/>
  <c r="E64" i="9"/>
  <c r="F64" i="9"/>
  <c r="G64" i="9"/>
  <c r="H64" i="9"/>
  <c r="I64" i="9"/>
  <c r="J64" i="9"/>
  <c r="K64" i="9"/>
  <c r="L64" i="9"/>
  <c r="M64" i="9"/>
  <c r="N64" i="9"/>
  <c r="O64" i="9"/>
  <c r="D65" i="9"/>
  <c r="E65" i="9"/>
  <c r="F65" i="9"/>
  <c r="G65" i="9"/>
  <c r="H65" i="9"/>
  <c r="I65" i="9"/>
  <c r="J65" i="9"/>
  <c r="K65" i="9"/>
  <c r="L65" i="9"/>
  <c r="M65" i="9"/>
  <c r="N65" i="9"/>
  <c r="O65" i="9"/>
  <c r="D66" i="9"/>
  <c r="E66" i="9"/>
  <c r="F66" i="9"/>
  <c r="G66" i="9"/>
  <c r="H66" i="9"/>
  <c r="I66" i="9"/>
  <c r="J66" i="9"/>
  <c r="K66" i="9"/>
  <c r="L66" i="9"/>
  <c r="M66" i="9"/>
  <c r="N66" i="9"/>
  <c r="O66" i="9"/>
  <c r="D87" i="9"/>
  <c r="E87" i="9"/>
  <c r="F87" i="9"/>
  <c r="G87" i="9"/>
  <c r="H87" i="9"/>
  <c r="I87" i="9"/>
  <c r="J87" i="9"/>
  <c r="K87" i="9"/>
  <c r="L87" i="9"/>
  <c r="M87" i="9"/>
  <c r="N87" i="9"/>
  <c r="O87" i="9"/>
  <c r="D88" i="9"/>
  <c r="E88" i="9"/>
  <c r="F88" i="9"/>
  <c r="G88" i="9"/>
  <c r="H88" i="9"/>
  <c r="I88" i="9"/>
  <c r="J88" i="9"/>
  <c r="K88" i="9"/>
  <c r="L88" i="9"/>
  <c r="M88" i="9"/>
  <c r="N88" i="9"/>
  <c r="O88" i="9"/>
  <c r="D89" i="9"/>
  <c r="E89" i="9"/>
  <c r="F89" i="9"/>
  <c r="G89" i="9"/>
  <c r="H89" i="9"/>
  <c r="I89" i="9"/>
  <c r="J89" i="9"/>
  <c r="K89" i="9"/>
  <c r="L89" i="9"/>
  <c r="M89" i="9"/>
  <c r="N89" i="9"/>
  <c r="O89" i="9"/>
  <c r="D90" i="9"/>
  <c r="E90" i="9"/>
  <c r="F90" i="9"/>
  <c r="G90" i="9"/>
  <c r="H90" i="9"/>
  <c r="I90" i="9"/>
  <c r="J90" i="9"/>
  <c r="K90" i="9"/>
  <c r="L90" i="9"/>
  <c r="M90" i="9"/>
  <c r="N90" i="9"/>
  <c r="O90" i="9"/>
  <c r="D91" i="9"/>
  <c r="E91" i="9"/>
  <c r="F91" i="9"/>
  <c r="G91" i="9"/>
  <c r="H91" i="9"/>
  <c r="I91" i="9"/>
  <c r="J91" i="9"/>
  <c r="K91" i="9"/>
  <c r="L91" i="9"/>
  <c r="M91" i="9"/>
  <c r="N91" i="9"/>
  <c r="O91" i="9"/>
  <c r="D92" i="9"/>
  <c r="E92" i="9"/>
  <c r="F92" i="9"/>
  <c r="G92" i="9"/>
  <c r="H92" i="9"/>
  <c r="I92" i="9"/>
  <c r="J92" i="9"/>
  <c r="K92" i="9"/>
  <c r="L92" i="9"/>
  <c r="M92" i="9"/>
  <c r="N92" i="9"/>
  <c r="O92" i="9"/>
  <c r="D93" i="9"/>
  <c r="E93" i="9"/>
  <c r="F93" i="9"/>
  <c r="G93" i="9"/>
  <c r="H93" i="9"/>
  <c r="I93" i="9"/>
  <c r="J93" i="9"/>
  <c r="K93" i="9"/>
  <c r="L93" i="9"/>
  <c r="M93" i="9"/>
  <c r="N93" i="9"/>
  <c r="O93" i="9"/>
  <c r="D94" i="9"/>
  <c r="E94" i="9"/>
  <c r="F94" i="9"/>
  <c r="G94" i="9"/>
  <c r="H94" i="9"/>
  <c r="I94" i="9"/>
  <c r="J94" i="9"/>
  <c r="K94" i="9"/>
  <c r="L94" i="9"/>
  <c r="M94" i="9"/>
  <c r="N94" i="9"/>
  <c r="O94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E14" i="2"/>
  <c r="E14" i="9" s="1"/>
  <c r="F14" i="2"/>
  <c r="F14" i="9" s="1"/>
  <c r="G14" i="2"/>
  <c r="G14" i="9" s="1"/>
  <c r="H14" i="2"/>
  <c r="H14" i="9" s="1"/>
  <c r="I14" i="2"/>
  <c r="I14" i="9" s="1"/>
  <c r="J14" i="2"/>
  <c r="J14" i="9" s="1"/>
  <c r="K14" i="2"/>
  <c r="K14" i="9" s="1"/>
  <c r="M14" i="9"/>
  <c r="N14" i="9"/>
  <c r="O14" i="9"/>
  <c r="D16" i="2"/>
  <c r="D16" i="9" s="1"/>
  <c r="F16" i="2"/>
  <c r="F16" i="9" s="1"/>
  <c r="G16" i="2"/>
  <c r="G16" i="9" s="1"/>
  <c r="H16" i="2"/>
  <c r="H16" i="9" s="1"/>
  <c r="I16" i="2"/>
  <c r="I16" i="9" s="1"/>
  <c r="J16" i="2"/>
  <c r="J16" i="9" s="1"/>
  <c r="K16" i="2"/>
  <c r="K16" i="9" s="1"/>
  <c r="M16" i="9"/>
  <c r="O16" i="9"/>
  <c r="D17" i="2"/>
  <c r="D17" i="9" s="1"/>
  <c r="E17" i="2"/>
  <c r="E17" i="9" s="1"/>
  <c r="F17" i="2"/>
  <c r="F17" i="9" s="1"/>
  <c r="H17" i="2"/>
  <c r="H17" i="9" s="1"/>
  <c r="J17" i="2"/>
  <c r="J17" i="9" s="1"/>
  <c r="K17" i="2"/>
  <c r="K17" i="9" s="1"/>
  <c r="M17" i="9"/>
  <c r="O17" i="9"/>
  <c r="G28" i="2"/>
  <c r="G28" i="9" s="1"/>
  <c r="D29" i="2"/>
  <c r="D29" i="9" s="1"/>
  <c r="E29" i="2"/>
  <c r="E29" i="9" s="1"/>
  <c r="F29" i="2"/>
  <c r="F29" i="9" s="1"/>
  <c r="G29" i="2"/>
  <c r="G29" i="9" s="1"/>
  <c r="H29" i="2"/>
  <c r="H29" i="9" s="1"/>
  <c r="I29" i="2"/>
  <c r="I29" i="9" s="1"/>
  <c r="J29" i="2"/>
  <c r="J29" i="9" s="1"/>
  <c r="K29" i="2"/>
  <c r="K29" i="9" s="1"/>
  <c r="L29" i="2"/>
  <c r="L29" i="9" s="1"/>
  <c r="M29" i="9"/>
  <c r="N29" i="9"/>
  <c r="O29" i="9"/>
  <c r="I30" i="2"/>
  <c r="I30" i="9" s="1"/>
  <c r="D31" i="2"/>
  <c r="D31" i="9" s="1"/>
  <c r="E31" i="2"/>
  <c r="E31" i="9" s="1"/>
  <c r="F31" i="2"/>
  <c r="F31" i="9" s="1"/>
  <c r="G31" i="2"/>
  <c r="G31" i="9" s="1"/>
  <c r="H31" i="2"/>
  <c r="H31" i="9" s="1"/>
  <c r="I31" i="2"/>
  <c r="I31" i="9" s="1"/>
  <c r="J31" i="2"/>
  <c r="J31" i="9" s="1"/>
  <c r="K31" i="2"/>
  <c r="K31" i="9" s="1"/>
  <c r="L31" i="2"/>
  <c r="L31" i="9" s="1"/>
  <c r="M31" i="9"/>
  <c r="N31" i="9"/>
  <c r="O31" i="9"/>
  <c r="D32" i="2"/>
  <c r="D32" i="9" s="1"/>
  <c r="E32" i="2"/>
  <c r="E32" i="9" s="1"/>
  <c r="F32" i="2"/>
  <c r="F32" i="9" s="1"/>
  <c r="G32" i="2"/>
  <c r="G32" i="9" s="1"/>
  <c r="H32" i="2"/>
  <c r="H32" i="9" s="1"/>
  <c r="I32" i="2"/>
  <c r="I32" i="9" s="1"/>
  <c r="J32" i="2"/>
  <c r="J32" i="9" s="1"/>
  <c r="K32" i="2"/>
  <c r="K32" i="9" s="1"/>
  <c r="L32" i="2"/>
  <c r="L32" i="9" s="1"/>
  <c r="M32" i="9"/>
  <c r="N32" i="9"/>
  <c r="O32" i="9"/>
  <c r="D40" i="2"/>
  <c r="D40" i="9" s="1"/>
  <c r="E40" i="2"/>
  <c r="E40" i="9"/>
  <c r="F40" i="2"/>
  <c r="F40" i="9" s="1"/>
  <c r="G40" i="2"/>
  <c r="G40" i="9"/>
  <c r="H40" i="2"/>
  <c r="H40" i="9" s="1"/>
  <c r="I40" i="2"/>
  <c r="I40" i="9"/>
  <c r="J40" i="2"/>
  <c r="J40" i="9" s="1"/>
  <c r="K40" i="2"/>
  <c r="K40" i="9"/>
  <c r="L40" i="2"/>
  <c r="L40" i="9" s="1"/>
  <c r="M40" i="2"/>
  <c r="M40" i="9"/>
  <c r="N40" i="2"/>
  <c r="N40" i="9" s="1"/>
  <c r="O40" i="2"/>
  <c r="O40" i="9"/>
  <c r="D47" i="2"/>
  <c r="D47" i="9" s="1"/>
  <c r="E47" i="2"/>
  <c r="E47" i="9" s="1"/>
  <c r="F47" i="2"/>
  <c r="G47" i="2"/>
  <c r="G47" i="9" s="1"/>
  <c r="H47" i="2"/>
  <c r="H47" i="9" s="1"/>
  <c r="I47" i="2"/>
  <c r="J47" i="2"/>
  <c r="J47" i="9" s="1"/>
  <c r="K47" i="2"/>
  <c r="L47" i="2"/>
  <c r="L47" i="9" s="1"/>
  <c r="M47" i="9"/>
  <c r="N47" i="9"/>
  <c r="O47" i="9"/>
  <c r="D48" i="2"/>
  <c r="D48" i="9" s="1"/>
  <c r="E48" i="2"/>
  <c r="E48" i="9" s="1"/>
  <c r="F48" i="2"/>
  <c r="F48" i="9" s="1"/>
  <c r="G48" i="2"/>
  <c r="H48" i="2"/>
  <c r="H48" i="9" s="1"/>
  <c r="I48" i="2"/>
  <c r="I48" i="9" s="1"/>
  <c r="J48" i="2"/>
  <c r="J48" i="9" s="1"/>
  <c r="K48" i="2"/>
  <c r="K48" i="9" s="1"/>
  <c r="L48" i="2"/>
  <c r="M48" i="9"/>
  <c r="N48" i="9"/>
  <c r="O48" i="9"/>
  <c r="D50" i="2"/>
  <c r="D50" i="9" s="1"/>
  <c r="E50" i="2"/>
  <c r="E50" i="9" s="1"/>
  <c r="F50" i="2"/>
  <c r="F50" i="9" s="1"/>
  <c r="G50" i="2"/>
  <c r="G50" i="9" s="1"/>
  <c r="H50" i="2"/>
  <c r="I50" i="2"/>
  <c r="I50" i="9" s="1"/>
  <c r="J50" i="2"/>
  <c r="J50" i="9" s="1"/>
  <c r="K50" i="2"/>
  <c r="L50" i="2"/>
  <c r="L50" i="9" s="1"/>
  <c r="M50" i="9"/>
  <c r="N50" i="9"/>
  <c r="O50" i="9"/>
  <c r="D51" i="2"/>
  <c r="D51" i="9" s="1"/>
  <c r="E51" i="2"/>
  <c r="E51" i="9" s="1"/>
  <c r="F51" i="2"/>
  <c r="G51" i="2"/>
  <c r="G51" i="9" s="1"/>
  <c r="H51" i="2"/>
  <c r="H51" i="9" s="1"/>
  <c r="I51" i="2"/>
  <c r="I51" i="9" s="1"/>
  <c r="J51" i="2"/>
  <c r="J51" i="9" s="1"/>
  <c r="K51" i="2"/>
  <c r="K51" i="9" s="1"/>
  <c r="L51" i="2"/>
  <c r="L51" i="9" s="1"/>
  <c r="M51" i="9"/>
  <c r="N51" i="9"/>
  <c r="D53" i="2"/>
  <c r="D53" i="9" s="1"/>
  <c r="E53" i="2"/>
  <c r="E53" i="9" s="1"/>
  <c r="F53" i="2"/>
  <c r="F53" i="9" s="1"/>
  <c r="G53" i="2"/>
  <c r="G53" i="9" s="1"/>
  <c r="H53" i="2"/>
  <c r="H53" i="9" s="1"/>
  <c r="I53" i="2"/>
  <c r="I53" i="9" s="1"/>
  <c r="J53" i="2"/>
  <c r="J53" i="9" s="1"/>
  <c r="K53" i="2"/>
  <c r="L53" i="2"/>
  <c r="L53" i="9" s="1"/>
  <c r="M53" i="9"/>
  <c r="N53" i="9"/>
  <c r="O53" i="9"/>
  <c r="D54" i="2"/>
  <c r="E54" i="2"/>
  <c r="E54" i="9" s="1"/>
  <c r="F54" i="2"/>
  <c r="G54" i="2"/>
  <c r="G54" i="9" s="1"/>
  <c r="H54" i="2"/>
  <c r="H54" i="9" s="1"/>
  <c r="I54" i="2"/>
  <c r="I54" i="9" s="1"/>
  <c r="J54" i="2"/>
  <c r="J54" i="9" s="1"/>
  <c r="K54" i="2"/>
  <c r="L54" i="2"/>
  <c r="M54" i="9"/>
  <c r="N54" i="9"/>
  <c r="O54" i="9"/>
  <c r="D60" i="2"/>
  <c r="D60" i="9" s="1"/>
  <c r="E60" i="2"/>
  <c r="E60" i="9" s="1"/>
  <c r="F60" i="2"/>
  <c r="F60" i="9" s="1"/>
  <c r="G60" i="2"/>
  <c r="G60" i="9" s="1"/>
  <c r="H60" i="2"/>
  <c r="H60" i="9" s="1"/>
  <c r="I60" i="2"/>
  <c r="I60" i="9" s="1"/>
  <c r="J60" i="2"/>
  <c r="J60" i="9" s="1"/>
  <c r="L60" i="2"/>
  <c r="L60" i="9" s="1"/>
  <c r="N60" i="9"/>
  <c r="D61" i="2"/>
  <c r="D61" i="9" s="1"/>
  <c r="E61" i="2"/>
  <c r="E61" i="9" s="1"/>
  <c r="F61" i="2"/>
  <c r="F61" i="9" s="1"/>
  <c r="G61" i="2"/>
  <c r="G61" i="9" s="1"/>
  <c r="H61" i="2"/>
  <c r="H61" i="9" s="1"/>
  <c r="I61" i="2"/>
  <c r="I61" i="9" s="1"/>
  <c r="K61" i="2"/>
  <c r="K61" i="9" s="1"/>
  <c r="D62" i="2"/>
  <c r="D62" i="9" s="1"/>
  <c r="E62" i="2"/>
  <c r="E62" i="9" s="1"/>
  <c r="F62" i="2"/>
  <c r="F62" i="9" s="1"/>
  <c r="M62" i="9"/>
  <c r="O62" i="9"/>
  <c r="D68" i="2"/>
  <c r="D68" i="9" s="1"/>
  <c r="E68" i="2"/>
  <c r="E68" i="9" s="1"/>
  <c r="F68" i="2"/>
  <c r="F68" i="9" s="1"/>
  <c r="G68" i="2"/>
  <c r="G68" i="9" s="1"/>
  <c r="H68" i="2"/>
  <c r="H68" i="9" s="1"/>
  <c r="I68" i="2"/>
  <c r="I68" i="9" s="1"/>
  <c r="J68" i="2"/>
  <c r="J68" i="9" s="1"/>
  <c r="K68" i="2"/>
  <c r="K68" i="9" s="1"/>
  <c r="L68" i="2"/>
  <c r="L68" i="9" s="1"/>
  <c r="M68" i="9"/>
  <c r="N68" i="9"/>
  <c r="O68" i="9"/>
  <c r="D69" i="2"/>
  <c r="D69" i="9" s="1"/>
  <c r="E69" i="2"/>
  <c r="E69" i="9" s="1"/>
  <c r="F69" i="2"/>
  <c r="F69" i="9" s="1"/>
  <c r="G69" i="2"/>
  <c r="G69" i="9" s="1"/>
  <c r="H69" i="2"/>
  <c r="H69" i="9" s="1"/>
  <c r="I69" i="2"/>
  <c r="I69" i="9" s="1"/>
  <c r="J69" i="2"/>
  <c r="J69" i="9" s="1"/>
  <c r="K69" i="2"/>
  <c r="K69" i="9" s="1"/>
  <c r="L69" i="2"/>
  <c r="L69" i="9" s="1"/>
  <c r="N69" i="9"/>
  <c r="O69" i="9"/>
  <c r="D70" i="2"/>
  <c r="D70" i="9" s="1"/>
  <c r="E70" i="2"/>
  <c r="E70" i="9" s="1"/>
  <c r="F70" i="2"/>
  <c r="F70" i="9" s="1"/>
  <c r="G70" i="2"/>
  <c r="G70" i="9" s="1"/>
  <c r="H70" i="2"/>
  <c r="H70" i="9" s="1"/>
  <c r="I70" i="2"/>
  <c r="I70" i="9" s="1"/>
  <c r="J70" i="2"/>
  <c r="J70" i="9" s="1"/>
  <c r="K70" i="2"/>
  <c r="K70" i="9" s="1"/>
  <c r="L70" i="2"/>
  <c r="L70" i="9" s="1"/>
  <c r="M70" i="9"/>
  <c r="N70" i="9"/>
  <c r="O70" i="9"/>
  <c r="D73" i="2"/>
  <c r="D73" i="9" s="1"/>
  <c r="E73" i="2"/>
  <c r="E73" i="9" s="1"/>
  <c r="F73" i="2"/>
  <c r="F73" i="9" s="1"/>
  <c r="G73" i="2"/>
  <c r="G73" i="9" s="1"/>
  <c r="H73" i="2"/>
  <c r="H73" i="9" s="1"/>
  <c r="I73" i="2"/>
  <c r="I73" i="9" s="1"/>
  <c r="J73" i="2"/>
  <c r="J73" i="9" s="1"/>
  <c r="K73" i="2"/>
  <c r="K73" i="9" s="1"/>
  <c r="L73" i="2"/>
  <c r="L73" i="9" s="1"/>
  <c r="M73" i="9"/>
  <c r="N73" i="9"/>
  <c r="O73" i="9"/>
  <c r="D74" i="2"/>
  <c r="D74" i="9" s="1"/>
  <c r="E74" i="2"/>
  <c r="E74" i="9" s="1"/>
  <c r="F74" i="2"/>
  <c r="F74" i="9" s="1"/>
  <c r="G74" i="2"/>
  <c r="G74" i="9" s="1"/>
  <c r="H74" i="2"/>
  <c r="H74" i="9" s="1"/>
  <c r="I74" i="2"/>
  <c r="I74" i="9" s="1"/>
  <c r="J74" i="2"/>
  <c r="J74" i="9" s="1"/>
  <c r="K74" i="2"/>
  <c r="K74" i="9" s="1"/>
  <c r="L74" i="2"/>
  <c r="L74" i="9" s="1"/>
  <c r="M74" i="9"/>
  <c r="N74" i="9"/>
  <c r="O74" i="9"/>
  <c r="D75" i="2"/>
  <c r="D75" i="9" s="1"/>
  <c r="E75" i="2"/>
  <c r="E75" i="9" s="1"/>
  <c r="F75" i="2"/>
  <c r="F75" i="9" s="1"/>
  <c r="G75" i="2"/>
  <c r="G75" i="9" s="1"/>
  <c r="H75" i="2"/>
  <c r="H75" i="9" s="1"/>
  <c r="I75" i="2"/>
  <c r="I75" i="9" s="1"/>
  <c r="J75" i="2"/>
  <c r="J75" i="9" s="1"/>
  <c r="K75" i="2"/>
  <c r="K75" i="9" s="1"/>
  <c r="L75" i="2"/>
  <c r="L75" i="9" s="1"/>
  <c r="M75" i="9"/>
  <c r="N75" i="9"/>
  <c r="O75" i="9"/>
  <c r="E81" i="2"/>
  <c r="F82" i="2"/>
  <c r="G98" i="2"/>
  <c r="G98" i="9" s="1"/>
  <c r="I98" i="2"/>
  <c r="I98" i="9" s="1"/>
  <c r="E100" i="2"/>
  <c r="E100" i="9" s="1"/>
  <c r="K100" i="2"/>
  <c r="K100" i="9" s="1"/>
  <c r="G101" i="2"/>
  <c r="G101" i="9" s="1"/>
  <c r="F119" i="2"/>
  <c r="F119" i="9" s="1"/>
  <c r="G119" i="2"/>
  <c r="G119" i="9" s="1"/>
  <c r="H119" i="2"/>
  <c r="H119" i="9" s="1"/>
  <c r="I119" i="2"/>
  <c r="I119" i="9" s="1"/>
  <c r="J119" i="2"/>
  <c r="L119" i="2"/>
  <c r="L119" i="9" s="1"/>
  <c r="N119" i="9"/>
  <c r="O119" i="9"/>
  <c r="D121" i="2"/>
  <c r="D121" i="9" s="1"/>
  <c r="E121" i="2"/>
  <c r="E121" i="9" s="1"/>
  <c r="F121" i="2"/>
  <c r="F121" i="9" s="1"/>
  <c r="G121" i="2"/>
  <c r="I121" i="2"/>
  <c r="I121" i="9" s="1"/>
  <c r="K121" i="2"/>
  <c r="K121" i="9" s="1"/>
  <c r="L121" i="2"/>
  <c r="L121" i="9" s="1"/>
  <c r="M121" i="9"/>
  <c r="N121" i="9"/>
  <c r="E122" i="2"/>
  <c r="E122" i="9" s="1"/>
  <c r="G122" i="2"/>
  <c r="G122" i="9" s="1"/>
  <c r="I122" i="2"/>
  <c r="I122" i="9" s="1"/>
  <c r="K122" i="2"/>
  <c r="K122" i="9" s="1"/>
  <c r="L122" i="2"/>
  <c r="L122" i="9" s="1"/>
  <c r="M122" i="9"/>
  <c r="O122" i="9"/>
  <c r="D136" i="2"/>
  <c r="D136" i="9"/>
  <c r="E136" i="2"/>
  <c r="E136" i="9" s="1"/>
  <c r="F136" i="2"/>
  <c r="F203" i="2"/>
  <c r="F203" i="9"/>
  <c r="G136" i="2"/>
  <c r="G136" i="9" s="1"/>
  <c r="H136" i="2"/>
  <c r="H136" i="9"/>
  <c r="I136" i="2"/>
  <c r="I136" i="9" s="1"/>
  <c r="J136" i="2"/>
  <c r="J136" i="9"/>
  <c r="K136" i="2"/>
  <c r="K136" i="9" s="1"/>
  <c r="L136" i="2"/>
  <c r="L136" i="9"/>
  <c r="M136" i="2"/>
  <c r="M136" i="9" s="1"/>
  <c r="N136" i="2"/>
  <c r="N203" i="2"/>
  <c r="N203" i="9" s="1"/>
  <c r="O136" i="2"/>
  <c r="O136" i="9"/>
  <c r="D140" i="2"/>
  <c r="D140" i="9" s="1"/>
  <c r="E140" i="2"/>
  <c r="E140" i="9"/>
  <c r="F140" i="2"/>
  <c r="F140" i="9" s="1"/>
  <c r="G140" i="2"/>
  <c r="G140" i="9"/>
  <c r="H140" i="2"/>
  <c r="H140" i="9" s="1"/>
  <c r="I140" i="2"/>
  <c r="I140" i="9"/>
  <c r="J140" i="2"/>
  <c r="J140" i="9" s="1"/>
  <c r="K140" i="2"/>
  <c r="K140" i="9"/>
  <c r="L140" i="2"/>
  <c r="L140" i="9" s="1"/>
  <c r="M140" i="2"/>
  <c r="M140" i="9"/>
  <c r="N140" i="2"/>
  <c r="N140" i="9" s="1"/>
  <c r="O140" i="2"/>
  <c r="O140" i="9"/>
  <c r="D149" i="2"/>
  <c r="C17" i="7" s="1"/>
  <c r="C41" i="7" s="1"/>
  <c r="E149" i="2"/>
  <c r="E149" i="9" s="1"/>
  <c r="F149" i="2"/>
  <c r="E17" i="7" s="1"/>
  <c r="G149" i="2"/>
  <c r="F17" i="7" s="1"/>
  <c r="F41" i="7" s="1"/>
  <c r="H149" i="2"/>
  <c r="G17" i="7" s="1"/>
  <c r="G41" i="7" s="1"/>
  <c r="I149" i="2"/>
  <c r="H17" i="7" s="1"/>
  <c r="H41" i="7" s="1"/>
  <c r="J149" i="2"/>
  <c r="I17" i="7" s="1"/>
  <c r="I41" i="7" s="1"/>
  <c r="K149" i="2"/>
  <c r="K149" i="9" s="1"/>
  <c r="L149" i="2"/>
  <c r="L17" i="7"/>
  <c r="L41" i="7" s="1"/>
  <c r="M17" i="7"/>
  <c r="M41" i="7" s="1"/>
  <c r="O149" i="9"/>
  <c r="D150" i="2"/>
  <c r="D148" i="2" s="1"/>
  <c r="D148" i="9" s="1"/>
  <c r="E150" i="2"/>
  <c r="E150" i="9" s="1"/>
  <c r="F150" i="2"/>
  <c r="F150" i="9" s="1"/>
  <c r="G150" i="2"/>
  <c r="F18" i="7" s="1"/>
  <c r="F42" i="7" s="1"/>
  <c r="H150" i="2"/>
  <c r="G18" i="7" s="1"/>
  <c r="G42" i="7" s="1"/>
  <c r="I150" i="2"/>
  <c r="J150" i="2"/>
  <c r="K150" i="2"/>
  <c r="K150" i="9" s="1"/>
  <c r="L150" i="2"/>
  <c r="L18" i="7"/>
  <c r="L42" i="7" s="1"/>
  <c r="N150" i="9"/>
  <c r="O150" i="9"/>
  <c r="D156" i="2"/>
  <c r="E156" i="2"/>
  <c r="D20" i="7" s="1"/>
  <c r="D44" i="7" s="1"/>
  <c r="F156" i="2"/>
  <c r="G156" i="2"/>
  <c r="I156" i="2"/>
  <c r="I156" i="9" s="1"/>
  <c r="J156" i="2"/>
  <c r="K156" i="2"/>
  <c r="K156" i="9" s="1"/>
  <c r="L156" i="2"/>
  <c r="L156" i="9" s="1"/>
  <c r="M156" i="9"/>
  <c r="N156" i="9"/>
  <c r="N20" i="7"/>
  <c r="N44" i="7" s="1"/>
  <c r="D157" i="2"/>
  <c r="C21" i="7" s="1"/>
  <c r="C45" i="7" s="1"/>
  <c r="E157" i="2"/>
  <c r="E157" i="9" s="1"/>
  <c r="F157" i="2"/>
  <c r="E21" i="7" s="1"/>
  <c r="E45" i="7" s="1"/>
  <c r="G157" i="2"/>
  <c r="G157" i="9" s="1"/>
  <c r="H157" i="2"/>
  <c r="G21" i="7" s="1"/>
  <c r="G45" i="7" s="1"/>
  <c r="I157" i="2"/>
  <c r="H21" i="7" s="1"/>
  <c r="H45" i="7" s="1"/>
  <c r="J157" i="2"/>
  <c r="J157" i="9" s="1"/>
  <c r="K157" i="2"/>
  <c r="K157" i="9" s="1"/>
  <c r="L157" i="2"/>
  <c r="K21" i="7" s="1"/>
  <c r="K45" i="7" s="1"/>
  <c r="L21" i="7"/>
  <c r="L45" i="7" s="1"/>
  <c r="N157" i="9"/>
  <c r="N21" i="7"/>
  <c r="N45" i="7" s="1"/>
  <c r="E158" i="2"/>
  <c r="D23" i="7" s="1"/>
  <c r="D47" i="7" s="1"/>
  <c r="F158" i="2"/>
  <c r="F158" i="9" s="1"/>
  <c r="G158" i="2"/>
  <c r="G158" i="9" s="1"/>
  <c r="H158" i="2"/>
  <c r="H158" i="9" s="1"/>
  <c r="I158" i="2"/>
  <c r="I158" i="9" s="1"/>
  <c r="K158" i="2"/>
  <c r="K158" i="9" s="1"/>
  <c r="M23" i="7"/>
  <c r="M47" i="7" s="1"/>
  <c r="N23" i="7"/>
  <c r="N47" i="7" s="1"/>
  <c r="D170" i="2"/>
  <c r="E170" i="2"/>
  <c r="E170" i="9" s="1"/>
  <c r="F170" i="2"/>
  <c r="F170" i="9" s="1"/>
  <c r="G170" i="2"/>
  <c r="G170" i="9" s="1"/>
  <c r="H170" i="2"/>
  <c r="H170" i="9" s="1"/>
  <c r="I170" i="2"/>
  <c r="I170" i="9" s="1"/>
  <c r="J170" i="2"/>
  <c r="J170" i="9" s="1"/>
  <c r="L170" i="2"/>
  <c r="L170" i="9" s="1"/>
  <c r="N170" i="9"/>
  <c r="D171" i="2"/>
  <c r="E171" i="2"/>
  <c r="E171" i="9" s="1"/>
  <c r="F171" i="2"/>
  <c r="F171" i="9" s="1"/>
  <c r="G171" i="2"/>
  <c r="H171" i="2"/>
  <c r="H171" i="9" s="1"/>
  <c r="I171" i="2"/>
  <c r="I171" i="9" s="1"/>
  <c r="L171" i="2"/>
  <c r="L178" i="2" s="1"/>
  <c r="M171" i="9"/>
  <c r="E172" i="2"/>
  <c r="E172" i="9" s="1"/>
  <c r="F172" i="2"/>
  <c r="F172" i="9" s="1"/>
  <c r="G172" i="2"/>
  <c r="G172" i="9" s="1"/>
  <c r="H172" i="2"/>
  <c r="H172" i="9" s="1"/>
  <c r="I172" i="2"/>
  <c r="I172" i="9" s="1"/>
  <c r="J172" i="2"/>
  <c r="J172" i="9" s="1"/>
  <c r="L172" i="2"/>
  <c r="L172" i="9" s="1"/>
  <c r="N172" i="9"/>
  <c r="D184" i="2"/>
  <c r="D184" i="9" s="1"/>
  <c r="E184" i="2"/>
  <c r="E184" i="9" s="1"/>
  <c r="F184" i="2"/>
  <c r="F184" i="9" s="1"/>
  <c r="G184" i="2"/>
  <c r="G184" i="9" s="1"/>
  <c r="H184" i="2"/>
  <c r="H184" i="9" s="1"/>
  <c r="I184" i="2"/>
  <c r="J184" i="2"/>
  <c r="J184" i="9" s="1"/>
  <c r="K184" i="2"/>
  <c r="K184" i="9" s="1"/>
  <c r="L184" i="2"/>
  <c r="L184" i="9" s="1"/>
  <c r="N184" i="9"/>
  <c r="O184" i="9"/>
  <c r="D185" i="2"/>
  <c r="D185" i="9" s="1"/>
  <c r="E185" i="2"/>
  <c r="F185" i="2"/>
  <c r="F185" i="9" s="1"/>
  <c r="G185" i="2"/>
  <c r="G185" i="9" s="1"/>
  <c r="H185" i="2"/>
  <c r="H185" i="9" s="1"/>
  <c r="I185" i="2"/>
  <c r="I185" i="9" s="1"/>
  <c r="J185" i="2"/>
  <c r="J185" i="9" s="1"/>
  <c r="K185" i="2"/>
  <c r="L185" i="2"/>
  <c r="L185" i="9" s="1"/>
  <c r="N192" i="2"/>
  <c r="O192" i="2"/>
  <c r="D186" i="2"/>
  <c r="D186" i="9" s="1"/>
  <c r="E186" i="2"/>
  <c r="E186" i="9" s="1"/>
  <c r="F186" i="2"/>
  <c r="F186" i="9" s="1"/>
  <c r="G186" i="2"/>
  <c r="G186" i="9" s="1"/>
  <c r="H186" i="2"/>
  <c r="H186" i="9" s="1"/>
  <c r="I186" i="2"/>
  <c r="I186" i="9" s="1"/>
  <c r="J186" i="2"/>
  <c r="J186" i="9" s="1"/>
  <c r="K186" i="2"/>
  <c r="K186" i="9" s="1"/>
  <c r="L186" i="2"/>
  <c r="L186" i="9" s="1"/>
  <c r="M186" i="9"/>
  <c r="N186" i="9"/>
  <c r="O186" i="9"/>
  <c r="D195" i="2"/>
  <c r="D195" i="9" s="1"/>
  <c r="E195" i="2"/>
  <c r="E195" i="9" s="1"/>
  <c r="F195" i="2"/>
  <c r="F195" i="9" s="1"/>
  <c r="G195" i="2"/>
  <c r="G195" i="9" s="1"/>
  <c r="H195" i="2"/>
  <c r="H195" i="9" s="1"/>
  <c r="I195" i="2"/>
  <c r="I195" i="9" s="1"/>
  <c r="J195" i="2"/>
  <c r="J195" i="9" s="1"/>
  <c r="K195" i="2"/>
  <c r="K195" i="9" s="1"/>
  <c r="L195" i="2"/>
  <c r="L195" i="9" s="1"/>
  <c r="M195" i="9"/>
  <c r="N195" i="9"/>
  <c r="O195" i="9"/>
  <c r="D196" i="2"/>
  <c r="D196" i="9" s="1"/>
  <c r="E196" i="2"/>
  <c r="E196" i="9" s="1"/>
  <c r="F196" i="2"/>
  <c r="F196" i="9" s="1"/>
  <c r="G196" i="2"/>
  <c r="G196" i="9" s="1"/>
  <c r="H196" i="2"/>
  <c r="H196" i="9" s="1"/>
  <c r="I196" i="2"/>
  <c r="I196" i="9" s="1"/>
  <c r="J196" i="2"/>
  <c r="K196" i="2"/>
  <c r="K196" i="9" s="1"/>
  <c r="L196" i="2"/>
  <c r="L196" i="9" s="1"/>
  <c r="M196" i="9"/>
  <c r="N196" i="9"/>
  <c r="O196" i="9"/>
  <c r="D197" i="2"/>
  <c r="D197" i="9" s="1"/>
  <c r="E197" i="2"/>
  <c r="E197" i="9" s="1"/>
  <c r="F197" i="2"/>
  <c r="F197" i="9" s="1"/>
  <c r="G197" i="2"/>
  <c r="G197" i="9" s="1"/>
  <c r="H197" i="2"/>
  <c r="H197" i="9" s="1"/>
  <c r="I197" i="2"/>
  <c r="I197" i="9" s="1"/>
  <c r="J197" i="2"/>
  <c r="J197" i="9" s="1"/>
  <c r="K197" i="2"/>
  <c r="K197" i="9" s="1"/>
  <c r="L197" i="2"/>
  <c r="L197" i="9" s="1"/>
  <c r="M197" i="9"/>
  <c r="N197" i="9"/>
  <c r="O197" i="9"/>
  <c r="D199" i="2"/>
  <c r="D199" i="9"/>
  <c r="E199" i="2"/>
  <c r="E199" i="9" s="1"/>
  <c r="F199" i="2"/>
  <c r="F199" i="9"/>
  <c r="G199" i="2"/>
  <c r="G199" i="9" s="1"/>
  <c r="H199" i="2"/>
  <c r="H199" i="9"/>
  <c r="I199" i="2"/>
  <c r="I199" i="9" s="1"/>
  <c r="J199" i="2"/>
  <c r="J199" i="9"/>
  <c r="K199" i="2"/>
  <c r="K199" i="9" s="1"/>
  <c r="L199" i="2"/>
  <c r="L199" i="9"/>
  <c r="M199" i="2"/>
  <c r="M199" i="9" s="1"/>
  <c r="N199" i="2"/>
  <c r="N199" i="9"/>
  <c r="O199" i="2"/>
  <c r="O199" i="9" s="1"/>
  <c r="D201" i="2"/>
  <c r="D201" i="9"/>
  <c r="E201" i="2"/>
  <c r="E201" i="9" s="1"/>
  <c r="F201" i="2"/>
  <c r="F201" i="9"/>
  <c r="G201" i="2"/>
  <c r="G201" i="9" s="1"/>
  <c r="H201" i="2"/>
  <c r="H201" i="9"/>
  <c r="I201" i="2"/>
  <c r="I201" i="9" s="1"/>
  <c r="J201" i="2"/>
  <c r="J201" i="9"/>
  <c r="K201" i="2"/>
  <c r="K201" i="9" s="1"/>
  <c r="L201" i="2"/>
  <c r="L201" i="9"/>
  <c r="M201" i="2"/>
  <c r="M201" i="9" s="1"/>
  <c r="N201" i="2"/>
  <c r="N201" i="9"/>
  <c r="O201" i="2"/>
  <c r="O201" i="9" s="1"/>
  <c r="D203" i="2"/>
  <c r="D203" i="9"/>
  <c r="G203" i="2"/>
  <c r="G203" i="9" s="1"/>
  <c r="H203" i="2"/>
  <c r="H203" i="9"/>
  <c r="I203" i="2"/>
  <c r="I203" i="9" s="1"/>
  <c r="L203" i="2"/>
  <c r="L203" i="9"/>
  <c r="O203" i="2"/>
  <c r="O203" i="9" s="1"/>
  <c r="H77" i="10"/>
  <c r="G84" i="10"/>
  <c r="G28" i="10"/>
  <c r="M78" i="9"/>
  <c r="D15" i="2"/>
  <c r="D15" i="9" s="1"/>
  <c r="K203" i="2"/>
  <c r="K203" i="9"/>
  <c r="I63" i="10"/>
  <c r="M172" i="9"/>
  <c r="F164" i="11"/>
  <c r="H164" i="11" s="1"/>
  <c r="H5" i="11"/>
  <c r="E191" i="11"/>
  <c r="G91" i="11"/>
  <c r="H90" i="11"/>
  <c r="E139" i="11"/>
  <c r="E55" i="11"/>
  <c r="D158" i="2"/>
  <c r="M203" i="2"/>
  <c r="M203" i="9"/>
  <c r="J203" i="2"/>
  <c r="J203" i="9" s="1"/>
  <c r="E203" i="2"/>
  <c r="E203" i="9"/>
  <c r="N136" i="9"/>
  <c r="F136" i="9"/>
  <c r="K30" i="2"/>
  <c r="K30" i="9" s="1"/>
  <c r="J98" i="2"/>
  <c r="J98" i="9" s="1"/>
  <c r="H212" i="11"/>
  <c r="G181" i="11"/>
  <c r="K82" i="2"/>
  <c r="J81" i="2"/>
  <c r="N101" i="9"/>
  <c r="M100" i="9"/>
  <c r="F179" i="11"/>
  <c r="F16" i="11"/>
  <c r="E189" i="11"/>
  <c r="G189" i="11"/>
  <c r="H23" i="11"/>
  <c r="H22" i="11"/>
  <c r="H25" i="11"/>
  <c r="F191" i="11"/>
  <c r="H24" i="11"/>
  <c r="F194" i="11"/>
  <c r="F188" i="11"/>
  <c r="F190" i="11" s="1"/>
  <c r="H36" i="11"/>
  <c r="F122" i="11"/>
  <c r="H56" i="11"/>
  <c r="G237" i="11"/>
  <c r="H242" i="11"/>
  <c r="H241" i="11"/>
  <c r="H82" i="2"/>
  <c r="H79" i="11"/>
  <c r="H127" i="11" s="1"/>
  <c r="H78" i="11"/>
  <c r="H126" i="11" s="1"/>
  <c r="H92" i="11"/>
  <c r="F181" i="11"/>
  <c r="H16" i="11"/>
  <c r="O101" i="9"/>
  <c r="O120" i="9"/>
  <c r="E101" i="2"/>
  <c r="E101" i="9" s="1"/>
  <c r="E119" i="2"/>
  <c r="E119" i="9" s="1"/>
  <c r="E209" i="2"/>
  <c r="E209" i="9" s="1"/>
  <c r="G224" i="11"/>
  <c r="G234" i="11"/>
  <c r="F28" i="10"/>
  <c r="G35" i="10"/>
  <c r="F77" i="10"/>
  <c r="H56" i="10"/>
  <c r="F49" i="10"/>
  <c r="G42" i="10"/>
  <c r="G14" i="10"/>
  <c r="H7" i="10"/>
  <c r="K34" i="7"/>
  <c r="H34" i="7"/>
  <c r="L34" i="7"/>
  <c r="M34" i="7"/>
  <c r="I34" i="7"/>
  <c r="D34" i="7"/>
  <c r="K31" i="7"/>
  <c r="N31" i="7"/>
  <c r="J31" i="7"/>
  <c r="C40" i="7"/>
  <c r="G40" i="7"/>
  <c r="L31" i="7"/>
  <c r="D40" i="7"/>
  <c r="J40" i="7"/>
  <c r="F40" i="7"/>
  <c r="I40" i="7"/>
  <c r="N40" i="7"/>
  <c r="M40" i="7"/>
  <c r="H40" i="7"/>
  <c r="E40" i="7"/>
  <c r="K40" i="7"/>
  <c r="L40" i="7"/>
  <c r="F127" i="11"/>
  <c r="F48" i="11" s="1"/>
  <c r="H101" i="2"/>
  <c r="H101" i="9" s="1"/>
  <c r="I101" i="2"/>
  <c r="I101" i="9" s="1"/>
  <c r="F98" i="2"/>
  <c r="F98" i="9" s="1"/>
  <c r="M30" i="9"/>
  <c r="O30" i="9"/>
  <c r="M158" i="9"/>
  <c r="J171" i="2"/>
  <c r="J171" i="9" s="1"/>
  <c r="E98" i="2"/>
  <c r="N30" i="9"/>
  <c r="F211" i="11"/>
  <c r="N17" i="9"/>
  <c r="O61" i="9"/>
  <c r="H65" i="11"/>
  <c r="F248" i="11"/>
  <c r="H64" i="11"/>
  <c r="E122" i="11"/>
  <c r="Q122" i="11" s="1"/>
  <c r="E41" i="11"/>
  <c r="Q41" i="11" s="1"/>
  <c r="AQ41" i="11" s="1"/>
  <c r="O28" i="9"/>
  <c r="J30" i="2"/>
  <c r="J30" i="9" s="1"/>
  <c r="E239" i="11"/>
  <c r="H62" i="11"/>
  <c r="H147" i="11"/>
  <c r="F59" i="11"/>
  <c r="F139" i="11"/>
  <c r="J21" i="7"/>
  <c r="J45" i="7" s="1"/>
  <c r="G218" i="11"/>
  <c r="H44" i="11"/>
  <c r="H218" i="11" s="1"/>
  <c r="K99" i="2"/>
  <c r="K99" i="9" s="1"/>
  <c r="D21" i="7"/>
  <c r="D45" i="7" s="1"/>
  <c r="M21" i="7"/>
  <c r="M45" i="7" s="1"/>
  <c r="E158" i="9"/>
  <c r="G205" i="11"/>
  <c r="L54" i="9"/>
  <c r="M170" i="9"/>
  <c r="H8" i="11"/>
  <c r="G169" i="11"/>
  <c r="D170" i="9"/>
  <c r="K148" i="2"/>
  <c r="K148" i="9" s="1"/>
  <c r="K54" i="9"/>
  <c r="F51" i="9"/>
  <c r="F101" i="2"/>
  <c r="F101" i="9" s="1"/>
  <c r="E43" i="11"/>
  <c r="Q43" i="11" s="1"/>
  <c r="D101" i="2"/>
  <c r="D101" i="9" s="1"/>
  <c r="K101" i="2"/>
  <c r="K101" i="9" s="1"/>
  <c r="F176" i="11"/>
  <c r="L209" i="2"/>
  <c r="L209" i="9" s="1"/>
  <c r="L98" i="2"/>
  <c r="L98" i="9" s="1"/>
  <c r="N209" i="9"/>
  <c r="N98" i="9"/>
  <c r="F241" i="11"/>
  <c r="H58" i="11"/>
  <c r="H59" i="11"/>
  <c r="F268" i="11"/>
  <c r="F122" i="2"/>
  <c r="F122" i="9" s="1"/>
  <c r="H28" i="2"/>
  <c r="H28" i="9" s="1"/>
  <c r="J15" i="2"/>
  <c r="J15" i="9" s="1"/>
  <c r="F28" i="2"/>
  <c r="F28" i="9" s="1"/>
  <c r="I28" i="2"/>
  <c r="I28" i="9" s="1"/>
  <c r="K192" i="2" l="1"/>
  <c r="K185" i="9"/>
  <c r="K53" i="9"/>
  <c r="K52" i="2"/>
  <c r="K52" i="9" s="1"/>
  <c r="O46" i="2"/>
  <c r="O46" i="9" s="1"/>
  <c r="J84" i="10"/>
  <c r="K77" i="10"/>
  <c r="L52" i="2"/>
  <c r="L52" i="9" s="1"/>
  <c r="J77" i="10"/>
  <c r="J70" i="10"/>
  <c r="O156" i="9"/>
  <c r="D192" i="2"/>
  <c r="M18" i="7"/>
  <c r="M42" i="7" s="1"/>
  <c r="M43" i="7" s="1"/>
  <c r="M149" i="9"/>
  <c r="J46" i="2"/>
  <c r="J46" i="9" s="1"/>
  <c r="I21" i="7"/>
  <c r="I45" i="7" s="1"/>
  <c r="E107" i="2"/>
  <c r="N185" i="9"/>
  <c r="N192" i="9" s="1"/>
  <c r="M52" i="9"/>
  <c r="M83" i="9" s="1"/>
  <c r="H37" i="11"/>
  <c r="F235" i="11"/>
  <c r="D147" i="2" s="1"/>
  <c r="D147" i="9" s="1"/>
  <c r="H149" i="9"/>
  <c r="E23" i="7"/>
  <c r="E47" i="7" s="1"/>
  <c r="J192" i="2"/>
  <c r="J23" i="7"/>
  <c r="J47" i="7" s="1"/>
  <c r="M178" i="2"/>
  <c r="N118" i="9"/>
  <c r="J63" i="10"/>
  <c r="J49" i="10"/>
  <c r="M118" i="9"/>
  <c r="L20" i="7"/>
  <c r="L44" i="7" s="1"/>
  <c r="M46" i="2"/>
  <c r="M46" i="9" s="1"/>
  <c r="M155" i="2"/>
  <c r="M155" i="9" s="1"/>
  <c r="D149" i="9"/>
  <c r="N155" i="2"/>
  <c r="N155" i="9" s="1"/>
  <c r="L14" i="9"/>
  <c r="H15" i="11"/>
  <c r="J18" i="7"/>
  <c r="J42" i="7" s="1"/>
  <c r="M20" i="7"/>
  <c r="M44" i="7" s="1"/>
  <c r="M46" i="7" s="1"/>
  <c r="L118" i="2"/>
  <c r="L118" i="9" s="1"/>
  <c r="L154" i="2"/>
  <c r="L154" i="9" s="1"/>
  <c r="E231" i="11"/>
  <c r="I20" i="7"/>
  <c r="I44" i="7" s="1"/>
  <c r="I46" i="7" s="1"/>
  <c r="D49" i="2"/>
  <c r="D49" i="9" s="1"/>
  <c r="J84" i="6"/>
  <c r="K154" i="2"/>
  <c r="K154" i="9" s="1"/>
  <c r="E234" i="11"/>
  <c r="E236" i="11" s="1"/>
  <c r="E235" i="11" s="1"/>
  <c r="K192" i="9"/>
  <c r="K77" i="6"/>
  <c r="J14" i="6"/>
  <c r="J155" i="2"/>
  <c r="N158" i="9"/>
  <c r="J17" i="7"/>
  <c r="J41" i="7" s="1"/>
  <c r="M147" i="9"/>
  <c r="S176" i="11"/>
  <c r="AS176" i="11" s="1"/>
  <c r="H176" i="11"/>
  <c r="L171" i="9"/>
  <c r="L178" i="9" s="1"/>
  <c r="J70" i="6"/>
  <c r="J56" i="6"/>
  <c r="J52" i="9"/>
  <c r="L23" i="7"/>
  <c r="L47" i="7" s="1"/>
  <c r="N49" i="2"/>
  <c r="N49" i="9" s="1"/>
  <c r="J49" i="6"/>
  <c r="D150" i="9"/>
  <c r="G23" i="7"/>
  <c r="G47" i="7" s="1"/>
  <c r="N18" i="7"/>
  <c r="N42" i="7" s="1"/>
  <c r="O157" i="9"/>
  <c r="K14" i="6"/>
  <c r="O155" i="2"/>
  <c r="O155" i="9" s="1"/>
  <c r="L49" i="2"/>
  <c r="L49" i="9" s="1"/>
  <c r="N46" i="2"/>
  <c r="N46" i="9" s="1"/>
  <c r="N81" i="9" s="1"/>
  <c r="D157" i="9"/>
  <c r="J149" i="9"/>
  <c r="E148" i="2"/>
  <c r="E148" i="9" s="1"/>
  <c r="K49" i="6"/>
  <c r="L157" i="9"/>
  <c r="C18" i="7"/>
  <c r="C42" i="7" s="1"/>
  <c r="C43" i="7" s="1"/>
  <c r="M128" i="2"/>
  <c r="J77" i="6"/>
  <c r="K35" i="6"/>
  <c r="F149" i="9"/>
  <c r="E178" i="2"/>
  <c r="O158" i="9"/>
  <c r="K63" i="6"/>
  <c r="F21" i="7"/>
  <c r="F45" i="7" s="1"/>
  <c r="J148" i="2"/>
  <c r="J148" i="9" s="1"/>
  <c r="K81" i="2"/>
  <c r="E179" i="11"/>
  <c r="G179" i="11"/>
  <c r="H86" i="11"/>
  <c r="E91" i="11"/>
  <c r="H134" i="11"/>
  <c r="G139" i="11"/>
  <c r="N52" i="2"/>
  <c r="N52" i="9" s="1"/>
  <c r="N148" i="2"/>
  <c r="N148" i="9" s="1"/>
  <c r="N164" i="9" s="1"/>
  <c r="O185" i="9"/>
  <c r="O192" i="9" s="1"/>
  <c r="M157" i="9"/>
  <c r="N128" i="2"/>
  <c r="J63" i="6"/>
  <c r="K15" i="2"/>
  <c r="K15" i="9" s="1"/>
  <c r="M150" i="9"/>
  <c r="J56" i="10"/>
  <c r="E181" i="11"/>
  <c r="F91" i="11"/>
  <c r="H131" i="11"/>
  <c r="F178" i="2"/>
  <c r="I18" i="7"/>
  <c r="I42" i="7" s="1"/>
  <c r="I43" i="7" s="1"/>
  <c r="G149" i="9"/>
  <c r="M49" i="2"/>
  <c r="M49" i="9" s="1"/>
  <c r="N149" i="9"/>
  <c r="J49" i="2"/>
  <c r="J49" i="9" s="1"/>
  <c r="F49" i="2"/>
  <c r="F49" i="9" s="1"/>
  <c r="F82" i="9" s="1"/>
  <c r="K49" i="10"/>
  <c r="K21" i="10"/>
  <c r="J14" i="10"/>
  <c r="L213" i="2"/>
  <c r="L213" i="9" s="1"/>
  <c r="S188" i="11"/>
  <c r="T188" i="11"/>
  <c r="F205" i="11"/>
  <c r="H206" i="11"/>
  <c r="T248" i="11"/>
  <c r="S248" i="11"/>
  <c r="H247" i="11"/>
  <c r="L15" i="2"/>
  <c r="L15" i="9" s="1"/>
  <c r="F32" i="7"/>
  <c r="F34" i="7" s="1"/>
  <c r="S16" i="11"/>
  <c r="T16" i="11"/>
  <c r="AQ170" i="11"/>
  <c r="U170" i="11"/>
  <c r="Q169" i="11"/>
  <c r="S12" i="11"/>
  <c r="AS12" i="11" s="1"/>
  <c r="T12" i="11"/>
  <c r="T14" i="11"/>
  <c r="S14" i="11"/>
  <c r="Q181" i="11"/>
  <c r="AQ16" i="11"/>
  <c r="AQ181" i="11" s="1"/>
  <c r="T23" i="11"/>
  <c r="S23" i="11"/>
  <c r="S29" i="11"/>
  <c r="AS29" i="11" s="1"/>
  <c r="T29" i="11"/>
  <c r="E206" i="11"/>
  <c r="S37" i="11"/>
  <c r="T37" i="11"/>
  <c r="AS41" i="11"/>
  <c r="AS213" i="11" s="1"/>
  <c r="S213" i="11"/>
  <c r="T45" i="11"/>
  <c r="S45" i="11"/>
  <c r="AS45" i="11" s="1"/>
  <c r="S50" i="11"/>
  <c r="AS50" i="11" s="1"/>
  <c r="T50" i="11"/>
  <c r="S51" i="11"/>
  <c r="T51" i="11"/>
  <c r="E237" i="11"/>
  <c r="Q56" i="11"/>
  <c r="U76" i="11"/>
  <c r="AQ77" i="11"/>
  <c r="U77" i="11"/>
  <c r="T90" i="11"/>
  <c r="S90" i="11"/>
  <c r="AS90" i="11" s="1"/>
  <c r="T93" i="11"/>
  <c r="S93" i="11"/>
  <c r="AQ100" i="11"/>
  <c r="U100" i="11"/>
  <c r="U99" i="11"/>
  <c r="T120" i="11"/>
  <c r="S120" i="11"/>
  <c r="AS120" i="11" s="1"/>
  <c r="E47" i="11"/>
  <c r="Q126" i="11"/>
  <c r="AQ141" i="11"/>
  <c r="Q139" i="11"/>
  <c r="H146" i="11"/>
  <c r="T182" i="11"/>
  <c r="S182" i="11"/>
  <c r="AS182" i="11" s="1"/>
  <c r="S212" i="11"/>
  <c r="T212" i="11"/>
  <c r="S224" i="11"/>
  <c r="T224" i="11"/>
  <c r="J178" i="2"/>
  <c r="F20" i="7"/>
  <c r="F44" i="7" s="1"/>
  <c r="G156" i="9"/>
  <c r="D31" i="7"/>
  <c r="S174" i="11"/>
  <c r="T174" i="11"/>
  <c r="G186" i="11"/>
  <c r="S20" i="11"/>
  <c r="AS20" i="11" s="1"/>
  <c r="T20" i="11"/>
  <c r="T21" i="11"/>
  <c r="S21" i="11"/>
  <c r="AS21" i="11" s="1"/>
  <c r="AQ25" i="11"/>
  <c r="U25" i="11"/>
  <c r="U24" i="11"/>
  <c r="Q191" i="11"/>
  <c r="T27" i="11"/>
  <c r="S27" i="11"/>
  <c r="AS27" i="11" s="1"/>
  <c r="E212" i="11"/>
  <c r="Q212" i="11" s="1"/>
  <c r="Q40" i="11"/>
  <c r="AQ40" i="11" s="1"/>
  <c r="E218" i="11"/>
  <c r="Q218" i="11" s="1"/>
  <c r="Q44" i="11"/>
  <c r="AQ44" i="11" s="1"/>
  <c r="AQ46" i="11"/>
  <c r="Q221" i="11"/>
  <c r="T47" i="11"/>
  <c r="S47" i="11"/>
  <c r="AS47" i="11" s="1"/>
  <c r="E229" i="11"/>
  <c r="Q51" i="11"/>
  <c r="S57" i="11"/>
  <c r="T57" i="11"/>
  <c r="AQ63" i="11"/>
  <c r="Q245" i="11"/>
  <c r="E19" i="11"/>
  <c r="Q93" i="11"/>
  <c r="S146" i="11"/>
  <c r="AS146" i="11" s="1"/>
  <c r="T146" i="11"/>
  <c r="T172" i="11"/>
  <c r="S172" i="11"/>
  <c r="Q189" i="11"/>
  <c r="U189" i="11"/>
  <c r="U190" i="11"/>
  <c r="T216" i="11"/>
  <c r="S216" i="11"/>
  <c r="T176" i="11"/>
  <c r="AT176" i="11" s="1"/>
  <c r="AQ122" i="11"/>
  <c r="E20" i="7"/>
  <c r="E44" i="7" s="1"/>
  <c r="E46" i="7" s="1"/>
  <c r="F156" i="9"/>
  <c r="S122" i="11"/>
  <c r="T122" i="11"/>
  <c r="S194" i="11"/>
  <c r="T194" i="11"/>
  <c r="T8" i="11"/>
  <c r="S8" i="11"/>
  <c r="T11" i="11"/>
  <c r="S11" i="11"/>
  <c r="AS11" i="11" s="1"/>
  <c r="U15" i="11"/>
  <c r="AQ15" i="11"/>
  <c r="AQ179" i="11" s="1"/>
  <c r="Q179" i="11"/>
  <c r="T15" i="11"/>
  <c r="S15" i="11"/>
  <c r="H19" i="11"/>
  <c r="E187" i="11"/>
  <c r="Q21" i="11"/>
  <c r="AX23" i="11"/>
  <c r="AQ189" i="11"/>
  <c r="E196" i="11"/>
  <c r="Q196" i="11" s="1"/>
  <c r="Q29" i="11"/>
  <c r="AQ29" i="11" s="1"/>
  <c r="AX29" i="11" s="1"/>
  <c r="E226" i="11"/>
  <c r="Q226" i="11" s="1"/>
  <c r="Q48" i="11"/>
  <c r="AQ48" i="11" s="1"/>
  <c r="AQ52" i="11"/>
  <c r="Q231" i="11"/>
  <c r="U52" i="11"/>
  <c r="Q55" i="11"/>
  <c r="T53" i="11"/>
  <c r="S53" i="11"/>
  <c r="AS53" i="11" s="1"/>
  <c r="T56" i="11"/>
  <c r="S56" i="11"/>
  <c r="T59" i="11"/>
  <c r="S59" i="11"/>
  <c r="T98" i="11"/>
  <c r="S98" i="11"/>
  <c r="AS98" i="11" s="1"/>
  <c r="AQ124" i="11"/>
  <c r="AU124" i="11" s="1"/>
  <c r="U124" i="11"/>
  <c r="E174" i="11"/>
  <c r="Q174" i="11" s="1"/>
  <c r="AQ242" i="11"/>
  <c r="U241" i="11"/>
  <c r="U242" i="11"/>
  <c r="E164" i="11"/>
  <c r="Q5" i="11"/>
  <c r="AQ5" i="11" s="1"/>
  <c r="AR249" i="11"/>
  <c r="AQ43" i="11"/>
  <c r="T218" i="11"/>
  <c r="S218" i="11"/>
  <c r="H139" i="11"/>
  <c r="G236" i="11"/>
  <c r="T234" i="11"/>
  <c r="S234" i="11"/>
  <c r="K84" i="10"/>
  <c r="F214" i="11"/>
  <c r="F216" i="11" s="1"/>
  <c r="H215" i="11" s="1"/>
  <c r="H55" i="11"/>
  <c r="S55" i="11"/>
  <c r="G163" i="11"/>
  <c r="S5" i="11"/>
  <c r="T5" i="11"/>
  <c r="T10" i="11"/>
  <c r="S10" i="11"/>
  <c r="E176" i="11"/>
  <c r="Q176" i="11" s="1"/>
  <c r="Q12" i="11"/>
  <c r="AQ12" i="11" s="1"/>
  <c r="S17" i="11"/>
  <c r="AS17" i="11" s="1"/>
  <c r="T17" i="11"/>
  <c r="AQ20" i="11"/>
  <c r="AQ185" i="11" s="1"/>
  <c r="Q185" i="11"/>
  <c r="E194" i="11"/>
  <c r="Q194" i="11" s="1"/>
  <c r="Q27" i="11"/>
  <c r="AQ27" i="11" s="1"/>
  <c r="AX27" i="11" s="1"/>
  <c r="T36" i="11"/>
  <c r="S36" i="11"/>
  <c r="S40" i="11"/>
  <c r="AS40" i="11" s="1"/>
  <c r="T40" i="11"/>
  <c r="S44" i="11"/>
  <c r="AS44" i="11" s="1"/>
  <c r="T44" i="11"/>
  <c r="T46" i="11"/>
  <c r="S46" i="11"/>
  <c r="G226" i="11"/>
  <c r="S48" i="11"/>
  <c r="AS48" i="11" s="1"/>
  <c r="T48" i="11"/>
  <c r="Q239" i="11"/>
  <c r="AQ57" i="11"/>
  <c r="AQ239" i="11" s="1"/>
  <c r="U61" i="11"/>
  <c r="AQ61" i="11"/>
  <c r="Q243" i="11"/>
  <c r="U60" i="11"/>
  <c r="S63" i="11"/>
  <c r="T63" i="11"/>
  <c r="T65" i="11"/>
  <c r="S65" i="11"/>
  <c r="AS65" i="11" s="1"/>
  <c r="S75" i="11"/>
  <c r="AS75" i="11" s="1"/>
  <c r="T75" i="11"/>
  <c r="H12" i="11"/>
  <c r="S138" i="11"/>
  <c r="AS138" i="11" s="1"/>
  <c r="T138" i="11"/>
  <c r="T141" i="11"/>
  <c r="S141" i="11"/>
  <c r="AQ184" i="11"/>
  <c r="U184" i="11"/>
  <c r="U183" i="11"/>
  <c r="I52" i="2"/>
  <c r="I52" i="9" s="1"/>
  <c r="H23" i="7"/>
  <c r="H47" i="7" s="1"/>
  <c r="H178" i="2"/>
  <c r="H150" i="9"/>
  <c r="I46" i="2"/>
  <c r="I46" i="9" s="1"/>
  <c r="I81" i="9" s="1"/>
  <c r="K35" i="10"/>
  <c r="H148" i="2"/>
  <c r="H148" i="9" s="1"/>
  <c r="H49" i="2"/>
  <c r="H49" i="9" s="1"/>
  <c r="H82" i="9" s="1"/>
  <c r="J21" i="6"/>
  <c r="E18" i="7"/>
  <c r="E42" i="7" s="1"/>
  <c r="F155" i="2"/>
  <c r="F155" i="9" s="1"/>
  <c r="I178" i="2"/>
  <c r="H192" i="2"/>
  <c r="H155" i="2"/>
  <c r="H155" i="9" s="1"/>
  <c r="I128" i="2"/>
  <c r="K42" i="6"/>
  <c r="H157" i="9"/>
  <c r="I47" i="9"/>
  <c r="K14" i="10"/>
  <c r="G148" i="2"/>
  <c r="G148" i="9" s="1"/>
  <c r="K21" i="6"/>
  <c r="I149" i="9"/>
  <c r="G20" i="7"/>
  <c r="E192" i="2"/>
  <c r="E185" i="9"/>
  <c r="E192" i="9" s="1"/>
  <c r="F23" i="7"/>
  <c r="F47" i="7" s="1"/>
  <c r="H50" i="9"/>
  <c r="K40" i="10"/>
  <c r="K42" i="10" s="1"/>
  <c r="G52" i="2"/>
  <c r="G52" i="9" s="1"/>
  <c r="G150" i="9"/>
  <c r="E98" i="9"/>
  <c r="E107" i="9" s="1"/>
  <c r="H46" i="2"/>
  <c r="H46" i="9" s="1"/>
  <c r="H81" i="9" s="1"/>
  <c r="O147" i="9"/>
  <c r="O154" i="9"/>
  <c r="K60" i="2"/>
  <c r="K60" i="9" s="1"/>
  <c r="L61" i="2"/>
  <c r="L61" i="9" s="1"/>
  <c r="O60" i="9"/>
  <c r="O81" i="9" s="1"/>
  <c r="O98" i="9"/>
  <c r="J122" i="2"/>
  <c r="J122" i="9" s="1"/>
  <c r="O171" i="9"/>
  <c r="O118" i="9"/>
  <c r="K23" i="7"/>
  <c r="K47" i="7" s="1"/>
  <c r="J150" i="9"/>
  <c r="L101" i="2"/>
  <c r="L101" i="9" s="1"/>
  <c r="O211" i="9"/>
  <c r="J62" i="2"/>
  <c r="J62" i="9" s="1"/>
  <c r="O49" i="2"/>
  <c r="O49" i="9" s="1"/>
  <c r="O82" i="9" s="1"/>
  <c r="O51" i="9"/>
  <c r="J20" i="7"/>
  <c r="J44" i="7" s="1"/>
  <c r="J46" i="7" s="1"/>
  <c r="K155" i="2"/>
  <c r="J61" i="2"/>
  <c r="J61" i="9" s="1"/>
  <c r="L62" i="2"/>
  <c r="L62" i="9" s="1"/>
  <c r="L83" i="9" s="1"/>
  <c r="M60" i="9"/>
  <c r="N61" i="9"/>
  <c r="J120" i="2"/>
  <c r="J120" i="9" s="1"/>
  <c r="K171" i="2"/>
  <c r="K171" i="9" s="1"/>
  <c r="K211" i="2"/>
  <c r="K211" i="9" s="1"/>
  <c r="O213" i="9"/>
  <c r="K213" i="2"/>
  <c r="K213" i="9" s="1"/>
  <c r="M148" i="2"/>
  <c r="N17" i="7"/>
  <c r="N41" i="7" s="1"/>
  <c r="J209" i="2"/>
  <c r="J209" i="9" s="1"/>
  <c r="M101" i="9"/>
  <c r="M213" i="9"/>
  <c r="J83" i="2"/>
  <c r="J121" i="2"/>
  <c r="J121" i="9" s="1"/>
  <c r="N62" i="9"/>
  <c r="L48" i="9"/>
  <c r="L46" i="2"/>
  <c r="L46" i="9" s="1"/>
  <c r="M99" i="9"/>
  <c r="O52" i="2"/>
  <c r="O52" i="9" s="1"/>
  <c r="O83" i="9" s="1"/>
  <c r="M98" i="9"/>
  <c r="M107" i="9" s="1"/>
  <c r="O148" i="2"/>
  <c r="L128" i="2"/>
  <c r="N128" i="9"/>
  <c r="F77" i="9"/>
  <c r="F76" i="9"/>
  <c r="M128" i="9"/>
  <c r="J77" i="9"/>
  <c r="J178" i="9"/>
  <c r="H77" i="9"/>
  <c r="D76" i="9"/>
  <c r="N79" i="9"/>
  <c r="K77" i="9"/>
  <c r="O77" i="9"/>
  <c r="L43" i="7"/>
  <c r="J79" i="9"/>
  <c r="N78" i="9"/>
  <c r="J78" i="9"/>
  <c r="N77" i="9"/>
  <c r="G76" i="9"/>
  <c r="L46" i="7"/>
  <c r="H192" i="9"/>
  <c r="M79" i="9"/>
  <c r="M77" i="9"/>
  <c r="M76" i="9"/>
  <c r="F78" i="9"/>
  <c r="G77" i="9"/>
  <c r="O76" i="9"/>
  <c r="J192" i="9"/>
  <c r="M178" i="9"/>
  <c r="L77" i="9"/>
  <c r="L79" i="9"/>
  <c r="D78" i="9"/>
  <c r="L76" i="9"/>
  <c r="E79" i="9"/>
  <c r="I78" i="9"/>
  <c r="L22" i="7"/>
  <c r="L19" i="7"/>
  <c r="F79" i="9"/>
  <c r="O79" i="9"/>
  <c r="G79" i="9"/>
  <c r="O78" i="9"/>
  <c r="K78" i="9"/>
  <c r="K76" i="9"/>
  <c r="H79" i="9"/>
  <c r="D79" i="9"/>
  <c r="L78" i="9"/>
  <c r="N76" i="9"/>
  <c r="J76" i="9"/>
  <c r="I79" i="9"/>
  <c r="E76" i="9"/>
  <c r="H78" i="9"/>
  <c r="D77" i="9"/>
  <c r="H76" i="9"/>
  <c r="E78" i="9"/>
  <c r="F128" i="9"/>
  <c r="K79" i="9"/>
  <c r="G78" i="9"/>
  <c r="I77" i="9"/>
  <c r="E77" i="9"/>
  <c r="I76" i="9"/>
  <c r="F43" i="7"/>
  <c r="G19" i="7"/>
  <c r="N22" i="7"/>
  <c r="L128" i="9"/>
  <c r="J81" i="9"/>
  <c r="G43" i="7"/>
  <c r="F19" i="7"/>
  <c r="F43" i="11"/>
  <c r="D98" i="2"/>
  <c r="D98" i="9" s="1"/>
  <c r="K68" i="10"/>
  <c r="K70" i="10" s="1"/>
  <c r="L81" i="2"/>
  <c r="L192" i="9"/>
  <c r="L192" i="2"/>
  <c r="I192" i="2"/>
  <c r="I184" i="9"/>
  <c r="I192" i="9" s="1"/>
  <c r="N171" i="9"/>
  <c r="N178" i="9" s="1"/>
  <c r="N178" i="2"/>
  <c r="G178" i="2"/>
  <c r="G171" i="9"/>
  <c r="G178" i="9" s="1"/>
  <c r="L148" i="2"/>
  <c r="L148" i="9" s="1"/>
  <c r="L149" i="9"/>
  <c r="K17" i="7"/>
  <c r="G48" i="9"/>
  <c r="G46" i="2"/>
  <c r="G46" i="9" s="1"/>
  <c r="G81" i="9" s="1"/>
  <c r="K46" i="2"/>
  <c r="K46" i="9" s="1"/>
  <c r="K47" i="9"/>
  <c r="F47" i="9"/>
  <c r="F46" i="2"/>
  <c r="F46" i="9" s="1"/>
  <c r="F81" i="9" s="1"/>
  <c r="K62" i="2"/>
  <c r="K62" i="9" s="1"/>
  <c r="K83" i="2"/>
  <c r="M61" i="9"/>
  <c r="K118" i="2"/>
  <c r="K118" i="9" s="1"/>
  <c r="K119" i="2"/>
  <c r="N122" i="9"/>
  <c r="K170" i="2"/>
  <c r="K84" i="6"/>
  <c r="M184" i="9"/>
  <c r="M192" i="9" s="1"/>
  <c r="M192" i="2"/>
  <c r="N46" i="7"/>
  <c r="K20" i="7"/>
  <c r="K44" i="7" s="1"/>
  <c r="K46" i="7" s="1"/>
  <c r="L155" i="2"/>
  <c r="L155" i="9" s="1"/>
  <c r="K18" i="7"/>
  <c r="K42" i="7" s="1"/>
  <c r="L150" i="9"/>
  <c r="I150" i="9"/>
  <c r="I148" i="2"/>
  <c r="I148" i="9" s="1"/>
  <c r="H18" i="7"/>
  <c r="H42" i="7" s="1"/>
  <c r="H43" i="7" s="1"/>
  <c r="O121" i="9"/>
  <c r="O128" i="9" s="1"/>
  <c r="O128" i="2"/>
  <c r="J119" i="9"/>
  <c r="F54" i="9"/>
  <c r="F52" i="2"/>
  <c r="F52" i="9" s="1"/>
  <c r="F83" i="9" s="1"/>
  <c r="K50" i="9"/>
  <c r="K49" i="2"/>
  <c r="K49" i="9" s="1"/>
  <c r="K82" i="9" s="1"/>
  <c r="K84" i="9" s="1"/>
  <c r="K28" i="2"/>
  <c r="K28" i="9" s="1"/>
  <c r="L28" i="2"/>
  <c r="L28" i="9" s="1"/>
  <c r="F41" i="11"/>
  <c r="H120" i="11"/>
  <c r="G267" i="11"/>
  <c r="H236" i="11"/>
  <c r="K98" i="2"/>
  <c r="I49" i="2"/>
  <c r="I49" i="9" s="1"/>
  <c r="I82" i="9" s="1"/>
  <c r="J26" i="10"/>
  <c r="J28" i="10" s="1"/>
  <c r="J28" i="6"/>
  <c r="N213" i="9"/>
  <c r="J82" i="2"/>
  <c r="E41" i="7"/>
  <c r="E43" i="7" s="1"/>
  <c r="K52" i="10"/>
  <c r="K56" i="10" s="1"/>
  <c r="K56" i="6"/>
  <c r="H98" i="2"/>
  <c r="H98" i="9" s="1"/>
  <c r="F192" i="9"/>
  <c r="L16" i="9"/>
  <c r="N16" i="9"/>
  <c r="J213" i="2"/>
  <c r="J213" i="9" s="1"/>
  <c r="J158" i="2"/>
  <c r="H121" i="2"/>
  <c r="H91" i="11"/>
  <c r="F178" i="9"/>
  <c r="I128" i="9"/>
  <c r="J35" i="6"/>
  <c r="J31" i="10"/>
  <c r="J35" i="10" s="1"/>
  <c r="G83" i="2"/>
  <c r="G17" i="2"/>
  <c r="G17" i="9" s="1"/>
  <c r="H83" i="2"/>
  <c r="I83" i="2"/>
  <c r="I17" i="2"/>
  <c r="I17" i="9" s="1"/>
  <c r="I83" i="9" s="1"/>
  <c r="D192" i="9"/>
  <c r="I178" i="9"/>
  <c r="J21" i="10"/>
  <c r="L83" i="2"/>
  <c r="E204" i="11"/>
  <c r="E245" i="11"/>
  <c r="H178" i="9"/>
  <c r="G128" i="2"/>
  <c r="K7" i="6"/>
  <c r="G229" i="11"/>
  <c r="F81" i="2"/>
  <c r="G268" i="11"/>
  <c r="G241" i="11"/>
  <c r="E10" i="11"/>
  <c r="E31" i="11" s="1"/>
  <c r="E110" i="11"/>
  <c r="D83" i="2" s="1"/>
  <c r="H186" i="11"/>
  <c r="G203" i="11"/>
  <c r="H248" i="11"/>
  <c r="F83" i="2"/>
  <c r="H13" i="2"/>
  <c r="H13" i="9" s="1"/>
  <c r="F209" i="2"/>
  <c r="F209" i="9" s="1"/>
  <c r="I213" i="2"/>
  <c r="I213" i="9" s="1"/>
  <c r="F226" i="11"/>
  <c r="H48" i="11"/>
  <c r="H226" i="11" s="1"/>
  <c r="H189" i="11"/>
  <c r="F189" i="11"/>
  <c r="H190" i="11"/>
  <c r="H235" i="11"/>
  <c r="H188" i="11"/>
  <c r="D158" i="9"/>
  <c r="C23" i="7"/>
  <c r="C47" i="7" s="1"/>
  <c r="D178" i="2"/>
  <c r="D171" i="9"/>
  <c r="D178" i="9" s="1"/>
  <c r="D156" i="9"/>
  <c r="C20" i="7"/>
  <c r="C44" i="7" s="1"/>
  <c r="D155" i="2"/>
  <c r="D82" i="9"/>
  <c r="F45" i="11"/>
  <c r="H124" i="11"/>
  <c r="G158" i="11"/>
  <c r="G43" i="11"/>
  <c r="H122" i="11"/>
  <c r="H193" i="11"/>
  <c r="H17" i="11"/>
  <c r="H76" i="11"/>
  <c r="F110" i="11"/>
  <c r="F10" i="11"/>
  <c r="H77" i="11"/>
  <c r="G235" i="11"/>
  <c r="D154" i="2" s="1"/>
  <c r="D154" i="9" s="1"/>
  <c r="H194" i="11"/>
  <c r="D100" i="2"/>
  <c r="D52" i="2"/>
  <c r="D52" i="9" s="1"/>
  <c r="D83" i="9" s="1"/>
  <c r="D54" i="9"/>
  <c r="D14" i="2"/>
  <c r="D14" i="9" s="1"/>
  <c r="E185" i="11"/>
  <c r="F203" i="11"/>
  <c r="H204" i="11"/>
  <c r="H182" i="11"/>
  <c r="H184" i="11"/>
  <c r="F183" i="11"/>
  <c r="J3" i="10"/>
  <c r="J7" i="10" s="1"/>
  <c r="J7" i="6"/>
  <c r="F239" i="11"/>
  <c r="H57" i="11"/>
  <c r="H61" i="11"/>
  <c r="H60" i="11"/>
  <c r="E248" i="11"/>
  <c r="Q248" i="11" s="1"/>
  <c r="F11" i="11"/>
  <c r="F126" i="11"/>
  <c r="F47" i="11" s="1"/>
  <c r="E129" i="11"/>
  <c r="Q129" i="11" s="1"/>
  <c r="Q158" i="11" s="1"/>
  <c r="Q159" i="11" s="1"/>
  <c r="E45" i="11"/>
  <c r="G220" i="11"/>
  <c r="D46" i="2"/>
  <c r="D46" i="9" s="1"/>
  <c r="H121" i="11"/>
  <c r="F172" i="11"/>
  <c r="F129" i="11"/>
  <c r="H27" i="11"/>
  <c r="H26" i="11"/>
  <c r="G31" i="11"/>
  <c r="G211" i="11"/>
  <c r="E59" i="11"/>
  <c r="D172" i="2"/>
  <c r="D172" i="9" s="1"/>
  <c r="G213" i="11"/>
  <c r="G196" i="11"/>
  <c r="H28" i="11"/>
  <c r="G245" i="11"/>
  <c r="H63" i="11"/>
  <c r="H83" i="11"/>
  <c r="E128" i="9"/>
  <c r="G192" i="9"/>
  <c r="E178" i="9"/>
  <c r="K28" i="10"/>
  <c r="I13" i="2"/>
  <c r="I13" i="9" s="1"/>
  <c r="E22" i="7"/>
  <c r="D46" i="7"/>
  <c r="D22" i="7"/>
  <c r="J42" i="10"/>
  <c r="F30" i="2"/>
  <c r="F30" i="9" s="1"/>
  <c r="G121" i="9"/>
  <c r="G128" i="9" s="1"/>
  <c r="I155" i="2"/>
  <c r="I155" i="9" s="1"/>
  <c r="F148" i="2"/>
  <c r="F148" i="9" s="1"/>
  <c r="G49" i="2"/>
  <c r="G49" i="9" s="1"/>
  <c r="H147" i="2"/>
  <c r="H147" i="9" s="1"/>
  <c r="I220" i="9"/>
  <c r="E46" i="2"/>
  <c r="E46" i="9" s="1"/>
  <c r="E81" i="9" s="1"/>
  <c r="G192" i="2"/>
  <c r="D18" i="7"/>
  <c r="D42" i="7" s="1"/>
  <c r="E156" i="9"/>
  <c r="E128" i="2"/>
  <c r="F192" i="2"/>
  <c r="D17" i="7"/>
  <c r="E49" i="2"/>
  <c r="E49" i="9" s="1"/>
  <c r="E82" i="9" s="1"/>
  <c r="F157" i="9"/>
  <c r="H52" i="2"/>
  <c r="H52" i="9" s="1"/>
  <c r="H83" i="9" s="1"/>
  <c r="E155" i="2"/>
  <c r="H120" i="2"/>
  <c r="H120" i="9" s="1"/>
  <c r="H81" i="2"/>
  <c r="H118" i="2"/>
  <c r="H118" i="9" s="1"/>
  <c r="K28" i="6"/>
  <c r="I157" i="9"/>
  <c r="F128" i="2"/>
  <c r="E52" i="2"/>
  <c r="E52" i="9" s="1"/>
  <c r="E83" i="9" s="1"/>
  <c r="E30" i="2"/>
  <c r="E30" i="9" s="1"/>
  <c r="F118" i="2"/>
  <c r="F118" i="9" s="1"/>
  <c r="H209" i="2"/>
  <c r="H209" i="9" s="1"/>
  <c r="G155" i="2"/>
  <c r="G155" i="9" s="1"/>
  <c r="J42" i="6"/>
  <c r="H20" i="7"/>
  <c r="H44" i="7" s="1"/>
  <c r="G30" i="2"/>
  <c r="G30" i="9" s="1"/>
  <c r="H30" i="2"/>
  <c r="H30" i="9" s="1"/>
  <c r="E83" i="2"/>
  <c r="G81" i="2"/>
  <c r="I81" i="2"/>
  <c r="F213" i="2"/>
  <c r="F213" i="9" s="1"/>
  <c r="G213" i="2"/>
  <c r="G213" i="9" s="1"/>
  <c r="F147" i="2"/>
  <c r="F147" i="9" s="1"/>
  <c r="H154" i="2"/>
  <c r="H154" i="9" s="1"/>
  <c r="I154" i="2"/>
  <c r="I154" i="9" s="1"/>
  <c r="I209" i="2"/>
  <c r="I209" i="9" s="1"/>
  <c r="H213" i="2"/>
  <c r="H213" i="9" s="1"/>
  <c r="I118" i="2"/>
  <c r="I118" i="9" s="1"/>
  <c r="E213" i="2"/>
  <c r="E213" i="9" s="1"/>
  <c r="G209" i="2"/>
  <c r="G209" i="9" s="1"/>
  <c r="L82" i="9" l="1"/>
  <c r="K83" i="9"/>
  <c r="J43" i="7"/>
  <c r="M19" i="7"/>
  <c r="J19" i="7"/>
  <c r="L81" i="9"/>
  <c r="M81" i="9"/>
  <c r="C19" i="7"/>
  <c r="Q234" i="11"/>
  <c r="N43" i="7"/>
  <c r="J164" i="9"/>
  <c r="F164" i="9"/>
  <c r="E19" i="7"/>
  <c r="M22" i="7"/>
  <c r="M84" i="9"/>
  <c r="L212" i="2"/>
  <c r="L212" i="9" s="1"/>
  <c r="U176" i="11"/>
  <c r="E214" i="11"/>
  <c r="Q214" i="11" s="1"/>
  <c r="AQ214" i="11" s="1"/>
  <c r="H216" i="11"/>
  <c r="N164" i="2"/>
  <c r="E211" i="11"/>
  <c r="I22" i="7"/>
  <c r="J164" i="2"/>
  <c r="H214" i="11"/>
  <c r="N83" i="9"/>
  <c r="J83" i="9"/>
  <c r="T175" i="11"/>
  <c r="F46" i="7"/>
  <c r="J22" i="7"/>
  <c r="J82" i="9"/>
  <c r="V176" i="11"/>
  <c r="J128" i="9"/>
  <c r="W176" i="11"/>
  <c r="AS175" i="11"/>
  <c r="F22" i="7"/>
  <c r="K81" i="9"/>
  <c r="H164" i="9"/>
  <c r="S175" i="11"/>
  <c r="G83" i="9"/>
  <c r="I19" i="7"/>
  <c r="J128" i="2"/>
  <c r="M97" i="9"/>
  <c r="M107" i="2"/>
  <c r="E241" i="11"/>
  <c r="Q59" i="11"/>
  <c r="E220" i="11"/>
  <c r="Q45" i="11"/>
  <c r="AQ45" i="11" s="1"/>
  <c r="AX184" i="11"/>
  <c r="AU184" i="11"/>
  <c r="AU183" i="11"/>
  <c r="S226" i="11"/>
  <c r="T226" i="11"/>
  <c r="U226" i="11" s="1"/>
  <c r="AT36" i="11"/>
  <c r="V36" i="11"/>
  <c r="U36" i="11"/>
  <c r="W36" i="11"/>
  <c r="T203" i="11"/>
  <c r="AQ176" i="11"/>
  <c r="AQ175" i="11" s="1"/>
  <c r="Q175" i="11"/>
  <c r="AS5" i="11"/>
  <c r="AS163" i="11" s="1"/>
  <c r="S163" i="11"/>
  <c r="AT234" i="11"/>
  <c r="V234" i="11"/>
  <c r="T233" i="11"/>
  <c r="V233" i="11" s="1"/>
  <c r="U234" i="11"/>
  <c r="W234" i="11"/>
  <c r="Q164" i="11"/>
  <c r="E172" i="11"/>
  <c r="Q172" i="11" s="1"/>
  <c r="U171" i="11" s="1"/>
  <c r="AU242" i="11"/>
  <c r="AX242" i="11"/>
  <c r="AU241" i="11"/>
  <c r="AS56" i="11"/>
  <c r="S237" i="11"/>
  <c r="W8" i="11"/>
  <c r="AS8" i="11"/>
  <c r="AS169" i="11" s="1"/>
  <c r="S169" i="11"/>
  <c r="AT122" i="11"/>
  <c r="V121" i="11"/>
  <c r="W122" i="11"/>
  <c r="U122" i="11"/>
  <c r="W121" i="11"/>
  <c r="U121" i="11"/>
  <c r="V122" i="11"/>
  <c r="T158" i="11"/>
  <c r="AT216" i="11"/>
  <c r="W215" i="11"/>
  <c r="W216" i="11"/>
  <c r="V216" i="11"/>
  <c r="V215" i="11"/>
  <c r="AS172" i="11"/>
  <c r="S171" i="11"/>
  <c r="AQ93" i="11"/>
  <c r="Q91" i="11"/>
  <c r="AT57" i="11"/>
  <c r="T239" i="11"/>
  <c r="V57" i="11"/>
  <c r="W57" i="11"/>
  <c r="U57" i="11"/>
  <c r="AT21" i="11"/>
  <c r="V21" i="11"/>
  <c r="U21" i="11"/>
  <c r="W21" i="11"/>
  <c r="AT174" i="11"/>
  <c r="T173" i="11"/>
  <c r="W174" i="11"/>
  <c r="V174" i="11"/>
  <c r="U174" i="11"/>
  <c r="AS224" i="11"/>
  <c r="AS223" i="11" s="1"/>
  <c r="S223" i="11"/>
  <c r="AS212" i="11"/>
  <c r="AS211" i="11" s="1"/>
  <c r="S211" i="11"/>
  <c r="AX100" i="11"/>
  <c r="AU100" i="11"/>
  <c r="AU99" i="11"/>
  <c r="AT90" i="11"/>
  <c r="U90" i="11"/>
  <c r="W90" i="11"/>
  <c r="V90" i="11"/>
  <c r="S229" i="11"/>
  <c r="AS51" i="11"/>
  <c r="AS229" i="11" s="1"/>
  <c r="AT45" i="11"/>
  <c r="V45" i="11"/>
  <c r="W45" i="11"/>
  <c r="AS37" i="11"/>
  <c r="AS205" i="11" s="1"/>
  <c r="S205" i="11"/>
  <c r="AS23" i="11"/>
  <c r="AS189" i="11" s="1"/>
  <c r="S189" i="11"/>
  <c r="W13" i="11"/>
  <c r="AS14" i="11"/>
  <c r="AS177" i="11" s="1"/>
  <c r="S177" i="11"/>
  <c r="S181" i="11"/>
  <c r="AS16" i="11"/>
  <c r="AS181" i="11" s="1"/>
  <c r="AS248" i="11"/>
  <c r="AS247" i="11" s="1"/>
  <c r="S247" i="11"/>
  <c r="AS188" i="11"/>
  <c r="AS187" i="11" s="1"/>
  <c r="S187" i="11"/>
  <c r="S139" i="11"/>
  <c r="AS141" i="11"/>
  <c r="AT65" i="11"/>
  <c r="V65" i="11"/>
  <c r="V64" i="11"/>
  <c r="W64" i="11"/>
  <c r="W65" i="11"/>
  <c r="U64" i="11"/>
  <c r="U65" i="11"/>
  <c r="AS46" i="11"/>
  <c r="AS221" i="11" s="1"/>
  <c r="S221" i="11"/>
  <c r="AT40" i="11"/>
  <c r="W40" i="11"/>
  <c r="V40" i="11"/>
  <c r="U40" i="11"/>
  <c r="AT17" i="11"/>
  <c r="V17" i="11"/>
  <c r="U17" i="11"/>
  <c r="W17" i="11"/>
  <c r="AS10" i="11"/>
  <c r="S31" i="11"/>
  <c r="AS55" i="11"/>
  <c r="S236" i="11"/>
  <c r="T236" i="11"/>
  <c r="AX43" i="11"/>
  <c r="AQ174" i="11"/>
  <c r="AQ173" i="11" s="1"/>
  <c r="Q173" i="11"/>
  <c r="AT98" i="11"/>
  <c r="U98" i="11"/>
  <c r="W98" i="11"/>
  <c r="V98" i="11"/>
  <c r="AT56" i="11"/>
  <c r="T237" i="11"/>
  <c r="V56" i="11"/>
  <c r="W56" i="11"/>
  <c r="U56" i="11"/>
  <c r="AQ226" i="11"/>
  <c r="AQ225" i="11" s="1"/>
  <c r="Q225" i="11"/>
  <c r="AS15" i="11"/>
  <c r="AS179" i="11" s="1"/>
  <c r="S179" i="11"/>
  <c r="AT8" i="11"/>
  <c r="V8" i="11"/>
  <c r="U8" i="11"/>
  <c r="T169" i="11"/>
  <c r="AS122" i="11"/>
  <c r="S158" i="11"/>
  <c r="S159" i="11" s="1"/>
  <c r="AT172" i="11"/>
  <c r="W172" i="11"/>
  <c r="T171" i="11"/>
  <c r="V172" i="11"/>
  <c r="U172" i="11"/>
  <c r="W171" i="11"/>
  <c r="V171" i="11"/>
  <c r="Q19" i="11"/>
  <c r="E183" i="11"/>
  <c r="AS57" i="11"/>
  <c r="AS239" i="11" s="1"/>
  <c r="S239" i="11"/>
  <c r="AT47" i="11"/>
  <c r="V47" i="11"/>
  <c r="W47" i="11"/>
  <c r="AQ218" i="11"/>
  <c r="AQ217" i="11" s="1"/>
  <c r="Q217" i="11"/>
  <c r="AT20" i="11"/>
  <c r="V20" i="11"/>
  <c r="U20" i="11"/>
  <c r="W20" i="11"/>
  <c r="AS174" i="11"/>
  <c r="AS173" i="11" s="1"/>
  <c r="S173" i="11"/>
  <c r="AQ139" i="11"/>
  <c r="AX141" i="11"/>
  <c r="AU141" i="11"/>
  <c r="AU140" i="11"/>
  <c r="AT120" i="11"/>
  <c r="U120" i="11"/>
  <c r="W120" i="11"/>
  <c r="V120" i="11"/>
  <c r="W92" i="11"/>
  <c r="AS93" i="11"/>
  <c r="S91" i="11"/>
  <c r="S110" i="11"/>
  <c r="S111" i="11" s="1"/>
  <c r="Q110" i="11"/>
  <c r="Q111" i="11" s="1"/>
  <c r="Q237" i="11"/>
  <c r="AQ56" i="11"/>
  <c r="AQ237" i="11" s="1"/>
  <c r="AT50" i="11"/>
  <c r="W49" i="11"/>
  <c r="V49" i="11"/>
  <c r="W50" i="11"/>
  <c r="V50" i="11"/>
  <c r="E205" i="11"/>
  <c r="Q206" i="11"/>
  <c r="AT23" i="11"/>
  <c r="V23" i="11"/>
  <c r="V22" i="11"/>
  <c r="U23" i="11"/>
  <c r="U22" i="11"/>
  <c r="W22" i="11"/>
  <c r="W23" i="11"/>
  <c r="T189" i="11"/>
  <c r="T177" i="11"/>
  <c r="AT14" i="11"/>
  <c r="U13" i="11"/>
  <c r="U14" i="11"/>
  <c r="V13" i="11"/>
  <c r="V14" i="11"/>
  <c r="W14" i="11"/>
  <c r="AT248" i="11"/>
  <c r="V248" i="11"/>
  <c r="U248" i="11"/>
  <c r="T247" i="11"/>
  <c r="W248" i="11"/>
  <c r="W247" i="11"/>
  <c r="U247" i="11"/>
  <c r="V247" i="11"/>
  <c r="AQ248" i="11"/>
  <c r="Q247" i="11"/>
  <c r="G198" i="11"/>
  <c r="S196" i="11"/>
  <c r="T196" i="11"/>
  <c r="AQ129" i="11"/>
  <c r="U129" i="11"/>
  <c r="U128" i="11"/>
  <c r="H121" i="9"/>
  <c r="H128" i="9" s="1"/>
  <c r="H84" i="9"/>
  <c r="W140" i="11"/>
  <c r="V141" i="11"/>
  <c r="V140" i="11"/>
  <c r="W141" i="11"/>
  <c r="U141" i="11"/>
  <c r="U140" i="11"/>
  <c r="AT75" i="11"/>
  <c r="U75" i="11"/>
  <c r="V75" i="11"/>
  <c r="W75" i="11"/>
  <c r="AT63" i="11"/>
  <c r="U62" i="11"/>
  <c r="W62" i="11"/>
  <c r="V63" i="11"/>
  <c r="T245" i="11"/>
  <c r="V62" i="11"/>
  <c r="U63" i="11"/>
  <c r="W63" i="11"/>
  <c r="AX61" i="11"/>
  <c r="AU61" i="11"/>
  <c r="AQ243" i="11"/>
  <c r="AU60" i="11"/>
  <c r="AT48" i="11"/>
  <c r="U48" i="11"/>
  <c r="W48" i="11"/>
  <c r="V48" i="11"/>
  <c r="T221" i="11"/>
  <c r="V221" i="11" s="1"/>
  <c r="AT46" i="11"/>
  <c r="W46" i="11"/>
  <c r="U46" i="11"/>
  <c r="V46" i="11"/>
  <c r="AQ194" i="11"/>
  <c r="Q193" i="11"/>
  <c r="AT10" i="11"/>
  <c r="V10" i="11"/>
  <c r="W10" i="11"/>
  <c r="W9" i="11"/>
  <c r="V9" i="11"/>
  <c r="T31" i="11"/>
  <c r="AS218" i="11"/>
  <c r="AS217" i="11" s="1"/>
  <c r="S217" i="11"/>
  <c r="AS59" i="11"/>
  <c r="AS241" i="11" s="1"/>
  <c r="S241" i="11"/>
  <c r="AQ21" i="11"/>
  <c r="AQ187" i="11" s="1"/>
  <c r="Q187" i="11"/>
  <c r="T179" i="11"/>
  <c r="AT15" i="11"/>
  <c r="W15" i="11"/>
  <c r="V15" i="11"/>
  <c r="AT194" i="11"/>
  <c r="V194" i="11"/>
  <c r="U193" i="11"/>
  <c r="W193" i="11"/>
  <c r="W194" i="11"/>
  <c r="U194" i="11"/>
  <c r="T193" i="11"/>
  <c r="V193" i="11"/>
  <c r="AQ158" i="11"/>
  <c r="AQ159" i="11" s="1"/>
  <c r="AX122" i="11"/>
  <c r="AV176" i="11"/>
  <c r="AT146" i="11"/>
  <c r="V146" i="11"/>
  <c r="W146" i="11"/>
  <c r="U146" i="11"/>
  <c r="AQ51" i="11"/>
  <c r="AQ229" i="11" s="1"/>
  <c r="Q229" i="11"/>
  <c r="AT27" i="11"/>
  <c r="V26" i="11"/>
  <c r="V27" i="11"/>
  <c r="W26" i="11"/>
  <c r="U27" i="11"/>
  <c r="W27" i="11"/>
  <c r="U26" i="11"/>
  <c r="AX25" i="11"/>
  <c r="AQ191" i="11"/>
  <c r="AU25" i="11"/>
  <c r="AU24" i="11"/>
  <c r="AT182" i="11"/>
  <c r="U182" i="11"/>
  <c r="V182" i="11"/>
  <c r="W182" i="11"/>
  <c r="T181" i="11"/>
  <c r="AQ126" i="11"/>
  <c r="AU126" i="11" s="1"/>
  <c r="U126" i="11"/>
  <c r="AT93" i="11"/>
  <c r="U93" i="11"/>
  <c r="T91" i="11"/>
  <c r="U92" i="11"/>
  <c r="V92" i="11"/>
  <c r="T110" i="11"/>
  <c r="V93" i="11"/>
  <c r="W93" i="11"/>
  <c r="AT29" i="11"/>
  <c r="U29" i="11"/>
  <c r="V29" i="11"/>
  <c r="U28" i="11"/>
  <c r="V28" i="11"/>
  <c r="W29" i="11"/>
  <c r="W28" i="11"/>
  <c r="AT12" i="11"/>
  <c r="AT175" i="11" s="1"/>
  <c r="W12" i="11"/>
  <c r="V12" i="11"/>
  <c r="U12" i="11"/>
  <c r="AQ169" i="11"/>
  <c r="AU170" i="11"/>
  <c r="G228" i="11"/>
  <c r="G250" i="11" s="1"/>
  <c r="S220" i="11"/>
  <c r="T220" i="11"/>
  <c r="U214" i="11"/>
  <c r="S43" i="11"/>
  <c r="AS43" i="11" s="1"/>
  <c r="T43" i="11"/>
  <c r="E171" i="11"/>
  <c r="Q10" i="11"/>
  <c r="U10" i="11" s="1"/>
  <c r="H128" i="2"/>
  <c r="E203" i="11"/>
  <c r="Q204" i="11"/>
  <c r="T139" i="11"/>
  <c r="U139" i="11" s="1"/>
  <c r="AT138" i="11"/>
  <c r="W138" i="11"/>
  <c r="V138" i="11"/>
  <c r="U138" i="11"/>
  <c r="AS63" i="11"/>
  <c r="AS245" i="11" s="1"/>
  <c r="S245" i="11"/>
  <c r="AT44" i="11"/>
  <c r="W44" i="11"/>
  <c r="V44" i="11"/>
  <c r="U44" i="11"/>
  <c r="AS36" i="11"/>
  <c r="AS203" i="11" s="1"/>
  <c r="S203" i="11"/>
  <c r="AT5" i="11"/>
  <c r="W5" i="11"/>
  <c r="V5" i="11"/>
  <c r="T163" i="11"/>
  <c r="U5" i="11"/>
  <c r="AS234" i="11"/>
  <c r="AS233" i="11" s="1"/>
  <c r="S233" i="11"/>
  <c r="AT218" i="11"/>
  <c r="V218" i="11"/>
  <c r="U218" i="11"/>
  <c r="T217" i="11"/>
  <c r="W218" i="11"/>
  <c r="AT59" i="11"/>
  <c r="W59" i="11"/>
  <c r="W58" i="11"/>
  <c r="V59" i="11"/>
  <c r="V58" i="11"/>
  <c r="T241" i="11"/>
  <c r="U59" i="11"/>
  <c r="U58" i="11"/>
  <c r="AT53" i="11"/>
  <c r="V53" i="11"/>
  <c r="W53" i="11"/>
  <c r="U53" i="11"/>
  <c r="AQ55" i="11"/>
  <c r="AX55" i="11" s="1"/>
  <c r="AQ231" i="11"/>
  <c r="AU52" i="11"/>
  <c r="AQ196" i="11"/>
  <c r="Q195" i="11"/>
  <c r="AT11" i="11"/>
  <c r="V11" i="11"/>
  <c r="U11" i="11"/>
  <c r="W11" i="11"/>
  <c r="AS194" i="11"/>
  <c r="AS193" i="11" s="1"/>
  <c r="S193" i="11"/>
  <c r="AS216" i="11"/>
  <c r="AX63" i="11"/>
  <c r="AQ245" i="11"/>
  <c r="AQ212" i="11"/>
  <c r="AQ211" i="11" s="1"/>
  <c r="Q211" i="11"/>
  <c r="T186" i="11"/>
  <c r="S186" i="11"/>
  <c r="AT224" i="11"/>
  <c r="T223" i="11"/>
  <c r="V223" i="11" s="1"/>
  <c r="W224" i="11"/>
  <c r="V224" i="11"/>
  <c r="AT212" i="11"/>
  <c r="V212" i="11"/>
  <c r="T211" i="11"/>
  <c r="U212" i="11"/>
  <c r="W212" i="11"/>
  <c r="Q47" i="11"/>
  <c r="AQ47" i="11" s="1"/>
  <c r="E224" i="11"/>
  <c r="Q224" i="11" s="1"/>
  <c r="U224" i="11" s="1"/>
  <c r="AQ110" i="11"/>
  <c r="AQ111" i="11" s="1"/>
  <c r="AX77" i="11"/>
  <c r="AU76" i="11"/>
  <c r="AU77" i="11"/>
  <c r="AT51" i="11"/>
  <c r="W51" i="11"/>
  <c r="T55" i="11"/>
  <c r="V51" i="11"/>
  <c r="T229" i="11"/>
  <c r="U51" i="11"/>
  <c r="AT37" i="11"/>
  <c r="W37" i="11"/>
  <c r="V37" i="11"/>
  <c r="U37" i="11"/>
  <c r="T205" i="11"/>
  <c r="T41" i="11"/>
  <c r="AT16" i="11"/>
  <c r="U16" i="11"/>
  <c r="W16" i="11"/>
  <c r="V16" i="11"/>
  <c r="AT188" i="11"/>
  <c r="T187" i="11"/>
  <c r="U188" i="11"/>
  <c r="W188" i="11"/>
  <c r="V188" i="11"/>
  <c r="G82" i="9"/>
  <c r="G84" i="9" s="1"/>
  <c r="I84" i="9"/>
  <c r="G44" i="7"/>
  <c r="G46" i="7" s="1"/>
  <c r="H164" i="2"/>
  <c r="G22" i="7"/>
  <c r="O164" i="2"/>
  <c r="O148" i="9"/>
  <c r="O164" i="9" s="1"/>
  <c r="N154" i="9"/>
  <c r="L82" i="2"/>
  <c r="K212" i="2"/>
  <c r="K212" i="9" s="1"/>
  <c r="L210" i="2"/>
  <c r="L210" i="9" s="1"/>
  <c r="L100" i="2"/>
  <c r="J101" i="2"/>
  <c r="J101" i="9" s="1"/>
  <c r="M209" i="9"/>
  <c r="M219" i="9" s="1"/>
  <c r="M219" i="2"/>
  <c r="O212" i="9"/>
  <c r="N82" i="9"/>
  <c r="N84" i="9" s="1"/>
  <c r="L84" i="9"/>
  <c r="O99" i="9"/>
  <c r="N19" i="7"/>
  <c r="M148" i="9"/>
  <c r="M164" i="9" s="1"/>
  <c r="M164" i="2"/>
  <c r="K164" i="2"/>
  <c r="K155" i="9"/>
  <c r="K164" i="9" s="1"/>
  <c r="O13" i="2"/>
  <c r="O13" i="9" s="1"/>
  <c r="N97" i="9"/>
  <c r="O97" i="9"/>
  <c r="D84" i="9"/>
  <c r="O84" i="9"/>
  <c r="J84" i="9"/>
  <c r="E84" i="9"/>
  <c r="H19" i="7"/>
  <c r="H100" i="2"/>
  <c r="L13" i="2"/>
  <c r="L13" i="9" s="1"/>
  <c r="K13" i="2"/>
  <c r="K13" i="9" s="1"/>
  <c r="I23" i="7"/>
  <c r="I47" i="7" s="1"/>
  <c r="J158" i="9"/>
  <c r="K209" i="2"/>
  <c r="F215" i="11"/>
  <c r="D97" i="2" s="1"/>
  <c r="D97" i="9" s="1"/>
  <c r="F265" i="11"/>
  <c r="J154" i="2"/>
  <c r="J154" i="9" s="1"/>
  <c r="L208" i="2"/>
  <c r="L208" i="9" s="1"/>
  <c r="L97" i="2"/>
  <c r="L97" i="9" s="1"/>
  <c r="O107" i="2"/>
  <c r="O100" i="9"/>
  <c r="O107" i="9" s="1"/>
  <c r="K97" i="2"/>
  <c r="K97" i="9" s="1"/>
  <c r="L164" i="2"/>
  <c r="L164" i="9"/>
  <c r="K119" i="9"/>
  <c r="K128" i="9" s="1"/>
  <c r="K128" i="2"/>
  <c r="J118" i="2"/>
  <c r="J118" i="9" s="1"/>
  <c r="I147" i="2"/>
  <c r="I147" i="9" s="1"/>
  <c r="J100" i="2"/>
  <c r="M15" i="2"/>
  <c r="M15" i="9" s="1"/>
  <c r="K22" i="7"/>
  <c r="J13" i="2"/>
  <c r="J13" i="9" s="1"/>
  <c r="O170" i="9"/>
  <c r="O178" i="9" s="1"/>
  <c r="L120" i="2"/>
  <c r="L120" i="9" s="1"/>
  <c r="L147" i="2"/>
  <c r="L147" i="9" s="1"/>
  <c r="H41" i="11"/>
  <c r="F213" i="11"/>
  <c r="N212" i="9"/>
  <c r="K170" i="9"/>
  <c r="K178" i="9" s="1"/>
  <c r="G211" i="2"/>
  <c r="G100" i="2"/>
  <c r="J97" i="2"/>
  <c r="J97" i="9" s="1"/>
  <c r="I100" i="2"/>
  <c r="K107" i="2"/>
  <c r="K98" i="9"/>
  <c r="K107" i="9" s="1"/>
  <c r="O15" i="2"/>
  <c r="O15" i="9" s="1"/>
  <c r="O208" i="9"/>
  <c r="K147" i="2"/>
  <c r="K147" i="9" s="1"/>
  <c r="O210" i="9"/>
  <c r="K41" i="7"/>
  <c r="K43" i="7" s="1"/>
  <c r="K19" i="7"/>
  <c r="H195" i="11"/>
  <c r="H196" i="11"/>
  <c r="D122" i="2"/>
  <c r="D122" i="9" s="1"/>
  <c r="E158" i="11"/>
  <c r="D213" i="2" s="1"/>
  <c r="D213" i="9" s="1"/>
  <c r="E50" i="11"/>
  <c r="Q50" i="11" s="1"/>
  <c r="U50" i="11" s="1"/>
  <c r="H10" i="11"/>
  <c r="F31" i="11"/>
  <c r="H31" i="11" s="1"/>
  <c r="H9" i="11"/>
  <c r="G215" i="11"/>
  <c r="D99" i="2" s="1"/>
  <c r="D99" i="9" s="1"/>
  <c r="G67" i="11"/>
  <c r="H42" i="11"/>
  <c r="G265" i="11"/>
  <c r="H43" i="11"/>
  <c r="F220" i="11"/>
  <c r="F228" i="11" s="1"/>
  <c r="H45" i="11"/>
  <c r="H220" i="11" s="1"/>
  <c r="C22" i="7"/>
  <c r="C46" i="7"/>
  <c r="F224" i="11"/>
  <c r="H47" i="11"/>
  <c r="H224" i="11" s="1"/>
  <c r="E216" i="11"/>
  <c r="Q216" i="11" s="1"/>
  <c r="U215" i="11" s="1"/>
  <c r="D81" i="9"/>
  <c r="D100" i="9"/>
  <c r="D107" i="9" s="1"/>
  <c r="D107" i="2"/>
  <c r="H110" i="11"/>
  <c r="D81" i="2"/>
  <c r="H109" i="11"/>
  <c r="F50" i="11"/>
  <c r="H128" i="11"/>
  <c r="F158" i="11"/>
  <c r="D209" i="2" s="1"/>
  <c r="D209" i="9" s="1"/>
  <c r="H129" i="11"/>
  <c r="D119" i="2"/>
  <c r="G266" i="11"/>
  <c r="G227" i="11"/>
  <c r="D120" i="2" s="1"/>
  <c r="D120" i="9" s="1"/>
  <c r="H11" i="11"/>
  <c r="F174" i="11"/>
  <c r="H174" i="11" s="1"/>
  <c r="G197" i="11"/>
  <c r="D211" i="2"/>
  <c r="F171" i="11"/>
  <c r="D13" i="2" s="1"/>
  <c r="D13" i="9" s="1"/>
  <c r="H171" i="11"/>
  <c r="H172" i="11"/>
  <c r="D155" i="9"/>
  <c r="D164" i="9" s="1"/>
  <c r="D164" i="2"/>
  <c r="F220" i="9"/>
  <c r="F100" i="2"/>
  <c r="F154" i="2"/>
  <c r="F154" i="9" s="1"/>
  <c r="E82" i="2"/>
  <c r="E155" i="9"/>
  <c r="E164" i="9" s="1"/>
  <c r="E164" i="2"/>
  <c r="F97" i="2"/>
  <c r="F97" i="9" s="1"/>
  <c r="E15" i="2"/>
  <c r="E15" i="9" s="1"/>
  <c r="G154" i="2"/>
  <c r="G154" i="9" s="1"/>
  <c r="I82" i="2"/>
  <c r="F15" i="2"/>
  <c r="F15" i="9" s="1"/>
  <c r="E211" i="2"/>
  <c r="E211" i="9" s="1"/>
  <c r="F13" i="2"/>
  <c r="F13" i="9" s="1"/>
  <c r="I164" i="2"/>
  <c r="I164" i="9"/>
  <c r="I211" i="2"/>
  <c r="I211" i="9" s="1"/>
  <c r="F120" i="2"/>
  <c r="F120" i="9" s="1"/>
  <c r="D41" i="7"/>
  <c r="D43" i="7" s="1"/>
  <c r="D19" i="7"/>
  <c r="E147" i="2"/>
  <c r="E147" i="9" s="1"/>
  <c r="E120" i="2"/>
  <c r="E120" i="9" s="1"/>
  <c r="G164" i="9"/>
  <c r="G164" i="2"/>
  <c r="F164" i="2"/>
  <c r="G118" i="2"/>
  <c r="G118" i="9" s="1"/>
  <c r="H122" i="2"/>
  <c r="H122" i="9" s="1"/>
  <c r="H46" i="7"/>
  <c r="H22" i="7"/>
  <c r="Q236" i="11" l="1"/>
  <c r="Q235" i="11" s="1"/>
  <c r="AQ234" i="11"/>
  <c r="Q233" i="11"/>
  <c r="H227" i="11"/>
  <c r="Q213" i="11"/>
  <c r="E213" i="11"/>
  <c r="M208" i="9"/>
  <c r="K120" i="2"/>
  <c r="K120" i="9" s="1"/>
  <c r="H157" i="11"/>
  <c r="AU176" i="11"/>
  <c r="AS158" i="11"/>
  <c r="AS159" i="11" s="1"/>
  <c r="U45" i="11"/>
  <c r="S215" i="11"/>
  <c r="AS31" i="11"/>
  <c r="AT187" i="11"/>
  <c r="AU188" i="11"/>
  <c r="AV188" i="11"/>
  <c r="AW188" i="11"/>
  <c r="AW16" i="11"/>
  <c r="AU16" i="11"/>
  <c r="AV16" i="11"/>
  <c r="AU51" i="11"/>
  <c r="AW51" i="11"/>
  <c r="AV51" i="11"/>
  <c r="AT229" i="11"/>
  <c r="AT55" i="11"/>
  <c r="AW224" i="11"/>
  <c r="AT223" i="11"/>
  <c r="AV224" i="11"/>
  <c r="AU53" i="11"/>
  <c r="AV53" i="11"/>
  <c r="AW53" i="11"/>
  <c r="AT241" i="11"/>
  <c r="AZ59" i="11"/>
  <c r="AW58" i="11"/>
  <c r="AW59" i="11"/>
  <c r="BD59" i="11" s="1"/>
  <c r="AV58" i="11"/>
  <c r="AV59" i="11"/>
  <c r="AQ204" i="11"/>
  <c r="Q203" i="11"/>
  <c r="U204" i="11"/>
  <c r="S228" i="11"/>
  <c r="T228" i="11"/>
  <c r="U91" i="11"/>
  <c r="V91" i="11"/>
  <c r="AU27" i="11"/>
  <c r="AU26" i="11"/>
  <c r="AW26" i="11"/>
  <c r="AZ27" i="11"/>
  <c r="AV27" i="11"/>
  <c r="AW27" i="11"/>
  <c r="BD27" i="11" s="1"/>
  <c r="AV26" i="11"/>
  <c r="V31" i="11"/>
  <c r="V30" i="11"/>
  <c r="W31" i="11"/>
  <c r="AV48" i="11"/>
  <c r="AU48" i="11"/>
  <c r="AW48" i="11"/>
  <c r="BA61" i="11"/>
  <c r="BB61" i="11"/>
  <c r="AZ63" i="11"/>
  <c r="AV62" i="11"/>
  <c r="AV63" i="11"/>
  <c r="AU63" i="11"/>
  <c r="AU62" i="11"/>
  <c r="AW62" i="11"/>
  <c r="AW63" i="11"/>
  <c r="BD63" i="11" s="1"/>
  <c r="AT245" i="11"/>
  <c r="AW75" i="11"/>
  <c r="AU75" i="11"/>
  <c r="AV75" i="11"/>
  <c r="AS196" i="11"/>
  <c r="AS195" i="11" s="1"/>
  <c r="S195" i="11"/>
  <c r="AU23" i="11"/>
  <c r="AV22" i="11"/>
  <c r="AW22" i="11"/>
  <c r="AZ23" i="11"/>
  <c r="AW23" i="11"/>
  <c r="BD23" i="11" s="1"/>
  <c r="AV23" i="11"/>
  <c r="AU22" i="11"/>
  <c r="AT189" i="11"/>
  <c r="U49" i="11"/>
  <c r="AU120" i="11"/>
  <c r="AW120" i="11"/>
  <c r="AV120" i="11"/>
  <c r="AU47" i="11"/>
  <c r="AV47" i="11"/>
  <c r="AW47" i="11"/>
  <c r="AQ19" i="11"/>
  <c r="U19" i="11"/>
  <c r="U18" i="11"/>
  <c r="Q183" i="11"/>
  <c r="U236" i="11"/>
  <c r="V235" i="11"/>
  <c r="W235" i="11"/>
  <c r="W236" i="11"/>
  <c r="V236" i="11"/>
  <c r="T235" i="11"/>
  <c r="U235" i="11"/>
  <c r="W30" i="11"/>
  <c r="BB100" i="11"/>
  <c r="BA100" i="11"/>
  <c r="AW172" i="11"/>
  <c r="AS171" i="11"/>
  <c r="AS198" i="11"/>
  <c r="BA242" i="11"/>
  <c r="BB242" i="11"/>
  <c r="AQ164" i="11"/>
  <c r="Q163" i="11"/>
  <c r="U164" i="11"/>
  <c r="AU36" i="11"/>
  <c r="AV36" i="11"/>
  <c r="AW36" i="11"/>
  <c r="AT203" i="11"/>
  <c r="AQ59" i="11"/>
  <c r="AU58" i="11" s="1"/>
  <c r="Q241" i="11"/>
  <c r="G211" i="9"/>
  <c r="G219" i="9" s="1"/>
  <c r="AT41" i="11"/>
  <c r="U41" i="11"/>
  <c r="V41" i="11"/>
  <c r="T213" i="11"/>
  <c r="W41" i="11"/>
  <c r="AQ224" i="11"/>
  <c r="AQ223" i="11" s="1"/>
  <c r="Q223" i="11"/>
  <c r="AS186" i="11"/>
  <c r="AS185" i="11" s="1"/>
  <c r="S185" i="11"/>
  <c r="AS215" i="11"/>
  <c r="AX196" i="11"/>
  <c r="AQ195" i="11"/>
  <c r="AU5" i="11"/>
  <c r="AW5" i="11"/>
  <c r="AV5" i="11"/>
  <c r="AT163" i="11"/>
  <c r="AU138" i="11"/>
  <c r="AW138" i="11"/>
  <c r="AV138" i="11"/>
  <c r="AT139" i="11"/>
  <c r="AT43" i="11"/>
  <c r="AT215" i="11" s="1"/>
  <c r="V42" i="11"/>
  <c r="W42" i="11"/>
  <c r="U43" i="11"/>
  <c r="T67" i="11"/>
  <c r="U42" i="11"/>
  <c r="V43" i="11"/>
  <c r="W43" i="11"/>
  <c r="AQ213" i="11"/>
  <c r="AU214" i="11"/>
  <c r="W109" i="11"/>
  <c r="U110" i="11"/>
  <c r="U111" i="11" s="1"/>
  <c r="V109" i="11"/>
  <c r="T111" i="11"/>
  <c r="U109" i="11"/>
  <c r="W110" i="11"/>
  <c r="W111" i="11" s="1"/>
  <c r="V110" i="11"/>
  <c r="AW182" i="11"/>
  <c r="AV182" i="11"/>
  <c r="AU182" i="11"/>
  <c r="AT181" i="11"/>
  <c r="BA25" i="11"/>
  <c r="BB25" i="11"/>
  <c r="AV9" i="11"/>
  <c r="AZ10" i="11"/>
  <c r="AV10" i="11"/>
  <c r="AT31" i="11"/>
  <c r="AW10" i="11"/>
  <c r="BD10" i="11" s="1"/>
  <c r="AW9" i="11"/>
  <c r="AQ206" i="11"/>
  <c r="Q205" i="11"/>
  <c r="U206" i="11"/>
  <c r="AV49" i="11"/>
  <c r="AV50" i="11"/>
  <c r="AW50" i="11"/>
  <c r="BD50" i="11" s="1"/>
  <c r="AZ50" i="11"/>
  <c r="AW49" i="11"/>
  <c r="AV172" i="11"/>
  <c r="AV171" i="11"/>
  <c r="AT171" i="11"/>
  <c r="AW171" i="11"/>
  <c r="AZ172" i="11"/>
  <c r="AV56" i="11"/>
  <c r="AU56" i="11"/>
  <c r="AT237" i="11"/>
  <c r="AV98" i="11"/>
  <c r="AW98" i="11"/>
  <c r="AU98" i="11"/>
  <c r="AS236" i="11"/>
  <c r="AS235" i="11" s="1"/>
  <c r="S235" i="11"/>
  <c r="AW17" i="11"/>
  <c r="AU17" i="11"/>
  <c r="AV17" i="11"/>
  <c r="AU40" i="11"/>
  <c r="AV40" i="11"/>
  <c r="AW40" i="11"/>
  <c r="AW90" i="11"/>
  <c r="AU90" i="11"/>
  <c r="AV90" i="11"/>
  <c r="AX93" i="11"/>
  <c r="AQ91" i="11"/>
  <c r="AZ216" i="11"/>
  <c r="AV215" i="11"/>
  <c r="AV216" i="11"/>
  <c r="AW215" i="11"/>
  <c r="AW216" i="11"/>
  <c r="AV121" i="11"/>
  <c r="AT158" i="11"/>
  <c r="AU122" i="11"/>
  <c r="AW121" i="11"/>
  <c r="AZ122" i="11"/>
  <c r="AW122" i="11"/>
  <c r="AV122" i="11"/>
  <c r="AU121" i="11"/>
  <c r="AT226" i="11"/>
  <c r="W226" i="11"/>
  <c r="V226" i="11"/>
  <c r="T225" i="11"/>
  <c r="V225" i="11" s="1"/>
  <c r="BB184" i="11"/>
  <c r="BA184" i="11"/>
  <c r="H158" i="11"/>
  <c r="H228" i="11"/>
  <c r="H178" i="11" s="1"/>
  <c r="AQ216" i="11"/>
  <c r="Q215" i="11"/>
  <c r="AQ50" i="11"/>
  <c r="Q67" i="11"/>
  <c r="AW37" i="11"/>
  <c r="AV37" i="11"/>
  <c r="AT205" i="11"/>
  <c r="AU37" i="11"/>
  <c r="W55" i="11"/>
  <c r="V54" i="11"/>
  <c r="W54" i="11"/>
  <c r="U55" i="11"/>
  <c r="V55" i="11"/>
  <c r="U54" i="11"/>
  <c r="AT186" i="11"/>
  <c r="V186" i="11"/>
  <c r="T185" i="11"/>
  <c r="U186" i="11"/>
  <c r="W186" i="11"/>
  <c r="AU218" i="11"/>
  <c r="AT217" i="11"/>
  <c r="AV218" i="11"/>
  <c r="AW218" i="11"/>
  <c r="W139" i="11"/>
  <c r="V139" i="11"/>
  <c r="AS67" i="11"/>
  <c r="AS68" i="11" s="1"/>
  <c r="AT220" i="11"/>
  <c r="W220" i="11"/>
  <c r="V220" i="11"/>
  <c r="T219" i="11"/>
  <c r="AV28" i="11"/>
  <c r="AU29" i="11"/>
  <c r="AU28" i="11"/>
  <c r="AZ29" i="11"/>
  <c r="AV29" i="11"/>
  <c r="AW29" i="11"/>
  <c r="BD29" i="11" s="1"/>
  <c r="AW28" i="11"/>
  <c r="AZ93" i="11"/>
  <c r="AU92" i="11"/>
  <c r="AV93" i="11"/>
  <c r="AW93" i="11"/>
  <c r="AU93" i="11"/>
  <c r="AU110" i="11" s="1"/>
  <c r="AT91" i="11"/>
  <c r="AW92" i="11"/>
  <c r="AV92" i="11"/>
  <c r="AT110" i="11"/>
  <c r="AW146" i="11"/>
  <c r="AV146" i="11"/>
  <c r="AU146" i="11"/>
  <c r="AU15" i="11"/>
  <c r="AV15" i="11"/>
  <c r="AW15" i="11"/>
  <c r="AT179" i="11"/>
  <c r="AX129" i="11"/>
  <c r="AX158" i="11" s="1"/>
  <c r="AU128" i="11"/>
  <c r="AU129" i="11"/>
  <c r="W91" i="11"/>
  <c r="AW20" i="11"/>
  <c r="AV20" i="11"/>
  <c r="AU20" i="11"/>
  <c r="AW64" i="11"/>
  <c r="AW65" i="11"/>
  <c r="BD65" i="11" s="1"/>
  <c r="AV65" i="11"/>
  <c r="AV64" i="11"/>
  <c r="AU64" i="11"/>
  <c r="AU65" i="11"/>
  <c r="AZ65" i="11"/>
  <c r="AW174" i="11"/>
  <c r="AV174" i="11"/>
  <c r="AU174" i="11"/>
  <c r="AT173" i="11"/>
  <c r="AU21" i="11"/>
  <c r="AV21" i="11"/>
  <c r="AW21" i="11"/>
  <c r="T215" i="11"/>
  <c r="W157" i="11"/>
  <c r="V158" i="11"/>
  <c r="T159" i="11"/>
  <c r="V157" i="11"/>
  <c r="U157" i="11"/>
  <c r="U158" i="11"/>
  <c r="U159" i="11" s="1"/>
  <c r="AW56" i="11"/>
  <c r="AS237" i="11"/>
  <c r="AS226" i="11"/>
  <c r="AS225" i="11" s="1"/>
  <c r="S225" i="11"/>
  <c r="AX110" i="11"/>
  <c r="BA77" i="11"/>
  <c r="BB77" i="11"/>
  <c r="AT211" i="11"/>
  <c r="AV212" i="11"/>
  <c r="AU212" i="11"/>
  <c r="AW212" i="11"/>
  <c r="AW11" i="11"/>
  <c r="AV11" i="11"/>
  <c r="AU11" i="11"/>
  <c r="AU44" i="11"/>
  <c r="AW44" i="11"/>
  <c r="AV44" i="11"/>
  <c r="AQ10" i="11"/>
  <c r="Q31" i="11"/>
  <c r="U31" i="11" s="1"/>
  <c r="AS220" i="11"/>
  <c r="AS219" i="11" s="1"/>
  <c r="S219" i="11"/>
  <c r="AU12" i="11"/>
  <c r="AZ12" i="11"/>
  <c r="AV12" i="11"/>
  <c r="AW12" i="11"/>
  <c r="AT193" i="11"/>
  <c r="AW193" i="11"/>
  <c r="AU193" i="11"/>
  <c r="AU194" i="11"/>
  <c r="AV193" i="11"/>
  <c r="AZ194" i="11"/>
  <c r="AW194" i="11"/>
  <c r="BD194" i="11" s="1"/>
  <c r="AV194" i="11"/>
  <c r="U9" i="11"/>
  <c r="AQ193" i="11"/>
  <c r="AX194" i="11"/>
  <c r="AV46" i="11"/>
  <c r="AW46" i="11"/>
  <c r="AU46" i="11"/>
  <c r="AT221" i="11"/>
  <c r="AV221" i="11" s="1"/>
  <c r="AT196" i="11"/>
  <c r="W196" i="11"/>
  <c r="W198" i="11" s="1"/>
  <c r="U196" i="11"/>
  <c r="U195" i="11"/>
  <c r="W195" i="11"/>
  <c r="V196" i="11"/>
  <c r="V195" i="11"/>
  <c r="T195" i="11"/>
  <c r="AQ247" i="11"/>
  <c r="AX248" i="11"/>
  <c r="AW248" i="11"/>
  <c r="BD248" i="11" s="1"/>
  <c r="AW247" i="11"/>
  <c r="AT247" i="11"/>
  <c r="AV247" i="11"/>
  <c r="AZ248" i="11"/>
  <c r="AU248" i="11"/>
  <c r="AV248" i="11"/>
  <c r="AU247" i="11"/>
  <c r="AU14" i="11"/>
  <c r="AW13" i="11"/>
  <c r="AV13" i="11"/>
  <c r="AZ14" i="11"/>
  <c r="AW14" i="11"/>
  <c r="BD14" i="11" s="1"/>
  <c r="AU13" i="11"/>
  <c r="AV14" i="11"/>
  <c r="AT177" i="11"/>
  <c r="AS91" i="11"/>
  <c r="AS110" i="11"/>
  <c r="AS111" i="11" s="1"/>
  <c r="BA141" i="11"/>
  <c r="BB141" i="11"/>
  <c r="U47" i="11"/>
  <c r="T198" i="11"/>
  <c r="AV8" i="11"/>
  <c r="AW8" i="11"/>
  <c r="AU8" i="11"/>
  <c r="AT169" i="11"/>
  <c r="S67" i="11"/>
  <c r="AS139" i="11"/>
  <c r="AW141" i="11"/>
  <c r="BD141" i="11" s="1"/>
  <c r="AW140" i="11"/>
  <c r="AW45" i="11"/>
  <c r="AU45" i="11"/>
  <c r="AV45" i="11"/>
  <c r="AV57" i="11"/>
  <c r="AW57" i="11"/>
  <c r="AU57" i="11"/>
  <c r="AT239" i="11"/>
  <c r="S198" i="11"/>
  <c r="S197" i="11" s="1"/>
  <c r="U216" i="11"/>
  <c r="W158" i="11"/>
  <c r="W159" i="11" s="1"/>
  <c r="AQ172" i="11"/>
  <c r="AU172" i="11" s="1"/>
  <c r="Q171" i="11"/>
  <c r="AT236" i="11"/>
  <c r="AU234" i="11"/>
  <c r="AW234" i="11"/>
  <c r="AU233" i="11"/>
  <c r="AV234" i="11"/>
  <c r="AT233" i="11"/>
  <c r="AV233" i="11" s="1"/>
  <c r="E228" i="11"/>
  <c r="Q220" i="11"/>
  <c r="L100" i="9"/>
  <c r="L107" i="9" s="1"/>
  <c r="L107" i="2"/>
  <c r="L211" i="2"/>
  <c r="L211" i="9" s="1"/>
  <c r="N99" i="9"/>
  <c r="N100" i="9"/>
  <c r="N107" i="9" s="1"/>
  <c r="N107" i="2"/>
  <c r="K210" i="2"/>
  <c r="K210" i="9" s="1"/>
  <c r="L99" i="2"/>
  <c r="L99" i="9" s="1"/>
  <c r="M120" i="9"/>
  <c r="N13" i="2"/>
  <c r="N13" i="9" s="1"/>
  <c r="J208" i="2"/>
  <c r="J208" i="9" s="1"/>
  <c r="M13" i="2"/>
  <c r="M13" i="9" s="1"/>
  <c r="H211" i="2"/>
  <c r="H211" i="9" s="1"/>
  <c r="H30" i="11"/>
  <c r="J147" i="2"/>
  <c r="J147" i="9" s="1"/>
  <c r="J211" i="2"/>
  <c r="J100" i="9"/>
  <c r="J107" i="9" s="1"/>
  <c r="J107" i="2"/>
  <c r="K208" i="2"/>
  <c r="K208" i="9" s="1"/>
  <c r="H100" i="9"/>
  <c r="H107" i="9" s="1"/>
  <c r="H107" i="2"/>
  <c r="N147" i="9"/>
  <c r="N208" i="9"/>
  <c r="I100" i="9"/>
  <c r="I107" i="9" s="1"/>
  <c r="I107" i="2"/>
  <c r="G100" i="9"/>
  <c r="G107" i="9" s="1"/>
  <c r="G107" i="2"/>
  <c r="M154" i="9"/>
  <c r="N15" i="2"/>
  <c r="N15" i="9" s="1"/>
  <c r="M212" i="9"/>
  <c r="N120" i="9"/>
  <c r="K209" i="9"/>
  <c r="K219" i="9" s="1"/>
  <c r="K219" i="2"/>
  <c r="G219" i="2"/>
  <c r="F208" i="2"/>
  <c r="F208" i="9" s="1"/>
  <c r="J99" i="2"/>
  <c r="J99" i="9" s="1"/>
  <c r="O209" i="9"/>
  <c r="O219" i="9" s="1"/>
  <c r="O219" i="2"/>
  <c r="J212" i="2"/>
  <c r="J212" i="9" s="1"/>
  <c r="E67" i="11"/>
  <c r="D128" i="2"/>
  <c r="D119" i="9"/>
  <c r="D128" i="9" s="1"/>
  <c r="H50" i="11"/>
  <c r="F266" i="11"/>
  <c r="H49" i="11"/>
  <c r="F67" i="11"/>
  <c r="H66" i="11" s="1"/>
  <c r="G249" i="11"/>
  <c r="D210" i="2" s="1"/>
  <c r="D210" i="9" s="1"/>
  <c r="E250" i="11"/>
  <c r="E249" i="11" s="1"/>
  <c r="D212" i="2" s="1"/>
  <c r="D212" i="9" s="1"/>
  <c r="E215" i="11"/>
  <c r="D211" i="9"/>
  <c r="D219" i="9" s="1"/>
  <c r="D219" i="2"/>
  <c r="E227" i="11"/>
  <c r="F178" i="11"/>
  <c r="F227" i="11"/>
  <c r="D118" i="2" s="1"/>
  <c r="D118" i="9" s="1"/>
  <c r="F250" i="11"/>
  <c r="H250" i="11" s="1"/>
  <c r="I15" i="2"/>
  <c r="I15" i="9" s="1"/>
  <c r="E13" i="2"/>
  <c r="E13" i="9" s="1"/>
  <c r="E154" i="2"/>
  <c r="E154" i="9" s="1"/>
  <c r="I208" i="2"/>
  <c r="I208" i="9" s="1"/>
  <c r="I97" i="2"/>
  <c r="I97" i="9" s="1"/>
  <c r="F212" i="2"/>
  <c r="F212" i="9" s="1"/>
  <c r="F99" i="2"/>
  <c r="F99" i="9" s="1"/>
  <c r="I212" i="2"/>
  <c r="I212" i="9" s="1"/>
  <c r="G212" i="2"/>
  <c r="G212" i="9" s="1"/>
  <c r="G147" i="2"/>
  <c r="G147" i="9" s="1"/>
  <c r="E219" i="2"/>
  <c r="E219" i="9"/>
  <c r="H15" i="2"/>
  <c r="H15" i="9" s="1"/>
  <c r="E99" i="2"/>
  <c r="E99" i="9" s="1"/>
  <c r="I120" i="2"/>
  <c r="I120" i="9" s="1"/>
  <c r="G120" i="2"/>
  <c r="G120" i="9" s="1"/>
  <c r="H208" i="2"/>
  <c r="H208" i="9" s="1"/>
  <c r="H97" i="2"/>
  <c r="H97" i="9" s="1"/>
  <c r="E118" i="2"/>
  <c r="E118" i="9" s="1"/>
  <c r="G13" i="2"/>
  <c r="G13" i="9" s="1"/>
  <c r="I219" i="9"/>
  <c r="I219" i="2"/>
  <c r="E212" i="2"/>
  <c r="E212" i="9" s="1"/>
  <c r="G15" i="2"/>
  <c r="G15" i="9" s="1"/>
  <c r="H212" i="2"/>
  <c r="H212" i="9" s="1"/>
  <c r="F100" i="9"/>
  <c r="F107" i="9" s="1"/>
  <c r="F107" i="2"/>
  <c r="F211" i="2"/>
  <c r="F211" i="9" s="1"/>
  <c r="AQ233" i="11" l="1"/>
  <c r="AQ236" i="11"/>
  <c r="AS197" i="11"/>
  <c r="AZ236" i="11"/>
  <c r="AV236" i="11"/>
  <c r="AV235" i="11"/>
  <c r="AU235" i="11"/>
  <c r="AW236" i="11"/>
  <c r="BD236" i="11" s="1"/>
  <c r="AT235" i="11"/>
  <c r="AW235" i="11"/>
  <c r="BA14" i="11"/>
  <c r="BB14" i="11"/>
  <c r="BC14" i="11"/>
  <c r="AQ31" i="11"/>
  <c r="AU31" i="11" s="1"/>
  <c r="AX10" i="11"/>
  <c r="BA10" i="11" s="1"/>
  <c r="BB129" i="11"/>
  <c r="BA129" i="11"/>
  <c r="AV91" i="11"/>
  <c r="AU91" i="11"/>
  <c r="AW91" i="11"/>
  <c r="AW220" i="11"/>
  <c r="AT219" i="11"/>
  <c r="AV220" i="11"/>
  <c r="AV186" i="11"/>
  <c r="AW186" i="11"/>
  <c r="AW190" i="11" s="1"/>
  <c r="BD190" i="11" s="1"/>
  <c r="AT185" i="11"/>
  <c r="AU186" i="11"/>
  <c r="AU190" i="11" s="1"/>
  <c r="AQ215" i="11"/>
  <c r="BA215" i="11" s="1"/>
  <c r="AX216" i="11"/>
  <c r="BB216" i="11" s="1"/>
  <c r="AV226" i="11"/>
  <c r="AT225" i="11"/>
  <c r="AW226" i="11"/>
  <c r="AU226" i="11"/>
  <c r="BD216" i="11"/>
  <c r="BC172" i="11"/>
  <c r="AU10" i="11"/>
  <c r="BC10" i="11"/>
  <c r="AZ31" i="11"/>
  <c r="BB10" i="11"/>
  <c r="V67" i="11"/>
  <c r="V66" i="11"/>
  <c r="W67" i="11"/>
  <c r="U66" i="11"/>
  <c r="W66" i="11"/>
  <c r="U67" i="11"/>
  <c r="AZ43" i="11"/>
  <c r="AU42" i="11"/>
  <c r="AV43" i="11"/>
  <c r="AU43" i="11"/>
  <c r="AW42" i="11"/>
  <c r="AV42" i="11"/>
  <c r="AT67" i="11"/>
  <c r="AW43" i="11"/>
  <c r="BD43" i="11" s="1"/>
  <c r="BD172" i="11"/>
  <c r="U30" i="11"/>
  <c r="AS228" i="11"/>
  <c r="S227" i="11"/>
  <c r="S250" i="11"/>
  <c r="S249" i="11" s="1"/>
  <c r="AU59" i="11"/>
  <c r="U220" i="11"/>
  <c r="AQ220" i="11"/>
  <c r="AQ219" i="11" s="1"/>
  <c r="Q219" i="11"/>
  <c r="AZ196" i="11"/>
  <c r="AW196" i="11"/>
  <c r="BD196" i="11" s="1"/>
  <c r="AT195" i="11"/>
  <c r="AV195" i="11"/>
  <c r="AU196" i="11"/>
  <c r="AV196" i="11"/>
  <c r="AU195" i="11"/>
  <c r="AW195" i="11"/>
  <c r="AW109" i="11"/>
  <c r="AT111" i="11"/>
  <c r="AV109" i="11"/>
  <c r="AV110" i="11"/>
  <c r="AU109" i="11"/>
  <c r="BA93" i="11"/>
  <c r="BC93" i="11"/>
  <c r="BB93" i="11"/>
  <c r="AZ110" i="11"/>
  <c r="BA29" i="11"/>
  <c r="BB29" i="11"/>
  <c r="BC29" i="11"/>
  <c r="AX50" i="11"/>
  <c r="BB50" i="11" s="1"/>
  <c r="AQ67" i="11"/>
  <c r="AX67" i="11" s="1"/>
  <c r="AU158" i="11"/>
  <c r="AU159" i="11" s="1"/>
  <c r="AU171" i="11"/>
  <c r="AU49" i="11"/>
  <c r="AU50" i="11"/>
  <c r="AQ205" i="11"/>
  <c r="AU206" i="11"/>
  <c r="AU9" i="11"/>
  <c r="AV139" i="11"/>
  <c r="AU139" i="11"/>
  <c r="AW139" i="11"/>
  <c r="BC27" i="11"/>
  <c r="BA27" i="11"/>
  <c r="BB27" i="11"/>
  <c r="BC59" i="11"/>
  <c r="AU224" i="11"/>
  <c r="Q228" i="11"/>
  <c r="E178" i="11"/>
  <c r="W197" i="11"/>
  <c r="V197" i="11"/>
  <c r="T197" i="11"/>
  <c r="V198" i="11"/>
  <c r="BD93" i="11"/>
  <c r="AW110" i="11"/>
  <c r="BD110" i="11" s="1"/>
  <c r="AW158" i="11"/>
  <c r="BD122" i="11"/>
  <c r="AW157" i="11"/>
  <c r="AT159" i="11"/>
  <c r="AV158" i="11"/>
  <c r="AU157" i="11"/>
  <c r="AV157" i="11"/>
  <c r="AU215" i="11"/>
  <c r="BC50" i="11"/>
  <c r="BA50" i="11"/>
  <c r="AV31" i="11"/>
  <c r="AU30" i="11"/>
  <c r="AV30" i="11"/>
  <c r="AW30" i="11"/>
  <c r="AW31" i="11"/>
  <c r="BD31" i="11" s="1"/>
  <c r="AV41" i="11"/>
  <c r="AU41" i="11"/>
  <c r="AW41" i="11"/>
  <c r="AT213" i="11"/>
  <c r="AU164" i="11"/>
  <c r="AQ163" i="11"/>
  <c r="AX172" i="11"/>
  <c r="BB172" i="11" s="1"/>
  <c r="AQ171" i="11"/>
  <c r="BB248" i="11"/>
  <c r="BA248" i="11"/>
  <c r="BC248" i="11"/>
  <c r="BB194" i="11"/>
  <c r="BC194" i="11"/>
  <c r="BA194" i="11"/>
  <c r="BA65" i="11"/>
  <c r="BB65" i="11"/>
  <c r="BC65" i="11"/>
  <c r="AU236" i="11"/>
  <c r="BB122" i="11"/>
  <c r="BC122" i="11"/>
  <c r="BA122" i="11"/>
  <c r="AZ158" i="11"/>
  <c r="AU216" i="11"/>
  <c r="BC216" i="11"/>
  <c r="AT198" i="11"/>
  <c r="AX59" i="11"/>
  <c r="BB59" i="11" s="1"/>
  <c r="AQ241" i="11"/>
  <c r="BA241" i="11" s="1"/>
  <c r="AX19" i="11"/>
  <c r="AU19" i="11"/>
  <c r="AU18" i="11"/>
  <c r="AQ183" i="11"/>
  <c r="BA23" i="11"/>
  <c r="BB23" i="11"/>
  <c r="BC23" i="11"/>
  <c r="BC63" i="11"/>
  <c r="BB63" i="11"/>
  <c r="BA63" i="11"/>
  <c r="AT228" i="11"/>
  <c r="W227" i="11"/>
  <c r="T227" i="11"/>
  <c r="W228" i="11"/>
  <c r="W250" i="11" s="1"/>
  <c r="V228" i="11"/>
  <c r="V227" i="11"/>
  <c r="U228" i="11"/>
  <c r="U250" i="11" s="1"/>
  <c r="U227" i="11"/>
  <c r="T250" i="11"/>
  <c r="AQ203" i="11"/>
  <c r="AU204" i="11"/>
  <c r="AV54" i="11"/>
  <c r="AV55" i="11"/>
  <c r="AU55" i="11"/>
  <c r="AU54" i="11"/>
  <c r="AW54" i="11"/>
  <c r="AZ55" i="11"/>
  <c r="AW55" i="11"/>
  <c r="BD55" i="11" s="1"/>
  <c r="H219" i="9"/>
  <c r="H219" i="2"/>
  <c r="L219" i="9"/>
  <c r="L219" i="2"/>
  <c r="N211" i="9"/>
  <c r="N219" i="9" s="1"/>
  <c r="N219" i="2"/>
  <c r="J210" i="2"/>
  <c r="J210" i="9" s="1"/>
  <c r="J219" i="2"/>
  <c r="J219" i="9"/>
  <c r="N210" i="9"/>
  <c r="M210" i="9"/>
  <c r="H67" i="11"/>
  <c r="F177" i="11"/>
  <c r="D28" i="2" s="1"/>
  <c r="D28" i="9" s="1"/>
  <c r="H177" i="11"/>
  <c r="F198" i="11"/>
  <c r="F249" i="11"/>
  <c r="D208" i="2" s="1"/>
  <c r="D208" i="9" s="1"/>
  <c r="H249" i="11"/>
  <c r="F219" i="2"/>
  <c r="F219" i="9"/>
  <c r="I99" i="2"/>
  <c r="I99" i="9" s="1"/>
  <c r="E210" i="2"/>
  <c r="E210" i="9" s="1"/>
  <c r="F210" i="2"/>
  <c r="F210" i="9" s="1"/>
  <c r="E208" i="2"/>
  <c r="E208" i="9" s="1"/>
  <c r="E97" i="2"/>
  <c r="E97" i="9" s="1"/>
  <c r="H99" i="2"/>
  <c r="H99" i="9" s="1"/>
  <c r="G208" i="2"/>
  <c r="G208" i="9" s="1"/>
  <c r="AQ235" i="11" l="1"/>
  <c r="AX236" i="11"/>
  <c r="BB236" i="11" s="1"/>
  <c r="BA235" i="11"/>
  <c r="BA216" i="11"/>
  <c r="BB19" i="11"/>
  <c r="BA19" i="11"/>
  <c r="BC110" i="11"/>
  <c r="BA110" i="11"/>
  <c r="BB110" i="11"/>
  <c r="BB196" i="11"/>
  <c r="BC196" i="11"/>
  <c r="BA196" i="11"/>
  <c r="AW198" i="11"/>
  <c r="BD198" i="11" s="1"/>
  <c r="BA43" i="11"/>
  <c r="BC43" i="11"/>
  <c r="BB43" i="11"/>
  <c r="BC158" i="11"/>
  <c r="BB158" i="11"/>
  <c r="BA158" i="11"/>
  <c r="BA59" i="11"/>
  <c r="AS227" i="11"/>
  <c r="AS250" i="11"/>
  <c r="AS249" i="11" s="1"/>
  <c r="BC31" i="11"/>
  <c r="BA172" i="11"/>
  <c r="AU220" i="11"/>
  <c r="BB55" i="11"/>
  <c r="BC55" i="11"/>
  <c r="BA55" i="11"/>
  <c r="W249" i="11"/>
  <c r="V249" i="11"/>
  <c r="V250" i="11"/>
  <c r="T249" i="11"/>
  <c r="AV227" i="11"/>
  <c r="AZ228" i="11"/>
  <c r="AV228" i="11"/>
  <c r="AT227" i="11"/>
  <c r="AW228" i="11"/>
  <c r="AW227" i="11"/>
  <c r="AT250" i="11"/>
  <c r="BD158" i="11"/>
  <c r="AW159" i="11"/>
  <c r="Q178" i="11"/>
  <c r="E198" i="11"/>
  <c r="E197" i="11" s="1"/>
  <c r="E177" i="11"/>
  <c r="AU66" i="11"/>
  <c r="AU67" i="11"/>
  <c r="AV66" i="11"/>
  <c r="AT68" i="11"/>
  <c r="AW66" i="11"/>
  <c r="AZ67" i="11"/>
  <c r="AW67" i="11"/>
  <c r="BD67" i="11" s="1"/>
  <c r="AV67" i="11"/>
  <c r="AZ198" i="11"/>
  <c r="BC236" i="11"/>
  <c r="BA236" i="11"/>
  <c r="AV197" i="11"/>
  <c r="AV198" i="11"/>
  <c r="AT197" i="11"/>
  <c r="AW197" i="11"/>
  <c r="AQ228" i="11"/>
  <c r="Q227" i="11"/>
  <c r="Q250" i="11"/>
  <c r="U249" i="11" s="1"/>
  <c r="AX31" i="11"/>
  <c r="BA31" i="11" s="1"/>
  <c r="F197" i="11"/>
  <c r="H198" i="11"/>
  <c r="H197" i="11"/>
  <c r="G210" i="2"/>
  <c r="G210" i="9" s="1"/>
  <c r="H210" i="2"/>
  <c r="H210" i="9" s="1"/>
  <c r="G97" i="2"/>
  <c r="G97" i="9" s="1"/>
  <c r="G99" i="2"/>
  <c r="G99" i="9" s="1"/>
  <c r="I210" i="2"/>
  <c r="I210" i="9" s="1"/>
  <c r="BC67" i="11" l="1"/>
  <c r="BA67" i="11"/>
  <c r="BB67" i="11"/>
  <c r="AQ178" i="11"/>
  <c r="U177" i="11"/>
  <c r="Q177" i="11"/>
  <c r="U178" i="11"/>
  <c r="U198" i="11" s="1"/>
  <c r="Q198" i="11"/>
  <c r="BC228" i="11"/>
  <c r="AZ250" i="11"/>
  <c r="AX228" i="11"/>
  <c r="AX250" i="11" s="1"/>
  <c r="AQ250" i="11"/>
  <c r="AU249" i="11" s="1"/>
  <c r="AQ227" i="11"/>
  <c r="BA227" i="11" s="1"/>
  <c r="BC198" i="11"/>
  <c r="BD228" i="11"/>
  <c r="AW250" i="11"/>
  <c r="BD250" i="11" s="1"/>
  <c r="AU227" i="11"/>
  <c r="BB31" i="11"/>
  <c r="Q249" i="11"/>
  <c r="Q265" i="11"/>
  <c r="AV250" i="11"/>
  <c r="AT249" i="11"/>
  <c r="AV249" i="11"/>
  <c r="AW249" i="11"/>
  <c r="AU228" i="11"/>
  <c r="AU250" i="11" s="1"/>
  <c r="BC250" i="11" l="1"/>
  <c r="BA250" i="11"/>
  <c r="BB250" i="11"/>
  <c r="Q199" i="11"/>
  <c r="Q197" i="11"/>
  <c r="U197" i="11"/>
  <c r="AU177" i="11"/>
  <c r="AX178" i="11"/>
  <c r="AQ177" i="11"/>
  <c r="AU178" i="11"/>
  <c r="AU198" i="11" s="1"/>
  <c r="AQ198" i="11"/>
  <c r="AQ265" i="11"/>
  <c r="AQ249" i="11"/>
  <c r="BA249" i="11" s="1"/>
  <c r="BA228" i="11"/>
  <c r="BB228" i="11"/>
  <c r="AQ197" i="11" l="1"/>
  <c r="AU197" i="11"/>
  <c r="AX198" i="11"/>
  <c r="BA178" i="11"/>
  <c r="BB178" i="11"/>
  <c r="BB198" i="11" l="1"/>
  <c r="BA198" i="11"/>
</calcChain>
</file>

<file path=xl/sharedStrings.xml><?xml version="1.0" encoding="utf-8"?>
<sst xmlns="http://schemas.openxmlformats.org/spreadsheetml/2006/main" count="1565" uniqueCount="550">
  <si>
    <t>事業部</t>
    <phoneticPr fontId="3" type="noConversion"/>
  </si>
  <si>
    <t>項目</t>
    <phoneticPr fontId="3" type="noConversion"/>
  </si>
  <si>
    <t>年度</t>
    <phoneticPr fontId="3" type="noConversion"/>
  </si>
  <si>
    <t>3月</t>
    <phoneticPr fontId="3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</si>
  <si>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</si>
  <si>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</si>
  <si>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</si>
  <si>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</si>
  <si>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</si>
  <si>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</si>
  <si>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</si>
  <si>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</si>
  <si>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</si>
  <si>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3" type="noConversion"/>
  </si>
  <si>
    <t>2月</t>
    <phoneticPr fontId="3" type="noConversion"/>
  </si>
  <si>
    <t>インバータ</t>
    <phoneticPr fontId="3" type="noConversion"/>
  </si>
  <si>
    <t>売上実績</t>
    <phoneticPr fontId="3" type="noConversion"/>
  </si>
  <si>
    <t>2012年度</t>
    <phoneticPr fontId="3" type="noConversion"/>
  </si>
  <si>
    <t>2013年度</t>
    <phoneticPr fontId="3" type="noConversion"/>
  </si>
  <si>
    <t>遂行率%</t>
    <phoneticPr fontId="3" type="noConversion"/>
  </si>
  <si>
    <t>サーボ</t>
    <phoneticPr fontId="3" type="noConversion"/>
  </si>
  <si>
    <t>ロボット</t>
    <phoneticPr fontId="3" type="noConversion"/>
  </si>
  <si>
    <t>システム</t>
    <phoneticPr fontId="3" type="noConversion"/>
  </si>
  <si>
    <t>合計</t>
    <phoneticPr fontId="3" type="noConversion"/>
  </si>
  <si>
    <t>遂行率%</t>
  </si>
  <si>
    <t>受注実績</t>
    <phoneticPr fontId="3" type="noConversion"/>
  </si>
  <si>
    <t>ロボット</t>
    <phoneticPr fontId="3" type="noConversion"/>
  </si>
  <si>
    <t>売上高【税込】</t>
    <phoneticPr fontId="11" type="noConversion"/>
  </si>
  <si>
    <t>受注高【税込】</t>
    <phoneticPr fontId="11" type="noConversion"/>
  </si>
  <si>
    <t>8月</t>
    <phoneticPr fontId="11" type="noConversion"/>
  </si>
  <si>
    <t>前回計画</t>
    <phoneticPr fontId="3" type="noConversion"/>
  </si>
  <si>
    <t>12/上
実績</t>
    <phoneticPr fontId="3" type="noConversion"/>
  </si>
  <si>
    <t>12/下
実績</t>
    <phoneticPr fontId="17" type="noConversion"/>
  </si>
  <si>
    <t>12年度
実績</t>
    <phoneticPr fontId="3" type="noConversion"/>
  </si>
  <si>
    <t>13/上
実績</t>
    <phoneticPr fontId="3" type="noConversion"/>
  </si>
  <si>
    <t>14/上
予算</t>
    <phoneticPr fontId="3" type="noConversion"/>
  </si>
  <si>
    <t>14/下
予算</t>
    <phoneticPr fontId="17" type="noConversion"/>
  </si>
  <si>
    <t>14年度
予算</t>
    <phoneticPr fontId="3" type="noConversion"/>
  </si>
  <si>
    <t>Ｖ</t>
    <phoneticPr fontId="3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</si>
  <si>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</si>
  <si>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</si>
  <si>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</si>
  <si>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全体</t>
    <phoneticPr fontId="17" type="noConversion"/>
  </si>
  <si>
    <t>売上</t>
    <phoneticPr fontId="17" type="noConversion"/>
  </si>
  <si>
    <t>【税込】</t>
    <phoneticPr fontId="17" type="noConversion"/>
  </si>
  <si>
    <t>受注</t>
    <phoneticPr fontId="17" type="noConversion"/>
  </si>
  <si>
    <t>13/下
実績</t>
    <phoneticPr fontId="17" type="noConversion"/>
  </si>
  <si>
    <t>13年度
実績</t>
    <phoneticPr fontId="3" type="noConversion"/>
  </si>
  <si>
    <t>13年度実績比
増加率%</t>
    <phoneticPr fontId="3" type="noConversion"/>
  </si>
  <si>
    <t>粗利率%</t>
  </si>
  <si>
    <t>粗利率%</t>
    <phoneticPr fontId="11" type="noConversion"/>
  </si>
  <si>
    <t>2014年度</t>
  </si>
  <si>
    <t>2013年度　YSR</t>
    <phoneticPr fontId="3" type="noConversion"/>
  </si>
  <si>
    <t>補助列7</t>
    <phoneticPr fontId="11" type="noConversion"/>
  </si>
  <si>
    <t>補助列8</t>
  </si>
  <si>
    <t>補助列9</t>
  </si>
  <si>
    <t>2012年度</t>
  </si>
  <si>
    <t>2013年度</t>
  </si>
  <si>
    <t>YSR（輸入品除く）</t>
    <phoneticPr fontId="11" type="noConversion"/>
  </si>
  <si>
    <t>台数</t>
    <phoneticPr fontId="22" type="noConversion"/>
  </si>
  <si>
    <t>一般</t>
    <phoneticPr fontId="22" type="noConversion"/>
  </si>
  <si>
    <t>全額</t>
    <phoneticPr fontId="22" type="noConversion"/>
  </si>
  <si>
    <t>全額</t>
    <phoneticPr fontId="3" type="noConversion"/>
  </si>
  <si>
    <t>YSR</t>
    <phoneticPr fontId="22" type="noConversion"/>
  </si>
  <si>
    <t>合計</t>
    <phoneticPr fontId="22" type="noConversion"/>
  </si>
  <si>
    <t>当月実績</t>
    <phoneticPr fontId="3" type="noConversion"/>
  </si>
  <si>
    <t>今回計画</t>
    <phoneticPr fontId="3" type="noConversion"/>
  </si>
  <si>
    <t>11/3月</t>
    <phoneticPr fontId="22" type="noConversion"/>
  </si>
  <si>
    <t>12/3月</t>
    <phoneticPr fontId="22" type="noConversion"/>
  </si>
  <si>
    <t>13/3月</t>
    <phoneticPr fontId="22" type="noConversion"/>
  </si>
  <si>
    <t>14/3月</t>
    <phoneticPr fontId="22" type="noConversion"/>
  </si>
  <si>
    <t>11/4月</t>
    <phoneticPr fontId="22" type="noConversion"/>
  </si>
  <si>
    <t>12/4月</t>
    <phoneticPr fontId="22" type="noConversion"/>
  </si>
  <si>
    <t>13/4月</t>
    <phoneticPr fontId="22" type="noConversion"/>
  </si>
  <si>
    <t>14/4月</t>
    <phoneticPr fontId="22" type="noConversion"/>
  </si>
  <si>
    <t>11/5月</t>
    <phoneticPr fontId="22" type="noConversion"/>
  </si>
  <si>
    <t>12/5月</t>
    <phoneticPr fontId="22" type="noConversion"/>
  </si>
  <si>
    <t>13/5月</t>
    <phoneticPr fontId="22" type="noConversion"/>
  </si>
  <si>
    <t>14/5月</t>
    <phoneticPr fontId="22" type="noConversion"/>
  </si>
  <si>
    <t>11/6月</t>
    <phoneticPr fontId="22" type="noConversion"/>
  </si>
  <si>
    <t>12/6月</t>
    <phoneticPr fontId="22" type="noConversion"/>
  </si>
  <si>
    <t>13/6月</t>
    <phoneticPr fontId="22" type="noConversion"/>
  </si>
  <si>
    <t>14/6月</t>
    <phoneticPr fontId="22" type="noConversion"/>
  </si>
  <si>
    <t>11/7月</t>
    <phoneticPr fontId="22" type="noConversion"/>
  </si>
  <si>
    <t>12/7月</t>
    <phoneticPr fontId="22" type="noConversion"/>
  </si>
  <si>
    <t>13/7月</t>
    <phoneticPr fontId="22" type="noConversion"/>
  </si>
  <si>
    <t>14/7月</t>
    <phoneticPr fontId="22" type="noConversion"/>
  </si>
  <si>
    <t>11/8月</t>
    <phoneticPr fontId="22" type="noConversion"/>
  </si>
  <si>
    <t>12/8月</t>
    <phoneticPr fontId="22" type="noConversion"/>
  </si>
  <si>
    <t>13/8月</t>
    <phoneticPr fontId="22" type="noConversion"/>
  </si>
  <si>
    <t>14/8月</t>
    <phoneticPr fontId="22" type="noConversion"/>
  </si>
  <si>
    <t>11/9月</t>
    <phoneticPr fontId="22" type="noConversion"/>
  </si>
  <si>
    <t>12/9月</t>
    <phoneticPr fontId="22" type="noConversion"/>
  </si>
  <si>
    <t>13/9月</t>
    <phoneticPr fontId="22" type="noConversion"/>
  </si>
  <si>
    <t>14/9月</t>
    <phoneticPr fontId="22" type="noConversion"/>
  </si>
  <si>
    <t>11/10月</t>
    <phoneticPr fontId="22" type="noConversion"/>
  </si>
  <si>
    <t>12/10月</t>
    <phoneticPr fontId="22" type="noConversion"/>
  </si>
  <si>
    <t>13/10月</t>
    <phoneticPr fontId="22" type="noConversion"/>
  </si>
  <si>
    <t>11/11月</t>
    <phoneticPr fontId="22" type="noConversion"/>
  </si>
  <si>
    <t>12/11月</t>
    <phoneticPr fontId="22" type="noConversion"/>
  </si>
  <si>
    <t>13/11月</t>
    <phoneticPr fontId="22" type="noConversion"/>
  </si>
  <si>
    <t>11/12月</t>
    <phoneticPr fontId="22" type="noConversion"/>
  </si>
  <si>
    <t>12/12月</t>
    <phoneticPr fontId="22" type="noConversion"/>
  </si>
  <si>
    <t>13/12月</t>
    <phoneticPr fontId="22" type="noConversion"/>
  </si>
  <si>
    <t>12/1月</t>
    <phoneticPr fontId="22" type="noConversion"/>
  </si>
  <si>
    <t>13/1月</t>
    <phoneticPr fontId="22" type="noConversion"/>
  </si>
  <si>
    <t>14/1月</t>
    <phoneticPr fontId="22" type="noConversion"/>
  </si>
  <si>
    <t>12/2月</t>
    <phoneticPr fontId="22" type="noConversion"/>
  </si>
  <si>
    <t>13/2月</t>
    <phoneticPr fontId="22" type="noConversion"/>
  </si>
  <si>
    <t>14/2月</t>
    <phoneticPr fontId="22" type="noConversion"/>
  </si>
  <si>
    <t>3月</t>
  </si>
  <si>
    <t>1月</t>
  </si>
  <si>
    <t>2月</t>
  </si>
  <si>
    <t>　　　　　　　一般</t>
    <phoneticPr fontId="3" type="noConversion"/>
  </si>
  <si>
    <t>　　　　　　　YSR</t>
    <phoneticPr fontId="3" type="noConversion"/>
  </si>
  <si>
    <t>予算</t>
    <phoneticPr fontId="11" type="noConversion"/>
  </si>
  <si>
    <t>実績</t>
    <phoneticPr fontId="3" type="noConversion"/>
  </si>
  <si>
    <t>一般</t>
    <phoneticPr fontId="3" type="noConversion"/>
  </si>
  <si>
    <t>YSR</t>
    <phoneticPr fontId="3" type="noConversion"/>
  </si>
  <si>
    <t>合計</t>
    <phoneticPr fontId="11" type="noConversion"/>
  </si>
  <si>
    <t>実績</t>
    <phoneticPr fontId="11" type="noConversion"/>
  </si>
  <si>
    <t>翌年1月</t>
    <phoneticPr fontId="11" type="noConversion"/>
  </si>
  <si>
    <t>翌年2月</t>
  </si>
  <si>
    <t>年度</t>
    <phoneticPr fontId="11" type="noConversion"/>
  </si>
  <si>
    <t>売上高【税抜】</t>
    <phoneticPr fontId="11" type="noConversion"/>
  </si>
  <si>
    <t>受注高【税抜】</t>
    <phoneticPr fontId="11" type="noConversion"/>
  </si>
  <si>
    <t>【売上高税込】</t>
    <phoneticPr fontId="11" type="noConversion"/>
  </si>
  <si>
    <t>【売上高税抜】</t>
    <phoneticPr fontId="11" type="noConversion"/>
  </si>
  <si>
    <t>　</t>
    <phoneticPr fontId="3" type="noConversion"/>
  </si>
  <si>
    <t>予算</t>
    <phoneticPr fontId="3" type="noConversion"/>
  </si>
  <si>
    <t>2011年度実績</t>
    <phoneticPr fontId="11" type="noConversion"/>
  </si>
  <si>
    <t>2012年度実績</t>
    <phoneticPr fontId="11" type="noConversion"/>
  </si>
  <si>
    <t>2013年度実績</t>
    <phoneticPr fontId="3" type="noConversion"/>
  </si>
  <si>
    <t>2012年度　実績</t>
  </si>
  <si>
    <t>2013年度　実績</t>
  </si>
  <si>
    <t>2014年度　実績</t>
  </si>
  <si>
    <t>2014年度　実績</t>
    <phoneticPr fontId="3" type="noConversion"/>
  </si>
  <si>
    <t>2014年度　実績</t>
    <phoneticPr fontId="3" type="noConversion"/>
  </si>
  <si>
    <t>2012年度　実績</t>
    <phoneticPr fontId="3" type="noConversion"/>
  </si>
  <si>
    <t>2013年度　実績</t>
    <phoneticPr fontId="3" type="noConversion"/>
  </si>
  <si>
    <t>2014年度　実績</t>
    <phoneticPr fontId="3" type="noConversion"/>
  </si>
  <si>
    <t>2014年度　実績</t>
    <phoneticPr fontId="3" type="noConversion"/>
  </si>
  <si>
    <t>2014年度</t>
    <phoneticPr fontId="3" type="noConversion"/>
  </si>
  <si>
    <t>2014年度</t>
    <phoneticPr fontId="3" type="noConversion"/>
  </si>
  <si>
    <t>2015年度</t>
  </si>
  <si>
    <t>2015年度</t>
    <phoneticPr fontId="11" type="noConversion"/>
  </si>
  <si>
    <t>2014年度　実績</t>
    <phoneticPr fontId="3" type="noConversion"/>
  </si>
  <si>
    <t>2014年度</t>
    <phoneticPr fontId="11" type="noConversion"/>
  </si>
  <si>
    <t>2013年度　実績</t>
    <phoneticPr fontId="3" type="noConversion"/>
  </si>
  <si>
    <t>2014年度　YSR</t>
    <phoneticPr fontId="3" type="noConversion"/>
  </si>
  <si>
    <t>2012年度　実績</t>
    <phoneticPr fontId="3" type="noConversion"/>
  </si>
  <si>
    <t>2013年度　実績</t>
    <phoneticPr fontId="3" type="noConversion"/>
  </si>
  <si>
    <t>2014年度　実績</t>
    <phoneticPr fontId="3" type="noConversion"/>
  </si>
  <si>
    <t>2014年度　一般</t>
    <phoneticPr fontId="3" type="noConversion"/>
  </si>
  <si>
    <t>2015年度　上期予算一般</t>
    <phoneticPr fontId="3" type="noConversion"/>
  </si>
  <si>
    <t>2015年度　上期予算YSR</t>
    <phoneticPr fontId="3" type="noConversion"/>
  </si>
  <si>
    <t>2015年度　実績</t>
  </si>
  <si>
    <t>ロボット</t>
  </si>
  <si>
    <t>JP品</t>
  </si>
  <si>
    <t>KD（瀋陽）生産品</t>
  </si>
  <si>
    <t>KD（SYD）生産品</t>
  </si>
  <si>
    <t>%=遂行率</t>
    <rPh sb="2" eb="4">
      <t>スイコウ</t>
    </rPh>
    <rPh sb="4" eb="5">
      <t>リツ</t>
    </rPh>
    <phoneticPr fontId="28"/>
  </si>
  <si>
    <t>インバータ</t>
  </si>
  <si>
    <t>KD品</t>
  </si>
  <si>
    <t>中国R分</t>
  </si>
  <si>
    <t>%=粗利率</t>
    <rPh sb="2" eb="4">
      <t>スイコウ</t>
    </rPh>
    <rPh sb="4" eb="5">
      <t>リツ</t>
    </rPh>
    <phoneticPr fontId="28"/>
  </si>
  <si>
    <t>%=粗利率</t>
  </si>
  <si>
    <t>うちΣ-Ⅴ</t>
  </si>
  <si>
    <t>予算</t>
  </si>
  <si>
    <t>実績</t>
    <rPh sb="0" eb="2">
      <t>ジッセキ</t>
    </rPh>
    <phoneticPr fontId="28"/>
  </si>
  <si>
    <t>計画差異</t>
  </si>
  <si>
    <t>前回見通</t>
  </si>
  <si>
    <t>2012年度　実績</t>
    <phoneticPr fontId="3" type="noConversion"/>
  </si>
  <si>
    <t>2013年度　実績</t>
    <phoneticPr fontId="3" type="noConversion"/>
  </si>
  <si>
    <t>2014年度　実績</t>
    <phoneticPr fontId="3" type="noConversion"/>
  </si>
  <si>
    <t>2012年度</t>
    <phoneticPr fontId="3" type="noConversion"/>
  </si>
  <si>
    <t>2013年度</t>
    <phoneticPr fontId="3" type="noConversion"/>
  </si>
  <si>
    <t>2014年度</t>
    <phoneticPr fontId="3" type="noConversion"/>
  </si>
  <si>
    <t>2015年度　</t>
    <phoneticPr fontId="11" type="noConversion"/>
  </si>
  <si>
    <t>【千元単位】</t>
    <rPh sb="1" eb="2">
      <t>ゼイ</t>
    </rPh>
    <rPh sb="2" eb="3">
      <t>ヌ</t>
    </rPh>
    <rPh sb="5" eb="6">
      <t>センゲンタンイ</t>
    </rPh>
    <phoneticPr fontId="28"/>
  </si>
  <si>
    <t>予算平均</t>
    <rPh sb="0" eb="2">
      <t>ヘイキン</t>
    </rPh>
    <phoneticPr fontId="28"/>
  </si>
  <si>
    <t>2013年度
実績</t>
    <phoneticPr fontId="3" type="noConversion"/>
  </si>
  <si>
    <t>2014年度
実績</t>
    <phoneticPr fontId="3" type="noConversion"/>
  </si>
  <si>
    <t>粗利率%</t>
    <phoneticPr fontId="11" type="noConversion"/>
  </si>
  <si>
    <t>医療</t>
    <phoneticPr fontId="27" type="noConversion"/>
  </si>
  <si>
    <t>受注実績</t>
    <phoneticPr fontId="27" type="noConversion"/>
  </si>
  <si>
    <t>売上実績</t>
    <phoneticPr fontId="3" type="noConversion"/>
  </si>
  <si>
    <t>売上実績</t>
    <phoneticPr fontId="27" type="noConversion"/>
  </si>
  <si>
    <t>3月</t>
    <phoneticPr fontId="31" type="noConversion"/>
  </si>
  <si>
    <t>1月</t>
    <phoneticPr fontId="31" type="noConversion"/>
  </si>
  <si>
    <t>2月</t>
    <phoneticPr fontId="31" type="noConversion"/>
  </si>
  <si>
    <t>YSR</t>
    <phoneticPr fontId="31" type="noConversion"/>
  </si>
  <si>
    <t>一般</t>
    <phoneticPr fontId="31" type="noConversion"/>
  </si>
  <si>
    <t>　　　　　　　一般</t>
  </si>
  <si>
    <t>　　　　　　　一般</t>
    <phoneticPr fontId="11" type="noConversion"/>
  </si>
  <si>
    <t>　　　　　　　YSR</t>
  </si>
  <si>
    <t>　　　　　　　YSR</t>
    <phoneticPr fontId="11" type="noConversion"/>
  </si>
  <si>
    <t>2015年度　実績</t>
    <phoneticPr fontId="3" type="noConversion"/>
  </si>
  <si>
    <t>2015年度　一般</t>
  </si>
  <si>
    <t>2015年度　一般</t>
    <phoneticPr fontId="3" type="noConversion"/>
  </si>
  <si>
    <t>2015年度　YSR</t>
  </si>
  <si>
    <t>2015年度　YSR</t>
    <phoneticPr fontId="3" type="noConversion"/>
  </si>
  <si>
    <t>2016年度　</t>
  </si>
  <si>
    <t>2016年度</t>
  </si>
  <si>
    <t>2015年度　</t>
  </si>
  <si>
    <t>2013年度　一般</t>
  </si>
  <si>
    <t>2013年度　YSR</t>
  </si>
  <si>
    <t>2014年度　一般</t>
  </si>
  <si>
    <t>2014年度　YSR</t>
  </si>
  <si>
    <t>2015年度　上期予算一般</t>
  </si>
  <si>
    <t>2015年度　上期予算YSR</t>
  </si>
  <si>
    <t>2013年度　一般</t>
    <phoneticPr fontId="3" type="noConversion"/>
  </si>
  <si>
    <t>15/3月</t>
    <phoneticPr fontId="22" type="noConversion"/>
  </si>
  <si>
    <t>15/2月</t>
    <phoneticPr fontId="22" type="noConversion"/>
  </si>
  <si>
    <t>16/2月</t>
    <phoneticPr fontId="22" type="noConversion"/>
  </si>
  <si>
    <t>15/1月</t>
    <phoneticPr fontId="22" type="noConversion"/>
  </si>
  <si>
    <t>16/1月</t>
    <phoneticPr fontId="22" type="noConversion"/>
  </si>
  <si>
    <t>14/12月</t>
    <phoneticPr fontId="22" type="noConversion"/>
  </si>
  <si>
    <t>15/12月</t>
    <phoneticPr fontId="22" type="noConversion"/>
  </si>
  <si>
    <t>15/4月</t>
    <phoneticPr fontId="22" type="noConversion"/>
  </si>
  <si>
    <t>15/5月</t>
    <phoneticPr fontId="22" type="noConversion"/>
  </si>
  <si>
    <t>15/6月</t>
    <phoneticPr fontId="22" type="noConversion"/>
  </si>
  <si>
    <t>15/7月</t>
    <phoneticPr fontId="22" type="noConversion"/>
  </si>
  <si>
    <t>15/8月</t>
    <phoneticPr fontId="22" type="noConversion"/>
  </si>
  <si>
    <t>15/9月</t>
    <phoneticPr fontId="22" type="noConversion"/>
  </si>
  <si>
    <t>15/11月</t>
    <phoneticPr fontId="22" type="noConversion"/>
  </si>
  <si>
    <t>14/11月</t>
    <phoneticPr fontId="22" type="noConversion"/>
  </si>
  <si>
    <t>14/10月</t>
    <phoneticPr fontId="22" type="noConversion"/>
  </si>
  <si>
    <t>15/10月</t>
    <phoneticPr fontId="22" type="noConversion"/>
  </si>
  <si>
    <t>2012年粗利率</t>
    <phoneticPr fontId="31" type="noConversion"/>
  </si>
  <si>
    <t>2013年粗利率</t>
    <phoneticPr fontId="31" type="noConversion"/>
  </si>
  <si>
    <t>2014年粗利率</t>
    <phoneticPr fontId="31" type="noConversion"/>
  </si>
  <si>
    <t>2015年粗利率</t>
    <phoneticPr fontId="31" type="noConversion"/>
  </si>
  <si>
    <t>2016年粗利率</t>
    <phoneticPr fontId="31" type="noConversion"/>
  </si>
  <si>
    <t>2015年度
実績</t>
    <phoneticPr fontId="3" type="noConversion"/>
  </si>
  <si>
    <t>2012年度実績</t>
    <phoneticPr fontId="11" type="noConversion"/>
  </si>
  <si>
    <t>1月</t>
    <phoneticPr fontId="11" type="noConversion"/>
  </si>
  <si>
    <t>2月</t>
    <phoneticPr fontId="11" type="noConversion"/>
  </si>
  <si>
    <t>予算差異</t>
    <phoneticPr fontId="3" type="noConversion"/>
  </si>
  <si>
    <t>前回見通</t>
    <phoneticPr fontId="3" type="noConversion"/>
  </si>
  <si>
    <t>CS</t>
    <phoneticPr fontId="3" type="noConversion"/>
  </si>
  <si>
    <t>2016年度
実績</t>
    <phoneticPr fontId="3" type="noConversion"/>
  </si>
  <si>
    <t>計画</t>
    <phoneticPr fontId="3" type="noConversion"/>
  </si>
  <si>
    <t>実績</t>
    <phoneticPr fontId="3" type="noConversion"/>
  </si>
  <si>
    <t>ロボット売上粗利率</t>
    <phoneticPr fontId="31" type="noConversion"/>
  </si>
  <si>
    <t>2017年度予算</t>
    <phoneticPr fontId="11" type="noConversion"/>
  </si>
  <si>
    <t>2017年粗利率</t>
    <phoneticPr fontId="31" type="noConversion"/>
  </si>
  <si>
    <t>2016年度　実績</t>
  </si>
  <si>
    <t>2016年度　実績</t>
    <phoneticPr fontId="3" type="noConversion"/>
  </si>
  <si>
    <t>2017年度　上期予算</t>
    <phoneticPr fontId="3" type="noConversion"/>
  </si>
  <si>
    <t>2017年度　前回計画</t>
    <phoneticPr fontId="11" type="noConversion"/>
  </si>
  <si>
    <t>2017年度　実績/今回計画</t>
    <phoneticPr fontId="11" type="noConversion"/>
  </si>
  <si>
    <t>2016年度　一般</t>
    <phoneticPr fontId="3" type="noConversion"/>
  </si>
  <si>
    <t>2016年度　YSR</t>
    <phoneticPr fontId="3" type="noConversion"/>
  </si>
  <si>
    <t>2016年度　実績</t>
    <phoneticPr fontId="11" type="noConversion"/>
  </si>
  <si>
    <t>予算</t>
    <phoneticPr fontId="3" type="noConversion"/>
  </si>
  <si>
    <t>前回計画一般</t>
    <phoneticPr fontId="3" type="noConversion"/>
  </si>
  <si>
    <t>前回計画YSR</t>
    <phoneticPr fontId="3" type="noConversion"/>
  </si>
  <si>
    <t>実績/今回計画一般</t>
    <phoneticPr fontId="3" type="noConversion"/>
  </si>
  <si>
    <t>実績/今回計画YSR</t>
    <phoneticPr fontId="3" type="noConversion"/>
  </si>
  <si>
    <t>2017年度　上期予算</t>
    <phoneticPr fontId="11" type="noConversion"/>
  </si>
  <si>
    <t>2017年度　</t>
  </si>
  <si>
    <t>2017年度</t>
  </si>
  <si>
    <t>2016年度　実績</t>
    <phoneticPr fontId="11" type="noConversion"/>
  </si>
  <si>
    <t>2017年度　前回計画</t>
    <phoneticPr fontId="11" type="noConversion"/>
  </si>
  <si>
    <t>2017年度　実績/今回計画</t>
    <phoneticPr fontId="11" type="noConversion"/>
  </si>
  <si>
    <t>2017年度　上期予算</t>
    <phoneticPr fontId="11" type="noConversion"/>
  </si>
  <si>
    <t>2017年度　計画</t>
    <phoneticPr fontId="11" type="noConversion"/>
  </si>
  <si>
    <t>2017年度　上期予算</t>
    <phoneticPr fontId="11" type="noConversion"/>
  </si>
  <si>
    <t>2017年度</t>
    <phoneticPr fontId="11" type="noConversion"/>
  </si>
  <si>
    <t>2016年度　実績</t>
    <phoneticPr fontId="27" type="noConversion"/>
  </si>
  <si>
    <t>2017年度　前回計画</t>
    <phoneticPr fontId="27" type="noConversion"/>
  </si>
  <si>
    <t>2017年度　実績/今回計画</t>
    <phoneticPr fontId="27" type="noConversion"/>
  </si>
  <si>
    <t>2017年度　上期予算</t>
    <phoneticPr fontId="27" type="noConversion"/>
  </si>
  <si>
    <t>2016年度　一般</t>
    <phoneticPr fontId="27" type="noConversion"/>
  </si>
  <si>
    <t>2016年度　YSR</t>
    <phoneticPr fontId="27" type="noConversion"/>
  </si>
  <si>
    <t>2017年度　前回計画一般</t>
    <phoneticPr fontId="27" type="noConversion"/>
  </si>
  <si>
    <t>2017年度　前回計画YSR</t>
    <phoneticPr fontId="27" type="noConversion"/>
  </si>
  <si>
    <t>2017年度　今回計画一般</t>
    <phoneticPr fontId="27" type="noConversion"/>
  </si>
  <si>
    <t>2017年度　今回計画YSR</t>
    <phoneticPr fontId="27" type="noConversion"/>
  </si>
  <si>
    <t>2017年度　上期予算</t>
    <phoneticPr fontId="11" type="noConversion"/>
  </si>
  <si>
    <t>2017年度</t>
    <phoneticPr fontId="27" type="noConversion"/>
  </si>
  <si>
    <t>16/3月</t>
    <phoneticPr fontId="22" type="noConversion"/>
  </si>
  <si>
    <t>16/4月</t>
    <phoneticPr fontId="22" type="noConversion"/>
  </si>
  <si>
    <t>16/5月</t>
    <phoneticPr fontId="22" type="noConversion"/>
  </si>
  <si>
    <t>16/6月</t>
    <phoneticPr fontId="22" type="noConversion"/>
  </si>
  <si>
    <t>16/7月</t>
    <phoneticPr fontId="22" type="noConversion"/>
  </si>
  <si>
    <t>16/8月</t>
    <phoneticPr fontId="22" type="noConversion"/>
  </si>
  <si>
    <t>16/9月</t>
    <phoneticPr fontId="22" type="noConversion"/>
  </si>
  <si>
    <t>16/10月</t>
    <phoneticPr fontId="22" type="noConversion"/>
  </si>
  <si>
    <t>16/11月</t>
    <phoneticPr fontId="22" type="noConversion"/>
  </si>
  <si>
    <t>16/12月</t>
    <phoneticPr fontId="22" type="noConversion"/>
  </si>
  <si>
    <t>1７/1月</t>
    <phoneticPr fontId="22" type="noConversion"/>
  </si>
  <si>
    <t>17/2月</t>
    <phoneticPr fontId="22" type="noConversion"/>
  </si>
  <si>
    <t>17/12月(前回)</t>
    <phoneticPr fontId="22" type="noConversion"/>
  </si>
  <si>
    <t>18/1月(前回)</t>
    <phoneticPr fontId="22" type="noConversion"/>
  </si>
  <si>
    <t>18/2月(前回)</t>
    <phoneticPr fontId="22" type="noConversion"/>
  </si>
  <si>
    <t>18/1月(今回)</t>
  </si>
  <si>
    <t>18/2月(今回)</t>
  </si>
  <si>
    <t>今回計画</t>
    <rPh sb="0" eb="2">
      <t>ジッセキ</t>
    </rPh>
    <phoneticPr fontId="28"/>
  </si>
  <si>
    <t>今回見通</t>
    <rPh sb="0" eb="2">
      <t>ジッセキ</t>
    </rPh>
    <phoneticPr fontId="28"/>
  </si>
  <si>
    <t>目標差異</t>
  </si>
  <si>
    <t>売上原価</t>
    <rPh sb="0" eb="2">
      <t>ウリアｹﾞ</t>
    </rPh>
    <rPh sb="2" eb="4">
      <t>ｹﾞンカ</t>
    </rPh>
    <phoneticPr fontId="3" type="noConversion"/>
  </si>
  <si>
    <t>V</t>
    <phoneticPr fontId="3" type="noConversion"/>
  </si>
  <si>
    <t>M</t>
    <phoneticPr fontId="3" type="noConversion"/>
  </si>
  <si>
    <t>R</t>
    <phoneticPr fontId="3" type="noConversion"/>
  </si>
  <si>
    <t>S</t>
    <phoneticPr fontId="3" type="noConversion"/>
  </si>
  <si>
    <t>2017年目標値</t>
    <phoneticPr fontId="27" type="noConversion"/>
  </si>
  <si>
    <t>M</t>
    <phoneticPr fontId="3" type="noConversion"/>
  </si>
  <si>
    <t>S</t>
    <phoneticPr fontId="3" type="noConversion"/>
  </si>
  <si>
    <t>2017年度　前回計画</t>
  </si>
  <si>
    <t>ＣＳ</t>
    <phoneticPr fontId="3" type="noConversion"/>
  </si>
  <si>
    <t>17/3月(実績)</t>
    <phoneticPr fontId="22" type="noConversion"/>
  </si>
  <si>
    <t>2017年度
前回計画</t>
    <phoneticPr fontId="11" type="noConversion"/>
  </si>
  <si>
    <t>うちGEM</t>
  </si>
  <si>
    <t>　用途特化型</t>
    <rPh sb="1" eb="3">
      <t>ヨウト</t>
    </rPh>
    <rPh sb="3" eb="6">
      <t>トッカガタ</t>
    </rPh>
    <phoneticPr fontId="28"/>
  </si>
  <si>
    <t>17/3</t>
    <phoneticPr fontId="3" type="noConversion"/>
  </si>
  <si>
    <t>今回計画</t>
    <phoneticPr fontId="28"/>
  </si>
  <si>
    <t>計画差異</t>
    <phoneticPr fontId="3" type="noConversion"/>
  </si>
  <si>
    <t>【税抜受注高】</t>
    <phoneticPr fontId="3" type="noConversion"/>
  </si>
  <si>
    <t>ダイキン</t>
    <phoneticPr fontId="3" type="noConversion"/>
  </si>
  <si>
    <t>うちGEM</t>
    <phoneticPr fontId="28"/>
  </si>
  <si>
    <t>汎用品</t>
    <phoneticPr fontId="3" type="noConversion"/>
  </si>
  <si>
    <t>インバータ</t>
    <phoneticPr fontId="28"/>
  </si>
  <si>
    <t>うちΣ-Ⅴ</t>
    <phoneticPr fontId="3" type="noConversion"/>
  </si>
  <si>
    <t>うちΣ-7+ΣM</t>
    <phoneticPr fontId="3" type="noConversion"/>
  </si>
  <si>
    <t>サーボ</t>
    <phoneticPr fontId="28"/>
  </si>
  <si>
    <t>YSR分</t>
    <phoneticPr fontId="3" type="noConversion"/>
  </si>
  <si>
    <t>中国R分</t>
    <phoneticPr fontId="3" type="noConversion"/>
  </si>
  <si>
    <t>ＭＶ</t>
    <phoneticPr fontId="3" type="noConversion"/>
  </si>
  <si>
    <t>ＰＡ</t>
    <phoneticPr fontId="3" type="noConversion"/>
  </si>
  <si>
    <t>システム</t>
    <phoneticPr fontId="28"/>
  </si>
  <si>
    <t>CS</t>
    <phoneticPr fontId="28"/>
  </si>
  <si>
    <t>医療</t>
    <phoneticPr fontId="28"/>
  </si>
  <si>
    <t>ＳＦ</t>
    <phoneticPr fontId="28"/>
  </si>
  <si>
    <t>計</t>
    <phoneticPr fontId="3" type="noConversion"/>
  </si>
  <si>
    <t>【税抜売上高】</t>
    <phoneticPr fontId="3" type="noConversion"/>
  </si>
  <si>
    <t>ダイキン</t>
    <phoneticPr fontId="3" type="noConversion"/>
  </si>
  <si>
    <t>うちGEM</t>
    <phoneticPr fontId="28"/>
  </si>
  <si>
    <t>KD品</t>
    <phoneticPr fontId="3" type="noConversion"/>
  </si>
  <si>
    <t>汎用品</t>
    <phoneticPr fontId="3" type="noConversion"/>
  </si>
  <si>
    <t>インバータ</t>
    <phoneticPr fontId="28"/>
  </si>
  <si>
    <t>うちΣ-Ⅴ</t>
    <phoneticPr fontId="3" type="noConversion"/>
  </si>
  <si>
    <t>うちΣ-7+Σ-M</t>
    <phoneticPr fontId="3" type="noConversion"/>
  </si>
  <si>
    <t>サーボ合計</t>
    <phoneticPr fontId="28"/>
  </si>
  <si>
    <t>ロボット</t>
    <phoneticPr fontId="28"/>
  </si>
  <si>
    <t>ＭＶ</t>
    <phoneticPr fontId="3" type="noConversion"/>
  </si>
  <si>
    <t>ＰＡ</t>
    <phoneticPr fontId="3" type="noConversion"/>
  </si>
  <si>
    <t>システム(案件リスト提出願います)</t>
    <phoneticPr fontId="28"/>
  </si>
  <si>
    <t>CS</t>
    <phoneticPr fontId="28"/>
  </si>
  <si>
    <t>【税込受注高】</t>
    <phoneticPr fontId="3" type="noConversion"/>
  </si>
  <si>
    <t>ダイキン</t>
    <phoneticPr fontId="3" type="noConversion"/>
  </si>
  <si>
    <t>うちGEM</t>
    <phoneticPr fontId="28"/>
  </si>
  <si>
    <t>汎用品</t>
    <phoneticPr fontId="3" type="noConversion"/>
  </si>
  <si>
    <t>うちΣ-Ⅴ</t>
    <phoneticPr fontId="3" type="noConversion"/>
  </si>
  <si>
    <t>うちΣ-7+ΣM</t>
    <phoneticPr fontId="3" type="noConversion"/>
  </si>
  <si>
    <t>サーボ</t>
    <phoneticPr fontId="28"/>
  </si>
  <si>
    <t>YSR台数</t>
    <phoneticPr fontId="3" type="noConversion"/>
  </si>
  <si>
    <t>YSR単価</t>
    <rPh sb="3" eb="5">
      <t>タンカ</t>
    </rPh>
    <phoneticPr fontId="3" type="noConversion"/>
  </si>
  <si>
    <t>YSR</t>
    <phoneticPr fontId="3" type="noConversion"/>
  </si>
  <si>
    <t>中国R台数</t>
    <phoneticPr fontId="3" type="noConversion"/>
  </si>
  <si>
    <t>中国R単価</t>
    <rPh sb="3" eb="5">
      <t>タンカ</t>
    </rPh>
    <phoneticPr fontId="3" type="noConversion"/>
  </si>
  <si>
    <t>中国R</t>
    <phoneticPr fontId="3" type="noConversion"/>
  </si>
  <si>
    <t>台数(合計）</t>
    <phoneticPr fontId="3" type="noConversion"/>
  </si>
  <si>
    <t>単価</t>
    <rPh sb="0" eb="2">
      <t>タンカ</t>
    </rPh>
    <phoneticPr fontId="3" type="noConversion"/>
  </si>
  <si>
    <t>ロボット</t>
    <phoneticPr fontId="28"/>
  </si>
  <si>
    <t>台数</t>
    <phoneticPr fontId="3" type="noConversion"/>
  </si>
  <si>
    <t>MV</t>
    <phoneticPr fontId="3" type="noConversion"/>
  </si>
  <si>
    <t>PA他</t>
    <phoneticPr fontId="3" type="noConversion"/>
  </si>
  <si>
    <t>MV台数</t>
    <phoneticPr fontId="3" type="noConversion"/>
  </si>
  <si>
    <t>システム</t>
    <phoneticPr fontId="28"/>
  </si>
  <si>
    <t>CS</t>
    <phoneticPr fontId="28"/>
  </si>
  <si>
    <t>台数</t>
    <phoneticPr fontId="28"/>
  </si>
  <si>
    <t>医療</t>
    <phoneticPr fontId="28"/>
  </si>
  <si>
    <t>ＳＦ</t>
    <phoneticPr fontId="28"/>
  </si>
  <si>
    <t>計</t>
    <phoneticPr fontId="3" type="noConversion"/>
  </si>
  <si>
    <t>【税込売上高】</t>
    <phoneticPr fontId="3" type="noConversion"/>
  </si>
  <si>
    <t>ダイキン</t>
    <phoneticPr fontId="3" type="noConversion"/>
  </si>
  <si>
    <t>JP品</t>
    <phoneticPr fontId="3" type="noConversion"/>
  </si>
  <si>
    <t>うちGEM</t>
    <phoneticPr fontId="28"/>
  </si>
  <si>
    <t>汎用品</t>
    <phoneticPr fontId="3" type="noConversion"/>
  </si>
  <si>
    <t>うちΣ-Ⅴ</t>
    <phoneticPr fontId="3" type="noConversion"/>
  </si>
  <si>
    <t>うちΣ-7+Σ-M</t>
    <phoneticPr fontId="3" type="noConversion"/>
  </si>
  <si>
    <t>サーボ合計</t>
    <phoneticPr fontId="28"/>
  </si>
  <si>
    <t>YSR台数</t>
    <phoneticPr fontId="3" type="noConversion"/>
  </si>
  <si>
    <t>YSR分</t>
    <phoneticPr fontId="3" type="noConversion"/>
  </si>
  <si>
    <t>中国R台数</t>
    <phoneticPr fontId="3" type="noConversion"/>
  </si>
  <si>
    <t>台数(合計）</t>
    <phoneticPr fontId="3" type="noConversion"/>
  </si>
  <si>
    <t>ＭＶ</t>
    <phoneticPr fontId="3" type="noConversion"/>
  </si>
  <si>
    <t>ＰＡ他</t>
    <phoneticPr fontId="3" type="noConversion"/>
  </si>
  <si>
    <t>システム(案件リスト提出願います)</t>
    <phoneticPr fontId="28"/>
  </si>
  <si>
    <t>医療</t>
    <phoneticPr fontId="3" type="noConversion"/>
  </si>
  <si>
    <t>ＳＦ</t>
    <phoneticPr fontId="3" type="noConversion"/>
  </si>
  <si>
    <t>【税抜受注粗利】</t>
    <phoneticPr fontId="3" type="noConversion"/>
  </si>
  <si>
    <t>インバータ</t>
    <phoneticPr fontId="28"/>
  </si>
  <si>
    <t>サーボ</t>
    <phoneticPr fontId="28"/>
  </si>
  <si>
    <t>ロボット</t>
    <phoneticPr fontId="28"/>
  </si>
  <si>
    <t>ＭＶ</t>
    <phoneticPr fontId="3" type="noConversion"/>
  </si>
  <si>
    <t>ＰＡ</t>
    <phoneticPr fontId="3" type="noConversion"/>
  </si>
  <si>
    <t>システム</t>
    <phoneticPr fontId="28"/>
  </si>
  <si>
    <t>CS</t>
    <phoneticPr fontId="28"/>
  </si>
  <si>
    <t>医療</t>
    <phoneticPr fontId="28"/>
  </si>
  <si>
    <t>ＳＦ</t>
    <phoneticPr fontId="28"/>
  </si>
  <si>
    <t>計</t>
    <phoneticPr fontId="3" type="noConversion"/>
  </si>
  <si>
    <t>【税抜売上粗利】</t>
    <phoneticPr fontId="3" type="noConversion"/>
  </si>
  <si>
    <t>KD品</t>
    <phoneticPr fontId="3" type="noConversion"/>
  </si>
  <si>
    <t>うちΣ-7+Σ-M</t>
    <phoneticPr fontId="3" type="noConversion"/>
  </si>
  <si>
    <t>サーボ合計</t>
    <phoneticPr fontId="28"/>
  </si>
  <si>
    <t>YSR分</t>
    <phoneticPr fontId="3" type="noConversion"/>
  </si>
  <si>
    <t>システム</t>
    <phoneticPr fontId="3" type="noConversion"/>
  </si>
  <si>
    <t>医療</t>
    <phoneticPr fontId="3" type="noConversion"/>
  </si>
  <si>
    <t>ＳＦ</t>
    <phoneticPr fontId="3" type="noConversion"/>
  </si>
  <si>
    <t>合計</t>
    <phoneticPr fontId="3" type="noConversion"/>
  </si>
  <si>
    <t>8月</t>
    <phoneticPr fontId="3" type="noConversion"/>
  </si>
  <si>
    <t>17/9</t>
    <phoneticPr fontId="3" type="noConversion"/>
  </si>
  <si>
    <t>前回計画</t>
    <phoneticPr fontId="28"/>
  </si>
  <si>
    <t>計画差異</t>
    <phoneticPr fontId="3" type="noConversion"/>
  </si>
  <si>
    <t>医療</t>
    <phoneticPr fontId="3" type="noConversion"/>
  </si>
  <si>
    <t>17/4</t>
    <phoneticPr fontId="3" type="noConversion"/>
  </si>
  <si>
    <t>17/3-17/5累計</t>
    <phoneticPr fontId="3" type="noConversion"/>
  </si>
  <si>
    <t>前回計画</t>
    <phoneticPr fontId="28"/>
  </si>
  <si>
    <t>目標</t>
    <phoneticPr fontId="28"/>
  </si>
  <si>
    <t>前回見通</t>
    <phoneticPr fontId="3" type="noConversion"/>
  </si>
  <si>
    <t>目標差異</t>
    <phoneticPr fontId="28"/>
  </si>
  <si>
    <t>計画差異</t>
    <phoneticPr fontId="3" type="noConversion"/>
  </si>
  <si>
    <t>予算差異</t>
    <phoneticPr fontId="3" type="noConversion"/>
  </si>
  <si>
    <t>前回見通</t>
    <phoneticPr fontId="3" type="noConversion"/>
  </si>
  <si>
    <t>計画差異</t>
    <phoneticPr fontId="28"/>
  </si>
  <si>
    <t>確認</t>
    <phoneticPr fontId="3" type="noConversion"/>
  </si>
  <si>
    <t xml:space="preserve"> </t>
  </si>
  <si>
    <t>2017年度実績･
今回計画</t>
    <phoneticPr fontId="11" type="noConversion"/>
  </si>
  <si>
    <t>計画差異</t>
    <phoneticPr fontId="3" type="noConversion"/>
  </si>
  <si>
    <t>17/5</t>
    <phoneticPr fontId="3" type="noConversion"/>
  </si>
  <si>
    <t>前回計画</t>
    <phoneticPr fontId="28"/>
  </si>
  <si>
    <t>17/6</t>
    <phoneticPr fontId="3" type="noConversion"/>
  </si>
  <si>
    <t>計画</t>
    <phoneticPr fontId="28"/>
  </si>
  <si>
    <t>目標差異</t>
    <phoneticPr fontId="28"/>
  </si>
  <si>
    <t>計画差異</t>
    <phoneticPr fontId="3" type="noConversion"/>
  </si>
  <si>
    <t>目標平均</t>
    <phoneticPr fontId="28"/>
  </si>
  <si>
    <t>月予算差</t>
    <phoneticPr fontId="3" type="noConversion"/>
  </si>
  <si>
    <t>月目標差</t>
    <phoneticPr fontId="28"/>
  </si>
  <si>
    <t>月計画差</t>
    <phoneticPr fontId="3" type="noConversion"/>
  </si>
  <si>
    <t>実績</t>
    <phoneticPr fontId="28"/>
  </si>
  <si>
    <t xml:space="preserve"> </t>
    <phoneticPr fontId="28"/>
  </si>
  <si>
    <t>17/7</t>
    <phoneticPr fontId="3" type="noConversion"/>
  </si>
  <si>
    <t>17/6-17/8累計</t>
    <phoneticPr fontId="3" type="noConversion"/>
  </si>
  <si>
    <t>17/上(17/3-17/8)累計</t>
    <phoneticPr fontId="3" type="noConversion"/>
  </si>
  <si>
    <t>今回計画</t>
  </si>
  <si>
    <t>目標</t>
    <phoneticPr fontId="28"/>
  </si>
  <si>
    <t>前回見通</t>
    <phoneticPr fontId="3" type="noConversion"/>
  </si>
  <si>
    <t>今回見通</t>
    <phoneticPr fontId="3" type="noConversion"/>
  </si>
  <si>
    <t>目標差異</t>
    <phoneticPr fontId="28"/>
  </si>
  <si>
    <t>計画差異</t>
    <phoneticPr fontId="3" type="noConversion"/>
  </si>
  <si>
    <t>今回見通</t>
    <phoneticPr fontId="3" type="noConversion"/>
  </si>
  <si>
    <t>予算差異</t>
    <phoneticPr fontId="3" type="noConversion"/>
  </si>
  <si>
    <t>目標平均</t>
    <phoneticPr fontId="28"/>
  </si>
  <si>
    <t>見通し平均</t>
    <phoneticPr fontId="3" type="noConversion"/>
  </si>
  <si>
    <t>月予算差</t>
    <phoneticPr fontId="3" type="noConversion"/>
  </si>
  <si>
    <t>月目標差</t>
    <phoneticPr fontId="28"/>
  </si>
  <si>
    <t>月計画差</t>
    <phoneticPr fontId="3" type="noConversion"/>
  </si>
  <si>
    <t>月計画差</t>
    <phoneticPr fontId="3" type="noConversion"/>
  </si>
  <si>
    <t>予算差異</t>
    <phoneticPr fontId="3" type="noConversion"/>
  </si>
  <si>
    <t>計画差異</t>
    <phoneticPr fontId="28"/>
  </si>
  <si>
    <t>予算差異</t>
    <phoneticPr fontId="28"/>
  </si>
  <si>
    <t>前回見通</t>
    <phoneticPr fontId="3" type="noConversion"/>
  </si>
  <si>
    <t>計画差異</t>
    <phoneticPr fontId="3" type="noConversion"/>
  </si>
  <si>
    <t>17/8</t>
    <phoneticPr fontId="3" type="noConversion"/>
  </si>
  <si>
    <t>前回計画</t>
    <phoneticPr fontId="28"/>
  </si>
  <si>
    <t>計画差異</t>
    <phoneticPr fontId="3" type="noConversion"/>
  </si>
  <si>
    <t>台数</t>
    <phoneticPr fontId="3" type="noConversion"/>
  </si>
  <si>
    <t>GP</t>
    <phoneticPr fontId="3" type="noConversion"/>
  </si>
  <si>
    <t>GP</t>
    <phoneticPr fontId="3" type="noConversion"/>
  </si>
  <si>
    <t>GP</t>
    <phoneticPr fontId="3" type="noConversion"/>
  </si>
  <si>
    <t>予算</t>
    <phoneticPr fontId="28"/>
  </si>
  <si>
    <t>計画差異</t>
    <phoneticPr fontId="3" type="noConversion"/>
  </si>
  <si>
    <t xml:space="preserve"> </t>
    <phoneticPr fontId="28"/>
  </si>
  <si>
    <t>2017年度　予算</t>
    <phoneticPr fontId="11" type="noConversion"/>
  </si>
  <si>
    <t>2017年度　予算</t>
    <phoneticPr fontId="3" type="noConversion"/>
  </si>
  <si>
    <t>2017年度　予算</t>
    <phoneticPr fontId="11" type="noConversion"/>
  </si>
  <si>
    <t>17/4月(実績)</t>
    <phoneticPr fontId="22" type="noConversion"/>
  </si>
  <si>
    <t>17/5月(実績)</t>
    <phoneticPr fontId="22" type="noConversion"/>
  </si>
  <si>
    <t>17/6月(実績)</t>
    <phoneticPr fontId="22" type="noConversion"/>
  </si>
  <si>
    <t>17/7月(実績)</t>
    <phoneticPr fontId="22" type="noConversion"/>
  </si>
  <si>
    <t>17/9月(実績)</t>
    <phoneticPr fontId="22" type="noConversion"/>
  </si>
  <si>
    <t>17/8月(実績)</t>
    <phoneticPr fontId="22" type="noConversion"/>
  </si>
  <si>
    <t>17/10</t>
    <phoneticPr fontId="3" type="noConversion"/>
  </si>
  <si>
    <t>レビュー</t>
    <phoneticPr fontId="28"/>
  </si>
  <si>
    <t>前回計画</t>
    <phoneticPr fontId="28"/>
  </si>
  <si>
    <t>計画差異</t>
    <phoneticPr fontId="3" type="noConversion"/>
  </si>
  <si>
    <t>17/10月(実績)</t>
    <phoneticPr fontId="22" type="noConversion"/>
  </si>
  <si>
    <t>17/3月(今回)</t>
    <phoneticPr fontId="22" type="noConversion"/>
  </si>
  <si>
    <t>17/4月(今回)</t>
    <phoneticPr fontId="22" type="noConversion"/>
  </si>
  <si>
    <t>17/5月(今回)</t>
    <phoneticPr fontId="22" type="noConversion"/>
  </si>
  <si>
    <t>17/6月(今回)</t>
    <phoneticPr fontId="22" type="noConversion"/>
  </si>
  <si>
    <t>17/7月(今回)</t>
    <phoneticPr fontId="22" type="noConversion"/>
  </si>
  <si>
    <t>17/8月(今回)</t>
    <phoneticPr fontId="22" type="noConversion"/>
  </si>
  <si>
    <t>17/9月(今回)</t>
    <phoneticPr fontId="22" type="noConversion"/>
  </si>
  <si>
    <t>17/10月(今回)</t>
    <phoneticPr fontId="22" type="noConversion"/>
  </si>
  <si>
    <t>17/11月(今回)</t>
    <phoneticPr fontId="22" type="noConversion"/>
  </si>
  <si>
    <t>17/11</t>
    <phoneticPr fontId="3" type="noConversion"/>
  </si>
  <si>
    <t>17/9-17/11累計</t>
    <phoneticPr fontId="3" type="noConversion"/>
  </si>
  <si>
    <t>前回見通</t>
    <phoneticPr fontId="3" type="noConversion"/>
  </si>
  <si>
    <t>予算差異</t>
    <phoneticPr fontId="3" type="noConversion"/>
  </si>
  <si>
    <t>実績</t>
    <phoneticPr fontId="28"/>
  </si>
  <si>
    <t>計画差異</t>
    <phoneticPr fontId="3" type="noConversion"/>
  </si>
  <si>
    <t>計画差異</t>
    <phoneticPr fontId="28"/>
  </si>
  <si>
    <t>レビュー</t>
    <phoneticPr fontId="28"/>
  </si>
  <si>
    <t>計画</t>
    <phoneticPr fontId="28"/>
  </si>
  <si>
    <t>目標</t>
    <phoneticPr fontId="28"/>
  </si>
  <si>
    <t>レビュー差異</t>
    <phoneticPr fontId="28"/>
  </si>
  <si>
    <t>目標債</t>
    <phoneticPr fontId="28"/>
  </si>
  <si>
    <t>見通し平均</t>
    <phoneticPr fontId="3" type="noConversion"/>
  </si>
  <si>
    <t>月予算差</t>
    <phoneticPr fontId="3" type="noConversion"/>
  </si>
  <si>
    <t>月計画差</t>
    <phoneticPr fontId="3" type="noConversion"/>
  </si>
  <si>
    <t>予算平均</t>
  </si>
  <si>
    <t>月予算差</t>
    <phoneticPr fontId="3" type="noConversion"/>
  </si>
  <si>
    <t>月計画差</t>
    <phoneticPr fontId="3" type="noConversion"/>
  </si>
  <si>
    <t>17/11月(実績)</t>
    <phoneticPr fontId="22" type="noConversion"/>
  </si>
  <si>
    <t>17/12月(実績)</t>
    <phoneticPr fontId="22" type="noConversion"/>
  </si>
  <si>
    <t>17/12</t>
    <phoneticPr fontId="3" type="noConversion"/>
  </si>
  <si>
    <t>18/1</t>
    <phoneticPr fontId="3" type="noConversion"/>
  </si>
  <si>
    <t>18/2</t>
    <phoneticPr fontId="3" type="noConversion"/>
  </si>
  <si>
    <t>17/12-18/2累計</t>
    <phoneticPr fontId="3" type="noConversion"/>
  </si>
  <si>
    <t>17/下(17/12-18/2)累計</t>
    <phoneticPr fontId="3" type="noConversion"/>
  </si>
  <si>
    <t>レビュー</t>
    <phoneticPr fontId="28"/>
  </si>
  <si>
    <t>前回計画</t>
    <phoneticPr fontId="28"/>
  </si>
  <si>
    <t>目標</t>
    <phoneticPr fontId="28"/>
  </si>
  <si>
    <t>前回見通</t>
    <phoneticPr fontId="3" type="noConversion"/>
  </si>
  <si>
    <t>今回見通</t>
    <phoneticPr fontId="3" type="noConversion"/>
  </si>
  <si>
    <t>目標差</t>
    <phoneticPr fontId="28"/>
  </si>
  <si>
    <t>計画差異</t>
    <phoneticPr fontId="3" type="noConversion"/>
  </si>
  <si>
    <t>目標</t>
    <phoneticPr fontId="28"/>
  </si>
  <si>
    <t>前回見通</t>
    <phoneticPr fontId="3" type="noConversion"/>
  </si>
  <si>
    <t>今回見通</t>
    <phoneticPr fontId="3" type="noConversion"/>
  </si>
  <si>
    <t>レビュー差異</t>
    <phoneticPr fontId="3" type="noConversion"/>
  </si>
  <si>
    <t>目標さ</t>
    <phoneticPr fontId="28"/>
  </si>
  <si>
    <t>計画差異</t>
    <phoneticPr fontId="3" type="noConversion"/>
  </si>
  <si>
    <t>実績</t>
    <phoneticPr fontId="28"/>
  </si>
  <si>
    <t>計画差異</t>
    <phoneticPr fontId="3" type="noConversion"/>
  </si>
  <si>
    <t>計画差異</t>
    <phoneticPr fontId="3" type="noConversion"/>
  </si>
  <si>
    <t>前回見通</t>
    <phoneticPr fontId="3" type="noConversion"/>
  </si>
  <si>
    <t>レビュー差異</t>
    <phoneticPr fontId="3" type="noConversion"/>
  </si>
  <si>
    <t>計画差異</t>
    <phoneticPr fontId="3" type="noConversion"/>
  </si>
  <si>
    <t>前回見通</t>
    <phoneticPr fontId="3" type="noConversion"/>
  </si>
  <si>
    <t>計画差異</t>
    <phoneticPr fontId="3" type="noConversion"/>
  </si>
  <si>
    <t>計画差異</t>
    <phoneticPr fontId="28"/>
  </si>
  <si>
    <t>計画差異</t>
    <phoneticPr fontId="28"/>
  </si>
  <si>
    <t>前回見通</t>
    <phoneticPr fontId="3" type="noConversion"/>
  </si>
  <si>
    <t>計画差異</t>
    <phoneticPr fontId="3" type="noConversion"/>
  </si>
  <si>
    <t>予算差異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</si>
</sst>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#,##0_);[Red]\(#,##0\)"/>
    <numFmt numFmtId="178" formatCode="0.0%"/>
    <numFmt numFmtId="179" formatCode="0%;[Red]\-0%"/>
    <numFmt numFmtId="180" formatCode="#,##0_ "/>
    <numFmt numFmtId="181" formatCode="\+0.0%"/>
    <numFmt numFmtId="182" formatCode="\ e/m/d\ h:mm:ss"/>
    <numFmt numFmtId="183" formatCode="_ * #,##0_ ;_ * \-#,##0_ ;_ * &quot;-&quot;??_ ;_ @_ "/>
  </numFmts>
  <fonts count="59">
    <font>
      <sz val="11"/>
      <name val="ＭＳ Ｐゴシック"/>
      <family val="2"/>
    </font>
    <font>
      <sz val="11"/>
      <name val="ＭＳ Ｐゴシック"/>
      <family val="2"/>
    </font>
    <font>
      <sz val="10"/>
      <name val="ＭＳ Ｐゴシック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MS Sans Serif"/>
      <family val="2"/>
    </font>
    <font>
      <sz val="12"/>
      <name val="仿宋_GB2312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.5"/>
      <name val="ＭＳ Ｐゴシック"/>
      <family val="2"/>
    </font>
    <font>
      <b/>
      <sz val="12"/>
      <color indexed="8"/>
      <name val="Arial"/>
      <family val="2"/>
    </font>
    <font>
      <b/>
      <sz val="12"/>
      <name val="ＭＳ Ｐゴシック"/>
      <family val="2"/>
    </font>
    <font>
      <sz val="10.5"/>
      <name val="ＭＳ Ｐゴシック"/>
      <family val="2"/>
    </font>
    <font>
      <sz val="9"/>
      <name val="宋体"/>
      <family val="3"/>
      <charset val="134"/>
    </font>
    <font>
      <sz val="10"/>
      <name val="ＭＳ Ｐゴシック"/>
      <family val="2"/>
    </font>
    <font>
      <sz val="11"/>
      <color indexed="8"/>
      <name val="宋体"/>
      <family val="3"/>
      <charset val="134"/>
    </font>
    <font>
      <sz val="10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ＭＳ Ｐゴシック"/>
      <family val="2"/>
    </font>
    <font>
      <sz val="10"/>
      <name val="ＭＳ Ｐゴシック"/>
      <family val="2"/>
    </font>
    <font>
      <sz val="10"/>
      <color indexed="8"/>
      <name val="ＭＳ Ｐゴシック"/>
      <family val="2"/>
    </font>
    <font>
      <sz val="10"/>
      <name val="ＭＳ Ｐゴシック"/>
      <family val="2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10.5"/>
      <name val="ＭＳ Ｐゴシック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ＭＳ Ｐゴシック"/>
      <family val="2"/>
    </font>
    <font>
      <sz val="9"/>
      <name val="Meiryo UI"/>
      <family val="2"/>
      <charset val="128"/>
    </font>
    <font>
      <sz val="11"/>
      <name val="Meiryo UI"/>
      <family val="2"/>
      <charset val="128"/>
    </font>
    <font>
      <b/>
      <sz val="12"/>
      <name val="Meiryo UI"/>
      <family val="2"/>
      <charset val="128"/>
    </font>
    <font>
      <sz val="12"/>
      <name val="Meiryo UI"/>
      <family val="2"/>
      <charset val="128"/>
    </font>
    <font>
      <sz val="10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name val="Meiryo UI"/>
      <family val="2"/>
      <charset val="128"/>
    </font>
    <font>
      <b/>
      <sz val="12"/>
      <color indexed="8"/>
      <name val="Meiryo UI"/>
      <family val="2"/>
      <charset val="128"/>
    </font>
    <font>
      <sz val="12"/>
      <color indexed="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11"/>
      <color indexed="8"/>
      <name val="宋体"/>
      <family val="3"/>
      <charset val="134"/>
    </font>
    <font>
      <b/>
      <sz val="12"/>
      <color indexed="8"/>
      <name val="Meiryo UI"/>
      <family val="2"/>
      <charset val="128"/>
    </font>
    <font>
      <sz val="12"/>
      <color indexed="8"/>
      <name val="Meiryo UI"/>
      <family val="2"/>
      <charset val="128"/>
    </font>
    <font>
      <b/>
      <sz val="10"/>
      <color indexed="8"/>
      <name val="Meiryo UI"/>
      <family val="2"/>
      <charset val="128"/>
    </font>
    <font>
      <sz val="10.5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MS UI Gothic"/>
      <family val="2"/>
    </font>
    <font>
      <b/>
      <sz val="10"/>
      <color theme="1"/>
      <name val="Meiryo UI"/>
      <family val="2"/>
      <charset val="128"/>
    </font>
    <font>
      <b/>
      <sz val="14"/>
      <color theme="0"/>
      <name val="Meiryo UI"/>
      <family val="2"/>
      <charset val="128"/>
    </font>
    <font>
      <sz val="10"/>
      <color theme="0"/>
      <name val="Meiryo UI"/>
      <family val="2"/>
      <charset val="128"/>
    </font>
    <font>
      <b/>
      <sz val="10"/>
      <color theme="0"/>
      <name val="Meiryo UI"/>
      <family val="2"/>
    </font>
    <font>
      <sz val="10"/>
      <color theme="0"/>
      <name val="Meiryo UI"/>
      <family val="2"/>
    </font>
    <font>
      <b/>
      <sz val="10"/>
      <color theme="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/>
      <bottom style="thick">
        <color indexed="10"/>
      </bottom>
      <diagonal/>
    </border>
    <border>
      <left style="thin">
        <color indexed="64"/>
      </left>
      <right style="thin">
        <color indexed="64"/>
      </right>
      <top/>
      <bottom style="thick">
        <color indexed="10"/>
      </bottom>
      <diagonal/>
    </border>
    <border>
      <left style="thin">
        <color indexed="64"/>
      </left>
      <right style="thick">
        <color indexed="10"/>
      </right>
      <top/>
      <bottom style="thick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 style="thin">
        <color indexed="64"/>
      </bottom>
      <diagonal/>
    </border>
    <border>
      <left style="thin">
        <color indexed="64"/>
      </left>
      <right/>
      <top style="thick">
        <color indexed="10"/>
      </top>
      <bottom style="thin">
        <color indexed="64"/>
      </bottom>
      <diagonal/>
    </border>
    <border>
      <left style="thick">
        <color indexed="10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10"/>
      </right>
      <top style="thin">
        <color indexed="64"/>
      </top>
      <bottom/>
      <diagonal/>
    </border>
    <border>
      <left style="thick">
        <color indexed="10"/>
      </left>
      <right/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3436">
    <xf numFmtId="0" fontId="0" fillId="0" borderId="0"/>
    <xf numFmtId="0" fontId="12" fillId="0" borderId="0"/>
    <xf numFmtId="49" fontId="13" fillId="0" borderId="0">
      <alignment vertical="center"/>
    </xf>
    <xf numFmtId="49" fontId="48" fillId="0" borderId="0">
      <alignment vertical="center"/>
    </xf>
    <xf numFmtId="49" fontId="13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29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16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9" fontId="48" fillId="0" borderId="0">
      <alignment vertical="center"/>
    </xf>
    <xf numFmtId="4" fontId="14" fillId="3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" fillId="0" borderId="0"/>
    <xf numFmtId="0" fontId="49" fillId="0" borderId="0">
      <alignment vertical="center"/>
    </xf>
    <xf numFmtId="0" fontId="49" fillId="0" borderId="0">
      <alignment vertical="center"/>
    </xf>
    <xf numFmtId="0" fontId="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9" fillId="0" borderId="0">
      <alignment vertical="center"/>
    </xf>
    <xf numFmtId="0" fontId="5" fillId="0" borderId="0"/>
    <xf numFmtId="0" fontId="4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>
      <alignment vertical="center"/>
    </xf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>
      <alignment vertical="center"/>
    </xf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6" fontId="4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144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15" fillId="0" borderId="0" xfId="0" applyFont="1" applyFill="1"/>
    <xf numFmtId="177" fontId="20" fillId="0" borderId="2" xfId="2634" applyNumberFormat="1" applyFont="1" applyFill="1" applyBorder="1" applyAlignment="1">
      <alignment shrinkToFit="1"/>
    </xf>
    <xf numFmtId="177" fontId="18" fillId="0" borderId="2" xfId="3400" applyNumberFormat="1" applyFont="1" applyFill="1" applyBorder="1" applyAlignment="1">
      <alignment shrinkToFit="1"/>
    </xf>
    <xf numFmtId="177" fontId="20" fillId="0" borderId="3" xfId="3400" applyNumberFormat="1" applyFont="1" applyFill="1" applyBorder="1" applyAlignment="1">
      <alignment shrinkToFit="1"/>
    </xf>
    <xf numFmtId="177" fontId="18" fillId="0" borderId="4" xfId="3400" applyNumberFormat="1" applyFont="1" applyFill="1" applyBorder="1" applyAlignment="1">
      <alignment shrinkToFit="1"/>
    </xf>
    <xf numFmtId="177" fontId="18" fillId="0" borderId="2" xfId="0" applyNumberFormat="1" applyFont="1" applyFill="1" applyBorder="1" applyAlignment="1">
      <alignment wrapText="1"/>
    </xf>
    <xf numFmtId="177" fontId="18" fillId="0" borderId="5" xfId="3400" applyNumberFormat="1" applyFont="1" applyFill="1" applyBorder="1" applyAlignment="1">
      <alignment shrinkToFit="1"/>
    </xf>
    <xf numFmtId="177" fontId="18" fillId="0" borderId="3" xfId="0" applyNumberFormat="1" applyFont="1" applyFill="1" applyBorder="1" applyAlignment="1">
      <alignment wrapText="1"/>
    </xf>
    <xf numFmtId="177" fontId="20" fillId="0" borderId="3" xfId="2634" applyNumberFormat="1" applyFont="1" applyFill="1" applyBorder="1" applyAlignment="1">
      <alignment shrinkToFit="1"/>
    </xf>
    <xf numFmtId="177" fontId="20" fillId="0" borderId="2" xfId="3400" applyNumberFormat="1" applyFont="1" applyFill="1" applyBorder="1" applyAlignment="1">
      <alignment shrinkToFit="1"/>
    </xf>
    <xf numFmtId="177" fontId="18" fillId="0" borderId="6" xfId="3400" applyNumberFormat="1" applyFont="1" applyFill="1" applyBorder="1" applyAlignment="1">
      <alignment shrinkToFit="1"/>
    </xf>
    <xf numFmtId="177" fontId="18" fillId="0" borderId="7" xfId="3400" applyNumberFormat="1" applyFont="1" applyFill="1" applyBorder="1" applyAlignment="1">
      <alignment shrinkToFit="1"/>
    </xf>
    <xf numFmtId="177" fontId="20" fillId="0" borderId="6" xfId="3400" applyNumberFormat="1" applyFont="1" applyFill="1" applyBorder="1" applyAlignment="1">
      <alignment shrinkToFit="1"/>
    </xf>
    <xf numFmtId="177" fontId="20" fillId="0" borderId="7" xfId="0" applyNumberFormat="1" applyFont="1" applyFill="1" applyBorder="1" applyAlignment="1"/>
    <xf numFmtId="177" fontId="18" fillId="0" borderId="8" xfId="3400" applyNumberFormat="1" applyFont="1" applyFill="1" applyBorder="1" applyAlignment="1">
      <alignment shrinkToFit="1"/>
    </xf>
    <xf numFmtId="177" fontId="20" fillId="0" borderId="9" xfId="2634" applyNumberFormat="1" applyFont="1" applyFill="1" applyBorder="1" applyAlignment="1">
      <alignment shrinkToFit="1"/>
    </xf>
    <xf numFmtId="177" fontId="20" fillId="0" borderId="10" xfId="2634" applyNumberFormat="1" applyFont="1" applyFill="1" applyBorder="1" applyAlignment="1">
      <alignment shrinkToFit="1"/>
    </xf>
    <xf numFmtId="177" fontId="20" fillId="0" borderId="11" xfId="2634" applyNumberFormat="1" applyFont="1" applyFill="1" applyBorder="1" applyAlignment="1">
      <alignment shrinkToFit="1"/>
    </xf>
    <xf numFmtId="177" fontId="18" fillId="0" borderId="12" xfId="0" applyNumberFormat="1" applyFont="1" applyFill="1" applyBorder="1" applyAlignment="1">
      <alignment wrapText="1"/>
    </xf>
    <xf numFmtId="177" fontId="18" fillId="0" borderId="13" xfId="0" applyNumberFormat="1" applyFont="1" applyFill="1" applyBorder="1" applyAlignment="1">
      <alignment wrapText="1"/>
    </xf>
    <xf numFmtId="177" fontId="18" fillId="0" borderId="14" xfId="0" applyNumberFormat="1" applyFont="1" applyFill="1" applyBorder="1" applyAlignment="1">
      <alignment wrapText="1"/>
    </xf>
    <xf numFmtId="177" fontId="18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18" fillId="0" borderId="15" xfId="0" applyNumberFormat="1" applyFont="1" applyFill="1" applyBorder="1" applyAlignment="1">
      <alignment wrapText="1"/>
    </xf>
    <xf numFmtId="177" fontId="20" fillId="0" borderId="16" xfId="3400" applyNumberFormat="1" applyFont="1" applyFill="1" applyBorder="1" applyAlignment="1">
      <alignment shrinkToFit="1"/>
    </xf>
    <xf numFmtId="177" fontId="20" fillId="0" borderId="17" xfId="3400" applyNumberFormat="1" applyFont="1" applyFill="1" applyBorder="1" applyAlignment="1">
      <alignment shrinkToFit="1"/>
    </xf>
    <xf numFmtId="177" fontId="20" fillId="0" borderId="11" xfId="3400" applyNumberFormat="1" applyFont="1" applyFill="1" applyBorder="1" applyAlignment="1">
      <alignment shrinkToFit="1"/>
    </xf>
    <xf numFmtId="177" fontId="18" fillId="0" borderId="18" xfId="3400" applyNumberFormat="1" applyFont="1" applyFill="1" applyBorder="1" applyAlignment="1">
      <alignment shrinkToFit="1"/>
    </xf>
    <xf numFmtId="177" fontId="18" fillId="0" borderId="19" xfId="3400" applyNumberFormat="1" applyFont="1" applyFill="1" applyBorder="1" applyAlignment="1">
      <alignment shrinkToFit="1"/>
    </xf>
    <xf numFmtId="177" fontId="20" fillId="0" borderId="8" xfId="3400" applyNumberFormat="1" applyFont="1" applyFill="1" applyBorder="1" applyAlignment="1">
      <alignment shrinkToFit="1"/>
    </xf>
    <xf numFmtId="177" fontId="20" fillId="0" borderId="7" xfId="3400" applyNumberFormat="1" applyFont="1" applyFill="1" applyBorder="1" applyAlignment="1">
      <alignment shrinkToFit="1"/>
    </xf>
    <xf numFmtId="177" fontId="20" fillId="0" borderId="20" xfId="3400" applyNumberFormat="1" applyFont="1" applyFill="1" applyBorder="1" applyAlignment="1">
      <alignment shrinkToFit="1"/>
    </xf>
    <xf numFmtId="177" fontId="20" fillId="0" borderId="21" xfId="3400" applyNumberFormat="1" applyFont="1" applyFill="1" applyBorder="1" applyAlignment="1">
      <alignment shrinkToFit="1"/>
    </xf>
    <xf numFmtId="177" fontId="20" fillId="0" borderId="22" xfId="3400" applyNumberFormat="1" applyFont="1" applyFill="1" applyBorder="1" applyAlignment="1">
      <alignment shrinkToFit="1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81" fontId="20" fillId="0" borderId="2" xfId="2634" applyNumberFormat="1" applyFont="1" applyFill="1" applyBorder="1" applyAlignment="1">
      <alignment shrinkToFit="1"/>
    </xf>
    <xf numFmtId="181" fontId="18" fillId="0" borderId="23" xfId="0" applyNumberFormat="1" applyFont="1" applyFill="1" applyBorder="1" applyAlignment="1">
      <alignment wrapText="1"/>
    </xf>
    <xf numFmtId="0" fontId="0" fillId="5" borderId="0" xfId="0" applyFill="1"/>
    <xf numFmtId="0" fontId="2" fillId="5" borderId="24" xfId="0" applyFont="1" applyFill="1" applyBorder="1" applyAlignment="1">
      <alignment horizontal="right" wrapText="1"/>
    </xf>
    <xf numFmtId="0" fontId="2" fillId="5" borderId="4" xfId="0" applyFont="1" applyFill="1" applyBorder="1" applyAlignment="1">
      <alignment horizontal="left" wrapText="1"/>
    </xf>
    <xf numFmtId="0" fontId="2" fillId="5" borderId="3" xfId="0" applyFont="1" applyFill="1" applyBorder="1"/>
    <xf numFmtId="0" fontId="2" fillId="5" borderId="15" xfId="0" applyFont="1" applyFill="1" applyBorder="1"/>
    <xf numFmtId="0" fontId="2" fillId="5" borderId="23" xfId="0" applyFont="1" applyFill="1" applyBorder="1"/>
    <xf numFmtId="0" fontId="2" fillId="5" borderId="25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177" fontId="2" fillId="5" borderId="24" xfId="3400" applyNumberFormat="1" applyFont="1" applyFill="1" applyBorder="1" applyAlignment="1">
      <alignment shrinkToFit="1"/>
    </xf>
    <xf numFmtId="177" fontId="20" fillId="5" borderId="24" xfId="3400" applyNumberFormat="1" applyFont="1" applyFill="1" applyBorder="1" applyAlignment="1">
      <alignment shrinkToFit="1"/>
    </xf>
    <xf numFmtId="0" fontId="2" fillId="5" borderId="4" xfId="0" applyFont="1" applyFill="1" applyBorder="1"/>
    <xf numFmtId="0" fontId="2" fillId="5" borderId="26" xfId="0" applyFont="1" applyFill="1" applyBorder="1" applyAlignment="1">
      <alignment horizontal="center" vertical="center"/>
    </xf>
    <xf numFmtId="177" fontId="2" fillId="5" borderId="5" xfId="3400" applyNumberFormat="1" applyFont="1" applyFill="1" applyBorder="1" applyAlignment="1">
      <alignment horizontal="left" shrinkToFit="1"/>
    </xf>
    <xf numFmtId="177" fontId="2" fillId="5" borderId="4" xfId="3400" applyNumberFormat="1" applyFont="1" applyFill="1" applyBorder="1" applyAlignment="1">
      <alignment horizontal="left" shrinkToFit="1"/>
    </xf>
    <xf numFmtId="0" fontId="2" fillId="6" borderId="2" xfId="0" applyFont="1" applyFill="1" applyBorder="1"/>
    <xf numFmtId="177" fontId="23" fillId="5" borderId="24" xfId="2634" applyNumberFormat="1" applyFont="1" applyFill="1" applyBorder="1" applyAlignment="1">
      <alignment shrinkToFit="1"/>
    </xf>
    <xf numFmtId="177" fontId="24" fillId="5" borderId="24" xfId="3400" applyNumberFormat="1" applyFont="1" applyFill="1" applyBorder="1" applyAlignment="1">
      <alignment shrinkToFit="1"/>
    </xf>
    <xf numFmtId="177" fontId="23" fillId="5" borderId="27" xfId="3400" applyNumberFormat="1" applyFont="1" applyFill="1" applyBorder="1" applyAlignment="1">
      <alignment shrinkToFit="1"/>
    </xf>
    <xf numFmtId="177" fontId="25" fillId="5" borderId="24" xfId="2634" applyNumberFormat="1" applyFont="1" applyFill="1" applyBorder="1" applyAlignment="1">
      <alignment shrinkToFit="1"/>
    </xf>
    <xf numFmtId="177" fontId="26" fillId="5" borderId="28" xfId="3400" applyNumberFormat="1" applyFont="1" applyFill="1" applyBorder="1" applyAlignment="1">
      <alignment shrinkToFit="1"/>
    </xf>
    <xf numFmtId="177" fontId="25" fillId="5" borderId="27" xfId="3400" applyNumberFormat="1" applyFont="1" applyFill="1" applyBorder="1" applyAlignment="1">
      <alignment shrinkToFit="1"/>
    </xf>
    <xf numFmtId="177" fontId="25" fillId="5" borderId="27" xfId="2634" applyNumberFormat="1" applyFont="1" applyFill="1" applyBorder="1" applyAlignment="1">
      <alignment shrinkToFit="1"/>
    </xf>
    <xf numFmtId="177" fontId="26" fillId="5" borderId="25" xfId="3400" applyNumberFormat="1" applyFont="1" applyFill="1" applyBorder="1" applyAlignment="1">
      <alignment shrinkToFit="1"/>
    </xf>
    <xf numFmtId="177" fontId="26" fillId="5" borderId="24" xfId="3400" applyNumberFormat="1" applyFont="1" applyFill="1" applyBorder="1" applyAlignment="1">
      <alignment shrinkToFit="1"/>
    </xf>
    <xf numFmtId="177" fontId="26" fillId="5" borderId="29" xfId="3400" applyNumberFormat="1" applyFont="1" applyFill="1" applyBorder="1" applyAlignment="1">
      <alignment shrinkToFit="1"/>
    </xf>
    <xf numFmtId="177" fontId="25" fillId="0" borderId="24" xfId="2634" applyNumberFormat="1" applyFont="1" applyFill="1" applyBorder="1" applyAlignment="1">
      <alignment shrinkToFit="1"/>
    </xf>
    <xf numFmtId="177" fontId="26" fillId="0" borderId="24" xfId="3400" applyNumberFormat="1" applyFont="1" applyFill="1" applyBorder="1" applyAlignment="1">
      <alignment shrinkToFi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38" fontId="2" fillId="5" borderId="4" xfId="0" applyNumberFormat="1" applyFont="1" applyFill="1" applyBorder="1" applyAlignment="1">
      <alignment horizontal="left"/>
    </xf>
    <xf numFmtId="0" fontId="2" fillId="4" borderId="2" xfId="0" applyFont="1" applyFill="1" applyBorder="1"/>
    <xf numFmtId="177" fontId="0" fillId="0" borderId="0" xfId="0" applyNumberFormat="1"/>
    <xf numFmtId="0" fontId="32" fillId="5" borderId="0" xfId="0" applyFont="1" applyFill="1"/>
    <xf numFmtId="0" fontId="33" fillId="5" borderId="0" xfId="0" applyFont="1" applyFill="1" applyAlignment="1">
      <alignment horizontal="center" vertical="center"/>
    </xf>
    <xf numFmtId="0" fontId="34" fillId="5" borderId="0" xfId="0" applyFont="1" applyFill="1"/>
    <xf numFmtId="0" fontId="34" fillId="0" borderId="0" xfId="0" applyFont="1"/>
    <xf numFmtId="0" fontId="36" fillId="5" borderId="0" xfId="0" applyFont="1" applyFill="1" applyAlignment="1">
      <alignment vertical="center"/>
    </xf>
    <xf numFmtId="0" fontId="36" fillId="5" borderId="0" xfId="0" applyFont="1" applyFill="1"/>
    <xf numFmtId="0" fontId="36" fillId="0" borderId="0" xfId="0" applyFont="1"/>
    <xf numFmtId="0" fontId="36" fillId="5" borderId="3" xfId="0" applyFont="1" applyFill="1" applyBorder="1" applyAlignment="1">
      <alignment vertical="center"/>
    </xf>
    <xf numFmtId="0" fontId="36" fillId="5" borderId="23" xfId="0" applyFont="1" applyFill="1" applyBorder="1" applyAlignment="1">
      <alignment vertical="center"/>
    </xf>
    <xf numFmtId="0" fontId="45" fillId="5" borderId="2" xfId="0" applyFont="1" applyFill="1" applyBorder="1" applyAlignment="1">
      <alignment horizontal="center" vertical="center"/>
    </xf>
    <xf numFmtId="0" fontId="36" fillId="6" borderId="0" xfId="0" applyFont="1" applyFill="1" applyBorder="1" applyAlignment="1">
      <alignment vertical="center"/>
    </xf>
    <xf numFmtId="0" fontId="46" fillId="5" borderId="0" xfId="0" applyFont="1" applyFill="1" applyBorder="1" applyAlignment="1">
      <alignment horizontal="center" vertical="center"/>
    </xf>
    <xf numFmtId="0" fontId="36" fillId="5" borderId="25" xfId="0" applyFont="1" applyFill="1" applyBorder="1" applyAlignment="1">
      <alignment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vertical="center"/>
    </xf>
    <xf numFmtId="0" fontId="36" fillId="4" borderId="0" xfId="0" applyFont="1" applyFill="1" applyBorder="1"/>
    <xf numFmtId="0" fontId="45" fillId="4" borderId="27" xfId="0" applyFont="1" applyFill="1" applyBorder="1" applyAlignment="1">
      <alignment vertical="center"/>
    </xf>
    <xf numFmtId="0" fontId="45" fillId="4" borderId="30" xfId="0" applyFont="1" applyFill="1" applyBorder="1" applyAlignment="1">
      <alignment horizontal="center" vertical="center"/>
    </xf>
    <xf numFmtId="178" fontId="45" fillId="4" borderId="2" xfId="0" applyNumberFormat="1" applyFont="1" applyFill="1" applyBorder="1" applyAlignment="1">
      <alignment vertical="center"/>
    </xf>
    <xf numFmtId="178" fontId="36" fillId="5" borderId="2" xfId="0" applyNumberFormat="1" applyFont="1" applyFill="1" applyBorder="1" applyAlignment="1">
      <alignment vertical="center"/>
    </xf>
    <xf numFmtId="178" fontId="36" fillId="5" borderId="2" xfId="586" applyNumberFormat="1" applyFont="1" applyFill="1" applyBorder="1">
      <alignment vertical="center"/>
    </xf>
    <xf numFmtId="178" fontId="45" fillId="4" borderId="2" xfId="586" applyNumberFormat="1" applyFont="1" applyFill="1" applyBorder="1">
      <alignment vertical="center"/>
    </xf>
    <xf numFmtId="0" fontId="45" fillId="4" borderId="30" xfId="0" applyFont="1" applyFill="1" applyBorder="1" applyAlignment="1">
      <alignment vertical="center"/>
    </xf>
    <xf numFmtId="178" fontId="45" fillId="6" borderId="2" xfId="586" applyNumberFormat="1" applyFont="1" applyFill="1" applyBorder="1">
      <alignment vertical="center"/>
    </xf>
    <xf numFmtId="0" fontId="35" fillId="4" borderId="0" xfId="0" applyFont="1" applyFill="1"/>
    <xf numFmtId="0" fontId="36" fillId="6" borderId="2" xfId="0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 wrapText="1"/>
    </xf>
    <xf numFmtId="177" fontId="40" fillId="6" borderId="2" xfId="2634" applyNumberFormat="1" applyFont="1" applyFill="1" applyBorder="1" applyAlignment="1">
      <alignment vertical="center" shrinkToFit="1"/>
    </xf>
    <xf numFmtId="177" fontId="40" fillId="6" borderId="23" xfId="2634" applyNumberFormat="1" applyFont="1" applyFill="1" applyBorder="1" applyAlignment="1">
      <alignment vertical="center" shrinkToFit="1"/>
    </xf>
    <xf numFmtId="177" fontId="35" fillId="6" borderId="2" xfId="3400" applyNumberFormat="1" applyFont="1" applyFill="1" applyBorder="1" applyAlignment="1">
      <alignment vertical="center" shrinkToFit="1"/>
    </xf>
    <xf numFmtId="177" fontId="35" fillId="6" borderId="5" xfId="3400" applyNumberFormat="1" applyFont="1" applyFill="1" applyBorder="1" applyAlignment="1">
      <alignment vertical="center" shrinkToFit="1"/>
    </xf>
    <xf numFmtId="177" fontId="35" fillId="6" borderId="23" xfId="3400" applyNumberFormat="1" applyFont="1" applyFill="1" applyBorder="1" applyAlignment="1">
      <alignment vertical="center" shrinkToFit="1"/>
    </xf>
    <xf numFmtId="0" fontId="36" fillId="5" borderId="4" xfId="0" applyFont="1" applyFill="1" applyBorder="1" applyAlignment="1">
      <alignment horizontal="center" vertical="center" wrapText="1"/>
    </xf>
    <xf numFmtId="0" fontId="36" fillId="5" borderId="24" xfId="0" applyFont="1" applyFill="1" applyBorder="1" applyAlignment="1">
      <alignment horizontal="center" vertical="center" wrapText="1"/>
    </xf>
    <xf numFmtId="0" fontId="36" fillId="6" borderId="23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/>
    </xf>
    <xf numFmtId="0" fontId="36" fillId="5" borderId="0" xfId="0" applyFont="1" applyFill="1" applyBorder="1" applyAlignment="1">
      <alignment horizontal="center" vertical="center" wrapText="1"/>
    </xf>
    <xf numFmtId="177" fontId="35" fillId="5" borderId="0" xfId="3400" applyNumberFormat="1" applyFont="1" applyFill="1" applyBorder="1" applyAlignment="1">
      <alignment vertical="center" shrinkToFit="1"/>
    </xf>
    <xf numFmtId="177" fontId="40" fillId="5" borderId="0" xfId="3400" applyNumberFormat="1" applyFont="1" applyFill="1" applyBorder="1" applyAlignment="1">
      <alignment vertical="center" shrinkToFit="1"/>
    </xf>
    <xf numFmtId="177" fontId="40" fillId="5" borderId="0" xfId="0" applyNumberFormat="1" applyFont="1" applyFill="1" applyBorder="1" applyAlignment="1">
      <alignment vertical="center"/>
    </xf>
    <xf numFmtId="177" fontId="36" fillId="5" borderId="4" xfId="3400" applyNumberFormat="1" applyFont="1" applyFill="1" applyBorder="1" applyAlignment="1">
      <alignment vertical="center" shrinkToFit="1"/>
    </xf>
    <xf numFmtId="177" fontId="36" fillId="5" borderId="5" xfId="3400" applyNumberFormat="1" applyFont="1" applyFill="1" applyBorder="1" applyAlignment="1">
      <alignment vertical="center" shrinkToFit="1"/>
    </xf>
    <xf numFmtId="177" fontId="36" fillId="5" borderId="26" xfId="3400" applyNumberFormat="1" applyFont="1" applyFill="1" applyBorder="1" applyAlignment="1">
      <alignment vertical="center" shrinkToFit="1"/>
    </xf>
    <xf numFmtId="177" fontId="36" fillId="5" borderId="24" xfId="3400" applyNumberFormat="1" applyFont="1" applyFill="1" applyBorder="1" applyAlignment="1">
      <alignment vertical="center" shrinkToFit="1"/>
    </xf>
    <xf numFmtId="177" fontId="41" fillId="5" borderId="27" xfId="3400" applyNumberFormat="1" applyFont="1" applyFill="1" applyBorder="1" applyAlignment="1">
      <alignment vertical="center" shrinkToFit="1"/>
    </xf>
    <xf numFmtId="177" fontId="41" fillId="5" borderId="24" xfId="3400" applyNumberFormat="1" applyFont="1" applyFill="1" applyBorder="1" applyAlignment="1">
      <alignment vertical="center" shrinkToFit="1"/>
    </xf>
    <xf numFmtId="177" fontId="36" fillId="6" borderId="4" xfId="3400" applyNumberFormat="1" applyFont="1" applyFill="1" applyBorder="1" applyAlignment="1">
      <alignment vertical="center" shrinkToFit="1"/>
    </xf>
    <xf numFmtId="177" fontId="41" fillId="5" borderId="4" xfId="3400" applyNumberFormat="1" applyFont="1" applyFill="1" applyBorder="1" applyAlignment="1">
      <alignment vertical="center" shrinkToFit="1"/>
    </xf>
    <xf numFmtId="177" fontId="41" fillId="5" borderId="4" xfId="0" applyNumberFormat="1" applyFont="1" applyFill="1" applyBorder="1" applyAlignment="1">
      <alignment vertical="center"/>
    </xf>
    <xf numFmtId="177" fontId="41" fillId="5" borderId="31" xfId="3400" applyNumberFormat="1" applyFont="1" applyFill="1" applyBorder="1" applyAlignment="1">
      <alignment vertical="center" shrinkToFit="1"/>
    </xf>
    <xf numFmtId="177" fontId="41" fillId="5" borderId="24" xfId="0" applyNumberFormat="1" applyFont="1" applyFill="1" applyBorder="1" applyAlignment="1">
      <alignment vertical="center"/>
    </xf>
    <xf numFmtId="177" fontId="41" fillId="5" borderId="29" xfId="3400" applyNumberFormat="1" applyFont="1" applyFill="1" applyBorder="1" applyAlignment="1">
      <alignment vertical="center" shrinkToFit="1"/>
    </xf>
    <xf numFmtId="177" fontId="36" fillId="6" borderId="24" xfId="3400" applyNumberFormat="1" applyFont="1" applyFill="1" applyBorder="1" applyAlignment="1">
      <alignment vertical="center" shrinkToFit="1"/>
    </xf>
    <xf numFmtId="177" fontId="41" fillId="6" borderId="24" xfId="3400" applyNumberFormat="1" applyFont="1" applyFill="1" applyBorder="1" applyAlignment="1">
      <alignment vertical="center" shrinkToFit="1"/>
    </xf>
    <xf numFmtId="177" fontId="36" fillId="5" borderId="27" xfId="3400" applyNumberFormat="1" applyFont="1" applyFill="1" applyBorder="1" applyAlignment="1">
      <alignment vertical="center" shrinkToFit="1"/>
    </xf>
    <xf numFmtId="177" fontId="36" fillId="5" borderId="3" xfId="3400" applyNumberFormat="1" applyFont="1" applyFill="1" applyBorder="1" applyAlignment="1">
      <alignment vertical="center" shrinkToFit="1"/>
    </xf>
    <xf numFmtId="0" fontId="36" fillId="5" borderId="3" xfId="0" applyFont="1" applyFill="1" applyBorder="1" applyAlignment="1">
      <alignment horizontal="center" vertical="center"/>
    </xf>
    <xf numFmtId="177" fontId="41" fillId="6" borderId="3" xfId="2634" applyNumberFormat="1" applyFont="1" applyFill="1" applyBorder="1" applyAlignment="1">
      <alignment vertical="center" shrinkToFit="1"/>
    </xf>
    <xf numFmtId="177" fontId="36" fillId="6" borderId="5" xfId="3400" applyNumberFormat="1" applyFont="1" applyFill="1" applyBorder="1" applyAlignment="1">
      <alignment vertical="center" shrinkToFit="1"/>
    </xf>
    <xf numFmtId="177" fontId="36" fillId="6" borderId="27" xfId="3400" applyNumberFormat="1" applyFont="1" applyFill="1" applyBorder="1" applyAlignment="1">
      <alignment vertical="center" shrinkToFit="1"/>
    </xf>
    <xf numFmtId="177" fontId="41" fillId="6" borderId="27" xfId="3400" applyNumberFormat="1" applyFont="1" applyFill="1" applyBorder="1" applyAlignment="1">
      <alignment vertical="center" shrinkToFit="1"/>
    </xf>
    <xf numFmtId="177" fontId="36" fillId="5" borderId="29" xfId="3400" applyNumberFormat="1" applyFont="1" applyFill="1" applyBorder="1" applyAlignment="1">
      <alignment vertical="center" shrinkToFit="1"/>
    </xf>
    <xf numFmtId="177" fontId="41" fillId="6" borderId="2" xfId="2634" applyNumberFormat="1" applyFont="1" applyFill="1" applyBorder="1" applyAlignment="1">
      <alignment vertical="center" shrinkToFit="1"/>
    </xf>
    <xf numFmtId="0" fontId="42" fillId="5" borderId="0" xfId="0" applyFont="1" applyFill="1" applyAlignment="1"/>
    <xf numFmtId="0" fontId="34" fillId="4" borderId="0" xfId="0" applyFont="1" applyFill="1"/>
    <xf numFmtId="0" fontId="34" fillId="5" borderId="0" xfId="0" applyFont="1" applyFill="1" applyAlignment="1"/>
    <xf numFmtId="0" fontId="37" fillId="0" borderId="2" xfId="0" applyFont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38" fontId="38" fillId="6" borderId="2" xfId="2634" applyFont="1" applyFill="1" applyBorder="1" applyAlignment="1" applyProtection="1">
      <alignment horizontal="center" vertical="center" shrinkToFit="1"/>
    </xf>
    <xf numFmtId="38" fontId="38" fillId="7" borderId="32" xfId="2634" applyFont="1" applyFill="1" applyBorder="1" applyAlignment="1" applyProtection="1">
      <alignment horizontal="center" vertical="center" shrinkToFit="1"/>
    </xf>
    <xf numFmtId="38" fontId="38" fillId="6" borderId="23" xfId="2634" applyFont="1" applyFill="1" applyBorder="1" applyAlignment="1" applyProtection="1">
      <alignment horizontal="center" vertical="center" shrinkToFit="1"/>
    </xf>
    <xf numFmtId="0" fontId="37" fillId="5" borderId="4" xfId="0" applyFont="1" applyFill="1" applyBorder="1" applyAlignment="1">
      <alignment wrapText="1"/>
    </xf>
    <xf numFmtId="177" fontId="39" fillId="5" borderId="4" xfId="3400" applyNumberFormat="1" applyFont="1" applyFill="1" applyBorder="1" applyAlignment="1">
      <alignment shrinkToFit="1"/>
    </xf>
    <xf numFmtId="177" fontId="38" fillId="5" borderId="5" xfId="3400" applyNumberFormat="1" applyFont="1" applyFill="1" applyBorder="1" applyAlignment="1">
      <alignment shrinkToFit="1"/>
    </xf>
    <xf numFmtId="177" fontId="38" fillId="5" borderId="5" xfId="3400" applyNumberFormat="1" applyFont="1" applyFill="1" applyBorder="1" applyAlignment="1">
      <alignment shrinkToFit="1"/>
    </xf>
    <xf numFmtId="177" fontId="38" fillId="5" borderId="4" xfId="3400" applyNumberFormat="1" applyFont="1" applyFill="1" applyBorder="1" applyAlignment="1">
      <alignment shrinkToFit="1"/>
    </xf>
    <xf numFmtId="177" fontId="38" fillId="5" borderId="33" xfId="3400" applyNumberFormat="1" applyFont="1" applyFill="1" applyBorder="1" applyAlignment="1">
      <alignment shrinkToFit="1"/>
    </xf>
    <xf numFmtId="177" fontId="38" fillId="5" borderId="31" xfId="3400" applyNumberFormat="1" applyFont="1" applyFill="1" applyBorder="1" applyAlignment="1">
      <alignment shrinkToFit="1"/>
    </xf>
    <xf numFmtId="177" fontId="38" fillId="5" borderId="4" xfId="0" applyNumberFormat="1" applyFont="1" applyFill="1" applyBorder="1" applyAlignment="1"/>
    <xf numFmtId="177" fontId="38" fillId="5" borderId="5" xfId="0" applyNumberFormat="1" applyFont="1" applyFill="1" applyBorder="1" applyAlignment="1"/>
    <xf numFmtId="0" fontId="37" fillId="0" borderId="24" xfId="0" applyFont="1" applyFill="1" applyBorder="1" applyAlignment="1">
      <alignment wrapText="1"/>
    </xf>
    <xf numFmtId="177" fontId="38" fillId="0" borderId="24" xfId="2634" applyNumberFormat="1" applyFont="1" applyFill="1" applyBorder="1" applyAlignment="1">
      <alignment shrinkToFit="1"/>
    </xf>
    <xf numFmtId="177" fontId="38" fillId="5" borderId="24" xfId="2634" applyNumberFormat="1" applyFont="1" applyFill="1" applyBorder="1" applyAlignment="1">
      <alignment shrinkToFit="1"/>
    </xf>
    <xf numFmtId="177" fontId="38" fillId="5" borderId="24" xfId="2634" applyNumberFormat="1" applyFont="1" applyFill="1" applyBorder="1" applyAlignment="1">
      <alignment shrinkToFit="1"/>
    </xf>
    <xf numFmtId="177" fontId="38" fillId="5" borderId="27" xfId="2634" applyNumberFormat="1" applyFont="1" applyFill="1" applyBorder="1" applyAlignment="1">
      <alignment shrinkToFit="1"/>
    </xf>
    <xf numFmtId="177" fontId="38" fillId="5" borderId="34" xfId="2634" applyNumberFormat="1" applyFont="1" applyFill="1" applyBorder="1" applyAlignment="1">
      <alignment shrinkToFit="1"/>
    </xf>
    <xf numFmtId="177" fontId="38" fillId="5" borderId="29" xfId="2634" applyNumberFormat="1" applyFont="1" applyFill="1" applyBorder="1" applyAlignment="1">
      <alignment shrinkToFit="1"/>
    </xf>
    <xf numFmtId="178" fontId="39" fillId="5" borderId="4" xfId="586" applyNumberFormat="1" applyFont="1" applyFill="1" applyBorder="1" applyAlignment="1">
      <alignment horizontal="left" shrinkToFit="1"/>
    </xf>
    <xf numFmtId="178" fontId="38" fillId="5" borderId="5" xfId="586" applyNumberFormat="1" applyFont="1" applyFill="1" applyBorder="1" applyAlignment="1">
      <alignment horizontal="left" shrinkToFit="1"/>
    </xf>
    <xf numFmtId="178" fontId="38" fillId="5" borderId="5" xfId="586" applyNumberFormat="1" applyFont="1" applyFill="1" applyBorder="1" applyAlignment="1">
      <alignment horizontal="left" shrinkToFit="1"/>
    </xf>
    <xf numFmtId="178" fontId="38" fillId="5" borderId="4" xfId="586" applyNumberFormat="1" applyFont="1" applyFill="1" applyBorder="1" applyAlignment="1">
      <alignment horizontal="left" shrinkToFit="1"/>
    </xf>
    <xf numFmtId="178" fontId="38" fillId="5" borderId="33" xfId="586" applyNumberFormat="1" applyFont="1" applyFill="1" applyBorder="1" applyAlignment="1">
      <alignment horizontal="left" shrinkToFit="1"/>
    </xf>
    <xf numFmtId="178" fontId="38" fillId="5" borderId="31" xfId="586" applyNumberFormat="1" applyFont="1" applyFill="1" applyBorder="1" applyAlignment="1">
      <alignment horizontal="left" shrinkToFit="1"/>
    </xf>
    <xf numFmtId="178" fontId="38" fillId="5" borderId="4" xfId="586" applyNumberFormat="1" applyFont="1" applyFill="1" applyBorder="1" applyAlignment="1">
      <alignment horizontal="left"/>
    </xf>
    <xf numFmtId="177" fontId="39" fillId="0" borderId="24" xfId="3400" applyNumberFormat="1" applyFont="1" applyFill="1" applyBorder="1" applyAlignment="1">
      <alignment shrinkToFit="1"/>
    </xf>
    <xf numFmtId="177" fontId="39" fillId="5" borderId="24" xfId="3400" applyNumberFormat="1" applyFont="1" applyFill="1" applyBorder="1" applyAlignment="1">
      <alignment shrinkToFit="1"/>
    </xf>
    <xf numFmtId="177" fontId="39" fillId="5" borderId="28" xfId="3400" applyNumberFormat="1" applyFont="1" applyFill="1" applyBorder="1" applyAlignment="1">
      <alignment shrinkToFit="1"/>
    </xf>
    <xf numFmtId="177" fontId="39" fillId="5" borderId="25" xfId="3400" applyNumberFormat="1" applyFont="1" applyFill="1" applyBorder="1" applyAlignment="1">
      <alignment shrinkToFit="1"/>
    </xf>
    <xf numFmtId="177" fontId="39" fillId="5" borderId="34" xfId="3400" applyNumberFormat="1" applyFont="1" applyFill="1" applyBorder="1" applyAlignment="1">
      <alignment shrinkToFit="1"/>
    </xf>
    <xf numFmtId="177" fontId="39" fillId="5" borderId="29" xfId="3400" applyNumberFormat="1" applyFont="1" applyFill="1" applyBorder="1" applyAlignment="1">
      <alignment shrinkToFit="1"/>
    </xf>
    <xf numFmtId="177" fontId="39" fillId="5" borderId="24" xfId="3400" applyNumberFormat="1" applyFont="1" applyFill="1" applyBorder="1" applyAlignment="1">
      <alignment shrinkToFit="1"/>
    </xf>
    <xf numFmtId="178" fontId="39" fillId="5" borderId="4" xfId="3400" applyNumberFormat="1" applyFont="1" applyFill="1" applyBorder="1" applyAlignment="1">
      <alignment horizontal="left" shrinkToFit="1"/>
    </xf>
    <xf numFmtId="178" fontId="38" fillId="5" borderId="5" xfId="3400" applyNumberFormat="1" applyFont="1" applyFill="1" applyBorder="1" applyAlignment="1">
      <alignment horizontal="left" shrinkToFit="1"/>
    </xf>
    <xf numFmtId="178" fontId="38" fillId="5" borderId="5" xfId="3400" applyNumberFormat="1" applyFont="1" applyFill="1" applyBorder="1" applyAlignment="1">
      <alignment horizontal="left" shrinkToFit="1"/>
    </xf>
    <xf numFmtId="178" fontId="38" fillId="5" borderId="4" xfId="3400" applyNumberFormat="1" applyFont="1" applyFill="1" applyBorder="1" applyAlignment="1">
      <alignment horizontal="left" shrinkToFit="1"/>
    </xf>
    <xf numFmtId="178" fontId="38" fillId="5" borderId="33" xfId="3400" applyNumberFormat="1" applyFont="1" applyFill="1" applyBorder="1" applyAlignment="1">
      <alignment horizontal="left" shrinkToFit="1"/>
    </xf>
    <xf numFmtId="178" fontId="38" fillId="5" borderId="31" xfId="3400" applyNumberFormat="1" applyFont="1" applyFill="1" applyBorder="1" applyAlignment="1">
      <alignment horizontal="left" shrinkToFit="1"/>
    </xf>
    <xf numFmtId="178" fontId="38" fillId="5" borderId="4" xfId="0" applyNumberFormat="1" applyFont="1" applyFill="1" applyBorder="1" applyAlignment="1">
      <alignment horizontal="left"/>
    </xf>
    <xf numFmtId="177" fontId="38" fillId="5" borderId="27" xfId="3400" applyNumberFormat="1" applyFont="1" applyFill="1" applyBorder="1" applyAlignment="1">
      <alignment shrinkToFit="1"/>
    </xf>
    <xf numFmtId="177" fontId="38" fillId="5" borderId="27" xfId="3400" applyNumberFormat="1" applyFont="1" applyFill="1" applyBorder="1" applyAlignment="1">
      <alignment shrinkToFit="1"/>
    </xf>
    <xf numFmtId="177" fontId="38" fillId="5" borderId="24" xfId="3400" applyNumberFormat="1" applyFont="1" applyFill="1" applyBorder="1" applyAlignment="1">
      <alignment shrinkToFit="1"/>
    </xf>
    <xf numFmtId="177" fontId="38" fillId="5" borderId="34" xfId="3400" applyNumberFormat="1" applyFont="1" applyFill="1" applyBorder="1" applyAlignment="1">
      <alignment shrinkToFit="1"/>
    </xf>
    <xf numFmtId="177" fontId="38" fillId="5" borderId="29" xfId="3400" applyNumberFormat="1" applyFont="1" applyFill="1" applyBorder="1" applyAlignment="1">
      <alignment shrinkToFit="1"/>
    </xf>
    <xf numFmtId="177" fontId="38" fillId="5" borderId="24" xfId="0" applyNumberFormat="1" applyFont="1" applyFill="1" applyBorder="1" applyAlignment="1"/>
    <xf numFmtId="178" fontId="39" fillId="5" borderId="28" xfId="3400" applyNumberFormat="1" applyFont="1" applyFill="1" applyBorder="1" applyAlignment="1">
      <alignment horizontal="left" shrinkToFit="1"/>
    </xf>
    <xf numFmtId="178" fontId="38" fillId="5" borderId="25" xfId="3400" applyNumberFormat="1" applyFont="1" applyFill="1" applyBorder="1" applyAlignment="1">
      <alignment horizontal="left" shrinkToFit="1"/>
    </xf>
    <xf numFmtId="178" fontId="38" fillId="5" borderId="25" xfId="3400" applyNumberFormat="1" applyFont="1" applyFill="1" applyBorder="1" applyAlignment="1">
      <alignment horizontal="left" shrinkToFit="1"/>
    </xf>
    <xf numFmtId="178" fontId="38" fillId="5" borderId="28" xfId="3400" applyNumberFormat="1" applyFont="1" applyFill="1" applyBorder="1" applyAlignment="1">
      <alignment horizontal="left" shrinkToFit="1"/>
    </xf>
    <xf numFmtId="178" fontId="38" fillId="5" borderId="35" xfId="3400" applyNumberFormat="1" applyFont="1" applyFill="1" applyBorder="1" applyAlignment="1">
      <alignment horizontal="left" shrinkToFit="1"/>
    </xf>
    <xf numFmtId="178" fontId="38" fillId="5" borderId="36" xfId="3400" applyNumberFormat="1" applyFont="1" applyFill="1" applyBorder="1" applyAlignment="1">
      <alignment horizontal="left" shrinkToFit="1"/>
    </xf>
    <xf numFmtId="178" fontId="38" fillId="5" borderId="28" xfId="0" applyNumberFormat="1" applyFont="1" applyFill="1" applyBorder="1" applyAlignment="1">
      <alignment horizontal="left"/>
    </xf>
    <xf numFmtId="0" fontId="37" fillId="5" borderId="0" xfId="0" applyFont="1" applyFill="1" applyBorder="1"/>
    <xf numFmtId="177" fontId="38" fillId="5" borderId="25" xfId="3400" applyNumberFormat="1" applyFont="1" applyFill="1" applyBorder="1" applyAlignment="1">
      <alignment shrinkToFit="1"/>
    </xf>
    <xf numFmtId="177" fontId="38" fillId="5" borderId="28" xfId="3400" applyNumberFormat="1" applyFont="1" applyFill="1" applyBorder="1" applyAlignment="1">
      <alignment shrinkToFit="1"/>
    </xf>
    <xf numFmtId="177" fontId="38" fillId="5" borderId="35" xfId="3400" applyNumberFormat="1" applyFont="1" applyFill="1" applyBorder="1" applyAlignment="1">
      <alignment shrinkToFit="1"/>
    </xf>
    <xf numFmtId="177" fontId="38" fillId="5" borderId="36" xfId="3400" applyNumberFormat="1" applyFont="1" applyFill="1" applyBorder="1" applyAlignment="1">
      <alignment shrinkToFit="1"/>
    </xf>
    <xf numFmtId="177" fontId="38" fillId="5" borderId="28" xfId="0" applyNumberFormat="1" applyFont="1" applyFill="1" applyBorder="1" applyAlignment="1"/>
    <xf numFmtId="0" fontId="37" fillId="5" borderId="0" xfId="0" applyFont="1" applyFill="1" applyBorder="1" applyAlignment="1">
      <alignment vertical="center"/>
    </xf>
    <xf numFmtId="0" fontId="37" fillId="0" borderId="28" xfId="0" applyFont="1" applyFill="1" applyBorder="1" applyAlignment="1">
      <alignment wrapText="1"/>
    </xf>
    <xf numFmtId="178" fontId="47" fillId="8" borderId="4" xfId="3400" applyNumberFormat="1" applyFont="1" applyFill="1" applyBorder="1" applyAlignment="1">
      <alignment horizontal="left" shrinkToFit="1"/>
    </xf>
    <xf numFmtId="178" fontId="47" fillId="8" borderId="33" xfId="3400" applyNumberFormat="1" applyFont="1" applyFill="1" applyBorder="1" applyAlignment="1">
      <alignment horizontal="left" shrinkToFit="1"/>
    </xf>
    <xf numFmtId="178" fontId="47" fillId="8" borderId="31" xfId="3400" applyNumberFormat="1" applyFont="1" applyFill="1" applyBorder="1" applyAlignment="1">
      <alignment horizontal="left" shrinkToFit="1"/>
    </xf>
    <xf numFmtId="177" fontId="47" fillId="8" borderId="24" xfId="0" applyNumberFormat="1" applyFont="1" applyFill="1" applyBorder="1" applyAlignment="1"/>
    <xf numFmtId="177" fontId="47" fillId="8" borderId="34" xfId="0" applyNumberFormat="1" applyFont="1" applyFill="1" applyBorder="1" applyAlignment="1"/>
    <xf numFmtId="177" fontId="47" fillId="8" borderId="29" xfId="0" applyNumberFormat="1" applyFont="1" applyFill="1" applyBorder="1" applyAlignment="1"/>
    <xf numFmtId="177" fontId="37" fillId="5" borderId="0" xfId="0" applyNumberFormat="1" applyFont="1" applyFill="1" applyBorder="1"/>
    <xf numFmtId="178" fontId="38" fillId="4" borderId="5" xfId="3400" applyNumberFormat="1" applyFont="1" applyFill="1" applyBorder="1" applyAlignment="1">
      <alignment horizontal="left" shrinkToFit="1"/>
    </xf>
    <xf numFmtId="177" fontId="47" fillId="4" borderId="24" xfId="3400" applyNumberFormat="1" applyFont="1" applyFill="1" applyBorder="1" applyAlignment="1">
      <alignment shrinkToFit="1"/>
    </xf>
    <xf numFmtId="177" fontId="38" fillId="4" borderId="24" xfId="3400" applyNumberFormat="1" applyFont="1" applyFill="1" applyBorder="1" applyAlignment="1">
      <alignment shrinkToFit="1"/>
    </xf>
    <xf numFmtId="177" fontId="38" fillId="4" borderId="29" xfId="3400" applyNumberFormat="1" applyFont="1" applyFill="1" applyBorder="1" applyAlignment="1">
      <alignment shrinkToFit="1"/>
    </xf>
    <xf numFmtId="0" fontId="37" fillId="0" borderId="2" xfId="0" applyFont="1" applyFill="1" applyBorder="1" applyAlignment="1">
      <alignment wrapText="1"/>
    </xf>
    <xf numFmtId="177" fontId="38" fillId="9" borderId="2" xfId="0" applyNumberFormat="1" applyFont="1" applyFill="1" applyBorder="1" applyAlignment="1"/>
    <xf numFmtId="177" fontId="38" fillId="9" borderId="32" xfId="0" applyNumberFormat="1" applyFont="1" applyFill="1" applyBorder="1" applyAlignment="1"/>
    <xf numFmtId="177" fontId="38" fillId="9" borderId="23" xfId="0" applyNumberFormat="1" applyFont="1" applyFill="1" applyBorder="1" applyAlignment="1"/>
    <xf numFmtId="177" fontId="34" fillId="5" borderId="0" xfId="0" applyNumberFormat="1" applyFont="1" applyFill="1"/>
    <xf numFmtId="0" fontId="37" fillId="5" borderId="0" xfId="0" applyFont="1" applyFill="1"/>
    <xf numFmtId="177" fontId="38" fillId="5" borderId="4" xfId="3400" applyNumberFormat="1" applyFont="1" applyFill="1" applyBorder="1" applyAlignment="1">
      <alignment shrinkToFit="1"/>
    </xf>
    <xf numFmtId="177" fontId="38" fillId="5" borderId="33" xfId="0" applyNumberFormat="1" applyFont="1" applyFill="1" applyBorder="1" applyAlignment="1"/>
    <xf numFmtId="178" fontId="38" fillId="5" borderId="4" xfId="586" applyNumberFormat="1" applyFont="1" applyFill="1" applyBorder="1" applyAlignment="1">
      <alignment horizontal="left" shrinkToFit="1"/>
    </xf>
    <xf numFmtId="178" fontId="39" fillId="5" borderId="4" xfId="586" applyNumberFormat="1" applyFont="1" applyFill="1" applyBorder="1" applyAlignment="1">
      <alignment horizontal="left" shrinkToFit="1"/>
    </xf>
    <xf numFmtId="178" fontId="39" fillId="5" borderId="5" xfId="586" applyNumberFormat="1" applyFont="1" applyFill="1" applyBorder="1" applyAlignment="1">
      <alignment horizontal="left" shrinkToFit="1"/>
    </xf>
    <xf numFmtId="177" fontId="39" fillId="5" borderId="24" xfId="0" applyNumberFormat="1" applyFont="1" applyFill="1" applyBorder="1" applyAlignment="1"/>
    <xf numFmtId="178" fontId="39" fillId="5" borderId="35" xfId="3400" applyNumberFormat="1" applyFont="1" applyFill="1" applyBorder="1" applyAlignment="1">
      <alignment horizontal="left" shrinkToFit="1"/>
    </xf>
    <xf numFmtId="178" fontId="39" fillId="5" borderId="36" xfId="3400" applyNumberFormat="1" applyFont="1" applyFill="1" applyBorder="1" applyAlignment="1">
      <alignment horizontal="left" shrinkToFit="1"/>
    </xf>
    <xf numFmtId="177" fontId="39" fillId="5" borderId="28" xfId="0" applyNumberFormat="1" applyFont="1" applyFill="1" applyBorder="1" applyAlignment="1"/>
    <xf numFmtId="177" fontId="39" fillId="4" borderId="24" xfId="3400" applyNumberFormat="1" applyFont="1" applyFill="1" applyBorder="1" applyAlignment="1">
      <alignment shrinkToFit="1"/>
    </xf>
    <xf numFmtId="177" fontId="38" fillId="5" borderId="2" xfId="2634" applyNumberFormat="1" applyFont="1" applyFill="1" applyBorder="1" applyAlignment="1">
      <alignment shrinkToFit="1"/>
    </xf>
    <xf numFmtId="177" fontId="38" fillId="5" borderId="32" xfId="2634" applyNumberFormat="1" applyFont="1" applyFill="1" applyBorder="1" applyAlignment="1">
      <alignment shrinkToFit="1"/>
    </xf>
    <xf numFmtId="177" fontId="38" fillId="5" borderId="23" xfId="2634" applyNumberFormat="1" applyFont="1" applyFill="1" applyBorder="1" applyAlignment="1">
      <alignment shrinkToFit="1"/>
    </xf>
    <xf numFmtId="38" fontId="34" fillId="5" borderId="0" xfId="0" applyNumberFormat="1" applyFont="1" applyFill="1"/>
    <xf numFmtId="177" fontId="39" fillId="5" borderId="2" xfId="3400" applyNumberFormat="1" applyFont="1" applyFill="1" applyBorder="1" applyAlignment="1">
      <alignment shrinkToFit="1"/>
    </xf>
    <xf numFmtId="177" fontId="39" fillId="5" borderId="4" xfId="3400" applyNumberFormat="1" applyFont="1" applyFill="1" applyBorder="1" applyAlignment="1">
      <alignment shrinkToFit="1"/>
    </xf>
    <xf numFmtId="177" fontId="39" fillId="5" borderId="5" xfId="3400" applyNumberFormat="1" applyFont="1" applyFill="1" applyBorder="1" applyAlignment="1">
      <alignment shrinkToFit="1"/>
    </xf>
    <xf numFmtId="177" fontId="39" fillId="5" borderId="32" xfId="3400" applyNumberFormat="1" applyFont="1" applyFill="1" applyBorder="1" applyAlignment="1">
      <alignment shrinkToFit="1"/>
    </xf>
    <xf numFmtId="177" fontId="39" fillId="5" borderId="23" xfId="3400" applyNumberFormat="1" applyFont="1" applyFill="1" applyBorder="1" applyAlignment="1">
      <alignment shrinkToFit="1"/>
    </xf>
    <xf numFmtId="0" fontId="37" fillId="5" borderId="4" xfId="0" applyFont="1" applyFill="1" applyBorder="1" applyAlignment="1">
      <alignment wrapText="1"/>
    </xf>
    <xf numFmtId="177" fontId="38" fillId="5" borderId="31" xfId="0" applyNumberFormat="1" applyFont="1" applyFill="1" applyBorder="1" applyAlignment="1"/>
    <xf numFmtId="0" fontId="37" fillId="5" borderId="24" xfId="0" applyFont="1" applyFill="1" applyBorder="1" applyAlignment="1">
      <alignment wrapText="1"/>
    </xf>
    <xf numFmtId="177" fontId="38" fillId="5" borderId="29" xfId="0" applyNumberFormat="1" applyFont="1" applyFill="1" applyBorder="1" applyAlignment="1"/>
    <xf numFmtId="0" fontId="37" fillId="5" borderId="2" xfId="0" applyFont="1" applyFill="1" applyBorder="1" applyAlignment="1">
      <alignment wrapText="1"/>
    </xf>
    <xf numFmtId="177" fontId="38" fillId="5" borderId="3" xfId="3400" applyNumberFormat="1" applyFont="1" applyFill="1" applyBorder="1" applyAlignment="1">
      <alignment shrinkToFit="1"/>
    </xf>
    <xf numFmtId="177" fontId="38" fillId="5" borderId="3" xfId="3400" applyNumberFormat="1" applyFont="1" applyFill="1" applyBorder="1" applyAlignment="1">
      <alignment shrinkToFit="1"/>
    </xf>
    <xf numFmtId="177" fontId="38" fillId="5" borderId="2" xfId="3400" applyNumberFormat="1" applyFont="1" applyFill="1" applyBorder="1" applyAlignment="1">
      <alignment shrinkToFit="1"/>
    </xf>
    <xf numFmtId="177" fontId="38" fillId="5" borderId="32" xfId="3400" applyNumberFormat="1" applyFont="1" applyFill="1" applyBorder="1" applyAlignment="1">
      <alignment shrinkToFit="1"/>
    </xf>
    <xf numFmtId="177" fontId="38" fillId="5" borderId="23" xfId="3400" applyNumberFormat="1" applyFont="1" applyFill="1" applyBorder="1" applyAlignment="1">
      <alignment shrinkToFit="1"/>
    </xf>
    <xf numFmtId="177" fontId="38" fillId="5" borderId="2" xfId="0" applyNumberFormat="1" applyFont="1" applyFill="1" applyBorder="1" applyAlignment="1"/>
    <xf numFmtId="177" fontId="38" fillId="8" borderId="31" xfId="3400" applyNumberFormat="1" applyFont="1" applyFill="1" applyBorder="1" applyAlignment="1">
      <alignment shrinkToFit="1"/>
    </xf>
    <xf numFmtId="177" fontId="38" fillId="8" borderId="33" xfId="3400" applyNumberFormat="1" applyFont="1" applyFill="1" applyBorder="1" applyAlignment="1">
      <alignment shrinkToFit="1"/>
    </xf>
    <xf numFmtId="177" fontId="38" fillId="8" borderId="29" xfId="3400" applyNumberFormat="1" applyFont="1" applyFill="1" applyBorder="1" applyAlignment="1">
      <alignment shrinkToFit="1"/>
    </xf>
    <xf numFmtId="177" fontId="38" fillId="8" borderId="34" xfId="3400" applyNumberFormat="1" applyFont="1" applyFill="1" applyBorder="1" applyAlignment="1">
      <alignment shrinkToFit="1"/>
    </xf>
    <xf numFmtId="0" fontId="37" fillId="0" borderId="2" xfId="0" applyFont="1" applyFill="1" applyBorder="1" applyAlignment="1">
      <alignment horizontal="left" wrapText="1"/>
    </xf>
    <xf numFmtId="177" fontId="39" fillId="4" borderId="4" xfId="3400" applyNumberFormat="1" applyFont="1" applyFill="1" applyBorder="1" applyAlignment="1">
      <alignment shrinkToFit="1"/>
    </xf>
    <xf numFmtId="177" fontId="38" fillId="4" borderId="31" xfId="3400" applyNumberFormat="1" applyFont="1" applyFill="1" applyBorder="1" applyAlignment="1">
      <alignment shrinkToFit="1"/>
    </xf>
    <xf numFmtId="0" fontId="37" fillId="6" borderId="4" xfId="0" applyFont="1" applyFill="1" applyBorder="1" applyAlignment="1">
      <alignment wrapText="1"/>
    </xf>
    <xf numFmtId="177" fontId="38" fillId="5" borderId="2" xfId="3400" applyNumberFormat="1" applyFont="1" applyFill="1" applyBorder="1" applyAlignment="1">
      <alignment shrinkToFit="1"/>
    </xf>
    <xf numFmtId="0" fontId="37" fillId="6" borderId="24" xfId="0" applyFont="1" applyFill="1" applyBorder="1" applyAlignment="1">
      <alignment wrapText="1"/>
    </xf>
    <xf numFmtId="177" fontId="38" fillId="5" borderId="27" xfId="0" applyNumberFormat="1" applyFont="1" applyFill="1" applyBorder="1" applyAlignment="1"/>
    <xf numFmtId="177" fontId="38" fillId="5" borderId="32" xfId="0" applyNumberFormat="1" applyFont="1" applyFill="1" applyBorder="1" applyAlignment="1"/>
    <xf numFmtId="177" fontId="38" fillId="5" borderId="23" xfId="0" applyNumberFormat="1" applyFont="1" applyFill="1" applyBorder="1" applyAlignment="1"/>
    <xf numFmtId="177" fontId="38" fillId="8" borderId="2" xfId="0" applyNumberFormat="1" applyFont="1" applyFill="1" applyBorder="1" applyAlignment="1"/>
    <xf numFmtId="177" fontId="38" fillId="8" borderId="32" xfId="0" applyNumberFormat="1" applyFont="1" applyFill="1" applyBorder="1" applyAlignment="1"/>
    <xf numFmtId="177" fontId="38" fillId="8" borderId="23" xfId="0" applyNumberFormat="1" applyFont="1" applyFill="1" applyBorder="1" applyAlignment="1"/>
    <xf numFmtId="177" fontId="39" fillId="10" borderId="2" xfId="3400" applyNumberFormat="1" applyFont="1" applyFill="1" applyBorder="1" applyAlignment="1">
      <alignment shrinkToFit="1"/>
    </xf>
    <xf numFmtId="0" fontId="37" fillId="5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left" vertical="center"/>
    </xf>
    <xf numFmtId="0" fontId="37" fillId="5" borderId="0" xfId="0" applyFont="1" applyFill="1" applyBorder="1" applyAlignment="1">
      <alignment wrapText="1"/>
    </xf>
    <xf numFmtId="38" fontId="39" fillId="5" borderId="0" xfId="3400" applyFont="1" applyFill="1" applyBorder="1" applyAlignment="1">
      <alignment vertical="center" shrinkToFit="1"/>
    </xf>
    <xf numFmtId="38" fontId="38" fillId="5" borderId="0" xfId="3400" applyFont="1" applyFill="1" applyBorder="1" applyAlignment="1">
      <alignment vertical="center" shrinkToFit="1"/>
    </xf>
    <xf numFmtId="38" fontId="38" fillId="5" borderId="0" xfId="3400" applyFont="1" applyFill="1" applyBorder="1" applyAlignment="1">
      <alignment vertical="center" shrinkToFit="1"/>
    </xf>
    <xf numFmtId="178" fontId="39" fillId="5" borderId="4" xfId="3400" applyNumberFormat="1" applyFont="1" applyFill="1" applyBorder="1" applyAlignment="1">
      <alignment horizontal="left" shrinkToFit="1"/>
    </xf>
    <xf numFmtId="178" fontId="39" fillId="5" borderId="33" xfId="3400" applyNumberFormat="1" applyFont="1" applyFill="1" applyBorder="1" applyAlignment="1">
      <alignment horizontal="left" shrinkToFit="1"/>
    </xf>
    <xf numFmtId="178" fontId="39" fillId="5" borderId="31" xfId="3400" applyNumberFormat="1" applyFont="1" applyFill="1" applyBorder="1" applyAlignment="1">
      <alignment horizontal="left" shrinkToFit="1"/>
    </xf>
    <xf numFmtId="177" fontId="38" fillId="5" borderId="37" xfId="2634" applyNumberFormat="1" applyFont="1" applyFill="1" applyBorder="1" applyAlignment="1">
      <alignment shrinkToFit="1"/>
    </xf>
    <xf numFmtId="177" fontId="39" fillId="5" borderId="37" xfId="3400" applyNumberFormat="1" applyFont="1" applyFill="1" applyBorder="1" applyAlignment="1">
      <alignment shrinkToFit="1"/>
    </xf>
    <xf numFmtId="177" fontId="38" fillId="5" borderId="37" xfId="3400" applyNumberFormat="1" applyFont="1" applyFill="1" applyBorder="1" applyAlignment="1">
      <alignment shrinkToFit="1"/>
    </xf>
    <xf numFmtId="177" fontId="38" fillId="5" borderId="38" xfId="3400" applyNumberFormat="1" applyFont="1" applyFill="1" applyBorder="1" applyAlignment="1">
      <alignment shrinkToFit="1"/>
    </xf>
    <xf numFmtId="0" fontId="37" fillId="5" borderId="2" xfId="0" applyFont="1" applyFill="1" applyBorder="1" applyAlignment="1"/>
    <xf numFmtId="9" fontId="38" fillId="5" borderId="2" xfId="2634" applyNumberFormat="1" applyFont="1" applyFill="1" applyBorder="1" applyAlignment="1">
      <alignment shrinkToFit="1"/>
    </xf>
    <xf numFmtId="9" fontId="38" fillId="5" borderId="24" xfId="2634" applyNumberFormat="1" applyFont="1" applyFill="1" applyBorder="1" applyAlignment="1">
      <alignment shrinkToFit="1"/>
    </xf>
    <xf numFmtId="9" fontId="38" fillId="5" borderId="27" xfId="2634" applyNumberFormat="1" applyFont="1" applyFill="1" applyBorder="1" applyAlignment="1">
      <alignment shrinkToFit="1"/>
    </xf>
    <xf numFmtId="9" fontId="38" fillId="5" borderId="39" xfId="2634" applyNumberFormat="1" applyFont="1" applyFill="1" applyBorder="1" applyAlignment="1">
      <alignment shrinkToFit="1"/>
    </xf>
    <xf numFmtId="9" fontId="38" fillId="5" borderId="23" xfId="2634" applyNumberFormat="1" applyFont="1" applyFill="1" applyBorder="1" applyAlignment="1">
      <alignment shrinkToFit="1"/>
    </xf>
    <xf numFmtId="9" fontId="38" fillId="5" borderId="4" xfId="2634" applyNumberFormat="1" applyFont="1" applyFill="1" applyBorder="1" applyAlignment="1">
      <alignment shrinkToFit="1"/>
    </xf>
    <xf numFmtId="9" fontId="38" fillId="5" borderId="5" xfId="2634" applyNumberFormat="1" applyFont="1" applyFill="1" applyBorder="1" applyAlignment="1">
      <alignment shrinkToFit="1"/>
    </xf>
    <xf numFmtId="9" fontId="38" fillId="6" borderId="2" xfId="2634" applyNumberFormat="1" applyFont="1" applyFill="1" applyBorder="1" applyAlignment="1">
      <alignment shrinkToFit="1"/>
    </xf>
    <xf numFmtId="9" fontId="38" fillId="5" borderId="3" xfId="2634" applyNumberFormat="1" applyFont="1" applyFill="1" applyBorder="1" applyAlignment="1">
      <alignment shrinkToFit="1"/>
    </xf>
    <xf numFmtId="9" fontId="39" fillId="5" borderId="3" xfId="0" applyNumberFormat="1" applyFont="1" applyFill="1" applyBorder="1" applyAlignment="1"/>
    <xf numFmtId="9" fontId="39" fillId="5" borderId="2" xfId="0" applyNumberFormat="1" applyFont="1" applyFill="1" applyBorder="1" applyAlignment="1"/>
    <xf numFmtId="9" fontId="39" fillId="5" borderId="39" xfId="0" applyNumberFormat="1" applyFont="1" applyFill="1" applyBorder="1" applyAlignment="1"/>
    <xf numFmtId="9" fontId="38" fillId="5" borderId="23" xfId="3400" applyNumberFormat="1" applyFont="1" applyFill="1" applyBorder="1" applyAlignment="1">
      <alignment shrinkToFit="1"/>
    </xf>
    <xf numFmtId="9" fontId="38" fillId="5" borderId="2" xfId="3400" applyNumberFormat="1" applyFont="1" applyFill="1" applyBorder="1" applyAlignment="1">
      <alignment shrinkToFit="1"/>
    </xf>
    <xf numFmtId="9" fontId="38" fillId="5" borderId="32" xfId="2634" applyNumberFormat="1" applyFont="1" applyFill="1" applyBorder="1" applyAlignment="1">
      <alignment shrinkToFit="1"/>
    </xf>
    <xf numFmtId="9" fontId="38" fillId="5" borderId="15" xfId="2634" applyNumberFormat="1" applyFont="1" applyFill="1" applyBorder="1" applyAlignment="1">
      <alignment shrinkToFit="1"/>
    </xf>
    <xf numFmtId="9" fontId="38" fillId="4" borderId="2" xfId="2634" applyNumberFormat="1" applyFont="1" applyFill="1" applyBorder="1" applyAlignment="1">
      <alignment shrinkToFit="1"/>
    </xf>
    <xf numFmtId="178" fontId="38" fillId="5" borderId="4" xfId="2634" applyNumberFormat="1" applyFont="1" applyFill="1" applyBorder="1" applyAlignment="1">
      <alignment horizontal="left" vertical="top" shrinkToFit="1"/>
    </xf>
    <xf numFmtId="178" fontId="38" fillId="5" borderId="5" xfId="2634" applyNumberFormat="1" applyFont="1" applyFill="1" applyBorder="1" applyAlignment="1">
      <alignment horizontal="left" vertical="top" shrinkToFit="1"/>
    </xf>
    <xf numFmtId="178" fontId="39" fillId="5" borderId="25" xfId="0" applyNumberFormat="1" applyFont="1" applyFill="1" applyBorder="1" applyAlignment="1">
      <alignment horizontal="left" vertical="top"/>
    </xf>
    <xf numFmtId="178" fontId="39" fillId="5" borderId="4" xfId="0" applyNumberFormat="1" applyFont="1" applyFill="1" applyBorder="1" applyAlignment="1">
      <alignment horizontal="left" vertical="top"/>
    </xf>
    <xf numFmtId="178" fontId="39" fillId="5" borderId="40" xfId="0" applyNumberFormat="1" applyFont="1" applyFill="1" applyBorder="1" applyAlignment="1">
      <alignment horizontal="left" vertical="top"/>
    </xf>
    <xf numFmtId="178" fontId="38" fillId="5" borderId="31" xfId="3400" applyNumberFormat="1" applyFont="1" applyFill="1" applyBorder="1" applyAlignment="1">
      <alignment horizontal="left" vertical="top" shrinkToFit="1"/>
    </xf>
    <xf numFmtId="178" fontId="38" fillId="5" borderId="4" xfId="3400" applyNumberFormat="1" applyFont="1" applyFill="1" applyBorder="1" applyAlignment="1">
      <alignment horizontal="left" vertical="top" shrinkToFit="1"/>
    </xf>
    <xf numFmtId="178" fontId="39" fillId="5" borderId="31" xfId="3400" applyNumberFormat="1" applyFont="1" applyFill="1" applyBorder="1" applyAlignment="1">
      <alignment horizontal="left" vertical="top" shrinkToFit="1"/>
    </xf>
    <xf numFmtId="178" fontId="39" fillId="10" borderId="31" xfId="3400" applyNumberFormat="1" applyFont="1" applyFill="1" applyBorder="1" applyAlignment="1">
      <alignment horizontal="left" vertical="top" shrinkToFit="1"/>
    </xf>
    <xf numFmtId="178" fontId="39" fillId="5" borderId="40" xfId="3400" applyNumberFormat="1" applyFont="1" applyFill="1" applyBorder="1" applyAlignment="1">
      <alignment horizontal="left" vertical="top" shrinkToFit="1"/>
    </xf>
    <xf numFmtId="178" fontId="39" fillId="5" borderId="4" xfId="3400" applyNumberFormat="1" applyFont="1" applyFill="1" applyBorder="1" applyAlignment="1">
      <alignment horizontal="left" vertical="top" shrinkToFit="1"/>
    </xf>
    <xf numFmtId="9" fontId="38" fillId="5" borderId="15" xfId="3400" applyNumberFormat="1" applyFont="1" applyFill="1" applyBorder="1" applyAlignment="1">
      <alignment shrinkToFit="1"/>
    </xf>
    <xf numFmtId="9" fontId="38" fillId="5" borderId="3" xfId="3400" applyNumberFormat="1" applyFont="1" applyFill="1" applyBorder="1" applyAlignment="1">
      <alignment shrinkToFit="1"/>
    </xf>
    <xf numFmtId="0" fontId="37" fillId="5" borderId="4" xfId="0" applyFont="1" applyFill="1" applyBorder="1" applyAlignment="1"/>
    <xf numFmtId="178" fontId="38" fillId="5" borderId="4" xfId="2634" applyNumberFormat="1" applyFont="1" applyFill="1" applyBorder="1" applyAlignment="1">
      <alignment horizontal="left" shrinkToFit="1"/>
    </xf>
    <xf numFmtId="178" fontId="38" fillId="5" borderId="5" xfId="2634" applyNumberFormat="1" applyFont="1" applyFill="1" applyBorder="1" applyAlignment="1">
      <alignment horizontal="left" shrinkToFit="1"/>
    </xf>
    <xf numFmtId="178" fontId="38" fillId="5" borderId="40" xfId="2634" applyNumberFormat="1" applyFont="1" applyFill="1" applyBorder="1" applyAlignment="1">
      <alignment horizontal="left" shrinkToFit="1"/>
    </xf>
    <xf numFmtId="178" fontId="38" fillId="5" borderId="26" xfId="2634" applyNumberFormat="1" applyFont="1" applyFill="1" applyBorder="1" applyAlignment="1">
      <alignment horizontal="left" shrinkToFit="1"/>
    </xf>
    <xf numFmtId="9" fontId="34" fillId="5" borderId="0" xfId="0" applyNumberFormat="1" applyFont="1" applyFill="1"/>
    <xf numFmtId="178" fontId="38" fillId="5" borderId="31" xfId="2634" applyNumberFormat="1" applyFont="1" applyFill="1" applyBorder="1" applyAlignment="1">
      <alignment horizontal="left" shrinkToFit="1"/>
    </xf>
    <xf numFmtId="0" fontId="37" fillId="5" borderId="28" xfId="0" applyFont="1" applyFill="1" applyBorder="1" applyAlignment="1">
      <alignment wrapText="1"/>
    </xf>
    <xf numFmtId="180" fontId="34" fillId="5" borderId="0" xfId="0" applyNumberFormat="1" applyFont="1" applyFill="1"/>
    <xf numFmtId="177" fontId="39" fillId="5" borderId="40" xfId="3400" applyNumberFormat="1" applyFont="1" applyFill="1" applyBorder="1" applyAlignment="1">
      <alignment shrinkToFit="1"/>
    </xf>
    <xf numFmtId="177" fontId="39" fillId="5" borderId="26" xfId="3400" applyNumberFormat="1" applyFont="1" applyFill="1" applyBorder="1" applyAlignment="1">
      <alignment shrinkToFit="1"/>
    </xf>
    <xf numFmtId="177" fontId="39" fillId="5" borderId="27" xfId="3400" applyNumberFormat="1" applyFont="1" applyFill="1" applyBorder="1" applyAlignment="1">
      <alignment shrinkToFit="1"/>
    </xf>
    <xf numFmtId="177" fontId="39" fillId="5" borderId="30" xfId="3400" applyNumberFormat="1" applyFont="1" applyFill="1" applyBorder="1" applyAlignment="1">
      <alignment shrinkToFit="1"/>
    </xf>
    <xf numFmtId="177" fontId="38" fillId="5" borderId="30" xfId="3400" applyNumberFormat="1" applyFont="1" applyFill="1" applyBorder="1" applyAlignment="1">
      <alignment shrinkToFit="1"/>
    </xf>
    <xf numFmtId="177" fontId="38" fillId="5" borderId="24" xfId="3400" applyNumberFormat="1" applyFont="1" applyFill="1" applyBorder="1" applyAlignment="1">
      <alignment shrinkToFit="1"/>
    </xf>
    <xf numFmtId="177" fontId="38" fillId="5" borderId="40" xfId="3400" applyNumberFormat="1" applyFont="1" applyFill="1" applyBorder="1" applyAlignment="1">
      <alignment shrinkToFit="1"/>
    </xf>
    <xf numFmtId="177" fontId="39" fillId="5" borderId="35" xfId="3400" applyNumberFormat="1" applyFont="1" applyFill="1" applyBorder="1" applyAlignment="1">
      <alignment shrinkToFit="1"/>
    </xf>
    <xf numFmtId="177" fontId="39" fillId="5" borderId="36" xfId="3400" applyNumberFormat="1" applyFont="1" applyFill="1" applyBorder="1" applyAlignment="1">
      <alignment shrinkToFit="1"/>
    </xf>
    <xf numFmtId="177" fontId="38" fillId="5" borderId="36" xfId="0" applyNumberFormat="1" applyFont="1" applyFill="1" applyBorder="1" applyAlignment="1"/>
    <xf numFmtId="178" fontId="38" fillId="5" borderId="33" xfId="2634" applyNumberFormat="1" applyFont="1" applyFill="1" applyBorder="1" applyAlignment="1">
      <alignment horizontal="left" shrinkToFit="1"/>
    </xf>
    <xf numFmtId="177" fontId="38" fillId="8" borderId="24" xfId="3400" applyNumberFormat="1" applyFont="1" applyFill="1" applyBorder="1" applyAlignment="1">
      <alignment shrinkToFit="1"/>
    </xf>
    <xf numFmtId="177" fontId="38" fillId="8" borderId="31" xfId="0" applyNumberFormat="1" applyFont="1" applyFill="1" applyBorder="1" applyAlignment="1"/>
    <xf numFmtId="177" fontId="38" fillId="8" borderId="40" xfId="0" applyNumberFormat="1" applyFont="1" applyFill="1" applyBorder="1" applyAlignment="1"/>
    <xf numFmtId="177" fontId="38" fillId="8" borderId="29" xfId="0" applyNumberFormat="1" applyFont="1" applyFill="1" applyBorder="1" applyAlignment="1"/>
    <xf numFmtId="177" fontId="38" fillId="8" borderId="37" xfId="0" applyNumberFormat="1" applyFont="1" applyFill="1" applyBorder="1" applyAlignment="1"/>
    <xf numFmtId="177" fontId="38" fillId="10" borderId="24" xfId="3400" applyNumberFormat="1" applyFont="1" applyFill="1" applyBorder="1" applyAlignment="1">
      <alignment shrinkToFit="1"/>
    </xf>
    <xf numFmtId="177" fontId="39" fillId="9" borderId="3" xfId="3400" applyNumberFormat="1" applyFont="1" applyFill="1" applyBorder="1" applyAlignment="1">
      <alignment shrinkToFit="1"/>
    </xf>
    <xf numFmtId="177" fontId="38" fillId="9" borderId="2" xfId="3400" applyNumberFormat="1" applyFont="1" applyFill="1" applyBorder="1" applyAlignment="1">
      <alignment shrinkToFit="1"/>
    </xf>
    <xf numFmtId="177" fontId="38" fillId="9" borderId="39" xfId="3400" applyNumberFormat="1" applyFont="1" applyFill="1" applyBorder="1" applyAlignment="1">
      <alignment shrinkToFit="1"/>
    </xf>
    <xf numFmtId="177" fontId="38" fillId="9" borderId="23" xfId="3400" applyNumberFormat="1" applyFont="1" applyFill="1" applyBorder="1" applyAlignment="1">
      <alignment shrinkToFit="1"/>
    </xf>
    <xf numFmtId="9" fontId="39" fillId="5" borderId="2" xfId="0" applyNumberFormat="1" applyFont="1" applyFill="1" applyBorder="1" applyAlignment="1"/>
    <xf numFmtId="177" fontId="38" fillId="5" borderId="39" xfId="2634" applyNumberFormat="1" applyFont="1" applyFill="1" applyBorder="1" applyAlignment="1">
      <alignment shrinkToFit="1"/>
    </xf>
    <xf numFmtId="177" fontId="39" fillId="5" borderId="39" xfId="3400" applyNumberFormat="1" applyFont="1" applyFill="1" applyBorder="1" applyAlignment="1">
      <alignment shrinkToFit="1"/>
    </xf>
    <xf numFmtId="177" fontId="38" fillId="5" borderId="39" xfId="3400" applyNumberFormat="1" applyFont="1" applyFill="1" applyBorder="1" applyAlignment="1">
      <alignment shrinkToFit="1"/>
    </xf>
    <xf numFmtId="177" fontId="39" fillId="8" borderId="27" xfId="3400" applyNumberFormat="1" applyFont="1" applyFill="1" applyBorder="1" applyAlignment="1">
      <alignment shrinkToFit="1"/>
    </xf>
    <xf numFmtId="177" fontId="38" fillId="8" borderId="37" xfId="3400" applyNumberFormat="1" applyFont="1" applyFill="1" applyBorder="1" applyAlignment="1">
      <alignment shrinkToFit="1"/>
    </xf>
    <xf numFmtId="177" fontId="39" fillId="4" borderId="27" xfId="3400" applyNumberFormat="1" applyFont="1" applyFill="1" applyBorder="1" applyAlignment="1">
      <alignment shrinkToFit="1"/>
    </xf>
    <xf numFmtId="9" fontId="39" fillId="5" borderId="23" xfId="0" applyNumberFormat="1" applyFont="1" applyFill="1" applyBorder="1" applyAlignment="1"/>
    <xf numFmtId="9" fontId="39" fillId="5" borderId="15" xfId="0" applyNumberFormat="1" applyFont="1" applyFill="1" applyBorder="1" applyAlignment="1"/>
    <xf numFmtId="177" fontId="38" fillId="0" borderId="24" xfId="3400" applyNumberFormat="1" applyFont="1" applyFill="1" applyBorder="1" applyAlignment="1">
      <alignment shrinkToFit="1"/>
    </xf>
    <xf numFmtId="177" fontId="38" fillId="0" borderId="34" xfId="3400" applyNumberFormat="1" applyFont="1" applyFill="1" applyBorder="1" applyAlignment="1">
      <alignment shrinkToFit="1"/>
    </xf>
    <xf numFmtId="177" fontId="38" fillId="0" borderId="29" xfId="3400" applyNumberFormat="1" applyFont="1" applyFill="1" applyBorder="1" applyAlignment="1">
      <alignment shrinkToFit="1"/>
    </xf>
    <xf numFmtId="178" fontId="38" fillId="0" borderId="5" xfId="586" applyNumberFormat="1" applyFont="1" applyFill="1" applyBorder="1" applyAlignment="1">
      <alignment horizontal="left" shrinkToFit="1"/>
    </xf>
    <xf numFmtId="178" fontId="38" fillId="0" borderId="33" xfId="586" applyNumberFormat="1" applyFont="1" applyFill="1" applyBorder="1" applyAlignment="1">
      <alignment horizontal="left" shrinkToFit="1"/>
    </xf>
    <xf numFmtId="178" fontId="38" fillId="0" borderId="26" xfId="586" applyNumberFormat="1" applyFont="1" applyFill="1" applyBorder="1" applyAlignment="1">
      <alignment horizontal="left" shrinkToFit="1"/>
    </xf>
    <xf numFmtId="178" fontId="38" fillId="5" borderId="40" xfId="586" applyNumberFormat="1" applyFont="1" applyFill="1" applyBorder="1" applyAlignment="1">
      <alignment horizontal="left" shrinkToFit="1"/>
    </xf>
    <xf numFmtId="177" fontId="39" fillId="5" borderId="38" xfId="3400" applyNumberFormat="1" applyFont="1" applyFill="1" applyBorder="1" applyAlignment="1">
      <alignment shrinkToFit="1"/>
    </xf>
    <xf numFmtId="178" fontId="39" fillId="5" borderId="5" xfId="586" applyNumberFormat="1" applyFont="1" applyFill="1" applyBorder="1" applyAlignment="1">
      <alignment horizontal="left" shrinkToFit="1"/>
    </xf>
    <xf numFmtId="178" fontId="39" fillId="5" borderId="40" xfId="586" applyNumberFormat="1" applyFont="1" applyFill="1" applyBorder="1" applyAlignment="1">
      <alignment horizontal="left" shrinkToFit="1"/>
    </xf>
    <xf numFmtId="178" fontId="39" fillId="5" borderId="31" xfId="586" applyNumberFormat="1" applyFont="1" applyFill="1" applyBorder="1" applyAlignment="1">
      <alignment horizontal="left" shrinkToFit="1"/>
    </xf>
    <xf numFmtId="178" fontId="39" fillId="5" borderId="33" xfId="586" applyNumberFormat="1" applyFont="1" applyFill="1" applyBorder="1" applyAlignment="1">
      <alignment horizontal="left" shrinkToFit="1"/>
    </xf>
    <xf numFmtId="177" fontId="38" fillId="5" borderId="28" xfId="3400" applyNumberFormat="1" applyFont="1" applyFill="1" applyBorder="1" applyAlignment="1">
      <alignment shrinkToFit="1"/>
    </xf>
    <xf numFmtId="178" fontId="39" fillId="8" borderId="5" xfId="586" applyNumberFormat="1" applyFont="1" applyFill="1" applyBorder="1" applyAlignment="1">
      <alignment horizontal="left" shrinkToFit="1"/>
    </xf>
    <xf numFmtId="178" fontId="38" fillId="8" borderId="5" xfId="586" applyNumberFormat="1" applyFont="1" applyFill="1" applyBorder="1" applyAlignment="1">
      <alignment horizontal="left" shrinkToFit="1"/>
    </xf>
    <xf numFmtId="178" fontId="38" fillId="8" borderId="33" xfId="586" applyNumberFormat="1" applyFont="1" applyFill="1" applyBorder="1" applyAlignment="1">
      <alignment horizontal="left" shrinkToFit="1"/>
    </xf>
    <xf numFmtId="178" fontId="38" fillId="8" borderId="31" xfId="586" applyNumberFormat="1" applyFont="1" applyFill="1" applyBorder="1" applyAlignment="1">
      <alignment horizontal="left" shrinkToFit="1"/>
    </xf>
    <xf numFmtId="178" fontId="38" fillId="8" borderId="4" xfId="586" applyNumberFormat="1" applyFont="1" applyFill="1" applyBorder="1" applyAlignment="1">
      <alignment horizontal="left" shrinkToFit="1"/>
    </xf>
    <xf numFmtId="177" fontId="39" fillId="8" borderId="34" xfId="3400" applyNumberFormat="1" applyFont="1" applyFill="1" applyBorder="1" applyAlignment="1">
      <alignment shrinkToFit="1"/>
    </xf>
    <xf numFmtId="177" fontId="39" fillId="8" borderId="30" xfId="3400" applyNumberFormat="1" applyFont="1" applyFill="1" applyBorder="1" applyAlignment="1">
      <alignment shrinkToFit="1"/>
    </xf>
    <xf numFmtId="177" fontId="39" fillId="8" borderId="24" xfId="3400" applyNumberFormat="1" applyFont="1" applyFill="1" applyBorder="1" applyAlignment="1">
      <alignment shrinkToFit="1"/>
    </xf>
    <xf numFmtId="178" fontId="39" fillId="4" borderId="5" xfId="586" applyNumberFormat="1" applyFont="1" applyFill="1" applyBorder="1" applyAlignment="1">
      <alignment horizontal="left" shrinkToFit="1"/>
    </xf>
    <xf numFmtId="0" fontId="37" fillId="5" borderId="4" xfId="0" applyFont="1" applyFill="1" applyBorder="1" applyAlignment="1">
      <alignment horizontal="left" wrapText="1"/>
    </xf>
    <xf numFmtId="178" fontId="39" fillId="9" borderId="5" xfId="586" applyNumberFormat="1" applyFont="1" applyFill="1" applyBorder="1" applyAlignment="1">
      <alignment horizontal="left" shrinkToFit="1"/>
    </xf>
    <xf numFmtId="178" fontId="39" fillId="9" borderId="33" xfId="586" applyNumberFormat="1" applyFont="1" applyFill="1" applyBorder="1" applyAlignment="1">
      <alignment horizontal="left" shrinkToFit="1"/>
    </xf>
    <xf numFmtId="178" fontId="39" fillId="9" borderId="31" xfId="586" applyNumberFormat="1" applyFont="1" applyFill="1" applyBorder="1" applyAlignment="1">
      <alignment horizontal="left" shrinkToFit="1"/>
    </xf>
    <xf numFmtId="178" fontId="39" fillId="9" borderId="4" xfId="586" applyNumberFormat="1" applyFont="1" applyFill="1" applyBorder="1" applyAlignment="1">
      <alignment horizontal="left" shrinkToFit="1"/>
    </xf>
    <xf numFmtId="177" fontId="39" fillId="9" borderId="27" xfId="3400" applyNumberFormat="1" applyFont="1" applyFill="1" applyBorder="1" applyAlignment="1">
      <alignment shrinkToFit="1"/>
    </xf>
    <xf numFmtId="177" fontId="39" fillId="9" borderId="34" xfId="3400" applyNumberFormat="1" applyFont="1" applyFill="1" applyBorder="1" applyAlignment="1">
      <alignment shrinkToFit="1"/>
    </xf>
    <xf numFmtId="177" fontId="39" fillId="9" borderId="30" xfId="3400" applyNumberFormat="1" applyFont="1" applyFill="1" applyBorder="1" applyAlignment="1">
      <alignment shrinkToFit="1"/>
    </xf>
    <xf numFmtId="177" fontId="39" fillId="9" borderId="24" xfId="3400" applyNumberFormat="1" applyFont="1" applyFill="1" applyBorder="1" applyAlignment="1">
      <alignment shrinkToFit="1"/>
    </xf>
    <xf numFmtId="9" fontId="38" fillId="5" borderId="37" xfId="2634" applyNumberFormat="1" applyFont="1" applyFill="1" applyBorder="1" applyAlignment="1">
      <alignment shrinkToFit="1"/>
    </xf>
    <xf numFmtId="0" fontId="34" fillId="0" borderId="0" xfId="0" applyFont="1" applyAlignment="1"/>
    <xf numFmtId="180" fontId="34" fillId="0" borderId="0" xfId="0" applyNumberFormat="1" applyFont="1"/>
    <xf numFmtId="180" fontId="34" fillId="10" borderId="0" xfId="0" applyNumberFormat="1" applyFont="1" applyFill="1"/>
    <xf numFmtId="180" fontId="34" fillId="5" borderId="0" xfId="0" applyNumberFormat="1" applyFont="1" applyFill="1"/>
    <xf numFmtId="0" fontId="34" fillId="10" borderId="0" xfId="0" applyFont="1" applyFill="1"/>
    <xf numFmtId="179" fontId="34" fillId="0" borderId="0" xfId="0" applyNumberFormat="1" applyFont="1"/>
    <xf numFmtId="178" fontId="38" fillId="5" borderId="26" xfId="3400" applyNumberFormat="1" applyFont="1" applyFill="1" applyBorder="1" applyAlignment="1">
      <alignment horizontal="left" shrinkToFit="1"/>
    </xf>
    <xf numFmtId="178" fontId="38" fillId="5" borderId="4" xfId="3400" applyNumberFormat="1" applyFont="1" applyFill="1" applyBorder="1" applyAlignment="1">
      <alignment horizontal="left" shrinkToFit="1"/>
    </xf>
    <xf numFmtId="178" fontId="38" fillId="11" borderId="5" xfId="3400" applyNumberFormat="1" applyFont="1" applyFill="1" applyBorder="1" applyAlignment="1">
      <alignment horizontal="left" shrinkToFit="1"/>
    </xf>
    <xf numFmtId="178" fontId="38" fillId="11" borderId="4" xfId="3400" applyNumberFormat="1" applyFont="1" applyFill="1" applyBorder="1" applyAlignment="1">
      <alignment horizontal="left" shrinkToFit="1"/>
    </xf>
    <xf numFmtId="177" fontId="38" fillId="11" borderId="24" xfId="3400" applyNumberFormat="1" applyFont="1" applyFill="1" applyBorder="1" applyAlignment="1">
      <alignment shrinkToFit="1"/>
    </xf>
    <xf numFmtId="177" fontId="38" fillId="11" borderId="29" xfId="3400" applyNumberFormat="1" applyFont="1" applyFill="1" applyBorder="1" applyAlignment="1">
      <alignment shrinkToFit="1"/>
    </xf>
    <xf numFmtId="0" fontId="37" fillId="8" borderId="4" xfId="0" applyFont="1" applyFill="1" applyBorder="1" applyAlignment="1">
      <alignment wrapText="1"/>
    </xf>
    <xf numFmtId="0" fontId="37" fillId="8" borderId="24" xfId="0" applyFont="1" applyFill="1" applyBorder="1" applyAlignment="1">
      <alignment wrapText="1"/>
    </xf>
    <xf numFmtId="0" fontId="37" fillId="0" borderId="4" xfId="0" applyFont="1" applyFill="1" applyBorder="1" applyAlignment="1">
      <alignment wrapText="1"/>
    </xf>
    <xf numFmtId="0" fontId="37" fillId="4" borderId="4" xfId="0" applyFont="1" applyFill="1" applyBorder="1" applyAlignment="1">
      <alignment wrapText="1"/>
    </xf>
    <xf numFmtId="0" fontId="37" fillId="4" borderId="24" xfId="0" applyFont="1" applyFill="1" applyBorder="1" applyAlignment="1">
      <alignment horizontal="left" wrapText="1"/>
    </xf>
    <xf numFmtId="0" fontId="37" fillId="9" borderId="2" xfId="0" applyFont="1" applyFill="1" applyBorder="1" applyAlignment="1">
      <alignment wrapText="1"/>
    </xf>
    <xf numFmtId="0" fontId="37" fillId="5" borderId="2" xfId="0" applyFont="1" applyFill="1" applyBorder="1" applyAlignment="1">
      <alignment vertical="center"/>
    </xf>
    <xf numFmtId="0" fontId="37" fillId="5" borderId="23" xfId="0" applyFont="1" applyFill="1" applyBorder="1" applyAlignment="1">
      <alignment vertical="center"/>
    </xf>
    <xf numFmtId="0" fontId="37" fillId="5" borderId="4" xfId="0" applyFont="1" applyFill="1" applyBorder="1" applyAlignment="1">
      <alignment vertical="center"/>
    </xf>
    <xf numFmtId="178" fontId="38" fillId="5" borderId="5" xfId="586" applyNumberFormat="1" applyFont="1" applyFill="1" applyBorder="1" applyAlignment="1">
      <alignment horizontal="left"/>
    </xf>
    <xf numFmtId="178" fontId="38" fillId="5" borderId="5" xfId="0" applyNumberFormat="1" applyFont="1" applyFill="1" applyBorder="1" applyAlignment="1">
      <alignment horizontal="left"/>
    </xf>
    <xf numFmtId="178" fontId="38" fillId="5" borderId="25" xfId="0" applyNumberFormat="1" applyFont="1" applyFill="1" applyBorder="1" applyAlignment="1">
      <alignment horizontal="left"/>
    </xf>
    <xf numFmtId="177" fontId="38" fillId="5" borderId="25" xfId="0" applyNumberFormat="1" applyFont="1" applyFill="1" applyBorder="1" applyAlignment="1"/>
    <xf numFmtId="0" fontId="37" fillId="12" borderId="2" xfId="0" applyFont="1" applyFill="1" applyBorder="1"/>
    <xf numFmtId="0" fontId="37" fillId="5" borderId="2" xfId="0" applyFont="1" applyFill="1" applyBorder="1"/>
    <xf numFmtId="0" fontId="37" fillId="4" borderId="2" xfId="0" applyFont="1" applyFill="1" applyBorder="1"/>
    <xf numFmtId="0" fontId="37" fillId="11" borderId="2" xfId="0" applyFont="1" applyFill="1" applyBorder="1"/>
    <xf numFmtId="0" fontId="37" fillId="5" borderId="4" xfId="0" applyFont="1" applyFill="1" applyBorder="1"/>
    <xf numFmtId="0" fontId="37" fillId="9" borderId="2" xfId="0" applyFont="1" applyFill="1" applyBorder="1"/>
    <xf numFmtId="0" fontId="37" fillId="5" borderId="24" xfId="0" applyFont="1" applyFill="1" applyBorder="1" applyAlignment="1">
      <alignment horizontal="right" wrapText="1"/>
    </xf>
    <xf numFmtId="0" fontId="37" fillId="5" borderId="28" xfId="0" applyFont="1" applyFill="1" applyBorder="1" applyAlignment="1">
      <alignment horizontal="right" wrapText="1"/>
    </xf>
    <xf numFmtId="177" fontId="39" fillId="5" borderId="33" xfId="3400" applyNumberFormat="1" applyFont="1" applyFill="1" applyBorder="1" applyAlignment="1">
      <alignment shrinkToFit="1"/>
    </xf>
    <xf numFmtId="177" fontId="39" fillId="5" borderId="31" xfId="3400" applyNumberFormat="1" applyFont="1" applyFill="1" applyBorder="1" applyAlignment="1">
      <alignment shrinkToFit="1"/>
    </xf>
    <xf numFmtId="0" fontId="37" fillId="4" borderId="2" xfId="0" applyFont="1" applyFill="1" applyBorder="1" applyAlignment="1">
      <alignment horizontal="left" wrapText="1"/>
    </xf>
    <xf numFmtId="0" fontId="37" fillId="8" borderId="24" xfId="0" applyFont="1" applyFill="1" applyBorder="1" applyAlignment="1">
      <alignment horizontal="right" wrapText="1"/>
    </xf>
    <xf numFmtId="0" fontId="37" fillId="4" borderId="24" xfId="0" applyFont="1" applyFill="1" applyBorder="1" applyAlignment="1">
      <alignment horizontal="right" wrapText="1"/>
    </xf>
    <xf numFmtId="0" fontId="37" fillId="8" borderId="28" xfId="0" applyFont="1" applyFill="1" applyBorder="1" applyAlignment="1">
      <alignment horizontal="right" wrapText="1"/>
    </xf>
    <xf numFmtId="177" fontId="38" fillId="8" borderId="36" xfId="3400" applyNumberFormat="1" applyFont="1" applyFill="1" applyBorder="1" applyAlignment="1">
      <alignment shrinkToFit="1"/>
    </xf>
    <xf numFmtId="177" fontId="38" fillId="8" borderId="35" xfId="3400" applyNumberFormat="1" applyFont="1" applyFill="1" applyBorder="1" applyAlignment="1">
      <alignment shrinkToFit="1"/>
    </xf>
    <xf numFmtId="0" fontId="37" fillId="4" borderId="28" xfId="0" applyFont="1" applyFill="1" applyBorder="1" applyAlignment="1">
      <alignment horizontal="right" wrapText="1"/>
    </xf>
    <xf numFmtId="177" fontId="39" fillId="4" borderId="28" xfId="3400" applyNumberFormat="1" applyFont="1" applyFill="1" applyBorder="1" applyAlignment="1">
      <alignment shrinkToFit="1"/>
    </xf>
    <xf numFmtId="0" fontId="37" fillId="4" borderId="4" xfId="0" applyFont="1" applyFill="1" applyBorder="1" applyAlignment="1">
      <alignment horizontal="left" wrapText="1"/>
    </xf>
    <xf numFmtId="177" fontId="38" fillId="11" borderId="4" xfId="3400" applyNumberFormat="1" applyFont="1" applyFill="1" applyBorder="1" applyAlignment="1">
      <alignment shrinkToFit="1"/>
    </xf>
    <xf numFmtId="177" fontId="38" fillId="11" borderId="28" xfId="3400" applyNumberFormat="1" applyFont="1" applyFill="1" applyBorder="1" applyAlignment="1">
      <alignment shrinkToFit="1"/>
    </xf>
    <xf numFmtId="177" fontId="38" fillId="0" borderId="27" xfId="2634" applyNumberFormat="1" applyFont="1" applyFill="1" applyBorder="1" applyAlignment="1">
      <alignment shrinkToFit="1"/>
    </xf>
    <xf numFmtId="178" fontId="39" fillId="5" borderId="5" xfId="3400" applyNumberFormat="1" applyFont="1" applyFill="1" applyBorder="1" applyAlignment="1">
      <alignment horizontal="left" shrinkToFit="1"/>
    </xf>
    <xf numFmtId="177" fontId="39" fillId="0" borderId="27" xfId="3400" applyNumberFormat="1" applyFont="1" applyFill="1" applyBorder="1" applyAlignment="1">
      <alignment shrinkToFit="1"/>
    </xf>
    <xf numFmtId="0" fontId="37" fillId="8" borderId="2" xfId="0" applyFont="1" applyFill="1" applyBorder="1" applyAlignment="1">
      <alignment horizontal="left" wrapText="1"/>
    </xf>
    <xf numFmtId="177" fontId="39" fillId="11" borderId="24" xfId="3400" applyNumberFormat="1" applyFont="1" applyFill="1" applyBorder="1" applyAlignment="1">
      <alignment shrinkToFit="1"/>
    </xf>
    <xf numFmtId="0" fontId="37" fillId="5" borderId="0" xfId="0" applyFont="1" applyFill="1" applyBorder="1" applyAlignment="1">
      <alignment vertical="center"/>
    </xf>
    <xf numFmtId="0" fontId="37" fillId="4" borderId="2" xfId="0" applyFont="1" applyFill="1" applyBorder="1" applyAlignment="1"/>
    <xf numFmtId="9" fontId="38" fillId="11" borderId="2" xfId="2634" applyNumberFormat="1" applyFont="1" applyFill="1" applyBorder="1" applyAlignment="1">
      <alignment shrinkToFit="1"/>
    </xf>
    <xf numFmtId="9" fontId="38" fillId="11" borderId="3" xfId="2634" applyNumberFormat="1" applyFont="1" applyFill="1" applyBorder="1" applyAlignment="1">
      <alignment shrinkToFit="1"/>
    </xf>
    <xf numFmtId="0" fontId="37" fillId="4" borderId="28" xfId="0" applyFont="1" applyFill="1" applyBorder="1" applyAlignment="1">
      <alignment horizontal="left" wrapText="1"/>
    </xf>
    <xf numFmtId="0" fontId="37" fillId="4" borderId="28" xfId="0" applyFont="1" applyFill="1" applyBorder="1" applyAlignment="1">
      <alignment wrapText="1"/>
    </xf>
    <xf numFmtId="0" fontId="37" fillId="4" borderId="24" xfId="0" applyFont="1" applyFill="1" applyBorder="1" applyAlignment="1">
      <alignment wrapText="1"/>
    </xf>
    <xf numFmtId="178" fontId="38" fillId="4" borderId="4" xfId="2634" applyNumberFormat="1" applyFont="1" applyFill="1" applyBorder="1" applyAlignment="1">
      <alignment horizontal="left" shrinkToFit="1"/>
    </xf>
    <xf numFmtId="178" fontId="38" fillId="0" borderId="4" xfId="2634" applyNumberFormat="1" applyFont="1" applyFill="1" applyBorder="1" applyAlignment="1">
      <alignment horizontal="left" shrinkToFit="1"/>
    </xf>
    <xf numFmtId="178" fontId="38" fillId="11" borderId="4" xfId="2634" applyNumberFormat="1" applyFont="1" applyFill="1" applyBorder="1" applyAlignment="1">
      <alignment horizontal="left" shrinkToFit="1"/>
    </xf>
    <xf numFmtId="0" fontId="37" fillId="8" borderId="28" xfId="0" applyFont="1" applyFill="1" applyBorder="1" applyAlignment="1">
      <alignment wrapText="1"/>
    </xf>
    <xf numFmtId="178" fontId="38" fillId="8" borderId="4" xfId="2634" applyNumberFormat="1" applyFont="1" applyFill="1" applyBorder="1" applyAlignment="1">
      <alignment horizontal="left" shrinkToFit="1"/>
    </xf>
    <xf numFmtId="178" fontId="38" fillId="8" borderId="33" xfId="2634" applyNumberFormat="1" applyFont="1" applyFill="1" applyBorder="1" applyAlignment="1">
      <alignment horizontal="left" shrinkToFit="1"/>
    </xf>
    <xf numFmtId="178" fontId="38" fillId="8" borderId="31" xfId="2634" applyNumberFormat="1" applyFont="1" applyFill="1" applyBorder="1" applyAlignment="1">
      <alignment horizontal="left" shrinkToFit="1"/>
    </xf>
    <xf numFmtId="177" fontId="38" fillId="0" borderId="27" xfId="3400" applyNumberFormat="1" applyFont="1" applyFill="1" applyBorder="1" applyAlignment="1">
      <alignment shrinkToFit="1"/>
    </xf>
    <xf numFmtId="0" fontId="37" fillId="9" borderId="24" xfId="0" applyFont="1" applyFill="1" applyBorder="1" applyAlignment="1">
      <alignment wrapText="1"/>
    </xf>
    <xf numFmtId="0" fontId="37" fillId="9" borderId="4" xfId="0" applyFont="1" applyFill="1" applyBorder="1" applyAlignment="1">
      <alignment wrapText="1"/>
    </xf>
    <xf numFmtId="178" fontId="39" fillId="11" borderId="4" xfId="586" applyNumberFormat="1" applyFont="1" applyFill="1" applyBorder="1" applyAlignment="1">
      <alignment horizontal="left" shrinkToFit="1"/>
    </xf>
    <xf numFmtId="177" fontId="39" fillId="11" borderId="27" xfId="3400" applyNumberFormat="1" applyFont="1" applyFill="1" applyBorder="1" applyAlignment="1">
      <alignment shrinkToFit="1"/>
    </xf>
    <xf numFmtId="177" fontId="38" fillId="0" borderId="34" xfId="2634" applyNumberFormat="1" applyFont="1" applyFill="1" applyBorder="1" applyAlignment="1">
      <alignment shrinkToFit="1"/>
    </xf>
    <xf numFmtId="177" fontId="38" fillId="0" borderId="29" xfId="2634" applyNumberFormat="1" applyFont="1" applyFill="1" applyBorder="1" applyAlignment="1">
      <alignment shrinkToFit="1"/>
    </xf>
    <xf numFmtId="177" fontId="37" fillId="5" borderId="0" xfId="0" applyNumberFormat="1" applyFont="1" applyFill="1"/>
    <xf numFmtId="177" fontId="39" fillId="0" borderId="2" xfId="3400" applyNumberFormat="1" applyFont="1" applyFill="1" applyBorder="1" applyAlignment="1">
      <alignment shrinkToFit="1"/>
    </xf>
    <xf numFmtId="9" fontId="39" fillId="5" borderId="32" xfId="0" applyNumberFormat="1" applyFont="1" applyFill="1" applyBorder="1" applyAlignment="1"/>
    <xf numFmtId="178" fontId="39" fillId="5" borderId="33" xfId="0" applyNumberFormat="1" applyFont="1" applyFill="1" applyBorder="1" applyAlignment="1">
      <alignment horizontal="left" vertical="top"/>
    </xf>
    <xf numFmtId="178" fontId="39" fillId="0" borderId="31" xfId="3400" applyNumberFormat="1" applyFont="1" applyFill="1" applyBorder="1" applyAlignment="1">
      <alignment horizontal="left" vertical="top" shrinkToFit="1"/>
    </xf>
    <xf numFmtId="178" fontId="39" fillId="5" borderId="33" xfId="3400" applyNumberFormat="1" applyFont="1" applyFill="1" applyBorder="1" applyAlignment="1">
      <alignment horizontal="left" vertical="top" shrinkToFit="1"/>
    </xf>
    <xf numFmtId="178" fontId="38" fillId="5" borderId="33" xfId="2634" applyNumberFormat="1" applyFont="1" applyFill="1" applyBorder="1" applyAlignment="1">
      <alignment horizontal="left" vertical="top" shrinkToFit="1"/>
    </xf>
    <xf numFmtId="178" fontId="38" fillId="5" borderId="31" xfId="2634" applyNumberFormat="1" applyFont="1" applyFill="1" applyBorder="1" applyAlignment="1">
      <alignment horizontal="left" vertical="top" shrinkToFit="1"/>
    </xf>
    <xf numFmtId="177" fontId="39" fillId="0" borderId="28" xfId="3400" applyNumberFormat="1" applyFont="1" applyFill="1" applyBorder="1" applyAlignment="1">
      <alignment shrinkToFit="1"/>
    </xf>
    <xf numFmtId="177" fontId="38" fillId="4" borderId="28" xfId="3400" applyNumberFormat="1" applyFont="1" applyFill="1" applyBorder="1" applyAlignment="1">
      <alignment shrinkToFit="1"/>
    </xf>
    <xf numFmtId="177" fontId="38" fillId="4" borderId="36" xfId="3400" applyNumberFormat="1" applyFont="1" applyFill="1" applyBorder="1" applyAlignment="1">
      <alignment shrinkToFit="1"/>
    </xf>
    <xf numFmtId="177" fontId="38" fillId="9" borderId="32" xfId="3400" applyNumberFormat="1" applyFont="1" applyFill="1" applyBorder="1" applyAlignment="1">
      <alignment shrinkToFit="1"/>
    </xf>
    <xf numFmtId="177" fontId="38" fillId="0" borderId="2" xfId="3400" applyNumberFormat="1" applyFont="1" applyFill="1" applyBorder="1" applyAlignment="1">
      <alignment shrinkToFit="1"/>
    </xf>
    <xf numFmtId="177" fontId="38" fillId="9" borderId="3" xfId="3400" applyNumberFormat="1" applyFont="1" applyFill="1" applyBorder="1" applyAlignment="1">
      <alignment shrinkToFit="1"/>
    </xf>
    <xf numFmtId="178" fontId="38" fillId="0" borderId="4" xfId="586" applyNumberFormat="1" applyFont="1" applyFill="1" applyBorder="1" applyAlignment="1">
      <alignment horizontal="left" shrinkToFit="1"/>
    </xf>
    <xf numFmtId="178" fontId="39" fillId="0" borderId="31" xfId="586" applyNumberFormat="1" applyFont="1" applyFill="1" applyBorder="1" applyAlignment="1">
      <alignment horizontal="left" shrinkToFit="1"/>
    </xf>
    <xf numFmtId="178" fontId="47" fillId="4" borderId="5" xfId="586" applyNumberFormat="1" applyFont="1" applyFill="1" applyBorder="1" applyAlignment="1">
      <alignment horizontal="left" shrinkToFit="1"/>
    </xf>
    <xf numFmtId="0" fontId="37" fillId="5" borderId="2" xfId="0" applyFont="1" applyFill="1" applyBorder="1" applyAlignment="1"/>
    <xf numFmtId="9" fontId="38" fillId="5" borderId="34" xfId="2634" applyNumberFormat="1" applyFont="1" applyFill="1" applyBorder="1" applyAlignment="1">
      <alignment shrinkToFit="1"/>
    </xf>
    <xf numFmtId="0" fontId="37" fillId="12" borderId="23" xfId="0" applyFont="1" applyFill="1" applyBorder="1"/>
    <xf numFmtId="0" fontId="37" fillId="5" borderId="23" xfId="0" applyFont="1" applyFill="1" applyBorder="1"/>
    <xf numFmtId="0" fontId="37" fillId="4" borderId="23" xfId="0" applyFont="1" applyFill="1" applyBorder="1"/>
    <xf numFmtId="0" fontId="37" fillId="11" borderId="23" xfId="0" applyFont="1" applyFill="1" applyBorder="1"/>
    <xf numFmtId="0" fontId="37" fillId="5" borderId="31" xfId="0" applyFont="1" applyFill="1" applyBorder="1"/>
    <xf numFmtId="0" fontId="37" fillId="9" borderId="23" xfId="0" applyFont="1" applyFill="1" applyBorder="1"/>
    <xf numFmtId="177" fontId="39" fillId="11" borderId="24" xfId="0" applyNumberFormat="1" applyFont="1" applyFill="1" applyBorder="1" applyAlignment="1"/>
    <xf numFmtId="177" fontId="38" fillId="5" borderId="34" xfId="0" applyNumberFormat="1" applyFont="1" applyFill="1" applyBorder="1" applyAlignment="1"/>
    <xf numFmtId="178" fontId="38" fillId="4" borderId="4" xfId="2634" applyNumberFormat="1" applyFont="1" applyFill="1" applyBorder="1" applyAlignment="1">
      <alignment horizontal="left" vertical="top" shrinkToFit="1"/>
    </xf>
    <xf numFmtId="38" fontId="37" fillId="5" borderId="25" xfId="2642" applyFont="1" applyFill="1" applyBorder="1" applyAlignment="1">
      <alignment horizontal="right" vertical="center" shrinkToFit="1"/>
    </xf>
    <xf numFmtId="38" fontId="37" fillId="5" borderId="30" xfId="2642" applyFont="1" applyFill="1" applyBorder="1" applyAlignment="1" applyProtection="1">
      <alignment horizontal="center" vertical="center"/>
    </xf>
    <xf numFmtId="38" fontId="37" fillId="5" borderId="30" xfId="2642" applyFont="1" applyFill="1" applyBorder="1" applyAlignment="1" applyProtection="1">
      <alignment horizontal="left" vertical="center"/>
    </xf>
    <xf numFmtId="38" fontId="37" fillId="10" borderId="0" xfId="2642" applyFont="1" applyFill="1" applyAlignment="1">
      <alignment vertical="center"/>
    </xf>
    <xf numFmtId="38" fontId="42" fillId="5" borderId="0" xfId="2642" applyFont="1" applyFill="1" applyAlignment="1">
      <alignment vertical="center"/>
    </xf>
    <xf numFmtId="38" fontId="39" fillId="10" borderId="0" xfId="2642" applyFont="1" applyFill="1" applyAlignment="1">
      <alignment horizontal="center" vertical="center"/>
    </xf>
    <xf numFmtId="38" fontId="37" fillId="5" borderId="52" xfId="2642" applyFont="1" applyFill="1" applyBorder="1" applyAlignment="1">
      <alignment horizontal="center" vertical="center" shrinkToFit="1"/>
    </xf>
    <xf numFmtId="38" fontId="37" fillId="5" borderId="2" xfId="2642" applyFont="1" applyFill="1" applyBorder="1" applyAlignment="1">
      <alignment horizontal="center" vertical="center" shrinkToFit="1"/>
    </xf>
    <xf numFmtId="38" fontId="39" fillId="5" borderId="2" xfId="2642" applyFont="1" applyFill="1" applyBorder="1" applyAlignment="1">
      <alignment horizontal="center" vertical="center" shrinkToFit="1"/>
    </xf>
    <xf numFmtId="38" fontId="37" fillId="5" borderId="54" xfId="2642" applyFont="1" applyFill="1" applyBorder="1" applyAlignment="1">
      <alignment horizontal="center" vertical="center" shrinkToFit="1"/>
    </xf>
    <xf numFmtId="38" fontId="37" fillId="5" borderId="30" xfId="2642" applyFont="1" applyFill="1" applyBorder="1" applyAlignment="1">
      <alignment horizontal="center" vertical="center" shrinkToFit="1"/>
    </xf>
    <xf numFmtId="38" fontId="37" fillId="5" borderId="53" xfId="2642" applyFont="1" applyFill="1" applyBorder="1" applyAlignment="1">
      <alignment horizontal="center" vertical="center" shrinkToFit="1"/>
    </xf>
    <xf numFmtId="38" fontId="37" fillId="5" borderId="3" xfId="2642" applyFont="1" applyFill="1" applyBorder="1" applyAlignment="1">
      <alignment horizontal="center" vertical="center" shrinkToFit="1"/>
    </xf>
    <xf numFmtId="38" fontId="37" fillId="10" borderId="25" xfId="2642" applyFont="1" applyFill="1" applyBorder="1" applyAlignment="1">
      <alignment vertical="center"/>
    </xf>
    <xf numFmtId="38" fontId="37" fillId="5" borderId="23" xfId="2642" applyFont="1" applyFill="1" applyBorder="1" applyAlignment="1">
      <alignment horizontal="center" vertical="center" shrinkToFit="1"/>
    </xf>
    <xf numFmtId="38" fontId="37" fillId="5" borderId="55" xfId="2642" applyFont="1" applyFill="1" applyBorder="1" applyAlignment="1">
      <alignment vertical="center" shrinkToFit="1"/>
    </xf>
    <xf numFmtId="38" fontId="37" fillId="5" borderId="54" xfId="2642" applyFont="1" applyFill="1" applyBorder="1" applyAlignment="1">
      <alignment horizontal="right" vertical="center" shrinkToFit="1"/>
    </xf>
    <xf numFmtId="38" fontId="37" fillId="5" borderId="30" xfId="2642" applyFont="1" applyFill="1" applyBorder="1" applyAlignment="1">
      <alignment horizontal="right" vertical="center" shrinkToFit="1"/>
    </xf>
    <xf numFmtId="38" fontId="37" fillId="5" borderId="56" xfId="2642" applyFont="1" applyFill="1" applyBorder="1" applyAlignment="1">
      <alignment vertical="center" shrinkToFit="1"/>
    </xf>
    <xf numFmtId="38" fontId="37" fillId="5" borderId="57" xfId="2642" applyFont="1" applyFill="1" applyBorder="1" applyAlignment="1">
      <alignment horizontal="center" vertical="center" shrinkToFit="1"/>
    </xf>
    <xf numFmtId="38" fontId="37" fillId="10" borderId="0" xfId="2642" applyFont="1" applyFill="1" applyAlignment="1">
      <alignment horizontal="center" vertical="center"/>
    </xf>
    <xf numFmtId="38" fontId="37" fillId="5" borderId="52" xfId="2642" applyFont="1" applyFill="1" applyBorder="1" applyAlignment="1">
      <alignment horizontal="right" vertical="center" shrinkToFit="1"/>
    </xf>
    <xf numFmtId="38" fontId="37" fillId="5" borderId="23" xfId="2642" applyFont="1" applyFill="1" applyBorder="1" applyAlignment="1" applyProtection="1">
      <alignment horizontal="right" vertical="center" shrinkToFit="1"/>
      <protection locked="0"/>
    </xf>
    <xf numFmtId="38" fontId="39" fillId="5" borderId="58" xfId="2642" applyFont="1" applyFill="1" applyBorder="1" applyAlignment="1">
      <alignment horizontal="center" vertical="center" shrinkToFit="1"/>
    </xf>
    <xf numFmtId="38" fontId="39" fillId="5" borderId="28" xfId="2642" applyFont="1" applyFill="1" applyBorder="1" applyAlignment="1">
      <alignment horizontal="center" vertical="center" shrinkToFit="1"/>
    </xf>
    <xf numFmtId="38" fontId="39" fillId="5" borderId="55" xfId="2642" applyFont="1" applyFill="1" applyBorder="1" applyAlignment="1">
      <alignment horizontal="center" vertical="center" shrinkToFit="1"/>
    </xf>
    <xf numFmtId="38" fontId="39" fillId="10" borderId="0" xfId="2642" applyFont="1" applyFill="1" applyAlignment="1">
      <alignment vertical="center"/>
    </xf>
    <xf numFmtId="38" fontId="39" fillId="5" borderId="27" xfId="2642" applyFont="1" applyFill="1" applyBorder="1" applyAlignment="1">
      <alignment vertical="center" shrinkToFit="1"/>
    </xf>
    <xf numFmtId="38" fontId="39" fillId="5" borderId="24" xfId="2642" applyFont="1" applyFill="1" applyBorder="1" applyAlignment="1">
      <alignment vertical="center" shrinkToFit="1"/>
    </xf>
    <xf numFmtId="38" fontId="39" fillId="5" borderId="54" xfId="2642" applyFont="1" applyFill="1" applyBorder="1" applyAlignment="1" applyProtection="1">
      <alignment vertical="center" shrinkToFit="1"/>
      <protection locked="0"/>
    </xf>
    <xf numFmtId="38" fontId="39" fillId="5" borderId="24" xfId="2642" applyFont="1" applyFill="1" applyBorder="1" applyAlignment="1" applyProtection="1">
      <alignment vertical="center" shrinkToFit="1"/>
      <protection locked="0"/>
    </xf>
    <xf numFmtId="38" fontId="39" fillId="5" borderId="56" xfId="2642" applyFont="1" applyFill="1" applyBorder="1" applyAlignment="1">
      <alignment vertical="center" shrinkToFit="1"/>
    </xf>
    <xf numFmtId="38" fontId="37" fillId="5" borderId="54" xfId="2642" applyFont="1" applyFill="1" applyBorder="1" applyAlignment="1">
      <alignment vertical="center" shrinkToFit="1"/>
    </xf>
    <xf numFmtId="38" fontId="37" fillId="5" borderId="27" xfId="2642" applyFont="1" applyFill="1" applyBorder="1" applyAlignment="1">
      <alignment vertical="center" shrinkToFit="1"/>
    </xf>
    <xf numFmtId="38" fontId="37" fillId="5" borderId="24" xfId="2642" applyFont="1" applyFill="1" applyBorder="1" applyAlignment="1">
      <alignment vertical="center" shrinkToFit="1"/>
    </xf>
    <xf numFmtId="38" fontId="37" fillId="5" borderId="54" xfId="2642" applyFont="1" applyFill="1" applyBorder="1" applyAlignment="1" applyProtection="1">
      <alignment vertical="center" shrinkToFit="1"/>
      <protection locked="0"/>
    </xf>
    <xf numFmtId="38" fontId="37" fillId="5" borderId="24" xfId="2642" applyFont="1" applyFill="1" applyBorder="1" applyAlignment="1" applyProtection="1">
      <alignment vertical="center" shrinkToFit="1"/>
      <protection locked="0"/>
    </xf>
    <xf numFmtId="38" fontId="37" fillId="5" borderId="30" xfId="2642" applyFont="1" applyFill="1" applyBorder="1" applyAlignment="1">
      <alignment vertical="center" shrinkToFit="1"/>
    </xf>
    <xf numFmtId="38" fontId="37" fillId="5" borderId="53" xfId="2642" applyFont="1" applyFill="1" applyBorder="1" applyAlignment="1">
      <alignment vertical="center" shrinkToFit="1"/>
    </xf>
    <xf numFmtId="38" fontId="37" fillId="5" borderId="52" xfId="2642" applyFont="1" applyFill="1" applyBorder="1" applyAlignment="1" applyProtection="1">
      <alignment vertical="center" shrinkToFit="1"/>
      <protection locked="0"/>
    </xf>
    <xf numFmtId="38" fontId="37" fillId="5" borderId="2" xfId="2642" applyFont="1" applyFill="1" applyBorder="1" applyAlignment="1" applyProtection="1">
      <alignment vertical="center" shrinkToFit="1"/>
      <protection locked="0"/>
    </xf>
    <xf numFmtId="38" fontId="37" fillId="5" borderId="23" xfId="2642" applyFont="1" applyFill="1" applyBorder="1" applyAlignment="1" applyProtection="1">
      <alignment vertical="center" shrinkToFit="1"/>
      <protection locked="0"/>
    </xf>
    <xf numFmtId="38" fontId="39" fillId="5" borderId="28" xfId="2642" applyFont="1" applyFill="1" applyBorder="1" applyAlignment="1" applyProtection="1">
      <alignment vertical="center" shrinkToFit="1"/>
      <protection locked="0"/>
    </xf>
    <xf numFmtId="38" fontId="39" fillId="5" borderId="55" xfId="2642" applyFont="1" applyFill="1" applyBorder="1" applyAlignment="1" applyProtection="1">
      <alignment vertical="center" shrinkToFit="1"/>
      <protection locked="0"/>
    </xf>
    <xf numFmtId="38" fontId="39" fillId="5" borderId="4" xfId="2642" applyFont="1" applyFill="1" applyBorder="1" applyAlignment="1" applyProtection="1">
      <alignment vertical="center" shrinkToFit="1"/>
      <protection locked="0"/>
    </xf>
    <xf numFmtId="38" fontId="39" fillId="5" borderId="58" xfId="2642" applyFont="1" applyFill="1" applyBorder="1" applyAlignment="1" applyProtection="1">
      <alignment vertical="center" shrinkToFit="1"/>
      <protection locked="0"/>
    </xf>
    <xf numFmtId="38" fontId="39" fillId="5" borderId="30" xfId="2642" applyFont="1" applyFill="1" applyBorder="1" applyAlignment="1">
      <alignment vertical="center" shrinkToFit="1"/>
    </xf>
    <xf numFmtId="38" fontId="37" fillId="5" borderId="4" xfId="2642" applyFont="1" applyFill="1" applyBorder="1" applyAlignment="1">
      <alignment vertical="center" shrinkToFit="1"/>
    </xf>
    <xf numFmtId="38" fontId="37" fillId="5" borderId="4" xfId="2642" applyFont="1" applyFill="1" applyBorder="1" applyAlignment="1" applyProtection="1">
      <alignment vertical="center" shrinkToFit="1"/>
      <protection locked="0"/>
    </xf>
    <xf numFmtId="38" fontId="39" fillId="5" borderId="60" xfId="2642" applyFont="1" applyFill="1" applyBorder="1" applyAlignment="1">
      <alignment vertical="center" shrinkToFit="1"/>
    </xf>
    <xf numFmtId="38" fontId="39" fillId="5" borderId="61" xfId="2642" applyFont="1" applyFill="1" applyBorder="1" applyAlignment="1">
      <alignment vertical="center" shrinkToFit="1"/>
    </xf>
    <xf numFmtId="38" fontId="39" fillId="5" borderId="63" xfId="2642" applyFont="1" applyFill="1" applyBorder="1" applyAlignment="1">
      <alignment vertical="center" shrinkToFit="1"/>
    </xf>
    <xf numFmtId="38" fontId="39" fillId="5" borderId="64" xfId="2642" applyFont="1" applyFill="1" applyBorder="1" applyAlignment="1">
      <alignment vertical="center" shrinkToFit="1"/>
    </xf>
    <xf numFmtId="38" fontId="39" fillId="5" borderId="62" xfId="2642" applyFont="1" applyFill="1" applyBorder="1" applyAlignment="1">
      <alignment vertical="center" shrinkToFit="1"/>
    </xf>
    <xf numFmtId="38" fontId="37" fillId="5" borderId="0" xfId="2642" applyFont="1" applyFill="1" applyBorder="1" applyAlignment="1">
      <alignment vertical="center"/>
    </xf>
    <xf numFmtId="38" fontId="43" fillId="5" borderId="0" xfId="2642" applyFont="1" applyFill="1" applyAlignment="1">
      <alignment vertical="center"/>
    </xf>
    <xf numFmtId="38" fontId="37" fillId="5" borderId="27" xfId="2642" applyFont="1" applyFill="1" applyBorder="1" applyAlignment="1">
      <alignment horizontal="center" vertical="center" shrinkToFit="1"/>
    </xf>
    <xf numFmtId="38" fontId="37" fillId="10" borderId="25" xfId="2642" applyFont="1" applyFill="1" applyBorder="1" applyAlignment="1">
      <alignment horizontal="center" vertical="center"/>
    </xf>
    <xf numFmtId="38" fontId="37" fillId="5" borderId="29" xfId="2642" applyFont="1" applyFill="1" applyBorder="1" applyAlignment="1">
      <alignment horizontal="center" vertical="center" shrinkToFit="1"/>
    </xf>
    <xf numFmtId="38" fontId="37" fillId="5" borderId="3" xfId="2642" applyFont="1" applyFill="1" applyBorder="1" applyAlignment="1">
      <alignment horizontal="right" vertical="center" shrinkToFit="1"/>
    </xf>
    <xf numFmtId="38" fontId="37" fillId="5" borderId="53" xfId="2642" applyFont="1" applyFill="1" applyBorder="1" applyAlignment="1">
      <alignment horizontal="right" vertical="center" shrinkToFit="1"/>
    </xf>
    <xf numFmtId="38" fontId="37" fillId="5" borderId="58" xfId="2642" applyFont="1" applyFill="1" applyBorder="1" applyAlignment="1">
      <alignment horizontal="right" vertical="center" shrinkToFit="1"/>
    </xf>
    <xf numFmtId="38" fontId="37" fillId="5" borderId="56" xfId="2642" applyFont="1" applyFill="1" applyBorder="1" applyAlignment="1">
      <alignment horizontal="right" vertical="center" shrinkToFit="1"/>
    </xf>
    <xf numFmtId="38" fontId="37" fillId="5" borderId="58" xfId="2642" applyFont="1" applyFill="1" applyBorder="1" applyAlignment="1">
      <alignment horizontal="center" vertical="center" shrinkToFit="1"/>
    </xf>
    <xf numFmtId="38" fontId="37" fillId="5" borderId="28" xfId="2642" applyFont="1" applyFill="1" applyBorder="1" applyAlignment="1">
      <alignment horizontal="center" vertical="center" shrinkToFit="1"/>
    </xf>
    <xf numFmtId="38" fontId="39" fillId="10" borderId="0" xfId="2642" applyFont="1" applyFill="1" applyBorder="1" applyAlignment="1">
      <alignment vertical="center"/>
    </xf>
    <xf numFmtId="38" fontId="37" fillId="10" borderId="0" xfId="2642" applyFont="1" applyFill="1" applyBorder="1" applyAlignment="1">
      <alignment vertical="center"/>
    </xf>
    <xf numFmtId="38" fontId="37" fillId="5" borderId="4" xfId="2642" applyFont="1" applyFill="1" applyBorder="1" applyAlignment="1">
      <alignment horizontal="center" vertical="center" shrinkToFit="1"/>
    </xf>
    <xf numFmtId="38" fontId="37" fillId="5" borderId="5" xfId="2642" applyFont="1" applyFill="1" applyBorder="1" applyAlignment="1" applyProtection="1">
      <alignment vertical="center" shrinkToFit="1"/>
      <protection locked="0"/>
    </xf>
    <xf numFmtId="38" fontId="37" fillId="0" borderId="54" xfId="2642" applyFont="1" applyFill="1" applyBorder="1" applyAlignment="1" applyProtection="1">
      <alignment vertical="center" shrinkToFit="1"/>
      <protection locked="0"/>
    </xf>
    <xf numFmtId="38" fontId="37" fillId="0" borderId="24" xfId="2642" applyFont="1" applyFill="1" applyBorder="1" applyAlignment="1" applyProtection="1">
      <alignment vertical="center" shrinkToFit="1"/>
      <protection locked="0"/>
    </xf>
    <xf numFmtId="38" fontId="37" fillId="0" borderId="27" xfId="2642" applyFont="1" applyFill="1" applyBorder="1" applyAlignment="1">
      <alignment vertical="center" shrinkToFit="1"/>
    </xf>
    <xf numFmtId="38" fontId="37" fillId="0" borderId="56" xfId="2642" applyFont="1" applyFill="1" applyBorder="1" applyAlignment="1">
      <alignment vertical="center" shrinkToFit="1"/>
    </xf>
    <xf numFmtId="38" fontId="37" fillId="5" borderId="58" xfId="2642" applyFont="1" applyFill="1" applyBorder="1" applyAlignment="1" applyProtection="1">
      <alignment vertical="center" shrinkToFit="1"/>
      <protection locked="0"/>
    </xf>
    <xf numFmtId="38" fontId="37" fillId="5" borderId="0" xfId="2642" applyFont="1" applyFill="1" applyAlignment="1">
      <alignment vertical="center" shrinkToFit="1"/>
    </xf>
    <xf numFmtId="38" fontId="37" fillId="5" borderId="66" xfId="2642" applyFont="1" applyFill="1" applyBorder="1" applyAlignment="1">
      <alignment horizontal="center" vertical="center" shrinkToFit="1"/>
    </xf>
    <xf numFmtId="38" fontId="37" fillId="5" borderId="71" xfId="2642" applyFont="1" applyFill="1" applyBorder="1" applyAlignment="1">
      <alignment horizontal="center" vertical="center" shrinkToFit="1"/>
    </xf>
    <xf numFmtId="38" fontId="37" fillId="5" borderId="56" xfId="2642" applyFont="1" applyFill="1" applyBorder="1" applyAlignment="1">
      <alignment horizontal="center" vertical="center" shrinkToFit="1"/>
    </xf>
    <xf numFmtId="38" fontId="37" fillId="5" borderId="65" xfId="2642" applyFont="1" applyFill="1" applyBorder="1" applyAlignment="1">
      <alignment horizontal="right" vertical="center" shrinkToFit="1"/>
    </xf>
    <xf numFmtId="38" fontId="37" fillId="5" borderId="58" xfId="2642" applyFont="1" applyFill="1" applyBorder="1" applyAlignment="1">
      <alignment horizontal="left" vertical="center" shrinkToFit="1"/>
    </xf>
    <xf numFmtId="38" fontId="37" fillId="10" borderId="0" xfId="2642" applyFont="1" applyFill="1" applyAlignment="1">
      <alignment horizontal="left" vertical="center"/>
    </xf>
    <xf numFmtId="38" fontId="37" fillId="5" borderId="28" xfId="2642" applyFont="1" applyFill="1" applyBorder="1" applyAlignment="1" applyProtection="1">
      <alignment vertical="center" shrinkToFit="1"/>
      <protection locked="0"/>
    </xf>
    <xf numFmtId="38" fontId="37" fillId="5" borderId="36" xfId="2642" applyFont="1" applyFill="1" applyBorder="1" applyAlignment="1" applyProtection="1">
      <alignment horizontal="left" vertical="center" shrinkToFit="1"/>
      <protection locked="0"/>
    </xf>
    <xf numFmtId="38" fontId="37" fillId="5" borderId="58" xfId="2642" applyFont="1" applyFill="1" applyBorder="1" applyAlignment="1" applyProtection="1">
      <alignment horizontal="left" vertical="center" shrinkToFit="1"/>
      <protection locked="0"/>
    </xf>
    <xf numFmtId="38" fontId="37" fillId="5" borderId="28" xfId="2642" applyFont="1" applyFill="1" applyBorder="1" applyAlignment="1" applyProtection="1">
      <alignment horizontal="left" vertical="center" shrinkToFit="1"/>
      <protection locked="0"/>
    </xf>
    <xf numFmtId="38" fontId="37" fillId="5" borderId="50" xfId="2642" applyFont="1" applyFill="1" applyBorder="1" applyAlignment="1">
      <alignment vertical="center" shrinkToFit="1"/>
    </xf>
    <xf numFmtId="38" fontId="37" fillId="5" borderId="66" xfId="2642" applyFont="1" applyFill="1" applyBorder="1" applyAlignment="1">
      <alignment horizontal="right" vertical="center" shrinkToFit="1"/>
    </xf>
    <xf numFmtId="38" fontId="37" fillId="5" borderId="71" xfId="2642" applyFont="1" applyFill="1" applyBorder="1" applyAlignment="1">
      <alignment horizontal="right" vertical="center" shrinkToFit="1"/>
    </xf>
    <xf numFmtId="38" fontId="37" fillId="5" borderId="2" xfId="2642" applyFont="1" applyFill="1" applyBorder="1" applyAlignment="1" applyProtection="1">
      <alignment horizontal="right" vertical="center" shrinkToFit="1"/>
      <protection locked="0"/>
    </xf>
    <xf numFmtId="38" fontId="37" fillId="5" borderId="24" xfId="2642" applyFont="1" applyFill="1" applyBorder="1" applyAlignment="1" applyProtection="1">
      <alignment horizontal="right" vertical="center" shrinkToFit="1"/>
      <protection locked="0"/>
    </xf>
    <xf numFmtId="38" fontId="37" fillId="0" borderId="29" xfId="2642" applyFont="1" applyFill="1" applyBorder="1" applyAlignment="1" applyProtection="1">
      <alignment horizontal="right" vertical="center" shrinkToFit="1"/>
      <protection locked="0"/>
    </xf>
    <xf numFmtId="38" fontId="37" fillId="10" borderId="0" xfId="2642" applyFont="1" applyFill="1" applyAlignment="1">
      <alignment horizontal="right" vertical="center"/>
    </xf>
    <xf numFmtId="38" fontId="37" fillId="5" borderId="4" xfId="2642" applyFont="1" applyFill="1" applyBorder="1" applyAlignment="1" applyProtection="1">
      <alignment horizontal="left" vertical="center" shrinkToFit="1"/>
      <protection locked="0"/>
    </xf>
    <xf numFmtId="38" fontId="37" fillId="5" borderId="57" xfId="2642" applyFont="1" applyFill="1" applyBorder="1" applyAlignment="1">
      <alignment horizontal="left" vertical="center" shrinkToFit="1"/>
    </xf>
    <xf numFmtId="38" fontId="39" fillId="5" borderId="28" xfId="2642" applyFont="1" applyFill="1" applyBorder="1" applyAlignment="1" applyProtection="1">
      <alignment horizontal="left" vertical="center" shrinkToFit="1"/>
      <protection locked="0"/>
    </xf>
    <xf numFmtId="38" fontId="39" fillId="5" borderId="4" xfId="2642" applyFont="1" applyFill="1" applyBorder="1" applyAlignment="1" applyProtection="1">
      <alignment horizontal="left" vertical="center" shrinkToFit="1"/>
      <protection locked="0"/>
    </xf>
    <xf numFmtId="38" fontId="39" fillId="0" borderId="50" xfId="2642" applyFont="1" applyFill="1" applyBorder="1" applyAlignment="1">
      <alignment vertical="center" shrinkToFit="1"/>
    </xf>
    <xf numFmtId="38" fontId="37" fillId="10" borderId="0" xfId="2642" applyFont="1" applyFill="1" applyBorder="1" applyAlignment="1">
      <alignment horizontal="left" vertical="center"/>
    </xf>
    <xf numFmtId="38" fontId="37" fillId="5" borderId="60" xfId="2642" applyFont="1" applyFill="1" applyBorder="1" applyAlignment="1">
      <alignment vertical="center" shrinkToFit="1"/>
    </xf>
    <xf numFmtId="38" fontId="37" fillId="5" borderId="68" xfId="2642" applyFont="1" applyFill="1" applyBorder="1" applyAlignment="1">
      <alignment vertical="center" shrinkToFit="1"/>
    </xf>
    <xf numFmtId="38" fontId="37" fillId="5" borderId="65" xfId="2642" applyFont="1" applyFill="1" applyBorder="1" applyAlignment="1">
      <alignment horizontal="center" vertical="center" shrinkToFit="1"/>
    </xf>
    <xf numFmtId="38" fontId="37" fillId="5" borderId="50" xfId="2642" applyFont="1" applyFill="1" applyBorder="1" applyAlignment="1">
      <alignment horizontal="center" vertical="center" shrinkToFit="1"/>
    </xf>
    <xf numFmtId="38" fontId="37" fillId="5" borderId="49" xfId="2642" applyFont="1" applyFill="1" applyBorder="1" applyAlignment="1">
      <alignment horizontal="right" vertical="center" shrinkToFit="1"/>
    </xf>
    <xf numFmtId="38" fontId="37" fillId="5" borderId="0" xfId="2642" applyFont="1" applyFill="1" applyBorder="1" applyAlignment="1">
      <alignment horizontal="right" vertical="center" shrinkToFit="1"/>
    </xf>
    <xf numFmtId="38" fontId="39" fillId="5" borderId="28" xfId="2642" applyFont="1" applyFill="1" applyBorder="1" applyAlignment="1">
      <alignment horizontal="left" vertical="center" shrinkToFit="1"/>
    </xf>
    <xf numFmtId="38" fontId="37" fillId="5" borderId="36" xfId="2642" applyFont="1" applyFill="1" applyBorder="1" applyAlignment="1" applyProtection="1">
      <alignment horizontal="right" vertical="center" shrinkToFit="1"/>
      <protection locked="0"/>
    </xf>
    <xf numFmtId="38" fontId="39" fillId="5" borderId="4" xfId="2642" applyFont="1" applyFill="1" applyBorder="1" applyAlignment="1">
      <alignment horizontal="center" vertical="center" shrinkToFit="1"/>
    </xf>
    <xf numFmtId="38" fontId="37" fillId="10" borderId="58" xfId="2642" applyFont="1" applyFill="1" applyBorder="1" applyAlignment="1" applyProtection="1">
      <alignment horizontal="left" vertical="center" shrinkToFit="1"/>
      <protection locked="0"/>
    </xf>
    <xf numFmtId="38" fontId="37" fillId="10" borderId="36" xfId="2642" applyFont="1" applyFill="1" applyBorder="1" applyAlignment="1" applyProtection="1">
      <alignment horizontal="left" vertical="center" shrinkToFit="1"/>
      <protection locked="0"/>
    </xf>
    <xf numFmtId="38" fontId="39" fillId="10" borderId="28" xfId="2642" applyFont="1" applyFill="1" applyBorder="1" applyAlignment="1" applyProtection="1">
      <alignment horizontal="left" vertical="center" shrinkToFit="1"/>
      <protection locked="0"/>
    </xf>
    <xf numFmtId="38" fontId="37" fillId="0" borderId="24" xfId="2642" applyFont="1" applyFill="1" applyBorder="1" applyAlignment="1" applyProtection="1">
      <alignment horizontal="right" vertical="center" shrinkToFit="1"/>
      <protection locked="0"/>
    </xf>
    <xf numFmtId="38" fontId="37" fillId="0" borderId="24" xfId="2642" applyFont="1" applyFill="1" applyBorder="1" applyAlignment="1">
      <alignment horizontal="right" vertical="center" shrinkToFit="1"/>
    </xf>
    <xf numFmtId="38" fontId="37" fillId="0" borderId="53" xfId="2642" applyFont="1" applyFill="1" applyBorder="1" applyAlignment="1">
      <alignment horizontal="right" vertical="center" shrinkToFit="1"/>
    </xf>
    <xf numFmtId="38" fontId="37" fillId="0" borderId="49" xfId="2642" applyFont="1" applyFill="1" applyBorder="1" applyAlignment="1">
      <alignment horizontal="right" vertical="center"/>
    </xf>
    <xf numFmtId="38" fontId="37" fillId="5" borderId="59" xfId="2642" applyFont="1" applyFill="1" applyBorder="1" applyAlignment="1" applyProtection="1">
      <alignment horizontal="left" vertical="center" shrinkToFit="1"/>
      <protection locked="0"/>
    </xf>
    <xf numFmtId="38" fontId="37" fillId="5" borderId="29" xfId="2642" applyFont="1" applyFill="1" applyBorder="1" applyAlignment="1" applyProtection="1">
      <alignment vertical="center" shrinkToFit="1"/>
      <protection locked="0"/>
    </xf>
    <xf numFmtId="38" fontId="37" fillId="5" borderId="36" xfId="2642" applyFont="1" applyFill="1" applyBorder="1" applyAlignment="1" applyProtection="1">
      <alignment vertical="center" shrinkToFit="1"/>
      <protection locked="0"/>
    </xf>
    <xf numFmtId="38" fontId="37" fillId="5" borderId="55" xfId="2642" applyFont="1" applyFill="1" applyBorder="1" applyAlignment="1" applyProtection="1">
      <alignment vertical="center" shrinkToFit="1"/>
      <protection locked="0"/>
    </xf>
    <xf numFmtId="38" fontId="39" fillId="5" borderId="29" xfId="2642" applyFont="1" applyFill="1" applyBorder="1" applyAlignment="1" applyProtection="1">
      <alignment horizontal="right" vertical="center" shrinkToFit="1"/>
      <protection locked="0"/>
    </xf>
    <xf numFmtId="38" fontId="39" fillId="10" borderId="0" xfId="2642" applyFont="1" applyFill="1" applyAlignment="1">
      <alignment horizontal="left" vertical="center"/>
    </xf>
    <xf numFmtId="38" fontId="39" fillId="0" borderId="24" xfId="2642" applyFont="1" applyFill="1" applyBorder="1" applyAlignment="1">
      <alignment vertical="center" shrinkToFit="1"/>
    </xf>
    <xf numFmtId="38" fontId="39" fillId="0" borderId="56" xfId="2642" applyFont="1" applyFill="1" applyBorder="1" applyAlignment="1">
      <alignment vertical="center" shrinkToFit="1"/>
    </xf>
    <xf numFmtId="38" fontId="39" fillId="5" borderId="0" xfId="2642" applyFont="1" applyFill="1" applyBorder="1" applyAlignment="1">
      <alignment vertical="center" shrinkToFit="1"/>
    </xf>
    <xf numFmtId="38" fontId="37" fillId="5" borderId="29" xfId="2642" applyFont="1" applyFill="1" applyBorder="1" applyAlignment="1" applyProtection="1">
      <alignment horizontal="right" vertical="center" shrinkToFit="1"/>
      <protection locked="0"/>
    </xf>
    <xf numFmtId="38" fontId="37" fillId="5" borderId="15" xfId="2642" applyFont="1" applyFill="1" applyBorder="1" applyAlignment="1">
      <alignment horizontal="center" vertical="center" shrinkToFit="1"/>
    </xf>
    <xf numFmtId="38" fontId="37" fillId="0" borderId="0" xfId="2642" applyFont="1" applyFill="1" applyBorder="1" applyAlignment="1">
      <alignment horizontal="right" vertical="center"/>
    </xf>
    <xf numFmtId="38" fontId="37" fillId="5" borderId="3" xfId="2642" applyFont="1" applyFill="1" applyBorder="1" applyAlignment="1" applyProtection="1">
      <alignment horizontal="left" vertical="center"/>
    </xf>
    <xf numFmtId="38" fontId="39" fillId="5" borderId="51" xfId="2642" applyFont="1" applyFill="1" applyBorder="1" applyAlignment="1" applyProtection="1">
      <alignment horizontal="center" vertical="center"/>
    </xf>
    <xf numFmtId="38" fontId="39" fillId="5" borderId="25" xfId="2642" applyFont="1" applyFill="1" applyBorder="1" applyAlignment="1" applyProtection="1">
      <alignment horizontal="center" vertical="center"/>
    </xf>
    <xf numFmtId="38" fontId="39" fillId="5" borderId="76" xfId="2642" applyFont="1" applyFill="1" applyBorder="1" applyAlignment="1" applyProtection="1">
      <alignment vertical="center"/>
    </xf>
    <xf numFmtId="38" fontId="39" fillId="5" borderId="36" xfId="2642" applyFont="1" applyFill="1" applyBorder="1" applyAlignment="1" applyProtection="1">
      <alignment vertical="center"/>
    </xf>
    <xf numFmtId="38" fontId="39" fillId="5" borderId="76" xfId="2642" applyFont="1" applyFill="1" applyBorder="1" applyAlignment="1" applyProtection="1">
      <alignment horizontal="center" vertical="center"/>
    </xf>
    <xf numFmtId="38" fontId="37" fillId="5" borderId="28" xfId="2642" applyFont="1" applyFill="1" applyBorder="1" applyAlignment="1" applyProtection="1">
      <alignment horizontal="center" vertical="center"/>
    </xf>
    <xf numFmtId="38" fontId="37" fillId="5" borderId="51" xfId="2642" applyFont="1" applyFill="1" applyBorder="1" applyAlignment="1" applyProtection="1">
      <alignment horizontal="center" vertical="center"/>
    </xf>
    <xf numFmtId="38" fontId="37" fillId="5" borderId="25" xfId="2642" applyFont="1" applyFill="1" applyBorder="1" applyAlignment="1" applyProtection="1">
      <alignment horizontal="center" vertical="center"/>
    </xf>
    <xf numFmtId="38" fontId="37" fillId="5" borderId="4" xfId="2642" applyFont="1" applyFill="1" applyBorder="1" applyAlignment="1" applyProtection="1">
      <alignment horizontal="center" vertical="center"/>
    </xf>
    <xf numFmtId="38" fontId="37" fillId="5" borderId="2" xfId="2642" applyFont="1" applyFill="1" applyBorder="1" applyAlignment="1">
      <alignment horizontal="right" vertical="center" shrinkToFit="1"/>
    </xf>
    <xf numFmtId="38" fontId="37" fillId="5" borderId="15" xfId="2642" applyFont="1" applyFill="1" applyBorder="1" applyAlignment="1">
      <alignment horizontal="right" vertical="center" shrinkToFit="1"/>
    </xf>
    <xf numFmtId="38" fontId="37" fillId="5" borderId="0" xfId="2642" applyFont="1" applyFill="1" applyBorder="1" applyAlignment="1" applyProtection="1">
      <alignment horizontal="center" vertical="center"/>
    </xf>
    <xf numFmtId="38" fontId="37" fillId="5" borderId="0" xfId="2642" applyFont="1" applyFill="1" applyBorder="1" applyAlignment="1">
      <alignment horizontal="center" vertical="center" shrinkToFit="1"/>
    </xf>
    <xf numFmtId="38" fontId="37" fillId="5" borderId="51" xfId="2642" applyFont="1" applyFill="1" applyBorder="1" applyAlignment="1">
      <alignment horizontal="right" vertical="center" shrinkToFit="1"/>
    </xf>
    <xf numFmtId="38" fontId="37" fillId="5" borderId="57" xfId="2642" applyFont="1" applyFill="1" applyBorder="1" applyAlignment="1">
      <alignment horizontal="right" vertical="center" shrinkToFit="1"/>
    </xf>
    <xf numFmtId="38" fontId="37" fillId="5" borderId="24" xfId="2642" applyFont="1" applyFill="1" applyBorder="1" applyAlignment="1">
      <alignment horizontal="right" vertical="center" shrinkToFit="1"/>
    </xf>
    <xf numFmtId="38" fontId="37" fillId="5" borderId="15" xfId="2642" applyFont="1" applyFill="1" applyBorder="1" applyAlignment="1" applyProtection="1">
      <alignment vertical="center"/>
    </xf>
    <xf numFmtId="38" fontId="37" fillId="5" borderId="3" xfId="2642" applyFont="1" applyFill="1" applyBorder="1" applyAlignment="1" applyProtection="1">
      <alignment vertical="center"/>
    </xf>
    <xf numFmtId="38" fontId="37" fillId="5" borderId="71" xfId="2642" applyFont="1" applyFill="1" applyBorder="1" applyAlignment="1" applyProtection="1">
      <alignment vertical="center"/>
    </xf>
    <xf numFmtId="38" fontId="37" fillId="5" borderId="76" xfId="2642" applyFont="1" applyFill="1" applyBorder="1" applyAlignment="1" applyProtection="1">
      <alignment horizontal="center" vertical="center"/>
    </xf>
    <xf numFmtId="38" fontId="37" fillId="5" borderId="2" xfId="2642" applyFont="1" applyFill="1" applyBorder="1" applyAlignment="1">
      <alignment vertical="center" shrinkToFit="1"/>
    </xf>
    <xf numFmtId="38" fontId="37" fillId="5" borderId="5" xfId="2642" applyFont="1" applyFill="1" applyBorder="1" applyAlignment="1">
      <alignment vertical="center" shrinkToFit="1"/>
    </xf>
    <xf numFmtId="38" fontId="37" fillId="5" borderId="52" xfId="2642" applyFont="1" applyFill="1" applyBorder="1" applyAlignment="1">
      <alignment vertical="center" shrinkToFit="1"/>
    </xf>
    <xf numFmtId="38" fontId="37" fillId="5" borderId="3" xfId="2642" applyFont="1" applyFill="1" applyBorder="1" applyAlignment="1">
      <alignment vertical="center" shrinkToFit="1"/>
    </xf>
    <xf numFmtId="38" fontId="37" fillId="5" borderId="15" xfId="2642" applyFont="1" applyFill="1" applyBorder="1" applyAlignment="1">
      <alignment vertical="center" shrinkToFit="1"/>
    </xf>
    <xf numFmtId="38" fontId="37" fillId="5" borderId="25" xfId="2642" applyFont="1" applyFill="1" applyBorder="1" applyAlignment="1" applyProtection="1">
      <alignment horizontal="right" vertical="center"/>
    </xf>
    <xf numFmtId="38" fontId="37" fillId="5" borderId="36" xfId="2642" applyFont="1" applyFill="1" applyBorder="1" applyAlignment="1" applyProtection="1">
      <alignment horizontal="right" vertical="center"/>
    </xf>
    <xf numFmtId="38" fontId="39" fillId="5" borderId="5" xfId="2642" applyFont="1" applyFill="1" applyBorder="1" applyAlignment="1" applyProtection="1">
      <alignment vertical="center"/>
    </xf>
    <xf numFmtId="38" fontId="39" fillId="5" borderId="31" xfId="2642" applyFont="1" applyFill="1" applyBorder="1" applyAlignment="1" applyProtection="1">
      <alignment vertical="center"/>
    </xf>
    <xf numFmtId="38" fontId="39" fillId="5" borderId="25" xfId="2642" applyFont="1" applyFill="1" applyBorder="1" applyAlignment="1" applyProtection="1">
      <alignment vertical="center"/>
    </xf>
    <xf numFmtId="38" fontId="39" fillId="5" borderId="27" xfId="2642" applyFont="1" applyFill="1" applyBorder="1" applyAlignment="1" applyProtection="1">
      <alignment vertical="center"/>
    </xf>
    <xf numFmtId="38" fontId="37" fillId="5" borderId="25" xfId="2642" applyFont="1" applyFill="1" applyBorder="1" applyAlignment="1" applyProtection="1">
      <alignment horizontal="left" vertical="center"/>
    </xf>
    <xf numFmtId="38" fontId="37" fillId="5" borderId="0" xfId="2642" applyFont="1" applyFill="1" applyBorder="1" applyAlignment="1" applyProtection="1">
      <alignment horizontal="left" vertical="center"/>
    </xf>
    <xf numFmtId="38" fontId="37" fillId="5" borderId="4" xfId="2642" applyFont="1" applyFill="1" applyBorder="1" applyAlignment="1" applyProtection="1">
      <alignment horizontal="right" vertical="center"/>
    </xf>
    <xf numFmtId="38" fontId="37" fillId="5" borderId="36" xfId="2642" applyFont="1" applyFill="1" applyBorder="1" applyAlignment="1">
      <alignment vertical="center" shrinkToFit="1"/>
    </xf>
    <xf numFmtId="38" fontId="37" fillId="5" borderId="50" xfId="2642" applyFont="1" applyFill="1" applyBorder="1" applyAlignment="1" applyProtection="1">
      <alignment horizontal="center" vertical="center"/>
    </xf>
    <xf numFmtId="38" fontId="37" fillId="5" borderId="51" xfId="2642" applyFont="1" applyFill="1" applyBorder="1" applyAlignment="1" applyProtection="1">
      <alignment horizontal="left" vertical="center"/>
    </xf>
    <xf numFmtId="38" fontId="37" fillId="5" borderId="71" xfId="2642" applyFont="1" applyFill="1" applyBorder="1" applyAlignment="1" applyProtection="1">
      <alignment horizontal="left" vertical="center"/>
    </xf>
    <xf numFmtId="38" fontId="37" fillId="5" borderId="0" xfId="2642" applyFont="1" applyFill="1" applyAlignment="1">
      <alignment vertical="center"/>
    </xf>
    <xf numFmtId="38" fontId="37" fillId="5" borderId="58" xfId="2642" applyFont="1" applyFill="1" applyBorder="1" applyAlignment="1">
      <alignment vertical="center" shrinkToFit="1"/>
    </xf>
    <xf numFmtId="38" fontId="37" fillId="5" borderId="0" xfId="2642" applyFont="1" applyFill="1" applyBorder="1" applyAlignment="1">
      <alignment vertical="center" shrinkToFit="1"/>
    </xf>
    <xf numFmtId="38" fontId="37" fillId="5" borderId="30" xfId="2642" applyFont="1" applyFill="1" applyBorder="1" applyAlignment="1" applyProtection="1">
      <alignment vertical="center"/>
    </xf>
    <xf numFmtId="38" fontId="37" fillId="5" borderId="25" xfId="2642" applyFont="1" applyFill="1" applyBorder="1" applyAlignment="1" applyProtection="1">
      <alignment vertical="center"/>
    </xf>
    <xf numFmtId="38" fontId="39" fillId="5" borderId="50" xfId="2642" applyFont="1" applyFill="1" applyBorder="1" applyAlignment="1" applyProtection="1">
      <alignment vertical="center"/>
    </xf>
    <xf numFmtId="38" fontId="39" fillId="5" borderId="30" xfId="2642" applyFont="1" applyFill="1" applyBorder="1" applyAlignment="1" applyProtection="1">
      <alignment vertical="center"/>
    </xf>
    <xf numFmtId="38" fontId="39" fillId="5" borderId="0" xfId="2642" applyFont="1" applyFill="1" applyBorder="1" applyAlignment="1" applyProtection="1">
      <alignment vertical="center"/>
    </xf>
    <xf numFmtId="38" fontId="37" fillId="5" borderId="36" xfId="2642" applyFont="1" applyFill="1" applyBorder="1" applyAlignment="1" applyProtection="1">
      <alignment vertical="center"/>
    </xf>
    <xf numFmtId="38" fontId="37" fillId="5" borderId="0" xfId="2642" applyFont="1" applyFill="1" applyBorder="1" applyAlignment="1" applyProtection="1">
      <alignment vertical="center"/>
    </xf>
    <xf numFmtId="38" fontId="37" fillId="5" borderId="76" xfId="2642" applyFont="1" applyFill="1" applyBorder="1" applyAlignment="1" applyProtection="1">
      <alignment vertical="center"/>
    </xf>
    <xf numFmtId="38" fontId="37" fillId="5" borderId="50" xfId="2642" applyFont="1" applyFill="1" applyBorder="1" applyAlignment="1" applyProtection="1">
      <alignment horizontal="left" vertical="center"/>
    </xf>
    <xf numFmtId="38" fontId="37" fillId="5" borderId="76" xfId="2642" applyFont="1" applyFill="1" applyBorder="1" applyAlignment="1" applyProtection="1">
      <alignment horizontal="left" vertical="center"/>
    </xf>
    <xf numFmtId="38" fontId="37" fillId="5" borderId="50" xfId="2642" applyFont="1" applyFill="1" applyBorder="1" applyAlignment="1" applyProtection="1">
      <alignment vertical="center"/>
    </xf>
    <xf numFmtId="38" fontId="37" fillId="5" borderId="5" xfId="2642" applyFont="1" applyFill="1" applyBorder="1" applyAlignment="1" applyProtection="1">
      <alignment vertical="center"/>
    </xf>
    <xf numFmtId="38" fontId="37" fillId="5" borderId="27" xfId="2642" applyFont="1" applyFill="1" applyBorder="1" applyAlignment="1" applyProtection="1">
      <alignment vertical="center"/>
    </xf>
    <xf numFmtId="38" fontId="37" fillId="5" borderId="51" xfId="2642" applyFont="1" applyFill="1" applyBorder="1" applyAlignment="1" applyProtection="1">
      <alignment vertical="center"/>
    </xf>
    <xf numFmtId="38" fontId="39" fillId="5" borderId="51" xfId="2642" applyFont="1" applyFill="1" applyBorder="1" applyAlignment="1" applyProtection="1">
      <alignment vertical="center"/>
    </xf>
    <xf numFmtId="0" fontId="0" fillId="14" borderId="0" xfId="0" applyFill="1" applyAlignment="1">
      <alignment vertical="center"/>
    </xf>
    <xf numFmtId="38" fontId="39" fillId="14" borderId="49" xfId="2642" applyFont="1" applyFill="1" applyBorder="1" applyAlignment="1">
      <alignment horizontal="center" vertical="center"/>
    </xf>
    <xf numFmtId="38" fontId="39" fillId="14" borderId="0" xfId="2642" applyFont="1" applyFill="1" applyBorder="1" applyAlignment="1">
      <alignment horizontal="center" vertical="center"/>
    </xf>
    <xf numFmtId="38" fontId="39" fillId="14" borderId="0" xfId="2642" applyFont="1" applyFill="1" applyAlignment="1">
      <alignment horizontal="center" vertical="center"/>
    </xf>
    <xf numFmtId="38" fontId="37" fillId="14" borderId="52" xfId="2642" applyFont="1" applyFill="1" applyBorder="1" applyAlignment="1">
      <alignment horizontal="center" vertical="center" shrinkToFit="1"/>
    </xf>
    <xf numFmtId="38" fontId="37" fillId="14" borderId="2" xfId="2642" applyFont="1" applyFill="1" applyBorder="1" applyAlignment="1">
      <alignment horizontal="center" vertical="center" shrinkToFit="1"/>
    </xf>
    <xf numFmtId="38" fontId="39" fillId="14" borderId="2" xfId="2642" applyFont="1" applyFill="1" applyBorder="1" applyAlignment="1">
      <alignment horizontal="center" vertical="center" shrinkToFit="1"/>
    </xf>
    <xf numFmtId="38" fontId="37" fillId="14" borderId="30" xfId="2642" applyFont="1" applyFill="1" applyBorder="1" applyAlignment="1">
      <alignment horizontal="center" vertical="center" shrinkToFit="1"/>
    </xf>
    <xf numFmtId="38" fontId="37" fillId="14" borderId="53" xfId="2642" applyFont="1" applyFill="1" applyBorder="1" applyAlignment="1">
      <alignment horizontal="center" vertical="center" shrinkToFit="1"/>
    </xf>
    <xf numFmtId="38" fontId="37" fillId="14" borderId="15" xfId="2642" applyFont="1" applyFill="1" applyBorder="1" applyAlignment="1">
      <alignment horizontal="center" vertical="center" shrinkToFit="1"/>
    </xf>
    <xf numFmtId="38" fontId="37" fillId="14" borderId="3" xfId="2642" applyFont="1" applyFill="1" applyBorder="1" applyAlignment="1">
      <alignment horizontal="center" vertical="center" shrinkToFit="1"/>
    </xf>
    <xf numFmtId="38" fontId="37" fillId="14" borderId="55" xfId="2642" applyFont="1" applyFill="1" applyBorder="1" applyAlignment="1">
      <alignment vertical="center" shrinkToFit="1"/>
    </xf>
    <xf numFmtId="38" fontId="37" fillId="14" borderId="2" xfId="2642" applyFont="1" applyFill="1" applyBorder="1" applyAlignment="1">
      <alignment vertical="center" shrinkToFit="1"/>
    </xf>
    <xf numFmtId="38" fontId="37" fillId="14" borderId="5" xfId="2642" applyFont="1" applyFill="1" applyBorder="1" applyAlignment="1">
      <alignment vertical="center" shrinkToFit="1"/>
    </xf>
    <xf numFmtId="38" fontId="37" fillId="14" borderId="30" xfId="2642" applyFont="1" applyFill="1" applyBorder="1" applyAlignment="1">
      <alignment horizontal="right" vertical="center" shrinkToFit="1"/>
    </xf>
    <xf numFmtId="38" fontId="37" fillId="14" borderId="56" xfId="2642" applyFont="1" applyFill="1" applyBorder="1" applyAlignment="1">
      <alignment vertical="center" shrinkToFit="1"/>
    </xf>
    <xf numFmtId="38" fontId="37" fillId="14" borderId="49" xfId="2642" applyFont="1" applyFill="1" applyBorder="1" applyAlignment="1">
      <alignment horizontal="center" vertical="center" shrinkToFit="1"/>
    </xf>
    <xf numFmtId="38" fontId="37" fillId="14" borderId="0" xfId="2642" applyFont="1" applyFill="1" applyBorder="1" applyAlignment="1">
      <alignment horizontal="center" vertical="center" shrinkToFit="1"/>
    </xf>
    <xf numFmtId="38" fontId="37" fillId="14" borderId="52" xfId="2642" applyFont="1" applyFill="1" applyBorder="1" applyAlignment="1">
      <alignment horizontal="right" vertical="center" shrinkToFit="1"/>
    </xf>
    <xf numFmtId="38" fontId="37" fillId="14" borderId="52" xfId="2642" applyFont="1" applyFill="1" applyBorder="1" applyAlignment="1">
      <alignment vertical="center" shrinkToFit="1"/>
    </xf>
    <xf numFmtId="38" fontId="37" fillId="14" borderId="15" xfId="2642" applyFont="1" applyFill="1" applyBorder="1" applyAlignment="1">
      <alignment vertical="center" shrinkToFit="1"/>
    </xf>
    <xf numFmtId="38" fontId="37" fillId="14" borderId="53" xfId="2642" applyFont="1" applyFill="1" applyBorder="1" applyAlignment="1">
      <alignment vertical="center" shrinkToFit="1"/>
    </xf>
    <xf numFmtId="38" fontId="37" fillId="14" borderId="49" xfId="2642" applyFont="1" applyFill="1" applyBorder="1" applyAlignment="1">
      <alignment vertical="center" shrinkToFit="1"/>
    </xf>
    <xf numFmtId="38" fontId="37" fillId="14" borderId="0" xfId="2642" applyFont="1" applyFill="1" applyBorder="1" applyAlignment="1">
      <alignment vertical="center" shrinkToFit="1"/>
    </xf>
    <xf numFmtId="38" fontId="37" fillId="14" borderId="0" xfId="2642" applyFont="1" applyFill="1" applyAlignment="1">
      <alignment vertical="center"/>
    </xf>
    <xf numFmtId="38" fontId="37" fillId="14" borderId="54" xfId="2642" applyFont="1" applyFill="1" applyBorder="1" applyAlignment="1">
      <alignment horizontal="right" vertical="center" shrinkToFit="1"/>
    </xf>
    <xf numFmtId="38" fontId="37" fillId="14" borderId="24" xfId="2642" applyFont="1" applyFill="1" applyBorder="1" applyAlignment="1">
      <alignment vertical="center" shrinkToFit="1"/>
    </xf>
    <xf numFmtId="38" fontId="37" fillId="14" borderId="58" xfId="2642" applyFont="1" applyFill="1" applyBorder="1" applyAlignment="1">
      <alignment vertical="center" shrinkToFit="1"/>
    </xf>
    <xf numFmtId="38" fontId="37" fillId="5" borderId="59" xfId="2642" applyFont="1" applyFill="1" applyBorder="1" applyAlignment="1">
      <alignment horizontal="right" vertical="center" shrinkToFit="1"/>
    </xf>
    <xf numFmtId="38" fontId="37" fillId="14" borderId="54" xfId="2642" applyFont="1" applyFill="1" applyBorder="1" applyAlignment="1">
      <alignment vertical="center" shrinkToFit="1"/>
    </xf>
    <xf numFmtId="38" fontId="39" fillId="14" borderId="58" xfId="2642" applyFont="1" applyFill="1" applyBorder="1" applyAlignment="1">
      <alignment horizontal="center" vertical="center" shrinkToFit="1"/>
    </xf>
    <xf numFmtId="38" fontId="39" fillId="14" borderId="25" xfId="2642" applyFont="1" applyFill="1" applyBorder="1" applyAlignment="1">
      <alignment horizontal="center" vertical="center" shrinkToFit="1"/>
    </xf>
    <xf numFmtId="178" fontId="39" fillId="5" borderId="59" xfId="591" applyNumberFormat="1" applyFont="1" applyFill="1" applyBorder="1" applyAlignment="1">
      <alignment horizontal="left" vertical="center" shrinkToFit="1"/>
    </xf>
    <xf numFmtId="38" fontId="39" fillId="14" borderId="28" xfId="2642" applyFont="1" applyFill="1" applyBorder="1" applyAlignment="1">
      <alignment horizontal="center" vertical="center" shrinkToFit="1"/>
    </xf>
    <xf numFmtId="38" fontId="39" fillId="14" borderId="85" xfId="2642" applyFont="1" applyFill="1" applyBorder="1" applyAlignment="1">
      <alignment horizontal="center" vertical="center" shrinkToFit="1"/>
    </xf>
    <xf numFmtId="38" fontId="39" fillId="14" borderId="49" xfId="2642" applyFont="1" applyFill="1" applyBorder="1" applyAlignment="1">
      <alignment vertical="center"/>
    </xf>
    <xf numFmtId="38" fontId="39" fillId="14" borderId="0" xfId="2642" applyFont="1" applyFill="1" applyBorder="1" applyAlignment="1">
      <alignment vertical="center"/>
    </xf>
    <xf numFmtId="38" fontId="39" fillId="14" borderId="54" xfId="2642" applyFont="1" applyFill="1" applyBorder="1" applyAlignment="1">
      <alignment vertical="center" shrinkToFit="1"/>
    </xf>
    <xf numFmtId="38" fontId="39" fillId="14" borderId="27" xfId="2642" applyFont="1" applyFill="1" applyBorder="1" applyAlignment="1">
      <alignment vertical="center" shrinkToFit="1"/>
    </xf>
    <xf numFmtId="38" fontId="39" fillId="14" borderId="24" xfId="2642" applyFont="1" applyFill="1" applyBorder="1" applyAlignment="1">
      <alignment vertical="center" shrinkToFit="1"/>
    </xf>
    <xf numFmtId="38" fontId="39" fillId="14" borderId="54" xfId="2642" applyFont="1" applyFill="1" applyBorder="1" applyAlignment="1" applyProtection="1">
      <alignment vertical="center" shrinkToFit="1"/>
      <protection locked="0"/>
    </xf>
    <xf numFmtId="38" fontId="39" fillId="14" borderId="30" xfId="2642" applyFont="1" applyFill="1" applyBorder="1" applyAlignment="1" applyProtection="1">
      <alignment vertical="center" shrinkToFit="1"/>
      <protection locked="0"/>
    </xf>
    <xf numFmtId="38" fontId="39" fillId="14" borderId="24" xfId="2642" applyFont="1" applyFill="1" applyBorder="1" applyAlignment="1" applyProtection="1">
      <alignment vertical="center" shrinkToFit="1"/>
      <protection locked="0"/>
    </xf>
    <xf numFmtId="38" fontId="39" fillId="14" borderId="56" xfId="2642" applyFont="1" applyFill="1" applyBorder="1" applyAlignment="1">
      <alignment vertical="center" shrinkToFit="1"/>
    </xf>
    <xf numFmtId="38" fontId="37" fillId="14" borderId="27" xfId="2642" applyFont="1" applyFill="1" applyBorder="1" applyAlignment="1">
      <alignment vertical="center" shrinkToFit="1"/>
    </xf>
    <xf numFmtId="38" fontId="37" fillId="14" borderId="54" xfId="2642" applyFont="1" applyFill="1" applyBorder="1" applyAlignment="1" applyProtection="1">
      <alignment vertical="center" shrinkToFit="1"/>
      <protection locked="0"/>
    </xf>
    <xf numFmtId="38" fontId="37" fillId="14" borderId="30" xfId="2642" applyFont="1" applyFill="1" applyBorder="1" applyAlignment="1" applyProtection="1">
      <alignment vertical="center" shrinkToFit="1"/>
      <protection locked="0"/>
    </xf>
    <xf numFmtId="38" fontId="37" fillId="14" borderId="24" xfId="2642" applyFont="1" applyFill="1" applyBorder="1" applyAlignment="1" applyProtection="1">
      <alignment vertical="center" shrinkToFit="1"/>
      <protection locked="0"/>
    </xf>
    <xf numFmtId="38" fontId="37" fillId="14" borderId="30" xfId="2642" applyFont="1" applyFill="1" applyBorder="1" applyAlignment="1">
      <alignment vertical="center" shrinkToFit="1"/>
    </xf>
    <xf numFmtId="38" fontId="37" fillId="14" borderId="49" xfId="2642" applyFont="1" applyFill="1" applyBorder="1" applyAlignment="1">
      <alignment vertical="center"/>
    </xf>
    <xf numFmtId="38" fontId="37" fillId="14" borderId="0" xfId="2642" applyFont="1" applyFill="1" applyBorder="1" applyAlignment="1">
      <alignment vertical="center"/>
    </xf>
    <xf numFmtId="38" fontId="37" fillId="14" borderId="3" xfId="2642" applyFont="1" applyFill="1" applyBorder="1" applyAlignment="1">
      <alignment vertical="center" shrinkToFit="1"/>
    </xf>
    <xf numFmtId="38" fontId="37" fillId="14" borderId="52" xfId="2642" applyFont="1" applyFill="1" applyBorder="1" applyAlignment="1" applyProtection="1">
      <alignment vertical="center" shrinkToFit="1"/>
      <protection locked="0"/>
    </xf>
    <xf numFmtId="38" fontId="37" fillId="14" borderId="15" xfId="2642" applyFont="1" applyFill="1" applyBorder="1" applyAlignment="1" applyProtection="1">
      <alignment vertical="center" shrinkToFit="1"/>
      <protection locked="0"/>
    </xf>
    <xf numFmtId="38" fontId="37" fillId="14" borderId="2" xfId="2642" applyFont="1" applyFill="1" applyBorder="1" applyAlignment="1" applyProtection="1">
      <alignment vertical="center" shrinkToFit="1"/>
      <protection locked="0"/>
    </xf>
    <xf numFmtId="38" fontId="39" fillId="14" borderId="58" xfId="2642" applyFont="1" applyFill="1" applyBorder="1" applyAlignment="1">
      <alignment vertical="center" shrinkToFit="1"/>
    </xf>
    <xf numFmtId="38" fontId="39" fillId="14" borderId="25" xfId="2642" applyFont="1" applyFill="1" applyBorder="1" applyAlignment="1">
      <alignment vertical="center" shrinkToFit="1"/>
    </xf>
    <xf numFmtId="38" fontId="39" fillId="14" borderId="28" xfId="2642" applyFont="1" applyFill="1" applyBorder="1" applyAlignment="1">
      <alignment vertical="center" shrinkToFit="1"/>
    </xf>
    <xf numFmtId="38" fontId="39" fillId="14" borderId="0" xfId="2642" applyFont="1" applyFill="1" applyBorder="1" applyAlignment="1" applyProtection="1">
      <alignment vertical="center" shrinkToFit="1"/>
      <protection locked="0"/>
    </xf>
    <xf numFmtId="38" fontId="39" fillId="14" borderId="28" xfId="2642" applyFont="1" applyFill="1" applyBorder="1" applyAlignment="1" applyProtection="1">
      <alignment vertical="center" shrinkToFit="1"/>
      <protection locked="0"/>
    </xf>
    <xf numFmtId="38" fontId="39" fillId="14" borderId="55" xfId="2642" applyFont="1" applyFill="1" applyBorder="1" applyAlignment="1">
      <alignment vertical="center" shrinkToFit="1"/>
    </xf>
    <xf numFmtId="38" fontId="39" fillId="14" borderId="5" xfId="2642" applyFont="1" applyFill="1" applyBorder="1" applyAlignment="1">
      <alignment vertical="center" shrinkToFit="1"/>
    </xf>
    <xf numFmtId="38" fontId="39" fillId="14" borderId="4" xfId="2642" applyFont="1" applyFill="1" applyBorder="1" applyAlignment="1">
      <alignment vertical="center" shrinkToFit="1"/>
    </xf>
    <xf numFmtId="38" fontId="39" fillId="14" borderId="85" xfId="2642" applyFont="1" applyFill="1" applyBorder="1" applyAlignment="1" applyProtection="1">
      <alignment vertical="center" shrinkToFit="1"/>
      <protection locked="0"/>
    </xf>
    <xf numFmtId="38" fontId="39" fillId="14" borderId="4" xfId="2642" applyFont="1" applyFill="1" applyBorder="1" applyAlignment="1" applyProtection="1">
      <alignment vertical="center" shrinkToFit="1"/>
      <protection locked="0"/>
    </xf>
    <xf numFmtId="38" fontId="39" fillId="14" borderId="58" xfId="2642" applyFont="1" applyFill="1" applyBorder="1" applyAlignment="1" applyProtection="1">
      <alignment vertical="center" shrinkToFit="1"/>
      <protection locked="0"/>
    </xf>
    <xf numFmtId="38" fontId="39" fillId="14" borderId="30" xfId="2642" applyFont="1" applyFill="1" applyBorder="1" applyAlignment="1">
      <alignment vertical="center" shrinkToFit="1"/>
    </xf>
    <xf numFmtId="38" fontId="39" fillId="15" borderId="27" xfId="2642" applyFont="1" applyFill="1" applyBorder="1" applyAlignment="1">
      <alignment vertical="center" shrinkToFit="1"/>
    </xf>
    <xf numFmtId="38" fontId="37" fillId="14" borderId="4" xfId="2642" applyFont="1" applyFill="1" applyBorder="1" applyAlignment="1">
      <alignment vertical="center" shrinkToFit="1"/>
    </xf>
    <xf numFmtId="38" fontId="37" fillId="14" borderId="85" xfId="2642" applyFont="1" applyFill="1" applyBorder="1" applyAlignment="1" applyProtection="1">
      <alignment vertical="center" shrinkToFit="1"/>
      <protection locked="0"/>
    </xf>
    <xf numFmtId="38" fontId="37" fillId="14" borderId="4" xfId="2642" applyFont="1" applyFill="1" applyBorder="1" applyAlignment="1" applyProtection="1">
      <alignment vertical="center" shrinkToFit="1"/>
      <protection locked="0"/>
    </xf>
    <xf numFmtId="38" fontId="39" fillId="14" borderId="60" xfId="2642" applyFont="1" applyFill="1" applyBorder="1" applyAlignment="1">
      <alignment vertical="center" shrinkToFit="1"/>
    </xf>
    <xf numFmtId="38" fontId="39" fillId="14" borderId="61" xfId="2642" applyFont="1" applyFill="1" applyBorder="1" applyAlignment="1">
      <alignment vertical="center" shrinkToFit="1"/>
    </xf>
    <xf numFmtId="38" fontId="39" fillId="14" borderId="63" xfId="2642" applyFont="1" applyFill="1" applyBorder="1" applyAlignment="1">
      <alignment vertical="center" shrinkToFit="1"/>
    </xf>
    <xf numFmtId="38" fontId="39" fillId="14" borderId="64" xfId="2642" applyFont="1" applyFill="1" applyBorder="1" applyAlignment="1">
      <alignment vertical="center" shrinkToFit="1"/>
    </xf>
    <xf numFmtId="38" fontId="39" fillId="14" borderId="62" xfId="2642" applyFont="1" applyFill="1" applyBorder="1" applyAlignment="1">
      <alignment vertical="center" shrinkToFit="1"/>
    </xf>
    <xf numFmtId="38" fontId="42" fillId="14" borderId="0" xfId="2642" applyFont="1" applyFill="1" applyAlignment="1">
      <alignment vertical="center"/>
    </xf>
    <xf numFmtId="38" fontId="42" fillId="14" borderId="0" xfId="2642" applyFont="1" applyFill="1" applyAlignment="1">
      <alignment horizontal="right" vertical="center"/>
    </xf>
    <xf numFmtId="38" fontId="39" fillId="14" borderId="3" xfId="2642" applyFont="1" applyFill="1" applyBorder="1" applyAlignment="1">
      <alignment horizontal="center" vertical="center" shrinkToFit="1"/>
    </xf>
    <xf numFmtId="38" fontId="37" fillId="14" borderId="27" xfId="2642" applyFont="1" applyFill="1" applyBorder="1" applyAlignment="1">
      <alignment horizontal="center" vertical="center" shrinkToFit="1"/>
    </xf>
    <xf numFmtId="38" fontId="37" fillId="14" borderId="5" xfId="2642" applyFont="1" applyFill="1" applyBorder="1" applyAlignment="1">
      <alignment horizontal="right" vertical="center" shrinkToFit="1"/>
    </xf>
    <xf numFmtId="38" fontId="37" fillId="14" borderId="2" xfId="2642" applyFont="1" applyFill="1" applyBorder="1" applyAlignment="1">
      <alignment horizontal="right" vertical="center" shrinkToFit="1"/>
    </xf>
    <xf numFmtId="38" fontId="37" fillId="14" borderId="3" xfId="2642" applyFont="1" applyFill="1" applyBorder="1" applyAlignment="1">
      <alignment horizontal="right" vertical="center" shrinkToFit="1"/>
    </xf>
    <xf numFmtId="38" fontId="37" fillId="14" borderId="53" xfId="2642" applyFont="1" applyFill="1" applyBorder="1" applyAlignment="1">
      <alignment horizontal="right" vertical="center" shrinkToFit="1"/>
    </xf>
    <xf numFmtId="38" fontId="37" fillId="14" borderId="15" xfId="2642" applyFont="1" applyFill="1" applyBorder="1" applyAlignment="1">
      <alignment horizontal="right" vertical="center" shrinkToFit="1"/>
    </xf>
    <xf numFmtId="38" fontId="37" fillId="14" borderId="57" xfId="2642" applyFont="1" applyFill="1" applyBorder="1" applyAlignment="1">
      <alignment vertical="center" shrinkToFit="1"/>
    </xf>
    <xf numFmtId="38" fontId="37" fillId="14" borderId="58" xfId="2642" applyFont="1" applyFill="1" applyBorder="1" applyAlignment="1">
      <alignment horizontal="right" vertical="center" shrinkToFit="1"/>
    </xf>
    <xf numFmtId="38" fontId="37" fillId="14" borderId="28" xfId="2642" applyFont="1" applyFill="1" applyBorder="1" applyAlignment="1">
      <alignment vertical="center" shrinkToFit="1"/>
    </xf>
    <xf numFmtId="38" fontId="37" fillId="14" borderId="25" xfId="2642" applyFont="1" applyFill="1" applyBorder="1" applyAlignment="1">
      <alignment vertical="center" shrinkToFit="1"/>
    </xf>
    <xf numFmtId="38" fontId="37" fillId="14" borderId="59" xfId="2642" applyFont="1" applyFill="1" applyBorder="1" applyAlignment="1">
      <alignment vertical="center" shrinkToFit="1"/>
    </xf>
    <xf numFmtId="38" fontId="37" fillId="14" borderId="56" xfId="2642" applyFont="1" applyFill="1" applyBorder="1" applyAlignment="1">
      <alignment horizontal="right" vertical="center" shrinkToFit="1"/>
    </xf>
    <xf numFmtId="38" fontId="37" fillId="14" borderId="58" xfId="2642" applyFont="1" applyFill="1" applyBorder="1" applyAlignment="1">
      <alignment horizontal="center" vertical="center" shrinkToFit="1"/>
    </xf>
    <xf numFmtId="38" fontId="37" fillId="14" borderId="25" xfId="2642" applyFont="1" applyFill="1" applyBorder="1" applyAlignment="1">
      <alignment horizontal="center" vertical="center" shrinkToFit="1"/>
    </xf>
    <xf numFmtId="38" fontId="37" fillId="14" borderId="28" xfId="2642" applyFont="1" applyFill="1" applyBorder="1" applyAlignment="1">
      <alignment horizontal="center" vertical="center" shrinkToFit="1"/>
    </xf>
    <xf numFmtId="38" fontId="37" fillId="14" borderId="65" xfId="2642" applyFont="1" applyFill="1" applyBorder="1" applyAlignment="1">
      <alignment vertical="center" shrinkToFit="1"/>
    </xf>
    <xf numFmtId="38" fontId="37" fillId="14" borderId="66" xfId="2642" applyFont="1" applyFill="1" applyBorder="1" applyAlignment="1">
      <alignment vertical="center" shrinkToFit="1"/>
    </xf>
    <xf numFmtId="38" fontId="37" fillId="14" borderId="67" xfId="2642" applyFont="1" applyFill="1" applyBorder="1" applyAlignment="1">
      <alignment vertical="center" shrinkToFit="1"/>
    </xf>
    <xf numFmtId="38" fontId="37" fillId="14" borderId="5" xfId="2642" applyFont="1" applyFill="1" applyBorder="1" applyAlignment="1" applyProtection="1">
      <alignment vertical="center" shrinkToFit="1"/>
      <protection locked="0"/>
    </xf>
    <xf numFmtId="38" fontId="37" fillId="14" borderId="58" xfId="2642" applyFont="1" applyFill="1" applyBorder="1" applyAlignment="1" applyProtection="1">
      <alignment vertical="center" shrinkToFit="1"/>
      <protection locked="0"/>
    </xf>
    <xf numFmtId="38" fontId="37" fillId="14" borderId="28" xfId="2642" applyFont="1" applyFill="1" applyBorder="1" applyAlignment="1" applyProtection="1">
      <alignment vertical="center" shrinkToFit="1"/>
      <protection locked="0"/>
    </xf>
    <xf numFmtId="38" fontId="37" fillId="5" borderId="85" xfId="2642" applyFont="1" applyFill="1" applyBorder="1" applyAlignment="1" applyProtection="1">
      <alignment vertical="center" shrinkToFit="1"/>
      <protection locked="0"/>
    </xf>
    <xf numFmtId="38" fontId="39" fillId="15" borderId="24" xfId="2642" applyFont="1" applyFill="1" applyBorder="1" applyAlignment="1">
      <alignment vertical="center" shrinkToFit="1"/>
    </xf>
    <xf numFmtId="38" fontId="39" fillId="15" borderId="63" xfId="2642" applyFont="1" applyFill="1" applyBorder="1" applyAlignment="1">
      <alignment vertical="center" shrinkToFit="1"/>
    </xf>
    <xf numFmtId="9" fontId="37" fillId="14" borderId="0" xfId="591" applyFont="1" applyFill="1" applyAlignment="1">
      <alignment vertical="center"/>
    </xf>
    <xf numFmtId="38" fontId="37" fillId="14" borderId="0" xfId="2642" applyFont="1" applyFill="1" applyAlignment="1">
      <alignment vertical="center" shrinkToFit="1"/>
    </xf>
    <xf numFmtId="38" fontId="37" fillId="14" borderId="66" xfId="2642" applyFont="1" applyFill="1" applyBorder="1" applyAlignment="1">
      <alignment horizontal="center" vertical="center" shrinkToFit="1"/>
    </xf>
    <xf numFmtId="38" fontId="39" fillId="14" borderId="69" xfId="2642" applyFont="1" applyFill="1" applyBorder="1" applyAlignment="1">
      <alignment horizontal="center" vertical="center" shrinkToFit="1"/>
    </xf>
    <xf numFmtId="38" fontId="39" fillId="16" borderId="70" xfId="2642" applyFont="1" applyFill="1" applyBorder="1" applyAlignment="1">
      <alignment horizontal="center" vertical="center" shrinkToFit="1"/>
    </xf>
    <xf numFmtId="38" fontId="37" fillId="14" borderId="71" xfId="2642" applyFont="1" applyFill="1" applyBorder="1" applyAlignment="1">
      <alignment horizontal="center" vertical="center" shrinkToFit="1"/>
    </xf>
    <xf numFmtId="38" fontId="39" fillId="17" borderId="70" xfId="2642" applyFont="1" applyFill="1" applyBorder="1" applyAlignment="1">
      <alignment horizontal="center" vertical="center" shrinkToFit="1"/>
    </xf>
    <xf numFmtId="38" fontId="37" fillId="18" borderId="2" xfId="2642" applyFont="1" applyFill="1" applyBorder="1" applyAlignment="1">
      <alignment horizontal="center" vertical="center" shrinkToFit="1"/>
    </xf>
    <xf numFmtId="38" fontId="37" fillId="14" borderId="67" xfId="2642" applyFont="1" applyFill="1" applyBorder="1" applyAlignment="1">
      <alignment horizontal="right" vertical="center" shrinkToFit="1"/>
    </xf>
    <xf numFmtId="38" fontId="37" fillId="14" borderId="72" xfId="2642" applyFont="1" applyFill="1" applyBorder="1" applyAlignment="1">
      <alignment horizontal="right" vertical="center" shrinkToFit="1"/>
    </xf>
    <xf numFmtId="38" fontId="37" fillId="16" borderId="43" xfId="2642" applyFont="1" applyFill="1" applyBorder="1" applyAlignment="1">
      <alignment horizontal="right" vertical="center" shrinkToFit="1"/>
    </xf>
    <xf numFmtId="38" fontId="37" fillId="17" borderId="43" xfId="2642" applyFont="1" applyFill="1" applyBorder="1" applyAlignment="1">
      <alignment horizontal="right" vertical="center" shrinkToFit="1"/>
    </xf>
    <xf numFmtId="38" fontId="37" fillId="18" borderId="28" xfId="2642" applyFont="1" applyFill="1" applyBorder="1" applyAlignment="1">
      <alignment horizontal="right" vertical="center" shrinkToFit="1"/>
    </xf>
    <xf numFmtId="38" fontId="37" fillId="5" borderId="28" xfId="2642" applyFont="1" applyFill="1" applyBorder="1" applyAlignment="1">
      <alignment horizontal="right" vertical="center" shrinkToFit="1"/>
    </xf>
    <xf numFmtId="38" fontId="37" fillId="14" borderId="57" xfId="2642" applyFont="1" applyFill="1" applyBorder="1" applyAlignment="1">
      <alignment horizontal="right" vertical="center" shrinkToFit="1"/>
    </xf>
    <xf numFmtId="38" fontId="37" fillId="5" borderId="4" xfId="2642" applyFont="1" applyFill="1" applyBorder="1" applyAlignment="1">
      <alignment horizontal="right" vertical="center" shrinkToFit="1"/>
    </xf>
    <xf numFmtId="38" fontId="37" fillId="14" borderId="28" xfId="2642" applyFont="1" applyFill="1" applyBorder="1" applyAlignment="1">
      <alignment horizontal="right" vertical="center" shrinkToFit="1"/>
    </xf>
    <xf numFmtId="38" fontId="37" fillId="5" borderId="36" xfId="2642" applyFont="1" applyFill="1" applyBorder="1" applyAlignment="1">
      <alignment horizontal="right" vertical="center" shrinkToFit="1"/>
    </xf>
    <xf numFmtId="38" fontId="37" fillId="14" borderId="66" xfId="2642" applyFont="1" applyFill="1" applyBorder="1" applyAlignment="1">
      <alignment horizontal="right" vertical="center" shrinkToFit="1"/>
    </xf>
    <xf numFmtId="38" fontId="37" fillId="14" borderId="69" xfId="2642" applyFont="1" applyFill="1" applyBorder="1" applyAlignment="1">
      <alignment horizontal="right" vertical="center" shrinkToFit="1"/>
    </xf>
    <xf numFmtId="38" fontId="37" fillId="16" borderId="75" xfId="2642" applyFont="1" applyFill="1" applyBorder="1" applyAlignment="1">
      <alignment horizontal="right" vertical="center" shrinkToFit="1"/>
    </xf>
    <xf numFmtId="38" fontId="37" fillId="17" borderId="75" xfId="2642" applyFont="1" applyFill="1" applyBorder="1" applyAlignment="1">
      <alignment horizontal="right" vertical="center" shrinkToFit="1"/>
    </xf>
    <xf numFmtId="38" fontId="37" fillId="18" borderId="2" xfId="2642" applyFont="1" applyFill="1" applyBorder="1" applyAlignment="1">
      <alignment horizontal="right" vertical="center" shrinkToFit="1"/>
    </xf>
    <xf numFmtId="38" fontId="37" fillId="5" borderId="23" xfId="2642" applyFont="1" applyFill="1" applyBorder="1" applyAlignment="1">
      <alignment horizontal="right" vertical="center" shrinkToFit="1"/>
    </xf>
    <xf numFmtId="38" fontId="37" fillId="14" borderId="72" xfId="2642" applyFont="1" applyFill="1" applyBorder="1" applyAlignment="1">
      <alignment vertical="center" shrinkToFit="1"/>
    </xf>
    <xf numFmtId="38" fontId="37" fillId="16" borderId="43" xfId="2642" applyFont="1" applyFill="1" applyBorder="1" applyAlignment="1">
      <alignment vertical="center" shrinkToFit="1"/>
    </xf>
    <xf numFmtId="38" fontId="37" fillId="5" borderId="76" xfId="2642" applyFont="1" applyFill="1" applyBorder="1" applyAlignment="1">
      <alignment horizontal="right" vertical="center" shrinkToFit="1"/>
    </xf>
    <xf numFmtId="38" fontId="37" fillId="17" borderId="43" xfId="2642" applyFont="1" applyFill="1" applyBorder="1" applyAlignment="1">
      <alignment vertical="center" shrinkToFit="1"/>
    </xf>
    <xf numFmtId="38" fontId="37" fillId="18" borderId="24" xfId="2642" applyFont="1" applyFill="1" applyBorder="1" applyAlignment="1">
      <alignment horizontal="right" vertical="center" shrinkToFit="1"/>
    </xf>
    <xf numFmtId="38" fontId="37" fillId="14" borderId="24" xfId="2642" applyFont="1" applyFill="1" applyBorder="1" applyAlignment="1">
      <alignment horizontal="right" vertical="center" shrinkToFit="1"/>
    </xf>
    <xf numFmtId="38" fontId="37" fillId="14" borderId="27" xfId="2642" applyFont="1" applyFill="1" applyBorder="1" applyAlignment="1">
      <alignment horizontal="right" vertical="center" shrinkToFit="1"/>
    </xf>
    <xf numFmtId="38" fontId="37" fillId="14" borderId="76" xfId="2642" applyFont="1" applyFill="1" applyBorder="1" applyAlignment="1">
      <alignment horizontal="right" vertical="center" shrinkToFit="1"/>
    </xf>
    <xf numFmtId="38" fontId="37" fillId="5" borderId="29" xfId="2642" applyFont="1" applyFill="1" applyBorder="1" applyAlignment="1" applyProtection="1">
      <alignment horizontal="right" vertical="center" shrinkToFit="1"/>
    </xf>
    <xf numFmtId="38" fontId="37" fillId="14" borderId="67" xfId="2642" applyFont="1" applyFill="1" applyBorder="1" applyAlignment="1">
      <alignment horizontal="left" vertical="center" shrinkToFit="1"/>
    </xf>
    <xf numFmtId="38" fontId="39" fillId="14" borderId="73" xfId="2642" applyFont="1" applyFill="1" applyBorder="1" applyAlignment="1">
      <alignment horizontal="left" vertical="center" shrinkToFit="1"/>
    </xf>
    <xf numFmtId="38" fontId="39" fillId="16" borderId="42" xfId="2642" applyFont="1" applyFill="1" applyBorder="1" applyAlignment="1">
      <alignment horizontal="left" vertical="center" shrinkToFit="1"/>
    </xf>
    <xf numFmtId="178" fontId="39" fillId="14" borderId="51" xfId="591" applyNumberFormat="1" applyFont="1" applyFill="1" applyBorder="1" applyAlignment="1">
      <alignment horizontal="left" vertical="center" shrinkToFit="1"/>
    </xf>
    <xf numFmtId="38" fontId="39" fillId="17" borderId="42" xfId="2642" applyFont="1" applyFill="1" applyBorder="1" applyAlignment="1">
      <alignment horizontal="left" vertical="center" shrinkToFit="1"/>
    </xf>
    <xf numFmtId="38" fontId="37" fillId="14" borderId="49" xfId="2642" applyFont="1" applyFill="1" applyBorder="1" applyAlignment="1">
      <alignment horizontal="left" vertical="center" shrinkToFit="1"/>
    </xf>
    <xf numFmtId="38" fontId="37" fillId="18" borderId="28" xfId="2642" applyFont="1" applyFill="1" applyBorder="1" applyAlignment="1">
      <alignment horizontal="left" vertical="center" shrinkToFit="1"/>
    </xf>
    <xf numFmtId="38" fontId="37" fillId="14" borderId="0" xfId="2642" applyFont="1" applyFill="1" applyBorder="1" applyAlignment="1">
      <alignment horizontal="left" vertical="center" shrinkToFit="1"/>
    </xf>
    <xf numFmtId="38" fontId="37" fillId="14" borderId="58" xfId="2642" applyFont="1" applyFill="1" applyBorder="1" applyAlignment="1">
      <alignment horizontal="left" vertical="center" shrinkToFit="1"/>
    </xf>
    <xf numFmtId="38" fontId="37" fillId="14" borderId="28" xfId="2642" applyFont="1" applyFill="1" applyBorder="1" applyAlignment="1">
      <alignment horizontal="left" vertical="center" shrinkToFit="1"/>
    </xf>
    <xf numFmtId="38" fontId="37" fillId="14" borderId="36" xfId="2642" applyFont="1" applyFill="1" applyBorder="1" applyAlignment="1">
      <alignment horizontal="left" vertical="center" shrinkToFit="1"/>
    </xf>
    <xf numFmtId="38" fontId="37" fillId="14" borderId="49" xfId="2642" applyFont="1" applyFill="1" applyBorder="1" applyAlignment="1">
      <alignment horizontal="left" vertical="center"/>
    </xf>
    <xf numFmtId="38" fontId="37" fillId="14" borderId="0" xfId="2642" applyFont="1" applyFill="1" applyBorder="1" applyAlignment="1">
      <alignment horizontal="left" vertical="center"/>
    </xf>
    <xf numFmtId="38" fontId="39" fillId="14" borderId="65" xfId="2642" applyFont="1" applyFill="1" applyBorder="1" applyAlignment="1">
      <alignment vertical="center" shrinkToFit="1"/>
    </xf>
    <xf numFmtId="38" fontId="39" fillId="19" borderId="74" xfId="2642" applyFont="1" applyFill="1" applyBorder="1" applyAlignment="1">
      <alignment vertical="center" shrinkToFit="1"/>
    </xf>
    <xf numFmtId="38" fontId="39" fillId="16" borderId="44" xfId="2642" applyFont="1" applyFill="1" applyBorder="1" applyAlignment="1">
      <alignment vertical="center" shrinkToFit="1"/>
    </xf>
    <xf numFmtId="38" fontId="39" fillId="14" borderId="50" xfId="2642" applyFont="1" applyFill="1" applyBorder="1" applyAlignment="1">
      <alignment vertical="center" shrinkToFit="1"/>
    </xf>
    <xf numFmtId="38" fontId="39" fillId="17" borderId="44" xfId="2642" applyFont="1" applyFill="1" applyBorder="1" applyAlignment="1">
      <alignment vertical="center" shrinkToFit="1"/>
    </xf>
    <xf numFmtId="38" fontId="39" fillId="14" borderId="65" xfId="2642" applyFont="1" applyFill="1" applyBorder="1" applyAlignment="1" applyProtection="1">
      <alignment vertical="center" shrinkToFit="1"/>
      <protection locked="0"/>
    </xf>
    <xf numFmtId="38" fontId="39" fillId="18" borderId="24" xfId="2642" applyFont="1" applyFill="1" applyBorder="1" applyAlignment="1" applyProtection="1">
      <alignment vertical="center" shrinkToFit="1"/>
      <protection locked="0"/>
    </xf>
    <xf numFmtId="178" fontId="39" fillId="14" borderId="0" xfId="2642" applyNumberFormat="1" applyFont="1" applyFill="1" applyBorder="1" applyAlignment="1">
      <alignment vertical="center"/>
    </xf>
    <xf numFmtId="38" fontId="37" fillId="19" borderId="69" xfId="2642" applyFont="1" applyFill="1" applyBorder="1" applyAlignment="1">
      <alignment vertical="center" shrinkToFit="1"/>
    </xf>
    <xf numFmtId="38" fontId="37" fillId="16" borderId="75" xfId="2642" applyFont="1" applyFill="1" applyBorder="1" applyAlignment="1">
      <alignment vertical="center" shrinkToFit="1"/>
    </xf>
    <xf numFmtId="38" fontId="37" fillId="17" borderId="75" xfId="2642" applyFont="1" applyFill="1" applyBorder="1" applyAlignment="1">
      <alignment vertical="center" shrinkToFit="1"/>
    </xf>
    <xf numFmtId="38" fontId="37" fillId="14" borderId="66" xfId="2642" applyFont="1" applyFill="1" applyBorder="1" applyAlignment="1" applyProtection="1">
      <alignment vertical="center" shrinkToFit="1"/>
      <protection locked="0"/>
    </xf>
    <xf numFmtId="38" fontId="37" fillId="18" borderId="2" xfId="2642" applyFont="1" applyFill="1" applyBorder="1" applyAlignment="1" applyProtection="1">
      <alignment vertical="center" shrinkToFit="1"/>
      <protection locked="0"/>
    </xf>
    <xf numFmtId="38" fontId="37" fillId="14" borderId="71" xfId="2642" applyFont="1" applyFill="1" applyBorder="1" applyAlignment="1">
      <alignment vertical="center" shrinkToFit="1"/>
    </xf>
    <xf numFmtId="38" fontId="37" fillId="5" borderId="86" xfId="2642" applyFont="1" applyFill="1" applyBorder="1" applyAlignment="1">
      <alignment horizontal="right" vertical="center" shrinkToFit="1"/>
    </xf>
    <xf numFmtId="38" fontId="39" fillId="14" borderId="72" xfId="2642" applyFont="1" applyFill="1" applyBorder="1" applyAlignment="1">
      <alignment vertical="center" shrinkToFit="1"/>
    </xf>
    <xf numFmtId="38" fontId="39" fillId="16" borderId="43" xfId="2642" applyFont="1" applyFill="1" applyBorder="1" applyAlignment="1">
      <alignment vertical="center" shrinkToFit="1"/>
    </xf>
    <xf numFmtId="178" fontId="39" fillId="14" borderId="76" xfId="591" applyNumberFormat="1" applyFont="1" applyFill="1" applyBorder="1" applyAlignment="1">
      <alignment horizontal="left" vertical="center" shrinkToFit="1"/>
    </xf>
    <xf numFmtId="38" fontId="39" fillId="17" borderId="43" xfId="2642" applyFont="1" applyFill="1" applyBorder="1" applyAlignment="1">
      <alignment vertical="center" shrinkToFit="1"/>
    </xf>
    <xf numFmtId="38" fontId="37" fillId="14" borderId="49" xfId="2642" applyFont="1" applyFill="1" applyBorder="1" applyAlignment="1" applyProtection="1">
      <alignment vertical="center" shrinkToFit="1"/>
      <protection locked="0"/>
    </xf>
    <xf numFmtId="38" fontId="37" fillId="18" borderId="28" xfId="2642" applyFont="1" applyFill="1" applyBorder="1" applyAlignment="1" applyProtection="1">
      <alignment vertical="center" shrinkToFit="1"/>
      <protection locked="0"/>
    </xf>
    <xf numFmtId="38" fontId="37" fillId="14" borderId="0" xfId="2642" applyFont="1" applyFill="1" applyBorder="1" applyAlignment="1" applyProtection="1">
      <alignment vertical="center" shrinkToFit="1"/>
      <protection locked="0"/>
    </xf>
    <xf numFmtId="38" fontId="38" fillId="14" borderId="74" xfId="2642" applyFont="1" applyFill="1" applyBorder="1" applyAlignment="1">
      <alignment vertical="center" shrinkToFit="1"/>
    </xf>
    <xf numFmtId="38" fontId="38" fillId="16" borderId="44" xfId="2642" applyFont="1" applyFill="1" applyBorder="1" applyAlignment="1">
      <alignment vertical="center" shrinkToFit="1"/>
    </xf>
    <xf numFmtId="38" fontId="38" fillId="17" borderId="44" xfId="2642" applyFont="1" applyFill="1" applyBorder="1" applyAlignment="1">
      <alignment vertical="center" shrinkToFit="1"/>
    </xf>
    <xf numFmtId="38" fontId="37" fillId="14" borderId="73" xfId="2642" applyFont="1" applyFill="1" applyBorder="1" applyAlignment="1">
      <alignment horizontal="left" vertical="center" shrinkToFit="1"/>
    </xf>
    <xf numFmtId="38" fontId="37" fillId="16" borderId="42" xfId="2642" applyFont="1" applyFill="1" applyBorder="1" applyAlignment="1">
      <alignment horizontal="left" vertical="center" shrinkToFit="1"/>
    </xf>
    <xf numFmtId="38" fontId="37" fillId="14" borderId="51" xfId="2642" applyFont="1" applyFill="1" applyBorder="1" applyAlignment="1">
      <alignment horizontal="left" vertical="center" shrinkToFit="1"/>
    </xf>
    <xf numFmtId="38" fontId="37" fillId="17" borderId="42" xfId="2642" applyFont="1" applyFill="1" applyBorder="1" applyAlignment="1">
      <alignment horizontal="left" vertical="center" shrinkToFit="1"/>
    </xf>
    <xf numFmtId="38" fontId="37" fillId="14" borderId="67" xfId="2642" applyFont="1" applyFill="1" applyBorder="1" applyAlignment="1" applyProtection="1">
      <alignment horizontal="left" vertical="center" shrinkToFit="1"/>
      <protection locked="0"/>
    </xf>
    <xf numFmtId="38" fontId="37" fillId="18" borderId="4" xfId="2642" applyFont="1" applyFill="1" applyBorder="1" applyAlignment="1" applyProtection="1">
      <alignment horizontal="left" vertical="center" shrinkToFit="1"/>
      <protection locked="0"/>
    </xf>
    <xf numFmtId="38" fontId="37" fillId="14" borderId="85" xfId="2642" applyFont="1" applyFill="1" applyBorder="1" applyAlignment="1" applyProtection="1">
      <alignment horizontal="left" vertical="center" shrinkToFit="1"/>
      <protection locked="0"/>
    </xf>
    <xf numFmtId="38" fontId="37" fillId="14" borderId="55" xfId="2642" applyFont="1" applyFill="1" applyBorder="1" applyAlignment="1" applyProtection="1">
      <alignment horizontal="left" vertical="center" shrinkToFit="1"/>
      <protection locked="0"/>
    </xf>
    <xf numFmtId="38" fontId="37" fillId="14" borderId="36" xfId="2642" applyFont="1" applyFill="1" applyBorder="1" applyAlignment="1" applyProtection="1">
      <alignment horizontal="left" vertical="center" shrinkToFit="1"/>
      <protection locked="0"/>
    </xf>
    <xf numFmtId="38" fontId="37" fillId="14" borderId="72" xfId="2642" applyFont="1" applyFill="1" applyBorder="1" applyAlignment="1">
      <alignment horizontal="left" vertical="center" shrinkToFit="1"/>
    </xf>
    <xf numFmtId="38" fontId="37" fillId="16" borderId="43" xfId="2642" applyFont="1" applyFill="1" applyBorder="1" applyAlignment="1">
      <alignment horizontal="left" vertical="center" shrinkToFit="1"/>
    </xf>
    <xf numFmtId="38" fontId="37" fillId="14" borderId="76" xfId="2642" applyFont="1" applyFill="1" applyBorder="1" applyAlignment="1">
      <alignment horizontal="left" vertical="center" shrinkToFit="1"/>
    </xf>
    <xf numFmtId="38" fontId="37" fillId="17" borderId="43" xfId="2642" applyFont="1" applyFill="1" applyBorder="1" applyAlignment="1">
      <alignment horizontal="left" vertical="center" shrinkToFit="1"/>
    </xf>
    <xf numFmtId="38" fontId="37" fillId="14" borderId="49" xfId="2642" applyFont="1" applyFill="1" applyBorder="1" applyAlignment="1" applyProtection="1">
      <alignment horizontal="left" vertical="center" shrinkToFit="1"/>
      <protection locked="0"/>
    </xf>
    <xf numFmtId="38" fontId="37" fillId="18" borderId="28" xfId="2642" applyFont="1" applyFill="1" applyBorder="1" applyAlignment="1" applyProtection="1">
      <alignment horizontal="left" vertical="center" shrinkToFit="1"/>
      <protection locked="0"/>
    </xf>
    <xf numFmtId="38" fontId="37" fillId="14" borderId="0" xfId="2642" applyFont="1" applyFill="1" applyBorder="1" applyAlignment="1" applyProtection="1">
      <alignment horizontal="left" vertical="center" shrinkToFit="1"/>
      <protection locked="0"/>
    </xf>
    <xf numFmtId="38" fontId="37" fillId="14" borderId="58" xfId="2642" applyFont="1" applyFill="1" applyBorder="1" applyAlignment="1" applyProtection="1">
      <alignment horizontal="left" vertical="center" shrinkToFit="1"/>
      <protection locked="0"/>
    </xf>
    <xf numFmtId="38" fontId="37" fillId="14" borderId="28" xfId="2642" applyFont="1" applyFill="1" applyBorder="1" applyAlignment="1" applyProtection="1">
      <alignment horizontal="left" vertical="center" shrinkToFit="1"/>
      <protection locked="0"/>
    </xf>
    <xf numFmtId="38" fontId="37" fillId="14" borderId="74" xfId="2642" applyFont="1" applyFill="1" applyBorder="1" applyAlignment="1">
      <alignment vertical="center" shrinkToFit="1"/>
    </xf>
    <xf numFmtId="38" fontId="37" fillId="16" borderId="44" xfId="2642" applyFont="1" applyFill="1" applyBorder="1" applyAlignment="1">
      <alignment vertical="center" shrinkToFit="1"/>
    </xf>
    <xf numFmtId="38" fontId="37" fillId="14" borderId="50" xfId="2642" applyFont="1" applyFill="1" applyBorder="1" applyAlignment="1">
      <alignment vertical="center" shrinkToFit="1"/>
    </xf>
    <xf numFmtId="38" fontId="37" fillId="17" borderId="44" xfId="2642" applyFont="1" applyFill="1" applyBorder="1" applyAlignment="1">
      <alignment vertical="center" shrinkToFit="1"/>
    </xf>
    <xf numFmtId="38" fontId="37" fillId="14" borderId="65" xfId="2642" applyFont="1" applyFill="1" applyBorder="1" applyAlignment="1" applyProtection="1">
      <alignment vertical="center" shrinkToFit="1"/>
      <protection locked="0"/>
    </xf>
    <xf numFmtId="38" fontId="37" fillId="18" borderId="24" xfId="2642" applyFont="1" applyFill="1" applyBorder="1" applyAlignment="1" applyProtection="1">
      <alignment vertical="center" shrinkToFit="1"/>
      <protection locked="0"/>
    </xf>
    <xf numFmtId="38" fontId="37" fillId="14" borderId="71" xfId="2642" applyFont="1" applyFill="1" applyBorder="1" applyAlignment="1">
      <alignment horizontal="right" vertical="center" shrinkToFit="1"/>
    </xf>
    <xf numFmtId="38" fontId="37" fillId="14" borderId="65" xfId="2642" applyFont="1" applyFill="1" applyBorder="1" applyAlignment="1" applyProtection="1">
      <alignment horizontal="right" vertical="center" shrinkToFit="1"/>
      <protection locked="0"/>
    </xf>
    <xf numFmtId="38" fontId="37" fillId="18" borderId="24" xfId="2642" applyFont="1" applyFill="1" applyBorder="1" applyAlignment="1" applyProtection="1">
      <alignment horizontal="right" vertical="center" shrinkToFit="1"/>
      <protection locked="0"/>
    </xf>
    <xf numFmtId="38" fontId="37" fillId="14" borderId="2" xfId="2642" applyFont="1" applyFill="1" applyBorder="1" applyAlignment="1" applyProtection="1">
      <alignment horizontal="right" vertical="center" shrinkToFit="1"/>
      <protection locked="0"/>
    </xf>
    <xf numFmtId="38" fontId="37" fillId="14" borderId="54" xfId="2642" applyFont="1" applyFill="1" applyBorder="1" applyAlignment="1" applyProtection="1">
      <alignment horizontal="right" vertical="center" shrinkToFit="1"/>
      <protection locked="0"/>
    </xf>
    <xf numFmtId="38" fontId="37" fillId="14" borderId="24" xfId="2642" applyFont="1" applyFill="1" applyBorder="1" applyAlignment="1" applyProtection="1">
      <alignment horizontal="right" vertical="center" shrinkToFit="1"/>
      <protection locked="0"/>
    </xf>
    <xf numFmtId="38" fontId="37" fillId="14" borderId="49" xfId="2642" applyFont="1" applyFill="1" applyBorder="1" applyAlignment="1">
      <alignment horizontal="right" vertical="center"/>
    </xf>
    <xf numFmtId="38" fontId="37" fillId="14" borderId="0" xfId="2642" applyFont="1" applyFill="1" applyBorder="1" applyAlignment="1">
      <alignment horizontal="right" vertical="center"/>
    </xf>
    <xf numFmtId="38" fontId="37" fillId="14" borderId="4" xfId="2642" applyFont="1" applyFill="1" applyBorder="1" applyAlignment="1" applyProtection="1">
      <alignment horizontal="left" vertical="center" shrinkToFit="1"/>
      <protection locked="0"/>
    </xf>
    <xf numFmtId="38" fontId="37" fillId="14" borderId="4" xfId="2642" applyFont="1" applyFill="1" applyBorder="1" applyAlignment="1">
      <alignment horizontal="left" vertical="center" shrinkToFit="1"/>
    </xf>
    <xf numFmtId="38" fontId="37" fillId="14" borderId="5" xfId="2642" applyFont="1" applyFill="1" applyBorder="1" applyAlignment="1">
      <alignment horizontal="left" vertical="center" shrinkToFit="1"/>
    </xf>
    <xf numFmtId="38" fontId="37" fillId="14" borderId="57" xfId="2642" applyFont="1" applyFill="1" applyBorder="1" applyAlignment="1">
      <alignment horizontal="left" vertical="center" shrinkToFit="1"/>
    </xf>
    <xf numFmtId="38" fontId="37" fillId="14" borderId="85" xfId="2642" applyFont="1" applyFill="1" applyBorder="1" applyAlignment="1">
      <alignment horizontal="left" vertical="center" shrinkToFit="1"/>
    </xf>
    <xf numFmtId="38" fontId="37" fillId="14" borderId="31" xfId="2642" applyFont="1" applyFill="1" applyBorder="1" applyAlignment="1" applyProtection="1">
      <alignment horizontal="left" vertical="center" shrinkToFit="1"/>
      <protection locked="0"/>
    </xf>
    <xf numFmtId="38" fontId="37" fillId="14" borderId="59" xfId="2642" applyFont="1" applyFill="1" applyBorder="1" applyAlignment="1">
      <alignment horizontal="left" vertical="center" shrinkToFit="1"/>
    </xf>
    <xf numFmtId="38" fontId="37" fillId="14" borderId="77" xfId="2642" applyFont="1" applyFill="1" applyBorder="1" applyAlignment="1">
      <alignment horizontal="left" vertical="center" shrinkToFit="1"/>
    </xf>
    <xf numFmtId="38" fontId="39" fillId="14" borderId="74" xfId="2642" applyFont="1" applyFill="1" applyBorder="1" applyAlignment="1">
      <alignment vertical="center" shrinkToFit="1"/>
    </xf>
    <xf numFmtId="38" fontId="37" fillId="14" borderId="25" xfId="2642" applyFont="1" applyFill="1" applyBorder="1" applyAlignment="1">
      <alignment horizontal="left" vertical="center" shrinkToFit="1"/>
    </xf>
    <xf numFmtId="38" fontId="37" fillId="14" borderId="76" xfId="2642" applyFont="1" applyFill="1" applyBorder="1" applyAlignment="1">
      <alignment vertical="center" shrinkToFit="1"/>
    </xf>
    <xf numFmtId="38" fontId="37" fillId="14" borderId="78" xfId="2642" applyFont="1" applyFill="1" applyBorder="1" applyAlignment="1">
      <alignment horizontal="left" vertical="center" shrinkToFit="1"/>
    </xf>
    <xf numFmtId="38" fontId="38" fillId="14" borderId="72" xfId="2642" applyFont="1" applyFill="1" applyBorder="1" applyAlignment="1">
      <alignment horizontal="left" vertical="center" shrinkToFit="1"/>
    </xf>
    <xf numFmtId="38" fontId="38" fillId="16" borderId="43" xfId="2642" applyFont="1" applyFill="1" applyBorder="1" applyAlignment="1">
      <alignment horizontal="left" vertical="center" shrinkToFit="1"/>
    </xf>
    <xf numFmtId="38" fontId="38" fillId="17" borderId="43" xfId="2642" applyFont="1" applyFill="1" applyBorder="1" applyAlignment="1">
      <alignment horizontal="left" vertical="center" shrinkToFit="1"/>
    </xf>
    <xf numFmtId="9" fontId="37" fillId="14" borderId="76" xfId="591" applyFont="1" applyFill="1" applyBorder="1" applyAlignment="1">
      <alignment horizontal="left" vertical="center" shrinkToFit="1"/>
    </xf>
    <xf numFmtId="38" fontId="39" fillId="14" borderId="73" xfId="2642" applyFont="1" applyFill="1" applyBorder="1" applyAlignment="1">
      <alignment vertical="center" shrinkToFit="1"/>
    </xf>
    <xf numFmtId="38" fontId="39" fillId="16" borderId="42" xfId="2642" applyFont="1" applyFill="1" applyBorder="1" applyAlignment="1">
      <alignment vertical="center" shrinkToFit="1"/>
    </xf>
    <xf numFmtId="38" fontId="39" fillId="17" borderId="42" xfId="2642" applyFont="1" applyFill="1" applyBorder="1" applyAlignment="1">
      <alignment vertical="center" shrinkToFit="1"/>
    </xf>
    <xf numFmtId="38" fontId="37" fillId="18" borderId="4" xfId="2642" applyFont="1" applyFill="1" applyBorder="1" applyAlignment="1">
      <alignment vertical="center" shrinkToFit="1"/>
    </xf>
    <xf numFmtId="38" fontId="37" fillId="14" borderId="85" xfId="2642" applyFont="1" applyFill="1" applyBorder="1" applyAlignment="1">
      <alignment vertical="center" shrinkToFit="1"/>
    </xf>
    <xf numFmtId="178" fontId="37" fillId="10" borderId="0" xfId="591" applyNumberFormat="1" applyFont="1" applyFill="1" applyBorder="1" applyAlignment="1">
      <alignment horizontal="left" vertical="center"/>
    </xf>
    <xf numFmtId="38" fontId="37" fillId="18" borderId="28" xfId="2642" applyFont="1" applyFill="1" applyBorder="1" applyAlignment="1">
      <alignment vertical="center" shrinkToFit="1"/>
    </xf>
    <xf numFmtId="38" fontId="39" fillId="14" borderId="79" xfId="2642" applyFont="1" applyFill="1" applyBorder="1" applyAlignment="1">
      <alignment vertical="center" shrinkToFit="1"/>
    </xf>
    <xf numFmtId="38" fontId="39" fillId="14" borderId="80" xfId="2642" applyFont="1" applyFill="1" applyBorder="1" applyAlignment="1">
      <alignment vertical="center" shrinkToFit="1"/>
    </xf>
    <xf numFmtId="38" fontId="39" fillId="16" borderId="81" xfId="2642" applyFont="1" applyFill="1" applyBorder="1" applyAlignment="1">
      <alignment vertical="center" shrinkToFit="1"/>
    </xf>
    <xf numFmtId="38" fontId="39" fillId="14" borderId="82" xfId="2642" applyFont="1" applyFill="1" applyBorder="1" applyAlignment="1">
      <alignment vertical="center" shrinkToFit="1"/>
    </xf>
    <xf numFmtId="38" fontId="39" fillId="17" borderId="81" xfId="2642" applyFont="1" applyFill="1" applyBorder="1" applyAlignment="1">
      <alignment vertical="center" shrinkToFit="1"/>
    </xf>
    <xf numFmtId="38" fontId="39" fillId="18" borderId="63" xfId="2642" applyFont="1" applyFill="1" applyBorder="1" applyAlignment="1">
      <alignment vertical="center" shrinkToFit="1"/>
    </xf>
    <xf numFmtId="38" fontId="39" fillId="14" borderId="68" xfId="2642" applyFont="1" applyFill="1" applyBorder="1" applyAlignment="1">
      <alignment vertical="center" shrinkToFit="1"/>
    </xf>
    <xf numFmtId="38" fontId="37" fillId="14" borderId="62" xfId="2642" applyFont="1" applyFill="1" applyBorder="1" applyAlignment="1">
      <alignment vertical="center" shrinkToFit="1"/>
    </xf>
    <xf numFmtId="38" fontId="37" fillId="14" borderId="65" xfId="2642" applyFont="1" applyFill="1" applyBorder="1" applyAlignment="1">
      <alignment horizontal="center" vertical="center" shrinkToFit="1"/>
    </xf>
    <xf numFmtId="38" fontId="37" fillId="14" borderId="50" xfId="2642" applyFont="1" applyFill="1" applyBorder="1" applyAlignment="1">
      <alignment horizontal="center" vertical="center" shrinkToFit="1"/>
    </xf>
    <xf numFmtId="38" fontId="37" fillId="14" borderId="73" xfId="2642" applyFont="1" applyFill="1" applyBorder="1" applyAlignment="1">
      <alignment horizontal="right" vertical="center" shrinkToFit="1"/>
    </xf>
    <xf numFmtId="38" fontId="37" fillId="16" borderId="42" xfId="2642" applyFont="1" applyFill="1" applyBorder="1" applyAlignment="1">
      <alignment horizontal="right" vertical="center" shrinkToFit="1"/>
    </xf>
    <xf numFmtId="38" fontId="37" fillId="14" borderId="51" xfId="2642" applyFont="1" applyFill="1" applyBorder="1" applyAlignment="1">
      <alignment vertical="center" shrinkToFit="1"/>
    </xf>
    <xf numFmtId="38" fontId="37" fillId="17" borderId="42" xfId="2642" applyFont="1" applyFill="1" applyBorder="1" applyAlignment="1">
      <alignment horizontal="right" vertical="center" shrinkToFit="1"/>
    </xf>
    <xf numFmtId="38" fontId="37" fillId="18" borderId="2" xfId="2642" applyFont="1" applyFill="1" applyBorder="1" applyAlignment="1">
      <alignment vertical="center" shrinkToFit="1"/>
    </xf>
    <xf numFmtId="38" fontId="37" fillId="14" borderId="49" xfId="2642" applyFont="1" applyFill="1" applyBorder="1" applyAlignment="1">
      <alignment horizontal="right" vertical="center" shrinkToFit="1"/>
    </xf>
    <xf numFmtId="38" fontId="37" fillId="14" borderId="0" xfId="2642" applyFont="1" applyFill="1" applyBorder="1" applyAlignment="1">
      <alignment horizontal="right" vertical="center" shrinkToFit="1"/>
    </xf>
    <xf numFmtId="38" fontId="37" fillId="14" borderId="73" xfId="2642" applyFont="1" applyFill="1" applyBorder="1" applyAlignment="1">
      <alignment vertical="center" shrinkToFit="1"/>
    </xf>
    <xf numFmtId="38" fontId="37" fillId="16" borderId="42" xfId="2642" applyFont="1" applyFill="1" applyBorder="1" applyAlignment="1">
      <alignment vertical="center" shrinkToFit="1"/>
    </xf>
    <xf numFmtId="38" fontId="37" fillId="17" borderId="42" xfId="2642" applyFont="1" applyFill="1" applyBorder="1" applyAlignment="1">
      <alignment vertical="center" shrinkToFit="1"/>
    </xf>
    <xf numFmtId="38" fontId="37" fillId="16" borderId="42" xfId="2642" applyNumberFormat="1" applyFont="1" applyFill="1" applyBorder="1" applyAlignment="1">
      <alignment vertical="center" shrinkToFit="1"/>
    </xf>
    <xf numFmtId="9" fontId="37" fillId="14" borderId="51" xfId="591" applyFont="1" applyFill="1" applyBorder="1" applyAlignment="1">
      <alignment horizontal="left" vertical="center" shrinkToFit="1"/>
    </xf>
    <xf numFmtId="38" fontId="39" fillId="14" borderId="28" xfId="2642" applyFont="1" applyFill="1" applyBorder="1" applyAlignment="1">
      <alignment horizontal="left" vertical="center" shrinkToFit="1"/>
    </xf>
    <xf numFmtId="38" fontId="37" fillId="14" borderId="0" xfId="2642" applyFont="1" applyFill="1" applyAlignment="1">
      <alignment horizontal="left" vertical="center"/>
    </xf>
    <xf numFmtId="38" fontId="37" fillId="14" borderId="69" xfId="2642" applyFont="1" applyFill="1" applyBorder="1" applyAlignment="1">
      <alignment vertical="center" shrinkToFit="1"/>
    </xf>
    <xf numFmtId="38" fontId="37" fillId="14" borderId="23" xfId="2642" applyFont="1" applyFill="1" applyBorder="1" applyAlignment="1">
      <alignment vertical="center" shrinkToFit="1"/>
    </xf>
    <xf numFmtId="38" fontId="38" fillId="14" borderId="73" xfId="2642" applyFont="1" applyFill="1" applyBorder="1" applyAlignment="1">
      <alignment horizontal="left" vertical="center" shrinkToFit="1"/>
    </xf>
    <xf numFmtId="38" fontId="38" fillId="16" borderId="42" xfId="2642" applyFont="1" applyFill="1" applyBorder="1" applyAlignment="1">
      <alignment horizontal="left" vertical="center" shrinkToFit="1"/>
    </xf>
    <xf numFmtId="38" fontId="38" fillId="17" borderId="42" xfId="2642" applyFont="1" applyFill="1" applyBorder="1" applyAlignment="1">
      <alignment horizontal="left" vertical="center" shrinkToFit="1"/>
    </xf>
    <xf numFmtId="38" fontId="39" fillId="14" borderId="4" xfId="2642" applyFont="1" applyFill="1" applyBorder="1" applyAlignment="1">
      <alignment horizontal="center" vertical="center" shrinkToFit="1"/>
    </xf>
    <xf numFmtId="38" fontId="37" fillId="14" borderId="5" xfId="2642" applyFont="1" applyFill="1" applyBorder="1" applyAlignment="1" applyProtection="1">
      <alignment horizontal="left" vertical="center" shrinkToFit="1"/>
      <protection locked="0"/>
    </xf>
    <xf numFmtId="38" fontId="37" fillId="14" borderId="31" xfId="2642" applyFont="1" applyFill="1" applyBorder="1" applyAlignment="1">
      <alignment horizontal="left" vertical="center" shrinkToFit="1"/>
    </xf>
    <xf numFmtId="38" fontId="37" fillId="14" borderId="51" xfId="2642" applyFont="1" applyFill="1" applyBorder="1" applyAlignment="1">
      <alignment horizontal="right" vertical="center" shrinkToFit="1"/>
    </xf>
    <xf numFmtId="38" fontId="37" fillId="14" borderId="52" xfId="2642" applyFont="1" applyFill="1" applyBorder="1" applyAlignment="1" applyProtection="1">
      <alignment horizontal="right" vertical="center" shrinkToFit="1"/>
      <protection locked="0"/>
    </xf>
    <xf numFmtId="38" fontId="37" fillId="14" borderId="25" xfId="2642" applyFont="1" applyFill="1" applyBorder="1" applyAlignment="1" applyProtection="1">
      <alignment vertical="center" shrinkToFit="1"/>
      <protection locked="0"/>
    </xf>
    <xf numFmtId="38" fontId="37" fillId="14" borderId="29" xfId="2642" applyFont="1" applyFill="1" applyBorder="1" applyAlignment="1" applyProtection="1">
      <alignment vertical="center" shrinkToFit="1"/>
      <protection locked="0"/>
    </xf>
    <xf numFmtId="38" fontId="37" fillId="14" borderId="36" xfId="2642" applyFont="1" applyFill="1" applyBorder="1" applyAlignment="1" applyProtection="1">
      <alignment vertical="center" shrinkToFit="1"/>
      <protection locked="0"/>
    </xf>
    <xf numFmtId="38" fontId="39" fillId="18" borderId="24" xfId="2642" applyFont="1" applyFill="1" applyBorder="1" applyAlignment="1">
      <alignment vertical="center" shrinkToFit="1"/>
    </xf>
    <xf numFmtId="38" fontId="39" fillId="14" borderId="29" xfId="2642" applyFont="1" applyFill="1" applyBorder="1" applyAlignment="1">
      <alignment vertical="center" shrinkToFit="1"/>
    </xf>
    <xf numFmtId="38" fontId="37" fillId="14" borderId="67" xfId="2642" applyFont="1" applyFill="1" applyBorder="1" applyAlignment="1" applyProtection="1">
      <alignment vertical="center" shrinkToFit="1"/>
      <protection locked="0"/>
    </xf>
    <xf numFmtId="38" fontId="37" fillId="18" borderId="4" xfId="2642" applyFont="1" applyFill="1" applyBorder="1" applyAlignment="1" applyProtection="1">
      <alignment vertical="center" shrinkToFit="1"/>
      <protection locked="0"/>
    </xf>
    <xf numFmtId="38" fontId="37" fillId="14" borderId="55" xfId="2642" applyFont="1" applyFill="1" applyBorder="1" applyAlignment="1" applyProtection="1">
      <alignment vertical="center" shrinkToFit="1"/>
      <protection locked="0"/>
    </xf>
    <xf numFmtId="178" fontId="37" fillId="14" borderId="67" xfId="591" applyNumberFormat="1" applyFont="1" applyFill="1" applyBorder="1" applyAlignment="1">
      <alignment horizontal="left" vertical="center" shrinkToFit="1"/>
    </xf>
    <xf numFmtId="178" fontId="37" fillId="14" borderId="73" xfId="591" applyNumberFormat="1" applyFont="1" applyFill="1" applyBorder="1" applyAlignment="1">
      <alignment horizontal="left" vertical="center" shrinkToFit="1"/>
    </xf>
    <xf numFmtId="178" fontId="37" fillId="16" borderId="42" xfId="591" applyNumberFormat="1" applyFont="1" applyFill="1" applyBorder="1" applyAlignment="1">
      <alignment horizontal="left" vertical="center" shrinkToFit="1"/>
    </xf>
    <xf numFmtId="178" fontId="37" fillId="14" borderId="51" xfId="591" applyNumberFormat="1" applyFont="1" applyFill="1" applyBorder="1" applyAlignment="1">
      <alignment horizontal="left" vertical="center" shrinkToFit="1"/>
    </xf>
    <xf numFmtId="178" fontId="37" fillId="14" borderId="85" xfId="591" applyNumberFormat="1" applyFont="1" applyFill="1" applyBorder="1" applyAlignment="1">
      <alignment horizontal="left" vertical="center" shrinkToFit="1"/>
    </xf>
    <xf numFmtId="178" fontId="37" fillId="14" borderId="49" xfId="591" applyNumberFormat="1" applyFont="1" applyFill="1" applyBorder="1" applyAlignment="1">
      <alignment horizontal="left" vertical="center" shrinkToFit="1"/>
    </xf>
    <xf numFmtId="178" fontId="37" fillId="14" borderId="0" xfId="591" applyNumberFormat="1" applyFont="1" applyFill="1" applyBorder="1" applyAlignment="1">
      <alignment horizontal="left" vertical="center"/>
    </xf>
    <xf numFmtId="38" fontId="37" fillId="18" borderId="24" xfId="2642" applyFont="1" applyFill="1" applyBorder="1" applyAlignment="1">
      <alignment vertical="center" shrinkToFit="1"/>
    </xf>
    <xf numFmtId="38" fontId="37" fillId="14" borderId="29" xfId="2642" applyFont="1" applyFill="1" applyBorder="1" applyAlignment="1">
      <alignment vertical="center" shrinkToFit="1"/>
    </xf>
    <xf numFmtId="178" fontId="39" fillId="14" borderId="67" xfId="591" applyNumberFormat="1" applyFont="1" applyFill="1" applyBorder="1" applyAlignment="1">
      <alignment horizontal="left" vertical="center" shrinkToFit="1"/>
    </xf>
    <xf numFmtId="178" fontId="39" fillId="14" borderId="73" xfId="591" applyNumberFormat="1" applyFont="1" applyFill="1" applyBorder="1" applyAlignment="1">
      <alignment horizontal="left" vertical="center" shrinkToFit="1"/>
    </xf>
    <xf numFmtId="178" fontId="39" fillId="16" borderId="42" xfId="591" applyNumberFormat="1" applyFont="1" applyFill="1" applyBorder="1" applyAlignment="1">
      <alignment horizontal="left" vertical="center" shrinkToFit="1"/>
    </xf>
    <xf numFmtId="38" fontId="39" fillId="14" borderId="49" xfId="2642" applyFont="1" applyFill="1" applyBorder="1" applyAlignment="1">
      <alignment horizontal="left" vertical="center"/>
    </xf>
    <xf numFmtId="38" fontId="39" fillId="14" borderId="0" xfId="2642" applyFont="1" applyFill="1" applyBorder="1" applyAlignment="1">
      <alignment horizontal="left" vertical="center"/>
    </xf>
    <xf numFmtId="38" fontId="39" fillId="14" borderId="0" xfId="2642" applyFont="1" applyFill="1" applyAlignment="1">
      <alignment horizontal="left" vertical="center"/>
    </xf>
    <xf numFmtId="178" fontId="37" fillId="14" borderId="72" xfId="591" applyNumberFormat="1" applyFont="1" applyFill="1" applyBorder="1" applyAlignment="1">
      <alignment horizontal="left" vertical="center" shrinkToFit="1"/>
    </xf>
    <xf numFmtId="178" fontId="37" fillId="16" borderId="43" xfId="591" applyNumberFormat="1" applyFont="1" applyFill="1" applyBorder="1" applyAlignment="1">
      <alignment horizontal="left" vertical="center" shrinkToFit="1"/>
    </xf>
    <xf numFmtId="178" fontId="51" fillId="14" borderId="73" xfId="591" applyNumberFormat="1" applyFont="1" applyFill="1" applyBorder="1" applyAlignment="1">
      <alignment horizontal="left" vertical="center" shrinkToFit="1"/>
    </xf>
    <xf numFmtId="178" fontId="51" fillId="16" borderId="42" xfId="591" applyNumberFormat="1" applyFont="1" applyFill="1" applyBorder="1" applyAlignment="1">
      <alignment horizontal="left" vertical="center" shrinkToFit="1"/>
    </xf>
    <xf numFmtId="178" fontId="37" fillId="14" borderId="67" xfId="2642" applyNumberFormat="1" applyFont="1" applyFill="1" applyBorder="1" applyAlignment="1">
      <alignment horizontal="left" vertical="center" shrinkToFit="1"/>
    </xf>
    <xf numFmtId="178" fontId="37" fillId="14" borderId="73" xfId="2642" applyNumberFormat="1" applyFont="1" applyFill="1" applyBorder="1" applyAlignment="1">
      <alignment horizontal="left" vertical="center" shrinkToFit="1"/>
    </xf>
    <xf numFmtId="178" fontId="37" fillId="16" borderId="42" xfId="2642" applyNumberFormat="1" applyFont="1" applyFill="1" applyBorder="1" applyAlignment="1">
      <alignment horizontal="left" vertical="center" shrinkToFit="1"/>
    </xf>
    <xf numFmtId="178" fontId="37" fillId="17" borderId="42" xfId="2642" applyNumberFormat="1" applyFont="1" applyFill="1" applyBorder="1" applyAlignment="1">
      <alignment horizontal="left" vertical="center" shrinkToFit="1"/>
    </xf>
    <xf numFmtId="178" fontId="38" fillId="14" borderId="49" xfId="591" applyNumberFormat="1" applyFont="1" applyFill="1" applyBorder="1" applyAlignment="1">
      <alignment horizontal="left" vertical="center" shrinkToFit="1"/>
    </xf>
    <xf numFmtId="178" fontId="38" fillId="14" borderId="72" xfId="591" applyNumberFormat="1" applyFont="1" applyFill="1" applyBorder="1" applyAlignment="1">
      <alignment horizontal="left" vertical="center" shrinkToFit="1"/>
    </xf>
    <xf numFmtId="178" fontId="38" fillId="16" borderId="43" xfId="591" applyNumberFormat="1" applyFont="1" applyFill="1" applyBorder="1" applyAlignment="1">
      <alignment horizontal="left" vertical="center" shrinkToFit="1"/>
    </xf>
    <xf numFmtId="38" fontId="39" fillId="14" borderId="0" xfId="2642" applyFont="1" applyFill="1" applyAlignment="1">
      <alignment vertical="center"/>
    </xf>
    <xf numFmtId="38" fontId="38" fillId="14" borderId="65" xfId="2642" applyFont="1" applyFill="1" applyBorder="1" applyAlignment="1">
      <alignment vertical="center" shrinkToFit="1"/>
    </xf>
    <xf numFmtId="38" fontId="39" fillId="14" borderId="76" xfId="2642" applyFont="1" applyFill="1" applyBorder="1" applyAlignment="1">
      <alignment vertical="center" shrinkToFit="1"/>
    </xf>
    <xf numFmtId="178" fontId="39" fillId="14" borderId="73" xfId="611" applyNumberFormat="1" applyFont="1" applyFill="1" applyBorder="1" applyAlignment="1">
      <alignment horizontal="left" vertical="center" shrinkToFit="1"/>
    </xf>
    <xf numFmtId="178" fontId="39" fillId="16" borderId="42" xfId="611" applyNumberFormat="1" applyFont="1" applyFill="1" applyBorder="1" applyAlignment="1">
      <alignment horizontal="left" vertical="center" shrinkToFit="1"/>
    </xf>
    <xf numFmtId="178" fontId="39" fillId="17" borderId="42" xfId="611" applyNumberFormat="1" applyFont="1" applyFill="1" applyBorder="1" applyAlignment="1">
      <alignment horizontal="left" vertical="center" shrinkToFit="1"/>
    </xf>
    <xf numFmtId="178" fontId="39" fillId="14" borderId="49" xfId="591" applyNumberFormat="1" applyFont="1" applyFill="1" applyBorder="1" applyAlignment="1">
      <alignment horizontal="left" vertical="center" shrinkToFit="1"/>
    </xf>
    <xf numFmtId="178" fontId="39" fillId="14" borderId="72" xfId="591" applyNumberFormat="1" applyFont="1" applyFill="1" applyBorder="1" applyAlignment="1">
      <alignment horizontal="left" vertical="center" shrinkToFit="1"/>
    </xf>
    <xf numFmtId="178" fontId="39" fillId="16" borderId="43" xfId="591" applyNumberFormat="1" applyFont="1" applyFill="1" applyBorder="1" applyAlignment="1">
      <alignment horizontal="left" vertical="center" shrinkToFit="1"/>
    </xf>
    <xf numFmtId="38" fontId="39" fillId="14" borderId="64" xfId="2642" applyFont="1" applyFill="1" applyBorder="1" applyAlignment="1" applyProtection="1">
      <alignment vertical="center" shrinkToFit="1"/>
      <protection locked="0"/>
    </xf>
    <xf numFmtId="38" fontId="39" fillId="14" borderId="61" xfId="2642" applyFont="1" applyFill="1" applyBorder="1" applyAlignment="1" applyProtection="1">
      <alignment vertical="center" shrinkToFit="1"/>
      <protection locked="0"/>
    </xf>
    <xf numFmtId="38" fontId="39" fillId="14" borderId="0" xfId="2642" applyFont="1" applyFill="1" applyBorder="1" applyAlignment="1">
      <alignment vertical="center" shrinkToFit="1"/>
    </xf>
    <xf numFmtId="178" fontId="37" fillId="14" borderId="76" xfId="591" applyNumberFormat="1" applyFont="1" applyFill="1" applyBorder="1" applyAlignment="1">
      <alignment horizontal="left" vertical="center" shrinkToFit="1"/>
    </xf>
    <xf numFmtId="178" fontId="39" fillId="14" borderId="0" xfId="2642" applyNumberFormat="1" applyFont="1" applyFill="1" applyAlignment="1">
      <alignment horizontal="left" vertical="center"/>
    </xf>
    <xf numFmtId="38" fontId="37" fillId="14" borderId="84" xfId="2642" applyFont="1" applyFill="1" applyBorder="1" applyAlignment="1">
      <alignment vertical="center" shrinkToFit="1"/>
    </xf>
    <xf numFmtId="38" fontId="37" fillId="14" borderId="29" xfId="2642" applyFont="1" applyFill="1" applyBorder="1" applyAlignment="1" applyProtection="1">
      <alignment horizontal="right" vertical="center" shrinkToFit="1"/>
      <protection locked="0"/>
    </xf>
    <xf numFmtId="38" fontId="37" fillId="14" borderId="78" xfId="2642" applyFont="1" applyFill="1" applyBorder="1" applyAlignment="1">
      <alignment vertical="center" shrinkToFit="1"/>
    </xf>
    <xf numFmtId="38" fontId="37" fillId="14" borderId="30" xfId="2642" applyFont="1" applyFill="1" applyBorder="1" applyAlignment="1" applyProtection="1">
      <alignment horizontal="right" vertical="center" shrinkToFit="1"/>
      <protection locked="0"/>
    </xf>
    <xf numFmtId="38" fontId="37" fillId="14" borderId="0" xfId="2642" applyFont="1" applyFill="1" applyBorder="1" applyAlignment="1" applyProtection="1">
      <alignment horizontal="right" vertical="center" shrinkToFit="1"/>
      <protection locked="0"/>
    </xf>
    <xf numFmtId="38" fontId="37" fillId="5" borderId="0" xfId="2642" applyFont="1" applyFill="1" applyAlignment="1" applyProtection="1">
      <alignment vertical="center"/>
    </xf>
    <xf numFmtId="38" fontId="43" fillId="5" borderId="0" xfId="2642" applyFont="1" applyFill="1" applyAlignment="1" applyProtection="1">
      <alignment vertical="center"/>
    </xf>
    <xf numFmtId="38" fontId="39" fillId="5" borderId="85" xfId="2642" applyFont="1" applyFill="1" applyBorder="1" applyAlignment="1" applyProtection="1">
      <alignment horizontal="center" vertical="center"/>
    </xf>
    <xf numFmtId="38" fontId="37" fillId="14" borderId="28" xfId="2642" applyFont="1" applyFill="1" applyBorder="1" applyAlignment="1" applyProtection="1">
      <alignment vertical="center"/>
    </xf>
    <xf numFmtId="38" fontId="37" fillId="14" borderId="71" xfId="2642" applyFont="1" applyFill="1" applyBorder="1" applyAlignment="1" applyProtection="1">
      <alignment horizontal="center" vertical="center"/>
    </xf>
    <xf numFmtId="38" fontId="39" fillId="14" borderId="3" xfId="2642" applyFont="1" applyFill="1" applyBorder="1" applyAlignment="1" applyProtection="1">
      <alignment vertical="center"/>
    </xf>
    <xf numFmtId="38" fontId="39" fillId="14" borderId="50" xfId="2642" applyFont="1" applyFill="1" applyBorder="1" applyAlignment="1" applyProtection="1">
      <alignment vertical="center"/>
    </xf>
    <xf numFmtId="38" fontId="39" fillId="14" borderId="71" xfId="2642" applyFont="1" applyFill="1" applyBorder="1" applyAlignment="1" applyProtection="1">
      <alignment vertical="center"/>
    </xf>
    <xf numFmtId="38" fontId="39" fillId="14" borderId="30" xfId="2642" applyFont="1" applyFill="1" applyBorder="1" applyAlignment="1" applyProtection="1">
      <alignment vertical="center"/>
    </xf>
    <xf numFmtId="38" fontId="37" fillId="14" borderId="25" xfId="2642" applyFont="1" applyFill="1" applyBorder="1" applyAlignment="1" applyProtection="1">
      <alignment vertical="center"/>
    </xf>
    <xf numFmtId="38" fontId="37" fillId="14" borderId="3" xfId="2642" applyFont="1" applyFill="1" applyBorder="1" applyAlignment="1" applyProtection="1">
      <alignment vertical="center"/>
    </xf>
    <xf numFmtId="38" fontId="37" fillId="14" borderId="50" xfId="2642" applyFont="1" applyFill="1" applyBorder="1" applyAlignment="1" applyProtection="1">
      <alignment vertical="center"/>
    </xf>
    <xf numFmtId="38" fontId="37" fillId="14" borderId="71" xfId="2642" applyFont="1" applyFill="1" applyBorder="1" applyAlignment="1" applyProtection="1">
      <alignment vertical="center"/>
    </xf>
    <xf numFmtId="38" fontId="37" fillId="14" borderId="28" xfId="2642" applyFont="1" applyFill="1" applyBorder="1" applyAlignment="1" applyProtection="1">
      <alignment horizontal="left" vertical="center"/>
    </xf>
    <xf numFmtId="38" fontId="37" fillId="14" borderId="51" xfId="2642" applyFont="1" applyFill="1" applyBorder="1" applyAlignment="1" applyProtection="1">
      <alignment horizontal="left" vertical="center"/>
    </xf>
    <xf numFmtId="38" fontId="37" fillId="14" borderId="50" xfId="2642" applyFont="1" applyFill="1" applyBorder="1" applyAlignment="1" applyProtection="1">
      <alignment horizontal="left" vertical="center"/>
    </xf>
    <xf numFmtId="38" fontId="37" fillId="5" borderId="85" xfId="2642" applyFont="1" applyFill="1" applyBorder="1" applyAlignment="1" applyProtection="1">
      <alignment horizontal="center" vertical="center"/>
    </xf>
    <xf numFmtId="9" fontId="52" fillId="13" borderId="0" xfId="586" applyFont="1" applyFill="1" applyAlignment="1" applyProtection="1">
      <alignment vertical="center"/>
    </xf>
    <xf numFmtId="38" fontId="37" fillId="13" borderId="0" xfId="2642" applyFont="1" applyFill="1" applyAlignment="1" applyProtection="1">
      <alignment vertical="center"/>
    </xf>
    <xf numFmtId="38" fontId="37" fillId="20" borderId="0" xfId="2642" applyFont="1" applyFill="1" applyAlignment="1" applyProtection="1">
      <alignment vertical="center"/>
    </xf>
    <xf numFmtId="38" fontId="37" fillId="14" borderId="76" xfId="2642" applyFont="1" applyFill="1" applyBorder="1" applyAlignment="1" applyProtection="1">
      <alignment horizontal="left" vertical="center"/>
    </xf>
    <xf numFmtId="38" fontId="37" fillId="14" borderId="0" xfId="2642" applyFont="1" applyFill="1" applyBorder="1" applyAlignment="1" applyProtection="1">
      <alignment horizontal="left" vertical="center"/>
    </xf>
    <xf numFmtId="38" fontId="39" fillId="14" borderId="27" xfId="2642" applyFont="1" applyFill="1" applyBorder="1" applyAlignment="1" applyProtection="1">
      <alignment vertical="center"/>
    </xf>
    <xf numFmtId="38" fontId="39" fillId="14" borderId="25" xfId="2642" applyFont="1" applyFill="1" applyBorder="1" applyAlignment="1" applyProtection="1">
      <alignment vertical="center"/>
    </xf>
    <xf numFmtId="38" fontId="39" fillId="14" borderId="0" xfId="2642" applyFont="1" applyFill="1" applyBorder="1" applyAlignment="1" applyProtection="1">
      <alignment vertical="center"/>
    </xf>
    <xf numFmtId="38" fontId="37" fillId="14" borderId="25" xfId="2642" applyFont="1" applyFill="1" applyBorder="1" applyAlignment="1" applyProtection="1">
      <alignment horizontal="left" vertical="center"/>
    </xf>
    <xf numFmtId="38" fontId="37" fillId="14" borderId="36" xfId="2642" applyFont="1" applyFill="1" applyBorder="1" applyAlignment="1" applyProtection="1">
      <alignment horizontal="left" vertical="center"/>
    </xf>
    <xf numFmtId="38" fontId="37" fillId="21" borderId="5" xfId="2642" applyFont="1" applyFill="1" applyBorder="1" applyAlignment="1" applyProtection="1">
      <alignment horizontal="left" vertical="center"/>
    </xf>
    <xf numFmtId="38" fontId="37" fillId="21" borderId="51" xfId="2642" applyFont="1" applyFill="1" applyBorder="1" applyAlignment="1" applyProtection="1">
      <alignment horizontal="left" vertical="center"/>
    </xf>
    <xf numFmtId="38" fontId="37" fillId="21" borderId="25" xfId="2642" applyFont="1" applyFill="1" applyBorder="1" applyAlignment="1" applyProtection="1">
      <alignment horizontal="left" vertical="center"/>
    </xf>
    <xf numFmtId="38" fontId="37" fillId="21" borderId="76" xfId="2642" applyFont="1" applyFill="1" applyBorder="1" applyAlignment="1" applyProtection="1">
      <alignment horizontal="left" vertical="center"/>
    </xf>
    <xf numFmtId="38" fontId="37" fillId="14" borderId="36" xfId="2642" applyFont="1" applyFill="1" applyBorder="1" applyAlignment="1" applyProtection="1">
      <alignment vertical="center"/>
    </xf>
    <xf numFmtId="38" fontId="37" fillId="14" borderId="5" xfId="2642" applyFont="1" applyFill="1" applyBorder="1" applyAlignment="1" applyProtection="1">
      <alignment vertical="center"/>
    </xf>
    <xf numFmtId="38" fontId="37" fillId="14" borderId="51" xfId="2642" applyFont="1" applyFill="1" applyBorder="1" applyAlignment="1" applyProtection="1">
      <alignment vertical="center"/>
    </xf>
    <xf numFmtId="38" fontId="37" fillId="14" borderId="27" xfId="2642" applyFont="1" applyFill="1" applyBorder="1" applyAlignment="1" applyProtection="1">
      <alignment vertical="center"/>
    </xf>
    <xf numFmtId="38" fontId="37" fillId="14" borderId="76" xfId="2642" applyFont="1" applyFill="1" applyBorder="1" applyAlignment="1" applyProtection="1">
      <alignment vertical="center"/>
    </xf>
    <xf numFmtId="38" fontId="37" fillId="5" borderId="85" xfId="2642" applyFont="1" applyFill="1" applyBorder="1" applyAlignment="1" applyProtection="1">
      <alignment horizontal="left" vertical="center"/>
    </xf>
    <xf numFmtId="38" fontId="37" fillId="14" borderId="27" xfId="2642" applyFont="1" applyFill="1" applyBorder="1" applyAlignment="1" applyProtection="1">
      <alignment horizontal="left" vertical="center"/>
    </xf>
    <xf numFmtId="38" fontId="37" fillId="14" borderId="71" xfId="2642" applyFont="1" applyFill="1" applyBorder="1" applyAlignment="1" applyProtection="1">
      <alignment horizontal="left" vertical="center"/>
    </xf>
    <xf numFmtId="38" fontId="37" fillId="14" borderId="50" xfId="2642" applyFont="1" applyFill="1" applyBorder="1" applyAlignment="1" applyProtection="1">
      <alignment horizontal="center" vertical="center"/>
    </xf>
    <xf numFmtId="38" fontId="37" fillId="14" borderId="0" xfId="2642" applyFont="1" applyFill="1" applyBorder="1" applyAlignment="1" applyProtection="1">
      <alignment vertical="center"/>
    </xf>
    <xf numFmtId="38" fontId="52" fillId="13" borderId="0" xfId="2642" applyFont="1" applyFill="1" applyAlignment="1" applyProtection="1">
      <alignment vertical="center"/>
    </xf>
    <xf numFmtId="178" fontId="37" fillId="14" borderId="4" xfId="591" applyNumberFormat="1" applyFont="1" applyFill="1" applyBorder="1" applyAlignment="1" applyProtection="1">
      <alignment horizontal="left" vertical="center"/>
    </xf>
    <xf numFmtId="178" fontId="37" fillId="14" borderId="51" xfId="591" applyNumberFormat="1" applyFont="1" applyFill="1" applyBorder="1" applyAlignment="1" applyProtection="1">
      <alignment horizontal="left" vertical="center"/>
    </xf>
    <xf numFmtId="178" fontId="37" fillId="14" borderId="28" xfId="591" applyNumberFormat="1" applyFont="1" applyFill="1" applyBorder="1" applyAlignment="1" applyProtection="1">
      <alignment horizontal="left" vertical="center"/>
    </xf>
    <xf numFmtId="178" fontId="37" fillId="14" borderId="4" xfId="591" applyNumberFormat="1" applyFont="1" applyFill="1" applyBorder="1" applyAlignment="1" applyProtection="1">
      <alignment vertical="center"/>
    </xf>
    <xf numFmtId="178" fontId="37" fillId="14" borderId="85" xfId="591" applyNumberFormat="1" applyFont="1" applyFill="1" applyBorder="1" applyAlignment="1" applyProtection="1">
      <alignment vertical="center"/>
    </xf>
    <xf numFmtId="38" fontId="37" fillId="14" borderId="30" xfId="2642" applyFont="1" applyFill="1" applyBorder="1" applyAlignment="1" applyProtection="1">
      <alignment vertical="center"/>
    </xf>
    <xf numFmtId="178" fontId="37" fillId="14" borderId="28" xfId="591" applyNumberFormat="1" applyFont="1" applyFill="1" applyBorder="1" applyAlignment="1" applyProtection="1">
      <alignment vertical="center"/>
    </xf>
    <xf numFmtId="38" fontId="39" fillId="14" borderId="25" xfId="2642" applyFont="1" applyFill="1" applyBorder="1" applyAlignment="1" applyProtection="1">
      <alignment horizontal="left" vertical="center"/>
    </xf>
    <xf numFmtId="38" fontId="39" fillId="14" borderId="0" xfId="2642" applyFont="1" applyFill="1" applyBorder="1" applyAlignment="1" applyProtection="1">
      <alignment horizontal="left" vertical="center"/>
    </xf>
    <xf numFmtId="38" fontId="39" fillId="14" borderId="76" xfId="2642" applyFont="1" applyFill="1" applyBorder="1" applyAlignment="1" applyProtection="1">
      <alignment horizontal="left" vertical="center"/>
    </xf>
    <xf numFmtId="178" fontId="37" fillId="14" borderId="5" xfId="591" applyNumberFormat="1" applyFont="1" applyFill="1" applyBorder="1" applyAlignment="1" applyProtection="1">
      <alignment horizontal="left" vertical="center"/>
    </xf>
    <xf numFmtId="178" fontId="37" fillId="14" borderId="25" xfId="591" applyNumberFormat="1" applyFont="1" applyFill="1" applyBorder="1" applyAlignment="1" applyProtection="1">
      <alignment horizontal="left" vertical="center"/>
    </xf>
    <xf numFmtId="178" fontId="37" fillId="14" borderId="57" xfId="591" applyNumberFormat="1" applyFont="1" applyFill="1" applyBorder="1" applyAlignment="1" applyProtection="1">
      <alignment horizontal="left" vertical="center"/>
    </xf>
    <xf numFmtId="38" fontId="37" fillId="14" borderId="56" xfId="2642" applyFont="1" applyFill="1" applyBorder="1" applyAlignment="1" applyProtection="1">
      <alignment vertical="center"/>
    </xf>
    <xf numFmtId="178" fontId="37" fillId="14" borderId="59" xfId="591" applyNumberFormat="1" applyFont="1" applyFill="1" applyBorder="1" applyAlignment="1" applyProtection="1">
      <alignment horizontal="left" vertical="center"/>
    </xf>
    <xf numFmtId="178" fontId="37" fillId="14" borderId="76" xfId="591" applyNumberFormat="1" applyFont="1" applyFill="1" applyBorder="1" applyAlignment="1" applyProtection="1">
      <alignment horizontal="left" vertical="center"/>
    </xf>
    <xf numFmtId="178" fontId="47" fillId="16" borderId="5" xfId="586" applyNumberFormat="1" applyFont="1" applyFill="1" applyBorder="1" applyAlignment="1">
      <alignment horizontal="left" shrinkToFit="1"/>
    </xf>
    <xf numFmtId="178" fontId="47" fillId="18" borderId="5" xfId="586" applyNumberFormat="1" applyFont="1" applyFill="1" applyBorder="1" applyAlignment="1">
      <alignment horizontal="left" shrinkToFit="1"/>
    </xf>
    <xf numFmtId="178" fontId="38" fillId="18" borderId="4" xfId="2634" applyNumberFormat="1" applyFont="1" applyFill="1" applyBorder="1" applyAlignment="1">
      <alignment horizontal="left" vertical="top" shrinkToFit="1"/>
    </xf>
    <xf numFmtId="177" fontId="38" fillId="18" borderId="28" xfId="3400" applyNumberFormat="1" applyFont="1" applyFill="1" applyBorder="1" applyAlignment="1">
      <alignment shrinkToFit="1"/>
    </xf>
    <xf numFmtId="177" fontId="38" fillId="18" borderId="24" xfId="3400" applyNumberFormat="1" applyFont="1" applyFill="1" applyBorder="1" applyAlignment="1">
      <alignment shrinkToFit="1"/>
    </xf>
    <xf numFmtId="0" fontId="37" fillId="14" borderId="0" xfId="0" applyFont="1" applyFill="1" applyBorder="1"/>
    <xf numFmtId="38" fontId="38" fillId="6" borderId="32" xfId="2634" applyFont="1" applyFill="1" applyBorder="1" applyAlignment="1" applyProtection="1">
      <alignment horizontal="center" vertical="center" shrinkToFit="1"/>
    </xf>
    <xf numFmtId="177" fontId="38" fillId="16" borderId="24" xfId="3400" applyNumberFormat="1" applyFont="1" applyFill="1" applyBorder="1" applyAlignment="1">
      <alignment shrinkToFit="1"/>
    </xf>
    <xf numFmtId="177" fontId="39" fillId="16" borderId="27" xfId="3400" applyNumberFormat="1" applyFont="1" applyFill="1" applyBorder="1" applyAlignment="1">
      <alignment shrinkToFit="1"/>
    </xf>
    <xf numFmtId="0" fontId="36" fillId="5" borderId="31" xfId="0" applyFont="1" applyFill="1" applyBorder="1" applyAlignment="1">
      <alignment horizontal="center" vertical="center" wrapText="1"/>
    </xf>
    <xf numFmtId="0" fontId="36" fillId="5" borderId="29" xfId="0" applyFont="1" applyFill="1" applyBorder="1" applyAlignment="1">
      <alignment horizontal="center" vertical="center" wrapText="1"/>
    </xf>
    <xf numFmtId="0" fontId="36" fillId="5" borderId="87" xfId="0" applyFont="1" applyFill="1" applyBorder="1" applyAlignment="1">
      <alignment horizontal="center" vertical="center"/>
    </xf>
    <xf numFmtId="177" fontId="41" fillId="6" borderId="88" xfId="2634" applyNumberFormat="1" applyFont="1" applyFill="1" applyBorder="1" applyAlignment="1">
      <alignment vertical="center" shrinkToFit="1"/>
    </xf>
    <xf numFmtId="177" fontId="36" fillId="5" borderId="89" xfId="3400" applyNumberFormat="1" applyFont="1" applyFill="1" applyBorder="1" applyAlignment="1">
      <alignment vertical="center" shrinkToFit="1"/>
    </xf>
    <xf numFmtId="177" fontId="36" fillId="6" borderId="89" xfId="3400" applyNumberFormat="1" applyFont="1" applyFill="1" applyBorder="1" applyAlignment="1">
      <alignment vertical="center" shrinkToFit="1"/>
    </xf>
    <xf numFmtId="177" fontId="41" fillId="6" borderId="90" xfId="3400" applyNumberFormat="1" applyFont="1" applyFill="1" applyBorder="1" applyAlignment="1">
      <alignment vertical="center" shrinkToFit="1"/>
    </xf>
    <xf numFmtId="177" fontId="36" fillId="6" borderId="90" xfId="3400" applyNumberFormat="1" applyFont="1" applyFill="1" applyBorder="1" applyAlignment="1">
      <alignment vertical="center" shrinkToFit="1"/>
    </xf>
    <xf numFmtId="177" fontId="41" fillId="6" borderId="91" xfId="3400" applyNumberFormat="1" applyFont="1" applyFill="1" applyBorder="1" applyAlignment="1">
      <alignment vertical="center" shrinkToFit="1"/>
    </xf>
    <xf numFmtId="0" fontId="34" fillId="5" borderId="2" xfId="0" applyFont="1" applyFill="1" applyBorder="1" applyAlignment="1">
      <alignment horizontal="center" vertical="center"/>
    </xf>
    <xf numFmtId="38" fontId="43" fillId="14" borderId="0" xfId="2642" applyFont="1" applyFill="1" applyAlignment="1">
      <alignment horizontal="right" vertical="center"/>
    </xf>
    <xf numFmtId="38" fontId="37" fillId="5" borderId="0" xfId="2642" applyFont="1" applyFill="1" applyAlignment="1">
      <alignment horizontal="right" vertical="center"/>
    </xf>
    <xf numFmtId="178" fontId="39" fillId="5" borderId="59" xfId="588" applyNumberFormat="1" applyFont="1" applyFill="1" applyBorder="1" applyAlignment="1">
      <alignment horizontal="left" vertical="center" shrinkToFit="1"/>
    </xf>
    <xf numFmtId="178" fontId="39" fillId="5" borderId="4" xfId="588" applyNumberFormat="1" applyFont="1" applyFill="1" applyBorder="1" applyAlignment="1">
      <alignment horizontal="left" vertical="center" shrinkToFit="1"/>
    </xf>
    <xf numFmtId="178" fontId="39" fillId="5" borderId="5" xfId="588" applyNumberFormat="1" applyFont="1" applyFill="1" applyBorder="1" applyAlignment="1">
      <alignment horizontal="left" vertical="center" shrinkToFit="1"/>
    </xf>
    <xf numFmtId="178" fontId="39" fillId="5" borderId="57" xfId="588" applyNumberFormat="1" applyFont="1" applyFill="1" applyBorder="1" applyAlignment="1">
      <alignment horizontal="left" vertical="center" shrinkToFit="1"/>
    </xf>
    <xf numFmtId="178" fontId="39" fillId="14" borderId="59" xfId="588" applyNumberFormat="1" applyFont="1" applyFill="1" applyBorder="1" applyAlignment="1">
      <alignment horizontal="left" vertical="center" shrinkToFit="1"/>
    </xf>
    <xf numFmtId="9" fontId="39" fillId="14" borderId="59" xfId="588" applyFont="1" applyFill="1" applyBorder="1" applyAlignment="1">
      <alignment horizontal="left" vertical="center" shrinkToFit="1"/>
    </xf>
    <xf numFmtId="178" fontId="39" fillId="5" borderId="85" xfId="588" applyNumberFormat="1" applyFont="1" applyFill="1" applyBorder="1" applyAlignment="1">
      <alignment horizontal="left" vertical="center" shrinkToFit="1"/>
    </xf>
    <xf numFmtId="9" fontId="39" fillId="5" borderId="57" xfId="588" applyFont="1" applyFill="1" applyBorder="1" applyAlignment="1">
      <alignment horizontal="left" vertical="center" shrinkToFit="1"/>
    </xf>
    <xf numFmtId="178" fontId="39" fillId="5" borderId="25" xfId="588" applyNumberFormat="1" applyFont="1" applyFill="1" applyBorder="1" applyAlignment="1">
      <alignment horizontal="left" vertical="center" shrinkToFit="1"/>
    </xf>
    <xf numFmtId="178" fontId="39" fillId="5" borderId="28" xfId="588" applyNumberFormat="1" applyFont="1" applyFill="1" applyBorder="1" applyAlignment="1">
      <alignment horizontal="left" vertical="center" shrinkToFit="1"/>
    </xf>
    <xf numFmtId="9" fontId="39" fillId="5" borderId="59" xfId="588" applyFont="1" applyFill="1" applyBorder="1" applyAlignment="1">
      <alignment horizontal="left" vertical="center" shrinkToFit="1"/>
    </xf>
    <xf numFmtId="178" fontId="39" fillId="14" borderId="57" xfId="588" applyNumberFormat="1" applyFont="1" applyFill="1" applyBorder="1" applyAlignment="1">
      <alignment horizontal="left" vertical="center" shrinkToFit="1"/>
    </xf>
    <xf numFmtId="9" fontId="39" fillId="14" borderId="57" xfId="588" applyFont="1" applyFill="1" applyBorder="1" applyAlignment="1">
      <alignment horizontal="left" vertical="center" shrinkToFit="1"/>
    </xf>
    <xf numFmtId="9" fontId="39" fillId="0" borderId="57" xfId="588" applyFont="1" applyFill="1" applyBorder="1" applyAlignment="1">
      <alignment horizontal="left" vertical="center" shrinkToFit="1"/>
    </xf>
    <xf numFmtId="9" fontId="37" fillId="14" borderId="57" xfId="588" applyFont="1" applyFill="1" applyBorder="1" applyAlignment="1">
      <alignment horizontal="left" vertical="center" shrinkToFit="1"/>
    </xf>
    <xf numFmtId="9" fontId="37" fillId="5" borderId="57" xfId="588" applyFont="1" applyFill="1" applyBorder="1" applyAlignment="1">
      <alignment horizontal="left" vertical="center" shrinkToFit="1"/>
    </xf>
    <xf numFmtId="178" fontId="37" fillId="14" borderId="59" xfId="588" applyNumberFormat="1" applyFont="1" applyFill="1" applyBorder="1" applyAlignment="1">
      <alignment horizontal="left" vertical="center" shrinkToFit="1"/>
    </xf>
    <xf numFmtId="9" fontId="37" fillId="14" borderId="59" xfId="588" applyFont="1" applyFill="1" applyBorder="1" applyAlignment="1">
      <alignment horizontal="left" vertical="center" shrinkToFit="1"/>
    </xf>
    <xf numFmtId="178" fontId="39" fillId="5" borderId="0" xfId="588" applyNumberFormat="1" applyFont="1" applyFill="1" applyBorder="1" applyAlignment="1">
      <alignment horizontal="left" vertical="center" shrinkToFit="1"/>
    </xf>
    <xf numFmtId="9" fontId="37" fillId="5" borderId="59" xfId="588" applyFont="1" applyFill="1" applyBorder="1" applyAlignment="1">
      <alignment horizontal="left" vertical="center" shrinkToFit="1"/>
    </xf>
    <xf numFmtId="178" fontId="37" fillId="5" borderId="57" xfId="588" applyNumberFormat="1" applyFont="1" applyFill="1" applyBorder="1" applyAlignment="1">
      <alignment horizontal="left" vertical="center" shrinkToFit="1"/>
    </xf>
    <xf numFmtId="178" fontId="37" fillId="14" borderId="57" xfId="588" applyNumberFormat="1" applyFont="1" applyFill="1" applyBorder="1" applyAlignment="1">
      <alignment horizontal="left" vertical="center" shrinkToFit="1"/>
    </xf>
    <xf numFmtId="9" fontId="37" fillId="0" borderId="57" xfId="588" applyFont="1" applyFill="1" applyBorder="1" applyAlignment="1">
      <alignment horizontal="left" vertical="center" shrinkToFit="1"/>
    </xf>
    <xf numFmtId="9" fontId="37" fillId="14" borderId="0" xfId="588" applyFont="1" applyFill="1" applyAlignment="1">
      <alignment vertical="center"/>
    </xf>
    <xf numFmtId="9" fontId="37" fillId="5" borderId="0" xfId="588" applyFont="1" applyFill="1" applyBorder="1" applyAlignment="1">
      <alignment vertical="center"/>
    </xf>
    <xf numFmtId="178" fontId="39" fillId="14" borderId="51" xfId="588" applyNumberFormat="1" applyFont="1" applyFill="1" applyBorder="1" applyAlignment="1">
      <alignment horizontal="left" vertical="center" shrinkToFit="1"/>
    </xf>
    <xf numFmtId="178" fontId="39" fillId="14" borderId="28" xfId="588" applyNumberFormat="1" applyFont="1" applyFill="1" applyBorder="1" applyAlignment="1">
      <alignment horizontal="left" vertical="center" shrinkToFit="1"/>
    </xf>
    <xf numFmtId="9" fontId="39" fillId="14" borderId="51" xfId="588" applyFont="1" applyFill="1" applyBorder="1" applyAlignment="1">
      <alignment horizontal="left" vertical="center" shrinkToFit="1"/>
    </xf>
    <xf numFmtId="178" fontId="39" fillId="14" borderId="0" xfId="588" applyNumberFormat="1" applyFont="1" applyFill="1" applyBorder="1" applyAlignment="1">
      <alignment horizontal="left" vertical="center" shrinkToFit="1"/>
    </xf>
    <xf numFmtId="178" fontId="39" fillId="14" borderId="76" xfId="588" applyNumberFormat="1" applyFont="1" applyFill="1" applyBorder="1" applyAlignment="1">
      <alignment horizontal="left" vertical="center" shrinkToFit="1"/>
    </xf>
    <xf numFmtId="9" fontId="39" fillId="14" borderId="76" xfId="588" applyFont="1" applyFill="1" applyBorder="1" applyAlignment="1">
      <alignment horizontal="left" vertical="center" shrinkToFit="1"/>
    </xf>
    <xf numFmtId="9" fontId="37" fillId="14" borderId="76" xfId="588" applyFont="1" applyFill="1" applyBorder="1" applyAlignment="1">
      <alignment horizontal="left" vertical="center" shrinkToFit="1"/>
    </xf>
    <xf numFmtId="178" fontId="39" fillId="14" borderId="25" xfId="588" applyNumberFormat="1" applyFont="1" applyFill="1" applyBorder="1" applyAlignment="1">
      <alignment horizontal="left" vertical="center" shrinkToFit="1"/>
    </xf>
    <xf numFmtId="9" fontId="37" fillId="14" borderId="51" xfId="588" applyFont="1" applyFill="1" applyBorder="1" applyAlignment="1">
      <alignment horizontal="left" vertical="center" shrinkToFit="1"/>
    </xf>
    <xf numFmtId="178" fontId="37" fillId="14" borderId="67" xfId="588" applyNumberFormat="1" applyFont="1" applyFill="1" applyBorder="1" applyAlignment="1">
      <alignment horizontal="left" vertical="center" shrinkToFit="1"/>
    </xf>
    <xf numFmtId="178" fontId="37" fillId="14" borderId="73" xfId="588" applyNumberFormat="1" applyFont="1" applyFill="1" applyBorder="1" applyAlignment="1">
      <alignment horizontal="left" vertical="center" shrinkToFit="1"/>
    </xf>
    <xf numFmtId="178" fontId="37" fillId="16" borderId="42" xfId="588" applyNumberFormat="1" applyFont="1" applyFill="1" applyBorder="1" applyAlignment="1">
      <alignment horizontal="left" vertical="center" shrinkToFit="1"/>
    </xf>
    <xf numFmtId="178" fontId="37" fillId="14" borderId="51" xfId="588" applyNumberFormat="1" applyFont="1" applyFill="1" applyBorder="1" applyAlignment="1">
      <alignment horizontal="left" vertical="center" shrinkToFit="1"/>
    </xf>
    <xf numFmtId="178" fontId="37" fillId="18" borderId="4" xfId="588" applyNumberFormat="1" applyFont="1" applyFill="1" applyBorder="1" applyAlignment="1">
      <alignment horizontal="left" vertical="center" shrinkToFit="1"/>
    </xf>
    <xf numFmtId="178" fontId="37" fillId="14" borderId="31" xfId="588" applyNumberFormat="1" applyFont="1" applyFill="1" applyBorder="1" applyAlignment="1">
      <alignment horizontal="left" vertical="center" shrinkToFit="1"/>
    </xf>
    <xf numFmtId="178" fontId="37" fillId="14" borderId="4" xfId="588" applyNumberFormat="1" applyFont="1" applyFill="1" applyBorder="1" applyAlignment="1">
      <alignment horizontal="left" vertical="center" shrinkToFit="1"/>
    </xf>
    <xf numFmtId="178" fontId="37" fillId="14" borderId="5" xfId="588" applyNumberFormat="1" applyFont="1" applyFill="1" applyBorder="1" applyAlignment="1">
      <alignment horizontal="left" vertical="center" shrinkToFit="1"/>
    </xf>
    <xf numFmtId="178" fontId="37" fillId="14" borderId="55" xfId="588" applyNumberFormat="1" applyFont="1" applyFill="1" applyBorder="1" applyAlignment="1">
      <alignment horizontal="left" vertical="center" shrinkToFit="1"/>
    </xf>
    <xf numFmtId="178" fontId="37" fillId="14" borderId="85" xfId="588" applyNumberFormat="1" applyFont="1" applyFill="1" applyBorder="1" applyAlignment="1">
      <alignment horizontal="left" vertical="center" shrinkToFit="1"/>
    </xf>
    <xf numFmtId="9" fontId="37" fillId="14" borderId="25" xfId="588" applyFont="1" applyFill="1" applyBorder="1" applyAlignment="1">
      <alignment horizontal="left" vertical="center" shrinkToFit="1"/>
    </xf>
    <xf numFmtId="178" fontId="39" fillId="14" borderId="67" xfId="588" applyNumberFormat="1" applyFont="1" applyFill="1" applyBorder="1" applyAlignment="1">
      <alignment horizontal="left" vertical="center" shrinkToFit="1"/>
    </xf>
    <xf numFmtId="178" fontId="39" fillId="14" borderId="73" xfId="588" applyNumberFormat="1" applyFont="1" applyFill="1" applyBorder="1" applyAlignment="1">
      <alignment horizontal="left" vertical="center" shrinkToFit="1"/>
    </xf>
    <xf numFmtId="178" fontId="39" fillId="16" borderId="42" xfId="588" applyNumberFormat="1" applyFont="1" applyFill="1" applyBorder="1" applyAlignment="1">
      <alignment horizontal="left" vertical="center" shrinkToFit="1"/>
    </xf>
    <xf numFmtId="178" fontId="39" fillId="14" borderId="67" xfId="588" applyNumberFormat="1" applyFont="1" applyFill="1" applyBorder="1" applyAlignment="1" applyProtection="1">
      <alignment horizontal="left" vertical="center" shrinkToFit="1"/>
      <protection locked="0"/>
    </xf>
    <xf numFmtId="178" fontId="39" fillId="18" borderId="4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31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4" xfId="588" applyNumberFormat="1" applyFont="1" applyFill="1" applyBorder="1" applyAlignment="1">
      <alignment horizontal="left" vertical="center" shrinkToFit="1"/>
    </xf>
    <xf numFmtId="178" fontId="39" fillId="14" borderId="5" xfId="588" applyNumberFormat="1" applyFont="1" applyFill="1" applyBorder="1" applyAlignment="1">
      <alignment horizontal="left" vertical="center" shrinkToFit="1"/>
    </xf>
    <xf numFmtId="178" fontId="39" fillId="14" borderId="55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85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85" xfId="588" applyNumberFormat="1" applyFont="1" applyFill="1" applyBorder="1" applyAlignment="1">
      <alignment horizontal="left" vertical="center" shrinkToFit="1"/>
    </xf>
    <xf numFmtId="178" fontId="39" fillId="14" borderId="4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36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72" xfId="588" applyNumberFormat="1" applyFont="1" applyFill="1" applyBorder="1" applyAlignment="1">
      <alignment horizontal="left" vertical="center" shrinkToFit="1"/>
    </xf>
    <xf numFmtId="178" fontId="37" fillId="16" borderId="43" xfId="588" applyNumberFormat="1" applyFont="1" applyFill="1" applyBorder="1" applyAlignment="1">
      <alignment horizontal="left" vertical="center" shrinkToFit="1"/>
    </xf>
    <xf numFmtId="178" fontId="37" fillId="14" borderId="49" xfId="588" applyNumberFormat="1" applyFont="1" applyFill="1" applyBorder="1" applyAlignment="1">
      <alignment horizontal="left" vertical="center" shrinkToFit="1"/>
    </xf>
    <xf numFmtId="178" fontId="37" fillId="18" borderId="28" xfId="588" applyNumberFormat="1" applyFont="1" applyFill="1" applyBorder="1" applyAlignment="1">
      <alignment horizontal="left" vertical="center" shrinkToFit="1"/>
    </xf>
    <xf numFmtId="178" fontId="37" fillId="14" borderId="36" xfId="588" applyNumberFormat="1" applyFont="1" applyFill="1" applyBorder="1" applyAlignment="1">
      <alignment horizontal="left" vertical="center" shrinkToFit="1"/>
    </xf>
    <xf numFmtId="178" fontId="37" fillId="14" borderId="0" xfId="588" applyNumberFormat="1" applyFont="1" applyFill="1" applyBorder="1" applyAlignment="1">
      <alignment horizontal="left" vertical="center" shrinkToFit="1"/>
    </xf>
    <xf numFmtId="9" fontId="39" fillId="14" borderId="51" xfId="588" applyNumberFormat="1" applyFont="1" applyFill="1" applyBorder="1" applyAlignment="1">
      <alignment horizontal="left" vertical="center" shrinkToFit="1"/>
    </xf>
    <xf numFmtId="178" fontId="37" fillId="14" borderId="58" xfId="588" applyNumberFormat="1" applyFont="1" applyFill="1" applyBorder="1" applyAlignment="1">
      <alignment horizontal="left" vertical="center" shrinkToFit="1"/>
    </xf>
    <xf numFmtId="178" fontId="37" fillId="14" borderId="28" xfId="588" applyNumberFormat="1" applyFont="1" applyFill="1" applyBorder="1" applyAlignment="1">
      <alignment horizontal="left" vertical="center" shrinkToFit="1"/>
    </xf>
    <xf numFmtId="178" fontId="37" fillId="14" borderId="25" xfId="588" applyNumberFormat="1" applyFont="1" applyFill="1" applyBorder="1" applyAlignment="1">
      <alignment horizontal="left" vertical="center" shrinkToFit="1"/>
    </xf>
    <xf numFmtId="9" fontId="37" fillId="14" borderId="5" xfId="588" applyNumberFormat="1" applyFont="1" applyFill="1" applyBorder="1" applyAlignment="1">
      <alignment horizontal="left" vertical="center" shrinkToFit="1"/>
    </xf>
    <xf numFmtId="9" fontId="37" fillId="14" borderId="51" xfId="588" applyNumberFormat="1" applyFont="1" applyFill="1" applyBorder="1" applyAlignment="1">
      <alignment horizontal="left" vertical="center" shrinkToFit="1"/>
    </xf>
    <xf numFmtId="178" fontId="51" fillId="14" borderId="73" xfId="588" applyNumberFormat="1" applyFont="1" applyFill="1" applyBorder="1" applyAlignment="1">
      <alignment horizontal="left" vertical="center" shrinkToFit="1"/>
    </xf>
    <xf numFmtId="178" fontId="51" fillId="16" borderId="42" xfId="588" applyNumberFormat="1" applyFont="1" applyFill="1" applyBorder="1" applyAlignment="1">
      <alignment horizontal="left" vertical="center" shrinkToFit="1"/>
    </xf>
    <xf numFmtId="178" fontId="39" fillId="18" borderId="4" xfId="588" applyNumberFormat="1" applyFont="1" applyFill="1" applyBorder="1" applyAlignment="1">
      <alignment horizontal="left" vertical="center" shrinkToFit="1"/>
    </xf>
    <xf numFmtId="178" fontId="39" fillId="0" borderId="4" xfId="588" applyNumberFormat="1" applyFont="1" applyFill="1" applyBorder="1" applyAlignment="1">
      <alignment horizontal="left" vertical="center" shrinkToFit="1"/>
    </xf>
    <xf numFmtId="178" fontId="39" fillId="14" borderId="58" xfId="588" applyNumberFormat="1" applyFont="1" applyFill="1" applyBorder="1" applyAlignment="1">
      <alignment horizontal="left" vertical="center" shrinkToFit="1"/>
    </xf>
    <xf numFmtId="9" fontId="37" fillId="14" borderId="4" xfId="588" applyFont="1" applyFill="1" applyBorder="1" applyAlignment="1">
      <alignment horizontal="left" vertical="center" shrinkToFit="1"/>
    </xf>
    <xf numFmtId="9" fontId="37" fillId="14" borderId="0" xfId="588" applyFont="1" applyFill="1" applyBorder="1" applyAlignment="1">
      <alignment horizontal="left" vertical="center" shrinkToFit="1"/>
    </xf>
    <xf numFmtId="9" fontId="37" fillId="14" borderId="85" xfId="588" applyFont="1" applyFill="1" applyBorder="1" applyAlignment="1">
      <alignment horizontal="left" vertical="center" shrinkToFit="1"/>
    </xf>
    <xf numFmtId="9" fontId="37" fillId="14" borderId="5" xfId="588" applyFont="1" applyFill="1" applyBorder="1" applyAlignment="1">
      <alignment horizontal="left" vertical="center" shrinkToFit="1"/>
    </xf>
    <xf numFmtId="9" fontId="37" fillId="14" borderId="28" xfId="588" applyFont="1" applyFill="1" applyBorder="1" applyAlignment="1">
      <alignment horizontal="left" vertical="center" shrinkToFit="1"/>
    </xf>
    <xf numFmtId="178" fontId="38" fillId="14" borderId="49" xfId="588" applyNumberFormat="1" applyFont="1" applyFill="1" applyBorder="1" applyAlignment="1">
      <alignment horizontal="left" vertical="center" shrinkToFit="1"/>
    </xf>
    <xf numFmtId="178" fontId="38" fillId="14" borderId="72" xfId="588" applyNumberFormat="1" applyFont="1" applyFill="1" applyBorder="1" applyAlignment="1">
      <alignment horizontal="left" vertical="center" shrinkToFit="1"/>
    </xf>
    <xf numFmtId="178" fontId="38" fillId="16" borderId="43" xfId="588" applyNumberFormat="1" applyFont="1" applyFill="1" applyBorder="1" applyAlignment="1">
      <alignment horizontal="left" vertical="center" shrinkToFit="1"/>
    </xf>
    <xf numFmtId="178" fontId="39" fillId="14" borderId="55" xfId="588" applyNumberFormat="1" applyFont="1" applyFill="1" applyBorder="1" applyAlignment="1">
      <alignment horizontal="left" vertical="center" shrinkToFit="1"/>
    </xf>
    <xf numFmtId="178" fontId="37" fillId="14" borderId="49" xfId="588" applyNumberFormat="1" applyFont="1" applyFill="1" applyBorder="1" applyAlignment="1" applyProtection="1">
      <alignment horizontal="left" vertical="center" shrinkToFit="1"/>
      <protection locked="0"/>
    </xf>
    <xf numFmtId="178" fontId="37" fillId="18" borderId="28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0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58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28" xfId="588" applyNumberFormat="1" applyFont="1" applyFill="1" applyBorder="1" applyAlignment="1" applyProtection="1">
      <alignment horizontal="left" vertical="center" shrinkToFit="1"/>
      <protection locked="0"/>
    </xf>
    <xf numFmtId="38" fontId="39" fillId="18" borderId="27" xfId="2642" applyFont="1" applyFill="1" applyBorder="1" applyAlignment="1" applyProtection="1">
      <alignment vertical="center" shrinkToFit="1"/>
      <protection locked="0"/>
    </xf>
    <xf numFmtId="178" fontId="39" fillId="14" borderId="49" xfId="588" applyNumberFormat="1" applyFont="1" applyFill="1" applyBorder="1" applyAlignment="1">
      <alignment horizontal="left" vertical="center" shrinkToFit="1"/>
    </xf>
    <xf numFmtId="178" fontId="39" fillId="14" borderId="72" xfId="588" applyNumberFormat="1" applyFont="1" applyFill="1" applyBorder="1" applyAlignment="1">
      <alignment horizontal="left" vertical="center" shrinkToFit="1"/>
    </xf>
    <xf numFmtId="178" fontId="39" fillId="16" borderId="43" xfId="588" applyNumberFormat="1" applyFont="1" applyFill="1" applyBorder="1" applyAlignment="1">
      <alignment horizontal="left" vertical="center" shrinkToFit="1"/>
    </xf>
    <xf numFmtId="178" fontId="39" fillId="18" borderId="28" xfId="588" applyNumberFormat="1" applyFont="1" applyFill="1" applyBorder="1" applyAlignment="1">
      <alignment horizontal="left" vertical="center" shrinkToFit="1"/>
    </xf>
    <xf numFmtId="9" fontId="37" fillId="10" borderId="5" xfId="588" applyNumberFormat="1" applyFont="1" applyFill="1" applyBorder="1" applyAlignment="1">
      <alignment horizontal="left" vertical="center" shrinkToFit="1"/>
    </xf>
    <xf numFmtId="178" fontId="37" fillId="14" borderId="76" xfId="588" applyNumberFormat="1" applyFont="1" applyFill="1" applyBorder="1" applyAlignment="1">
      <alignment horizontal="left" vertical="center" shrinkToFit="1"/>
    </xf>
    <xf numFmtId="9" fontId="37" fillId="10" borderId="25" xfId="588" applyNumberFormat="1" applyFont="1" applyFill="1" applyBorder="1" applyAlignment="1">
      <alignment horizontal="left" vertical="center" shrinkToFit="1"/>
    </xf>
    <xf numFmtId="178" fontId="37" fillId="14" borderId="67" xfId="588" applyNumberFormat="1" applyFont="1" applyFill="1" applyBorder="1" applyAlignment="1" applyProtection="1">
      <alignment horizontal="left" vertical="center" shrinkToFit="1"/>
      <protection locked="0"/>
    </xf>
    <xf numFmtId="178" fontId="37" fillId="18" borderId="4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85" xfId="588" applyNumberFormat="1" applyFont="1" applyFill="1" applyBorder="1" applyAlignment="1" applyProtection="1">
      <alignment horizontal="left" vertical="center" shrinkToFit="1"/>
      <protection locked="0"/>
    </xf>
    <xf numFmtId="178" fontId="37" fillId="5" borderId="4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83" xfId="588" applyNumberFormat="1" applyFont="1" applyFill="1" applyBorder="1" applyAlignment="1">
      <alignment horizontal="left" vertical="center" shrinkToFit="1"/>
    </xf>
    <xf numFmtId="178" fontId="37" fillId="14" borderId="55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4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36" xfId="588" applyNumberFormat="1" applyFont="1" applyFill="1" applyBorder="1" applyAlignment="1" applyProtection="1">
      <alignment horizontal="left" vertical="center" shrinkToFit="1"/>
      <protection locked="0"/>
    </xf>
    <xf numFmtId="178" fontId="37" fillId="5" borderId="28" xfId="588" applyNumberFormat="1" applyFont="1" applyFill="1" applyBorder="1" applyAlignment="1" applyProtection="1">
      <alignment horizontal="left" vertical="center" shrinkToFit="1"/>
      <protection locked="0"/>
    </xf>
    <xf numFmtId="178" fontId="37" fillId="14" borderId="25" xfId="588" applyNumberFormat="1" applyFont="1" applyFill="1" applyBorder="1" applyAlignment="1" applyProtection="1">
      <alignment horizontal="left" vertical="center" shrinkToFit="1"/>
      <protection locked="0"/>
    </xf>
    <xf numFmtId="178" fontId="37" fillId="5" borderId="36" xfId="588" applyNumberFormat="1" applyFont="1" applyFill="1" applyBorder="1" applyAlignment="1" applyProtection="1">
      <alignment horizontal="left" vertical="center" shrinkToFit="1"/>
      <protection locked="0"/>
    </xf>
    <xf numFmtId="178" fontId="39" fillId="14" borderId="31" xfId="588" applyNumberFormat="1" applyFont="1" applyFill="1" applyBorder="1" applyAlignment="1">
      <alignment horizontal="left" vertical="center" shrinkToFit="1"/>
    </xf>
    <xf numFmtId="38" fontId="37" fillId="5" borderId="30" xfId="2642" applyFont="1" applyFill="1" applyBorder="1" applyAlignment="1">
      <alignment vertical="center"/>
    </xf>
    <xf numFmtId="38" fontId="37" fillId="14" borderId="55" xfId="2642" applyFont="1" applyFill="1" applyBorder="1" applyAlignment="1">
      <alignment horizontal="left" vertical="center" shrinkToFit="1"/>
    </xf>
    <xf numFmtId="38" fontId="39" fillId="14" borderId="5" xfId="2642" applyFont="1" applyFill="1" applyBorder="1" applyAlignment="1">
      <alignment horizontal="left" vertical="center" shrinkToFit="1"/>
    </xf>
    <xf numFmtId="38" fontId="39" fillId="14" borderId="4" xfId="2642" applyFont="1" applyFill="1" applyBorder="1" applyAlignment="1">
      <alignment horizontal="left" vertical="center" shrinkToFit="1"/>
    </xf>
    <xf numFmtId="9" fontId="37" fillId="14" borderId="57" xfId="588" applyNumberFormat="1" applyFont="1" applyFill="1" applyBorder="1" applyAlignment="1">
      <alignment horizontal="left" vertical="center" shrinkToFit="1"/>
    </xf>
    <xf numFmtId="38" fontId="37" fillId="14" borderId="31" xfId="2642" applyFont="1" applyFill="1" applyBorder="1" applyAlignment="1" applyProtection="1">
      <alignment vertical="center" shrinkToFit="1"/>
      <protection locked="0"/>
    </xf>
    <xf numFmtId="38" fontId="37" fillId="14" borderId="31" xfId="2642" applyFont="1" applyFill="1" applyBorder="1" applyAlignment="1">
      <alignment vertical="center" shrinkToFit="1"/>
    </xf>
    <xf numFmtId="38" fontId="37" fillId="14" borderId="36" xfId="2642" applyFont="1" applyFill="1" applyBorder="1" applyAlignment="1">
      <alignment vertical="center" shrinkToFit="1"/>
    </xf>
    <xf numFmtId="38" fontId="37" fillId="14" borderId="60" xfId="2642" applyFont="1" applyFill="1" applyBorder="1" applyAlignment="1">
      <alignment vertical="center" shrinkToFit="1"/>
    </xf>
    <xf numFmtId="38" fontId="37" fillId="14" borderId="63" xfId="2642" applyFont="1" applyFill="1" applyBorder="1" applyAlignment="1">
      <alignment vertical="center" shrinkToFit="1"/>
    </xf>
    <xf numFmtId="38" fontId="37" fillId="14" borderId="68" xfId="2642" applyFont="1" applyFill="1" applyBorder="1" applyAlignment="1">
      <alignment vertical="center" shrinkToFit="1"/>
    </xf>
    <xf numFmtId="38" fontId="37" fillId="14" borderId="64" xfId="2642" applyFont="1" applyFill="1" applyBorder="1" applyAlignment="1">
      <alignment vertical="center" shrinkToFit="1"/>
    </xf>
    <xf numFmtId="38" fontId="37" fillId="22" borderId="0" xfId="2642" applyFont="1" applyFill="1" applyBorder="1" applyAlignment="1">
      <alignment vertical="center" shrinkToFit="1"/>
    </xf>
    <xf numFmtId="38" fontId="39" fillId="22" borderId="0" xfId="2642" applyFont="1" applyFill="1" applyBorder="1" applyAlignment="1">
      <alignment vertical="center" shrinkToFit="1"/>
    </xf>
    <xf numFmtId="38" fontId="37" fillId="22" borderId="0" xfId="2642" applyFont="1" applyFill="1" applyAlignment="1">
      <alignment vertical="center"/>
    </xf>
    <xf numFmtId="177" fontId="41" fillId="5" borderId="2" xfId="3400" applyNumberFormat="1" applyFont="1" applyFill="1" applyBorder="1" applyAlignment="1">
      <alignment vertical="center" shrinkToFit="1"/>
    </xf>
    <xf numFmtId="0" fontId="53" fillId="8" borderId="4" xfId="0" applyFont="1" applyFill="1" applyBorder="1" applyAlignment="1">
      <alignment wrapText="1"/>
    </xf>
    <xf numFmtId="178" fontId="54" fillId="8" borderId="4" xfId="3400" applyNumberFormat="1" applyFont="1" applyFill="1" applyBorder="1" applyAlignment="1">
      <alignment horizontal="left" shrinkToFit="1"/>
    </xf>
    <xf numFmtId="178" fontId="54" fillId="8" borderId="33" xfId="3400" applyNumberFormat="1" applyFont="1" applyFill="1" applyBorder="1" applyAlignment="1">
      <alignment horizontal="left" shrinkToFit="1"/>
    </xf>
    <xf numFmtId="178" fontId="54" fillId="8" borderId="31" xfId="3400" applyNumberFormat="1" applyFont="1" applyFill="1" applyBorder="1" applyAlignment="1">
      <alignment horizontal="left" shrinkToFit="1"/>
    </xf>
    <xf numFmtId="178" fontId="54" fillId="8" borderId="5" xfId="3400" applyNumberFormat="1" applyFont="1" applyFill="1" applyBorder="1" applyAlignment="1">
      <alignment horizontal="left" shrinkToFit="1"/>
    </xf>
    <xf numFmtId="0" fontId="55" fillId="8" borderId="24" xfId="0" applyFont="1" applyFill="1" applyBorder="1" applyAlignment="1">
      <alignment wrapText="1"/>
    </xf>
    <xf numFmtId="177" fontId="54" fillId="8" borderId="24" xfId="0" applyNumberFormat="1" applyFont="1" applyFill="1" applyBorder="1" applyAlignment="1"/>
    <xf numFmtId="177" fontId="54" fillId="8" borderId="34" xfId="0" applyNumberFormat="1" applyFont="1" applyFill="1" applyBorder="1" applyAlignment="1"/>
    <xf numFmtId="38" fontId="54" fillId="8" borderId="29" xfId="3400" applyNumberFormat="1" applyFont="1" applyFill="1" applyBorder="1" applyAlignment="1">
      <alignment horizontal="right" shrinkToFit="1"/>
    </xf>
    <xf numFmtId="0" fontId="53" fillId="8" borderId="2" xfId="0" applyFont="1" applyFill="1" applyBorder="1" applyAlignment="1">
      <alignment wrapText="1"/>
    </xf>
    <xf numFmtId="177" fontId="54" fillId="8" borderId="23" xfId="3400" applyNumberFormat="1" applyFont="1" applyFill="1" applyBorder="1" applyAlignment="1">
      <alignment shrinkToFit="1"/>
    </xf>
    <xf numFmtId="177" fontId="54" fillId="8" borderId="32" xfId="3400" applyNumberFormat="1" applyFont="1" applyFill="1" applyBorder="1" applyAlignment="1">
      <alignment shrinkToFit="1"/>
    </xf>
    <xf numFmtId="177" fontId="56" fillId="8" borderId="31" xfId="3400" applyNumberFormat="1" applyFont="1" applyFill="1" applyBorder="1" applyAlignment="1">
      <alignment shrinkToFit="1"/>
    </xf>
    <xf numFmtId="177" fontId="56" fillId="8" borderId="33" xfId="3400" applyNumberFormat="1" applyFont="1" applyFill="1" applyBorder="1" applyAlignment="1">
      <alignment shrinkToFit="1"/>
    </xf>
    <xf numFmtId="177" fontId="56" fillId="8" borderId="29" xfId="3400" applyNumberFormat="1" applyFont="1" applyFill="1" applyBorder="1" applyAlignment="1">
      <alignment shrinkToFit="1"/>
    </xf>
    <xf numFmtId="177" fontId="56" fillId="8" borderId="34" xfId="3400" applyNumberFormat="1" applyFont="1" applyFill="1" applyBorder="1" applyAlignment="1">
      <alignment shrinkToFit="1"/>
    </xf>
    <xf numFmtId="0" fontId="53" fillId="8" borderId="2" xfId="0" applyFont="1" applyFill="1" applyBorder="1" applyAlignment="1">
      <alignment horizontal="left" wrapText="1"/>
    </xf>
    <xf numFmtId="177" fontId="54" fillId="8" borderId="2" xfId="0" applyNumberFormat="1" applyFont="1" applyFill="1" applyBorder="1" applyAlignment="1"/>
    <xf numFmtId="177" fontId="54" fillId="8" borderId="32" xfId="0" applyNumberFormat="1" applyFont="1" applyFill="1" applyBorder="1" applyAlignment="1"/>
    <xf numFmtId="177" fontId="54" fillId="8" borderId="23" xfId="0" applyNumberFormat="1" applyFont="1" applyFill="1" applyBorder="1" applyAlignment="1"/>
    <xf numFmtId="177" fontId="54" fillId="8" borderId="29" xfId="0" applyNumberFormat="1" applyFont="1" applyFill="1" applyBorder="1" applyAlignment="1"/>
    <xf numFmtId="178" fontId="54" fillId="8" borderId="4" xfId="2634" applyNumberFormat="1" applyFont="1" applyFill="1" applyBorder="1" applyAlignment="1">
      <alignment horizontal="left" vertical="top" shrinkToFit="1"/>
    </xf>
    <xf numFmtId="178" fontId="54" fillId="8" borderId="33" xfId="2634" applyNumberFormat="1" applyFont="1" applyFill="1" applyBorder="1" applyAlignment="1">
      <alignment horizontal="left" vertical="top" shrinkToFit="1"/>
    </xf>
    <xf numFmtId="178" fontId="54" fillId="8" borderId="31" xfId="2634" applyNumberFormat="1" applyFont="1" applyFill="1" applyBorder="1" applyAlignment="1">
      <alignment horizontal="left" vertical="top" shrinkToFit="1"/>
    </xf>
    <xf numFmtId="0" fontId="55" fillId="8" borderId="28" xfId="0" applyFont="1" applyFill="1" applyBorder="1" applyAlignment="1">
      <alignment wrapText="1"/>
    </xf>
    <xf numFmtId="177" fontId="54" fillId="8" borderId="28" xfId="3400" applyNumberFormat="1" applyFont="1" applyFill="1" applyBorder="1" applyAlignment="1">
      <alignment shrinkToFit="1"/>
    </xf>
    <xf numFmtId="177" fontId="54" fillId="8" borderId="35" xfId="3400" applyNumberFormat="1" applyFont="1" applyFill="1" applyBorder="1" applyAlignment="1">
      <alignment shrinkToFit="1"/>
    </xf>
    <xf numFmtId="177" fontId="54" fillId="8" borderId="0" xfId="3400" applyNumberFormat="1" applyFont="1" applyFill="1" applyBorder="1" applyAlignment="1">
      <alignment shrinkToFit="1"/>
    </xf>
    <xf numFmtId="177" fontId="54" fillId="8" borderId="36" xfId="0" applyNumberFormat="1" applyFont="1" applyFill="1" applyBorder="1" applyAlignment="1"/>
    <xf numFmtId="177" fontId="54" fillId="8" borderId="35" xfId="0" applyNumberFormat="1" applyFont="1" applyFill="1" applyBorder="1" applyAlignment="1"/>
    <xf numFmtId="177" fontId="54" fillId="8" borderId="0" xfId="0" applyNumberFormat="1" applyFont="1" applyFill="1" applyBorder="1" applyAlignment="1"/>
    <xf numFmtId="177" fontId="54" fillId="8" borderId="28" xfId="0" applyNumberFormat="1" applyFont="1" applyFill="1" applyBorder="1" applyAlignment="1"/>
    <xf numFmtId="177" fontId="54" fillId="8" borderId="30" xfId="0" applyNumberFormat="1" applyFont="1" applyFill="1" applyBorder="1" applyAlignment="1"/>
    <xf numFmtId="177" fontId="54" fillId="8" borderId="27" xfId="3400" applyNumberFormat="1" applyFont="1" applyFill="1" applyBorder="1" applyAlignment="1">
      <alignment shrinkToFit="1"/>
    </xf>
    <xf numFmtId="177" fontId="54" fillId="8" borderId="24" xfId="3400" applyNumberFormat="1" applyFont="1" applyFill="1" applyBorder="1" applyAlignment="1">
      <alignment shrinkToFit="1"/>
    </xf>
    <xf numFmtId="177" fontId="54" fillId="8" borderId="34" xfId="3400" applyNumberFormat="1" applyFont="1" applyFill="1" applyBorder="1" applyAlignment="1">
      <alignment shrinkToFit="1"/>
    </xf>
    <xf numFmtId="177" fontId="54" fillId="8" borderId="29" xfId="3400" applyNumberFormat="1" applyFont="1" applyFill="1" applyBorder="1" applyAlignment="1">
      <alignment shrinkToFit="1"/>
    </xf>
    <xf numFmtId="177" fontId="54" fillId="8" borderId="2" xfId="3400" applyNumberFormat="1" applyFont="1" applyFill="1" applyBorder="1" applyAlignment="1">
      <alignment shrinkToFit="1"/>
    </xf>
    <xf numFmtId="178" fontId="54" fillId="8" borderId="5" xfId="586" applyNumberFormat="1" applyFont="1" applyFill="1" applyBorder="1" applyAlignment="1">
      <alignment horizontal="left" shrinkToFit="1"/>
    </xf>
    <xf numFmtId="178" fontId="54" fillId="8" borderId="4" xfId="586" applyNumberFormat="1" applyFont="1" applyFill="1" applyBorder="1" applyAlignment="1">
      <alignment horizontal="left" shrinkToFit="1"/>
    </xf>
    <xf numFmtId="38" fontId="39" fillId="23" borderId="27" xfId="2642" applyFont="1" applyFill="1" applyBorder="1" applyAlignment="1">
      <alignment vertical="center" shrinkToFit="1"/>
    </xf>
    <xf numFmtId="38" fontId="37" fillId="23" borderId="27" xfId="2642" applyFont="1" applyFill="1" applyBorder="1" applyAlignment="1">
      <alignment vertical="center" shrinkToFit="1"/>
    </xf>
    <xf numFmtId="38" fontId="37" fillId="23" borderId="2" xfId="2642" applyFont="1" applyFill="1" applyBorder="1" applyAlignment="1">
      <alignment vertical="center" shrinkToFit="1"/>
    </xf>
    <xf numFmtId="38" fontId="39" fillId="23" borderId="24" xfId="2642" applyFont="1" applyFill="1" applyBorder="1" applyAlignment="1">
      <alignment vertical="center" shrinkToFit="1"/>
    </xf>
    <xf numFmtId="38" fontId="39" fillId="23" borderId="63" xfId="2642" applyFont="1" applyFill="1" applyBorder="1" applyAlignment="1">
      <alignment vertical="center" shrinkToFit="1"/>
    </xf>
    <xf numFmtId="178" fontId="45" fillId="16" borderId="2" xfId="586" applyNumberFormat="1" applyFont="1" applyFill="1" applyBorder="1">
      <alignment vertical="center"/>
    </xf>
    <xf numFmtId="178" fontId="39" fillId="10" borderId="0" xfId="588" applyNumberFormat="1" applyFont="1" applyFill="1" applyAlignment="1">
      <alignment vertical="center"/>
    </xf>
    <xf numFmtId="38" fontId="39" fillId="24" borderId="27" xfId="2642" applyFont="1" applyFill="1" applyBorder="1" applyAlignment="1">
      <alignment vertical="center" shrinkToFit="1"/>
    </xf>
    <xf numFmtId="38" fontId="39" fillId="24" borderId="61" xfId="2642" applyFont="1" applyFill="1" applyBorder="1" applyAlignment="1">
      <alignment vertical="center" shrinkToFit="1"/>
    </xf>
    <xf numFmtId="38" fontId="37" fillId="24" borderId="2" xfId="2642" applyFont="1" applyFill="1" applyBorder="1" applyAlignment="1">
      <alignment vertical="center" shrinkToFit="1"/>
    </xf>
    <xf numFmtId="38" fontId="39" fillId="24" borderId="24" xfId="2642" applyFont="1" applyFill="1" applyBorder="1" applyAlignment="1">
      <alignment vertical="center" shrinkToFit="1"/>
    </xf>
    <xf numFmtId="38" fontId="39" fillId="24" borderId="63" xfId="2642" applyFont="1" applyFill="1" applyBorder="1" applyAlignment="1">
      <alignment vertical="center" shrinkToFit="1"/>
    </xf>
    <xf numFmtId="183" fontId="37" fillId="5" borderId="0" xfId="3435" applyNumberFormat="1" applyFont="1" applyFill="1" applyBorder="1" applyAlignment="1">
      <alignment vertical="center"/>
    </xf>
    <xf numFmtId="178" fontId="37" fillId="10" borderId="0" xfId="588" applyNumberFormat="1" applyFont="1" applyFill="1" applyAlignment="1">
      <alignment vertical="center"/>
    </xf>
    <xf numFmtId="178" fontId="37" fillId="10" borderId="0" xfId="588" applyNumberFormat="1" applyFont="1" applyFill="1" applyBorder="1" applyAlignment="1">
      <alignment horizontal="left" vertical="center"/>
    </xf>
    <xf numFmtId="178" fontId="37" fillId="14" borderId="0" xfId="588" applyNumberFormat="1" applyFont="1" applyFill="1" applyBorder="1" applyAlignment="1">
      <alignment horizontal="left" vertical="center"/>
    </xf>
    <xf numFmtId="178" fontId="37" fillId="14" borderId="49" xfId="588" applyNumberFormat="1" applyFont="1" applyFill="1" applyBorder="1" applyAlignment="1">
      <alignment horizontal="left" vertical="center"/>
    </xf>
    <xf numFmtId="38" fontId="37" fillId="22" borderId="0" xfId="2642" applyFont="1" applyFill="1" applyBorder="1" applyAlignment="1">
      <alignment vertical="center"/>
    </xf>
    <xf numFmtId="38" fontId="37" fillId="10" borderId="0" xfId="2642" applyFont="1" applyFill="1" applyAlignment="1" applyProtection="1">
      <alignment vertical="center"/>
    </xf>
    <xf numFmtId="0" fontId="0" fillId="14" borderId="0" xfId="0" applyFill="1"/>
    <xf numFmtId="38" fontId="37" fillId="24" borderId="27" xfId="2642" applyFont="1" applyFill="1" applyBorder="1" applyAlignment="1">
      <alignment vertical="center" shrinkToFit="1"/>
    </xf>
    <xf numFmtId="38" fontId="39" fillId="14" borderId="74" xfId="2642" applyFont="1" applyFill="1" applyBorder="1" applyAlignment="1">
      <alignment horizontal="center" vertical="center" shrinkToFit="1"/>
    </xf>
    <xf numFmtId="38" fontId="39" fillId="14" borderId="70" xfId="2642" applyFont="1" applyFill="1" applyBorder="1" applyAlignment="1">
      <alignment horizontal="center" vertical="center" shrinkToFit="1"/>
    </xf>
    <xf numFmtId="0" fontId="2" fillId="16" borderId="2" xfId="0" applyFont="1" applyFill="1" applyBorder="1"/>
    <xf numFmtId="0" fontId="34" fillId="0" borderId="0" xfId="0" applyFont="1"/>
    <xf numFmtId="177" fontId="36" fillId="5" borderId="2" xfId="3400" applyNumberFormat="1" applyFont="1" applyFill="1" applyBorder="1" applyAlignment="1">
      <alignment vertical="center" shrinkToFit="1"/>
    </xf>
    <xf numFmtId="38" fontId="39" fillId="14" borderId="76" xfId="2642" applyFont="1" applyFill="1" applyBorder="1" applyAlignment="1" applyProtection="1">
      <alignment vertical="center"/>
    </xf>
    <xf numFmtId="38" fontId="39" fillId="14" borderId="59" xfId="2642" applyFont="1" applyFill="1" applyBorder="1" applyAlignment="1">
      <alignment vertical="center" shrinkToFit="1"/>
    </xf>
    <xf numFmtId="38" fontId="39" fillId="14" borderId="49" xfId="2642" applyFont="1" applyFill="1" applyBorder="1" applyAlignment="1">
      <alignment vertical="center" shrinkToFit="1"/>
    </xf>
    <xf numFmtId="38" fontId="39" fillId="14" borderId="49" xfId="2642" applyFont="1" applyFill="1" applyBorder="1" applyAlignment="1" applyProtection="1">
      <alignment vertical="center" shrinkToFit="1"/>
      <protection locked="0"/>
    </xf>
    <xf numFmtId="38" fontId="39" fillId="18" borderId="28" xfId="2642" applyFont="1" applyFill="1" applyBorder="1" applyAlignment="1" applyProtection="1">
      <alignment vertical="center" shrinkToFit="1"/>
      <protection locked="0"/>
    </xf>
    <xf numFmtId="38" fontId="37" fillId="14" borderId="65" xfId="2642" applyFont="1" applyFill="1" applyBorder="1" applyAlignment="1">
      <alignment horizontal="right" vertical="center" shrinkToFit="1"/>
    </xf>
    <xf numFmtId="38" fontId="37" fillId="14" borderId="74" xfId="2642" applyFont="1" applyFill="1" applyBorder="1" applyAlignment="1">
      <alignment horizontal="right" vertical="center" shrinkToFit="1"/>
    </xf>
    <xf numFmtId="38" fontId="37" fillId="14" borderId="50" xfId="2642" applyFont="1" applyFill="1" applyBorder="1" applyAlignment="1">
      <alignment horizontal="right" vertical="center" shrinkToFit="1"/>
    </xf>
    <xf numFmtId="38" fontId="39" fillId="14" borderId="49" xfId="2642" applyFont="1" applyFill="1" applyBorder="1" applyAlignment="1">
      <alignment horizontal="left" vertical="center" shrinkToFit="1"/>
    </xf>
    <xf numFmtId="38" fontId="39" fillId="14" borderId="72" xfId="2642" applyFont="1" applyFill="1" applyBorder="1" applyAlignment="1">
      <alignment horizontal="left" vertical="center" shrinkToFit="1"/>
    </xf>
    <xf numFmtId="38" fontId="39" fillId="14" borderId="76" xfId="2642" applyFont="1" applyFill="1" applyBorder="1" applyAlignment="1">
      <alignment horizontal="left" vertical="center" shrinkToFit="1"/>
    </xf>
    <xf numFmtId="38" fontId="37" fillId="5" borderId="76" xfId="2642" applyFont="1" applyFill="1" applyBorder="1" applyAlignment="1">
      <alignment horizontal="left" vertical="center" shrinkToFit="1"/>
    </xf>
    <xf numFmtId="38" fontId="37" fillId="16" borderId="44" xfId="2642" applyFont="1" applyFill="1" applyBorder="1" applyAlignment="1">
      <alignment horizontal="right" vertical="center" shrinkToFit="1"/>
    </xf>
    <xf numFmtId="38" fontId="39" fillId="16" borderId="43" xfId="2642" applyFont="1" applyFill="1" applyBorder="1" applyAlignment="1">
      <alignment horizontal="left" vertical="center" shrinkToFit="1"/>
    </xf>
    <xf numFmtId="9" fontId="37" fillId="0" borderId="76" xfId="588" applyFont="1" applyFill="1" applyBorder="1" applyAlignment="1">
      <alignment horizontal="left" vertical="center" shrinkToFit="1"/>
    </xf>
    <xf numFmtId="178" fontId="37" fillId="5" borderId="59" xfId="588" applyNumberFormat="1" applyFont="1" applyFill="1" applyBorder="1" applyAlignment="1">
      <alignment horizontal="left" vertical="center" shrinkToFit="1"/>
    </xf>
    <xf numFmtId="38" fontId="37" fillId="17" borderId="44" xfId="2642" applyFont="1" applyFill="1" applyBorder="1" applyAlignment="1">
      <alignment horizontal="right" vertical="center" shrinkToFit="1"/>
    </xf>
    <xf numFmtId="38" fontId="39" fillId="17" borderId="43" xfId="2642" applyFont="1" applyFill="1" applyBorder="1" applyAlignment="1">
      <alignment horizontal="left" vertical="center" shrinkToFit="1"/>
    </xf>
    <xf numFmtId="178" fontId="37" fillId="17" borderId="42" xfId="588" applyNumberFormat="1" applyFont="1" applyFill="1" applyBorder="1" applyAlignment="1">
      <alignment horizontal="left" vertical="center" shrinkToFit="1"/>
    </xf>
    <xf numFmtId="178" fontId="39" fillId="17" borderId="42" xfId="588" applyNumberFormat="1" applyFont="1" applyFill="1" applyBorder="1" applyAlignment="1">
      <alignment horizontal="left" vertical="center" shrinkToFit="1"/>
    </xf>
    <xf numFmtId="178" fontId="37" fillId="17" borderId="43" xfId="588" applyNumberFormat="1" applyFont="1" applyFill="1" applyBorder="1" applyAlignment="1">
      <alignment horizontal="left" vertical="center" shrinkToFit="1"/>
    </xf>
    <xf numFmtId="178" fontId="51" fillId="17" borderId="42" xfId="588" applyNumberFormat="1" applyFont="1" applyFill="1" applyBorder="1" applyAlignment="1">
      <alignment horizontal="left" vertical="center" shrinkToFit="1"/>
    </xf>
    <xf numFmtId="178" fontId="38" fillId="17" borderId="43" xfId="588" applyNumberFormat="1" applyFont="1" applyFill="1" applyBorder="1" applyAlignment="1">
      <alignment horizontal="left" vertical="center" shrinkToFit="1"/>
    </xf>
    <xf numFmtId="9" fontId="39" fillId="0" borderId="76" xfId="588" applyFont="1" applyFill="1" applyBorder="1" applyAlignment="1">
      <alignment horizontal="left" vertical="center" shrinkToFit="1"/>
    </xf>
    <xf numFmtId="9" fontId="39" fillId="0" borderId="51" xfId="588" applyFont="1" applyFill="1" applyBorder="1" applyAlignment="1">
      <alignment horizontal="left" vertical="center" shrinkToFit="1"/>
    </xf>
    <xf numFmtId="178" fontId="39" fillId="17" borderId="43" xfId="588" applyNumberFormat="1" applyFont="1" applyFill="1" applyBorder="1" applyAlignment="1">
      <alignment horizontal="left" vertical="center" shrinkToFit="1"/>
    </xf>
    <xf numFmtId="178" fontId="38" fillId="16" borderId="5" xfId="3400" applyNumberFormat="1" applyFont="1" applyFill="1" applyBorder="1" applyAlignment="1">
      <alignment horizontal="left" shrinkToFit="1"/>
    </xf>
    <xf numFmtId="178" fontId="38" fillId="16" borderId="33" xfId="3400" applyNumberFormat="1" applyFont="1" applyFill="1" applyBorder="1" applyAlignment="1">
      <alignment horizontal="left" shrinkToFit="1"/>
    </xf>
    <xf numFmtId="178" fontId="38" fillId="16" borderId="26" xfId="3400" applyNumberFormat="1" applyFont="1" applyFill="1" applyBorder="1" applyAlignment="1">
      <alignment horizontal="left" shrinkToFit="1"/>
    </xf>
    <xf numFmtId="177" fontId="38" fillId="16" borderId="34" xfId="3400" applyNumberFormat="1" applyFont="1" applyFill="1" applyBorder="1" applyAlignment="1">
      <alignment shrinkToFit="1"/>
    </xf>
    <xf numFmtId="177" fontId="38" fillId="16" borderId="29" xfId="3400" applyNumberFormat="1" applyFont="1" applyFill="1" applyBorder="1" applyAlignment="1">
      <alignment shrinkToFit="1"/>
    </xf>
    <xf numFmtId="177" fontId="38" fillId="16" borderId="4" xfId="3400" applyNumberFormat="1" applyFont="1" applyFill="1" applyBorder="1" applyAlignment="1">
      <alignment shrinkToFit="1"/>
    </xf>
    <xf numFmtId="177" fontId="38" fillId="16" borderId="33" xfId="3400" applyNumberFormat="1" applyFont="1" applyFill="1" applyBorder="1" applyAlignment="1">
      <alignment shrinkToFit="1"/>
    </xf>
    <xf numFmtId="177" fontId="38" fillId="16" borderId="31" xfId="3400" applyNumberFormat="1" applyFont="1" applyFill="1" applyBorder="1" applyAlignment="1">
      <alignment shrinkToFit="1"/>
    </xf>
    <xf numFmtId="177" fontId="38" fillId="16" borderId="28" xfId="3400" applyNumberFormat="1" applyFont="1" applyFill="1" applyBorder="1" applyAlignment="1">
      <alignment shrinkToFit="1"/>
    </xf>
    <xf numFmtId="177" fontId="38" fillId="16" borderId="35" xfId="3400" applyNumberFormat="1" applyFont="1" applyFill="1" applyBorder="1" applyAlignment="1">
      <alignment shrinkToFit="1"/>
    </xf>
    <xf numFmtId="177" fontId="38" fillId="16" borderId="36" xfId="3400" applyNumberFormat="1" applyFont="1" applyFill="1" applyBorder="1" applyAlignment="1">
      <alignment shrinkToFit="1"/>
    </xf>
    <xf numFmtId="177" fontId="39" fillId="16" borderId="24" xfId="3400" applyNumberFormat="1" applyFont="1" applyFill="1" applyBorder="1" applyAlignment="1">
      <alignment shrinkToFit="1"/>
    </xf>
    <xf numFmtId="177" fontId="39" fillId="16" borderId="34" xfId="3400" applyNumberFormat="1" applyFont="1" applyFill="1" applyBorder="1" applyAlignment="1">
      <alignment shrinkToFit="1"/>
    </xf>
    <xf numFmtId="177" fontId="39" fillId="16" borderId="29" xfId="3400" applyNumberFormat="1" applyFont="1" applyFill="1" applyBorder="1" applyAlignment="1">
      <alignment shrinkToFit="1"/>
    </xf>
    <xf numFmtId="9" fontId="38" fillId="16" borderId="2" xfId="2634" applyNumberFormat="1" applyFont="1" applyFill="1" applyBorder="1" applyAlignment="1">
      <alignment shrinkToFit="1"/>
    </xf>
    <xf numFmtId="9" fontId="38" fillId="16" borderId="32" xfId="2634" applyNumberFormat="1" applyFont="1" applyFill="1" applyBorder="1" applyAlignment="1">
      <alignment shrinkToFit="1"/>
    </xf>
    <xf numFmtId="9" fontId="38" fillId="16" borderId="23" xfId="2634" applyNumberFormat="1" applyFont="1" applyFill="1" applyBorder="1" applyAlignment="1">
      <alignment shrinkToFit="1"/>
    </xf>
    <xf numFmtId="9" fontId="38" fillId="16" borderId="3" xfId="2634" applyNumberFormat="1" applyFont="1" applyFill="1" applyBorder="1" applyAlignment="1">
      <alignment shrinkToFit="1"/>
    </xf>
    <xf numFmtId="9" fontId="38" fillId="16" borderId="15" xfId="2634" applyNumberFormat="1" applyFont="1" applyFill="1" applyBorder="1" applyAlignment="1">
      <alignment shrinkToFit="1"/>
    </xf>
    <xf numFmtId="178" fontId="38" fillId="16" borderId="4" xfId="2634" applyNumberFormat="1" applyFont="1" applyFill="1" applyBorder="1" applyAlignment="1">
      <alignment horizontal="left" shrinkToFit="1"/>
    </xf>
    <xf numFmtId="178" fontId="38" fillId="16" borderId="33" xfId="2634" applyNumberFormat="1" applyFont="1" applyFill="1" applyBorder="1" applyAlignment="1">
      <alignment horizontal="left" shrinkToFit="1"/>
    </xf>
    <xf numFmtId="178" fontId="38" fillId="16" borderId="31" xfId="2634" applyNumberFormat="1" applyFont="1" applyFill="1" applyBorder="1" applyAlignment="1">
      <alignment horizontal="left" shrinkToFit="1"/>
    </xf>
    <xf numFmtId="177" fontId="38" fillId="16" borderId="37" xfId="3400" applyNumberFormat="1" applyFont="1" applyFill="1" applyBorder="1" applyAlignment="1">
      <alignment shrinkToFit="1"/>
    </xf>
    <xf numFmtId="178" fontId="39" fillId="16" borderId="5" xfId="586" applyNumberFormat="1" applyFont="1" applyFill="1" applyBorder="1" applyAlignment="1">
      <alignment horizontal="left" shrinkToFit="1"/>
    </xf>
    <xf numFmtId="178" fontId="39" fillId="16" borderId="33" xfId="586" applyNumberFormat="1" applyFont="1" applyFill="1" applyBorder="1" applyAlignment="1">
      <alignment horizontal="left" shrinkToFit="1"/>
    </xf>
    <xf numFmtId="178" fontId="39" fillId="16" borderId="31" xfId="586" applyNumberFormat="1" applyFont="1" applyFill="1" applyBorder="1" applyAlignment="1">
      <alignment horizontal="left" shrinkToFit="1"/>
    </xf>
    <xf numFmtId="178" fontId="39" fillId="16" borderId="4" xfId="586" applyNumberFormat="1" applyFont="1" applyFill="1" applyBorder="1" applyAlignment="1">
      <alignment horizontal="left" shrinkToFit="1"/>
    </xf>
    <xf numFmtId="177" fontId="39" fillId="16" borderId="30" xfId="3400" applyNumberFormat="1" applyFont="1" applyFill="1" applyBorder="1" applyAlignment="1">
      <alignment shrinkToFit="1"/>
    </xf>
    <xf numFmtId="178" fontId="38" fillId="16" borderId="31" xfId="3400" applyNumberFormat="1" applyFont="1" applyFill="1" applyBorder="1" applyAlignment="1">
      <alignment horizontal="left" shrinkToFit="1"/>
    </xf>
    <xf numFmtId="177" fontId="38" fillId="16" borderId="24" xfId="0" applyNumberFormat="1" applyFont="1" applyFill="1" applyBorder="1" applyAlignment="1"/>
    <xf numFmtId="178" fontId="38" fillId="16" borderId="4" xfId="2634" applyNumberFormat="1" applyFont="1" applyFill="1" applyBorder="1" applyAlignment="1">
      <alignment horizontal="left" vertical="top" shrinkToFit="1"/>
    </xf>
    <xf numFmtId="178" fontId="38" fillId="16" borderId="5" xfId="2634" applyNumberFormat="1" applyFont="1" applyFill="1" applyBorder="1" applyAlignment="1">
      <alignment horizontal="left" vertical="top" shrinkToFit="1"/>
    </xf>
    <xf numFmtId="178" fontId="38" fillId="16" borderId="41" xfId="2634" applyNumberFormat="1" applyFont="1" applyFill="1" applyBorder="1" applyAlignment="1">
      <alignment horizontal="left" vertical="top" shrinkToFit="1"/>
    </xf>
    <xf numFmtId="177" fontId="38" fillId="11" borderId="2" xfId="3400" applyNumberFormat="1" applyFont="1" applyFill="1" applyBorder="1" applyAlignment="1">
      <alignment shrinkToFit="1"/>
    </xf>
    <xf numFmtId="177" fontId="38" fillId="16" borderId="27" xfId="3400" applyNumberFormat="1" applyFont="1" applyFill="1" applyBorder="1" applyAlignment="1">
      <alignment shrinkToFit="1"/>
    </xf>
    <xf numFmtId="177" fontId="38" fillId="16" borderId="2" xfId="3400" applyNumberFormat="1" applyFont="1" applyFill="1" applyBorder="1" applyAlignment="1">
      <alignment shrinkToFit="1"/>
    </xf>
    <xf numFmtId="0" fontId="36" fillId="5" borderId="15" xfId="0" applyFont="1" applyFill="1" applyBorder="1" applyAlignment="1">
      <alignment horizontal="center" vertical="center"/>
    </xf>
    <xf numFmtId="177" fontId="41" fillId="6" borderId="15" xfId="2634" applyNumberFormat="1" applyFont="1" applyFill="1" applyBorder="1" applyAlignment="1">
      <alignment vertical="center" shrinkToFit="1"/>
    </xf>
    <xf numFmtId="177" fontId="36" fillId="5" borderId="85" xfId="3400" applyNumberFormat="1" applyFont="1" applyFill="1" applyBorder="1" applyAlignment="1">
      <alignment vertical="center" shrinkToFit="1"/>
    </xf>
    <xf numFmtId="177" fontId="41" fillId="5" borderId="30" xfId="3400" applyNumberFormat="1" applyFont="1" applyFill="1" applyBorder="1" applyAlignment="1">
      <alignment vertical="center" shrinkToFit="1"/>
    </xf>
    <xf numFmtId="177" fontId="36" fillId="6" borderId="85" xfId="3400" applyNumberFormat="1" applyFont="1" applyFill="1" applyBorder="1" applyAlignment="1">
      <alignment vertical="center" shrinkToFit="1"/>
    </xf>
    <xf numFmtId="177" fontId="41" fillId="6" borderId="30" xfId="3400" applyNumberFormat="1" applyFont="1" applyFill="1" applyBorder="1" applyAlignment="1">
      <alignment vertical="center" shrinkToFit="1"/>
    </xf>
    <xf numFmtId="177" fontId="36" fillId="6" borderId="30" xfId="3400" applyNumberFormat="1" applyFont="1" applyFill="1" applyBorder="1" applyAlignment="1">
      <alignment vertical="center" shrinkToFit="1"/>
    </xf>
    <xf numFmtId="177" fontId="41" fillId="5" borderId="90" xfId="3400" applyNumberFormat="1" applyFont="1" applyFill="1" applyBorder="1" applyAlignment="1">
      <alignment vertical="center" shrinkToFit="1"/>
    </xf>
    <xf numFmtId="177" fontId="39" fillId="5" borderId="94" xfId="3400" applyNumberFormat="1" applyFont="1" applyFill="1" applyBorder="1" applyAlignment="1">
      <alignment shrinkToFit="1"/>
    </xf>
    <xf numFmtId="38" fontId="37" fillId="5" borderId="29" xfId="2642" applyFont="1" applyFill="1" applyBorder="1" applyAlignment="1">
      <alignment horizontal="right" vertical="center" shrinkToFit="1"/>
    </xf>
    <xf numFmtId="38" fontId="37" fillId="5" borderId="25" xfId="2642" applyFont="1" applyFill="1" applyBorder="1" applyAlignment="1">
      <alignment vertical="center" shrinkToFit="1"/>
    </xf>
    <xf numFmtId="38" fontId="39" fillId="5" borderId="85" xfId="2642" applyFont="1" applyFill="1" applyBorder="1" applyAlignment="1">
      <alignment horizontal="center" vertical="center" shrinkToFit="1"/>
    </xf>
    <xf numFmtId="38" fontId="39" fillId="5" borderId="36" xfId="2642" applyFont="1" applyFill="1" applyBorder="1" applyAlignment="1">
      <alignment horizontal="center" vertical="center" shrinkToFit="1"/>
    </xf>
    <xf numFmtId="38" fontId="39" fillId="5" borderId="29" xfId="2642" applyFont="1" applyFill="1" applyBorder="1" applyAlignment="1" applyProtection="1">
      <alignment vertical="center" shrinkToFit="1"/>
      <protection locked="0"/>
    </xf>
    <xf numFmtId="38" fontId="37" fillId="14" borderId="23" xfId="2642" applyFont="1" applyFill="1" applyBorder="1" applyAlignment="1" applyProtection="1">
      <alignment vertical="center" shrinkToFit="1"/>
      <protection locked="0"/>
    </xf>
    <xf numFmtId="38" fontId="39" fillId="5" borderId="0" xfId="2642" applyFont="1" applyFill="1" applyBorder="1" applyAlignment="1" applyProtection="1">
      <alignment vertical="center" shrinkToFit="1"/>
      <protection locked="0"/>
    </xf>
    <xf numFmtId="38" fontId="39" fillId="5" borderId="36" xfId="2642" applyFont="1" applyFill="1" applyBorder="1" applyAlignment="1" applyProtection="1">
      <alignment vertical="center" shrinkToFit="1"/>
      <protection locked="0"/>
    </xf>
    <xf numFmtId="38" fontId="39" fillId="5" borderId="85" xfId="2642" applyFont="1" applyFill="1" applyBorder="1" applyAlignment="1" applyProtection="1">
      <alignment vertical="center" shrinkToFit="1"/>
      <protection locked="0"/>
    </xf>
    <xf numFmtId="38" fontId="39" fillId="14" borderId="36" xfId="2642" applyFont="1" applyFill="1" applyBorder="1" applyAlignment="1" applyProtection="1">
      <alignment vertical="center" shrinkToFit="1"/>
      <protection locked="0"/>
    </xf>
    <xf numFmtId="38" fontId="39" fillId="14" borderId="29" xfId="2642" applyFont="1" applyFill="1" applyBorder="1" applyAlignment="1" applyProtection="1">
      <alignment vertical="center" shrinkToFit="1"/>
      <protection locked="0"/>
    </xf>
    <xf numFmtId="38" fontId="37" fillId="5" borderId="29" xfId="2642" applyFont="1" applyFill="1" applyBorder="1" applyAlignment="1">
      <alignment vertical="center" shrinkToFit="1"/>
    </xf>
    <xf numFmtId="38" fontId="37" fillId="5" borderId="23" xfId="2642" applyFont="1" applyFill="1" applyBorder="1" applyAlignment="1">
      <alignment vertical="center" shrinkToFit="1"/>
    </xf>
    <xf numFmtId="38" fontId="37" fillId="5" borderId="36" xfId="2642" applyFont="1" applyFill="1" applyBorder="1" applyAlignment="1">
      <alignment horizontal="center" vertical="center" shrinkToFit="1"/>
    </xf>
    <xf numFmtId="38" fontId="37" fillId="5" borderId="0" xfId="2642" applyFont="1" applyFill="1" applyBorder="1" applyAlignment="1" applyProtection="1">
      <alignment vertical="center" shrinkToFit="1"/>
      <protection locked="0"/>
    </xf>
    <xf numFmtId="38" fontId="37" fillId="5" borderId="85" xfId="2642" applyFont="1" applyFill="1" applyBorder="1" applyAlignment="1">
      <alignment vertical="center" shrinkToFit="1"/>
    </xf>
    <xf numFmtId="38" fontId="37" fillId="0" borderId="29" xfId="2642" applyFont="1" applyFill="1" applyBorder="1" applyAlignment="1" applyProtection="1">
      <alignment vertical="center" shrinkToFit="1"/>
      <protection locked="0"/>
    </xf>
    <xf numFmtId="38" fontId="39" fillId="5" borderId="68" xfId="2642" applyFont="1" applyFill="1" applyBorder="1" applyAlignment="1">
      <alignment vertical="center" shrinkToFit="1"/>
    </xf>
    <xf numFmtId="38" fontId="37" fillId="5" borderId="27" xfId="2642" applyFont="1" applyFill="1" applyBorder="1" applyAlignment="1">
      <alignment horizontal="right" vertical="center" shrinkToFit="1"/>
    </xf>
    <xf numFmtId="38" fontId="37" fillId="14" borderId="59" xfId="2642" applyFont="1" applyFill="1" applyBorder="1" applyAlignment="1">
      <alignment horizontal="right" vertical="center" shrinkToFit="1"/>
    </xf>
    <xf numFmtId="38" fontId="37" fillId="5" borderId="36" xfId="2642" applyFont="1" applyFill="1" applyBorder="1" applyAlignment="1">
      <alignment horizontal="left" vertical="center" shrinkToFit="1"/>
    </xf>
    <xf numFmtId="38" fontId="37" fillId="5" borderId="25" xfId="2642" applyFont="1" applyFill="1" applyBorder="1" applyAlignment="1" applyProtection="1">
      <alignment horizontal="left" vertical="center" shrinkToFit="1"/>
      <protection locked="0"/>
    </xf>
    <xf numFmtId="38" fontId="39" fillId="14" borderId="58" xfId="2642" applyFont="1" applyFill="1" applyBorder="1" applyAlignment="1" applyProtection="1">
      <alignment horizontal="left" vertical="center" shrinkToFit="1"/>
      <protection locked="0"/>
    </xf>
    <xf numFmtId="38" fontId="39" fillId="14" borderId="0" xfId="2642" applyFont="1" applyFill="1" applyBorder="1" applyAlignment="1" applyProtection="1">
      <alignment horizontal="left" vertical="center" shrinkToFit="1"/>
      <protection locked="0"/>
    </xf>
    <xf numFmtId="38" fontId="39" fillId="14" borderId="25" xfId="2642" applyFont="1" applyFill="1" applyBorder="1" applyAlignment="1">
      <alignment horizontal="left" vertical="center" shrinkToFit="1"/>
    </xf>
    <xf numFmtId="38" fontId="39" fillId="14" borderId="59" xfId="2642" applyFont="1" applyFill="1" applyBorder="1" applyAlignment="1">
      <alignment horizontal="left" vertical="center" shrinkToFit="1"/>
    </xf>
    <xf numFmtId="38" fontId="39" fillId="14" borderId="0" xfId="2642" applyFont="1" applyFill="1" applyBorder="1" applyAlignment="1">
      <alignment horizontal="left" vertical="center" shrinkToFit="1"/>
    </xf>
    <xf numFmtId="180" fontId="37" fillId="16" borderId="75" xfId="588" applyNumberFormat="1" applyFont="1" applyFill="1" applyBorder="1" applyAlignment="1">
      <alignment horizontal="right" vertical="center" shrinkToFit="1"/>
    </xf>
    <xf numFmtId="38" fontId="37" fillId="5" borderId="31" xfId="2642" applyFont="1" applyFill="1" applyBorder="1" applyAlignment="1" applyProtection="1">
      <alignment horizontal="left" vertical="center" shrinkToFit="1"/>
      <protection locked="0"/>
    </xf>
    <xf numFmtId="38" fontId="37" fillId="0" borderId="27" xfId="2642" applyFont="1" applyFill="1" applyBorder="1" applyAlignment="1">
      <alignment horizontal="right" vertical="center" shrinkToFit="1"/>
    </xf>
    <xf numFmtId="38" fontId="37" fillId="0" borderId="56" xfId="2642" applyFont="1" applyFill="1" applyBorder="1" applyAlignment="1">
      <alignment horizontal="right" vertical="center" shrinkToFit="1"/>
    </xf>
    <xf numFmtId="178" fontId="57" fillId="16" borderId="42" xfId="588" applyNumberFormat="1" applyFont="1" applyFill="1" applyBorder="1" applyAlignment="1">
      <alignment horizontal="left" vertical="center" shrinkToFit="1"/>
    </xf>
    <xf numFmtId="38" fontId="57" fillId="16" borderId="43" xfId="2642" applyFont="1" applyFill="1" applyBorder="1" applyAlignment="1">
      <alignment vertical="center" shrinkToFit="1"/>
    </xf>
    <xf numFmtId="38" fontId="51" fillId="16" borderId="44" xfId="2642" applyFont="1" applyFill="1" applyBorder="1" applyAlignment="1">
      <alignment vertical="center" shrinkToFit="1"/>
    </xf>
    <xf numFmtId="178" fontId="39" fillId="14" borderId="36" xfId="588" applyNumberFormat="1" applyFont="1" applyFill="1" applyBorder="1" applyAlignment="1">
      <alignment horizontal="left" vertical="center" shrinkToFit="1"/>
    </xf>
    <xf numFmtId="38" fontId="57" fillId="16" borderId="44" xfId="2642" applyFont="1" applyFill="1" applyBorder="1" applyAlignment="1">
      <alignment vertical="center" shrinkToFit="1"/>
    </xf>
    <xf numFmtId="178" fontId="57" fillId="16" borderId="43" xfId="588" applyNumberFormat="1" applyFont="1" applyFill="1" applyBorder="1" applyAlignment="1">
      <alignment horizontal="left" vertical="center" shrinkToFit="1"/>
    </xf>
    <xf numFmtId="178" fontId="54" fillId="8" borderId="41" xfId="586" applyNumberFormat="1" applyFont="1" applyFill="1" applyBorder="1" applyAlignment="1">
      <alignment horizontal="left" shrinkToFit="1"/>
    </xf>
    <xf numFmtId="177" fontId="54" fillId="8" borderId="95" xfId="3400" applyNumberFormat="1" applyFont="1" applyFill="1" applyBorder="1" applyAlignment="1">
      <alignment shrinkToFit="1"/>
    </xf>
    <xf numFmtId="178" fontId="47" fillId="16" borderId="41" xfId="586" applyNumberFormat="1" applyFont="1" applyFill="1" applyBorder="1" applyAlignment="1">
      <alignment horizontal="left" shrinkToFit="1"/>
    </xf>
    <xf numFmtId="177" fontId="39" fillId="16" borderId="95" xfId="3400" applyNumberFormat="1" applyFont="1" applyFill="1" applyBorder="1" applyAlignment="1">
      <alignment shrinkToFit="1"/>
    </xf>
    <xf numFmtId="178" fontId="47" fillId="18" borderId="4" xfId="586" applyNumberFormat="1" applyFont="1" applyFill="1" applyBorder="1" applyAlignment="1">
      <alignment horizontal="left" shrinkToFit="1"/>
    </xf>
    <xf numFmtId="38" fontId="39" fillId="23" borderId="61" xfId="2642" applyFont="1" applyFill="1" applyBorder="1" applyAlignment="1">
      <alignment vertical="center" shrinkToFit="1"/>
    </xf>
    <xf numFmtId="38" fontId="58" fillId="16" borderId="75" xfId="2642" applyFont="1" applyFill="1" applyBorder="1" applyAlignment="1">
      <alignment horizontal="right" vertical="center" shrinkToFit="1"/>
    </xf>
    <xf numFmtId="180" fontId="37" fillId="16" borderId="75" xfId="588" applyNumberFormat="1" applyFont="1" applyFill="1" applyBorder="1" applyAlignment="1">
      <alignment vertical="center" shrinkToFit="1"/>
    </xf>
    <xf numFmtId="38" fontId="37" fillId="16" borderId="43" xfId="2642" applyNumberFormat="1" applyFont="1" applyFill="1" applyBorder="1" applyAlignment="1">
      <alignment vertical="center" shrinkToFit="1"/>
    </xf>
    <xf numFmtId="177" fontId="39" fillId="16" borderId="24" xfId="0" applyNumberFormat="1" applyFont="1" applyFill="1" applyBorder="1" applyAlignment="1"/>
    <xf numFmtId="177" fontId="38" fillId="25" borderId="24" xfId="3400" applyNumberFormat="1" applyFont="1" applyFill="1" applyBorder="1" applyAlignment="1">
      <alignment shrinkToFit="1"/>
    </xf>
    <xf numFmtId="177" fontId="39" fillId="25" borderId="24" xfId="3400" applyNumberFormat="1" applyFont="1" applyFill="1" applyBorder="1" applyAlignment="1">
      <alignment shrinkToFit="1"/>
    </xf>
    <xf numFmtId="177" fontId="38" fillId="25" borderId="28" xfId="3400" applyNumberFormat="1" applyFont="1" applyFill="1" applyBorder="1" applyAlignment="1">
      <alignment shrinkToFit="1"/>
    </xf>
    <xf numFmtId="0" fontId="34" fillId="16" borderId="0" xfId="0" applyFont="1" applyFill="1"/>
    <xf numFmtId="177" fontId="38" fillId="25" borderId="29" xfId="3400" applyNumberFormat="1" applyFont="1" applyFill="1" applyBorder="1" applyAlignment="1">
      <alignment shrinkToFit="1"/>
    </xf>
    <xf numFmtId="177" fontId="39" fillId="25" borderId="27" xfId="3400" applyNumberFormat="1" applyFont="1" applyFill="1" applyBorder="1" applyAlignment="1">
      <alignment shrinkToFit="1"/>
    </xf>
    <xf numFmtId="38" fontId="39" fillId="10" borderId="0" xfId="2642" applyFont="1" applyFill="1" applyBorder="1" applyAlignment="1">
      <alignment horizontal="center" vertical="center"/>
    </xf>
    <xf numFmtId="38" fontId="39" fillId="10" borderId="36" xfId="2642" applyFont="1" applyFill="1" applyBorder="1" applyAlignment="1">
      <alignment horizontal="center" vertical="center"/>
    </xf>
    <xf numFmtId="38" fontId="37" fillId="10" borderId="0" xfId="2642" applyFont="1" applyFill="1" applyBorder="1" applyAlignment="1">
      <alignment horizontal="center" vertical="center"/>
    </xf>
    <xf numFmtId="178" fontId="39" fillId="10" borderId="0" xfId="588" applyNumberFormat="1" applyFont="1" applyFill="1" applyBorder="1" applyAlignment="1">
      <alignment vertical="center"/>
    </xf>
    <xf numFmtId="38" fontId="39" fillId="10" borderId="96" xfId="2642" applyFont="1" applyFill="1" applyBorder="1" applyAlignment="1">
      <alignment horizontal="center" vertical="center"/>
    </xf>
    <xf numFmtId="38" fontId="37" fillId="10" borderId="0" xfId="2642" applyFont="1" applyFill="1" applyBorder="1" applyAlignment="1">
      <alignment horizontal="right" vertical="center"/>
    </xf>
    <xf numFmtId="178" fontId="37" fillId="10" borderId="0" xfId="588" applyNumberFormat="1" applyFont="1" applyFill="1" applyBorder="1" applyAlignment="1">
      <alignment vertical="center"/>
    </xf>
    <xf numFmtId="38" fontId="39" fillId="10" borderId="0" xfId="2642" applyFont="1" applyFill="1" applyBorder="1" applyAlignment="1">
      <alignment horizontal="left" vertical="center"/>
    </xf>
    <xf numFmtId="178" fontId="39" fillId="14" borderId="0" xfId="2642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/>
    <xf numFmtId="0" fontId="37" fillId="5" borderId="4" xfId="0" applyFont="1" applyFill="1" applyBorder="1" applyAlignment="1">
      <alignment horizontal="center" vertical="center"/>
    </xf>
    <xf numFmtId="0" fontId="37" fillId="5" borderId="28" xfId="0" applyFont="1" applyFill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38" fontId="39" fillId="14" borderId="45" xfId="2642" quotePrefix="1" applyFont="1" applyFill="1" applyBorder="1" applyAlignment="1" applyProtection="1">
      <alignment horizontal="center" vertical="center" shrinkToFit="1"/>
    </xf>
    <xf numFmtId="38" fontId="39" fillId="14" borderId="46" xfId="2642" quotePrefix="1" applyFont="1" applyFill="1" applyBorder="1" applyAlignment="1" applyProtection="1">
      <alignment horizontal="center" vertical="center" shrinkToFit="1"/>
    </xf>
    <xf numFmtId="38" fontId="39" fillId="14" borderId="47" xfId="2642" quotePrefix="1" applyFont="1" applyFill="1" applyBorder="1" applyAlignment="1" applyProtection="1">
      <alignment horizontal="center" vertical="center" shrinkToFit="1"/>
    </xf>
    <xf numFmtId="38" fontId="39" fillId="14" borderId="48" xfId="2642" quotePrefix="1" applyFont="1" applyFill="1" applyBorder="1" applyAlignment="1" applyProtection="1">
      <alignment horizontal="center" vertical="center" shrinkToFit="1"/>
    </xf>
    <xf numFmtId="38" fontId="39" fillId="5" borderId="45" xfId="2642" applyFont="1" applyFill="1" applyBorder="1" applyAlignment="1" applyProtection="1">
      <alignment horizontal="center" vertical="center" shrinkToFit="1"/>
    </xf>
    <xf numFmtId="38" fontId="39" fillId="5" borderId="46" xfId="2642" applyFont="1" applyFill="1" applyBorder="1" applyAlignment="1" applyProtection="1">
      <alignment horizontal="center" vertical="center" shrinkToFit="1"/>
    </xf>
    <xf numFmtId="38" fontId="39" fillId="5" borderId="47" xfId="2642" applyFont="1" applyFill="1" applyBorder="1" applyAlignment="1" applyProtection="1">
      <alignment horizontal="center" vertical="center" shrinkToFit="1"/>
    </xf>
    <xf numFmtId="38" fontId="37" fillId="5" borderId="3" xfId="2642" applyFont="1" applyFill="1" applyBorder="1" applyAlignment="1" applyProtection="1">
      <alignment horizontal="left" vertical="center"/>
    </xf>
    <xf numFmtId="38" fontId="37" fillId="5" borderId="15" xfId="2642" applyFont="1" applyFill="1" applyBorder="1" applyAlignment="1" applyProtection="1">
      <alignment horizontal="left" vertical="center"/>
    </xf>
    <xf numFmtId="38" fontId="37" fillId="14" borderId="27" xfId="2642" applyFont="1" applyFill="1" applyBorder="1" applyAlignment="1" applyProtection="1">
      <alignment horizontal="left" vertical="center"/>
    </xf>
    <xf numFmtId="38" fontId="37" fillId="14" borderId="30" xfId="2642" applyFont="1" applyFill="1" applyBorder="1" applyAlignment="1" applyProtection="1">
      <alignment horizontal="left" vertical="center"/>
    </xf>
    <xf numFmtId="38" fontId="37" fillId="5" borderId="3" xfId="2642" applyFont="1" applyFill="1" applyBorder="1" applyAlignment="1" applyProtection="1">
      <alignment horizontal="center" vertical="center"/>
    </xf>
    <xf numFmtId="38" fontId="37" fillId="5" borderId="85" xfId="2642" applyFont="1" applyFill="1" applyBorder="1" applyAlignment="1" applyProtection="1">
      <alignment horizontal="center" vertical="center"/>
    </xf>
    <xf numFmtId="38" fontId="37" fillId="14" borderId="27" xfId="2642" applyFont="1" applyFill="1" applyBorder="1" applyAlignment="1" applyProtection="1">
      <alignment horizontal="center" vertical="center"/>
    </xf>
    <xf numFmtId="38" fontId="37" fillId="14" borderId="30" xfId="2642" applyFont="1" applyFill="1" applyBorder="1" applyAlignment="1" applyProtection="1">
      <alignment horizontal="center" vertical="center"/>
    </xf>
    <xf numFmtId="38" fontId="37" fillId="14" borderId="25" xfId="2642" applyFont="1" applyFill="1" applyBorder="1" applyAlignment="1" applyProtection="1">
      <alignment horizontal="left" vertical="center"/>
    </xf>
    <xf numFmtId="38" fontId="37" fillId="14" borderId="0" xfId="2642" applyFont="1" applyFill="1" applyBorder="1" applyAlignment="1" applyProtection="1">
      <alignment horizontal="left" vertical="center"/>
    </xf>
    <xf numFmtId="178" fontId="37" fillId="14" borderId="25" xfId="591" applyNumberFormat="1" applyFont="1" applyFill="1" applyBorder="1" applyAlignment="1" applyProtection="1">
      <alignment horizontal="left" vertical="center"/>
    </xf>
    <xf numFmtId="178" fontId="37" fillId="14" borderId="85" xfId="591" applyNumberFormat="1" applyFont="1" applyFill="1" applyBorder="1" applyAlignment="1" applyProtection="1">
      <alignment horizontal="left" vertical="center"/>
    </xf>
    <xf numFmtId="38" fontId="37" fillId="5" borderId="15" xfId="2642" applyFont="1" applyFill="1" applyBorder="1" applyAlignment="1" applyProtection="1">
      <alignment horizontal="center" vertical="center"/>
    </xf>
    <xf numFmtId="178" fontId="37" fillId="14" borderId="5" xfId="591" applyNumberFormat="1" applyFont="1" applyFill="1" applyBorder="1" applyAlignment="1" applyProtection="1">
      <alignment horizontal="left" vertical="center"/>
    </xf>
    <xf numFmtId="182" fontId="33" fillId="14" borderId="0" xfId="2642" applyNumberFormat="1" applyFont="1" applyFill="1" applyAlignment="1">
      <alignment horizontal="center" vertical="center"/>
    </xf>
    <xf numFmtId="182" fontId="33" fillId="14" borderId="0" xfId="2642" applyNumberFormat="1" applyFont="1" applyFill="1" applyBorder="1" applyAlignment="1">
      <alignment horizontal="center" vertical="center"/>
    </xf>
    <xf numFmtId="38" fontId="39" fillId="14" borderId="92" xfId="2642" quotePrefix="1" applyFont="1" applyFill="1" applyBorder="1" applyAlignment="1" applyProtection="1">
      <alignment horizontal="center" vertical="center" shrinkToFit="1"/>
    </xf>
    <xf numFmtId="38" fontId="39" fillId="14" borderId="93" xfId="2642" quotePrefix="1" applyFont="1" applyFill="1" applyBorder="1" applyAlignment="1" applyProtection="1">
      <alignment horizontal="center" vertical="center" shrinkToFit="1"/>
    </xf>
    <xf numFmtId="0" fontId="34" fillId="0" borderId="4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14" borderId="28" xfId="0" applyFont="1" applyFill="1" applyBorder="1" applyAlignment="1">
      <alignment horizontal="center" vertical="center" wrapText="1"/>
    </xf>
    <xf numFmtId="0" fontId="34" fillId="14" borderId="28" xfId="0" applyFont="1" applyFill="1" applyBorder="1" applyAlignment="1">
      <alignment horizontal="center" vertical="center"/>
    </xf>
    <xf numFmtId="0" fontId="34" fillId="14" borderId="2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</cellXfs>
  <cellStyles count="3436">
    <cellStyle name="?" xfId="1"/>
    <cellStyle name="Orange" xfId="2"/>
    <cellStyle name="Orange 10" xfId="3"/>
    <cellStyle name="Orange 2" xfId="4"/>
    <cellStyle name="Orange 2 10" xfId="5"/>
    <cellStyle name="Orange 2 2" xfId="6"/>
    <cellStyle name="Orange 2 2 2" xfId="7"/>
    <cellStyle name="Orange 2 2 2 2" xfId="8"/>
    <cellStyle name="Orange 2 2 2 2 2" xfId="9"/>
    <cellStyle name="Orange 2 2 2 2 2 2" xfId="10"/>
    <cellStyle name="Orange 2 2 2 2 2 2 2" xfId="11"/>
    <cellStyle name="Orange 2 2 2 2 2 2 2 2" xfId="12"/>
    <cellStyle name="Orange 2 2 2 2 2 3" xfId="13"/>
    <cellStyle name="Orange 2 2 2 2 2 3 2" xfId="14"/>
    <cellStyle name="Orange 2 2 2 2 3" xfId="15"/>
    <cellStyle name="Orange 2 2 2 2 3 2" xfId="16"/>
    <cellStyle name="Orange 2 2 2 2 3 2 2" xfId="17"/>
    <cellStyle name="Orange 2 2 2 2 3 2 2 2" xfId="18"/>
    <cellStyle name="Orange 2 2 2 2 3 3" xfId="19"/>
    <cellStyle name="Orange 2 2 2 2 3 3 2" xfId="20"/>
    <cellStyle name="Orange 2 2 2 2 4" xfId="21"/>
    <cellStyle name="Orange 2 2 2 2 4 2" xfId="22"/>
    <cellStyle name="Orange 2 2 2 2 4 2 2" xfId="23"/>
    <cellStyle name="Orange 2 2 2 2 5" xfId="24"/>
    <cellStyle name="Orange 2 2 2 2 5 2" xfId="25"/>
    <cellStyle name="Orange 2 2 2 3" xfId="26"/>
    <cellStyle name="Orange 2 2 2 3 2" xfId="27"/>
    <cellStyle name="Orange 2 2 2 3 2 2" xfId="28"/>
    <cellStyle name="Orange 2 2 2 3 2 2 2" xfId="29"/>
    <cellStyle name="Orange 2 2 2 3 2 2 2 2" xfId="30"/>
    <cellStyle name="Orange 2 2 2 3 2 3" xfId="31"/>
    <cellStyle name="Orange 2 2 2 3 2 3 2" xfId="32"/>
    <cellStyle name="Orange 2 2 2 3 3" xfId="33"/>
    <cellStyle name="Orange 2 2 2 3 3 2" xfId="34"/>
    <cellStyle name="Orange 2 2 2 3 3 2 2" xfId="35"/>
    <cellStyle name="Orange 2 2 2 3 3 2 2 2" xfId="36"/>
    <cellStyle name="Orange 2 2 2 3 3 3" xfId="37"/>
    <cellStyle name="Orange 2 2 2 3 3 3 2" xfId="38"/>
    <cellStyle name="Orange 2 2 2 3 4" xfId="39"/>
    <cellStyle name="Orange 2 2 2 3 4 2" xfId="40"/>
    <cellStyle name="Orange 2 2 2 3 4 2 2" xfId="41"/>
    <cellStyle name="Orange 2 2 2 3 5" xfId="42"/>
    <cellStyle name="Orange 2 2 2 3 5 2" xfId="43"/>
    <cellStyle name="Orange 2 2 2 4" xfId="44"/>
    <cellStyle name="Orange 2 2 2 4 2" xfId="45"/>
    <cellStyle name="Orange 2 2 2 4 2 2" xfId="46"/>
    <cellStyle name="Orange 2 2 2 4 2 2 2" xfId="47"/>
    <cellStyle name="Orange 2 2 2 4 3" xfId="48"/>
    <cellStyle name="Orange 2 2 2 4 3 2" xfId="49"/>
    <cellStyle name="Orange 2 2 2 5" xfId="50"/>
    <cellStyle name="Orange 2 2 2 5 2" xfId="51"/>
    <cellStyle name="Orange 2 2 2 5 2 2" xfId="52"/>
    <cellStyle name="Orange 2 2 2 5 2 2 2" xfId="53"/>
    <cellStyle name="Orange 2 2 2 5 3" xfId="54"/>
    <cellStyle name="Orange 2 2 2 5 3 2" xfId="55"/>
    <cellStyle name="Orange 2 2 2 6" xfId="56"/>
    <cellStyle name="Orange 2 2 2 6 2" xfId="57"/>
    <cellStyle name="Orange 2 2 2 7" xfId="58"/>
    <cellStyle name="Orange 2 2 3" xfId="59"/>
    <cellStyle name="Orange 2 2 3 2" xfId="60"/>
    <cellStyle name="Orange 2 2 3 2 2" xfId="61"/>
    <cellStyle name="Orange 2 2 3 2 2 2" xfId="62"/>
    <cellStyle name="Orange 2 2 3 2 2 2 2" xfId="63"/>
    <cellStyle name="Orange 2 2 3 2 3" xfId="64"/>
    <cellStyle name="Orange 2 2 3 2 3 2" xfId="65"/>
    <cellStyle name="Orange 2 2 3 3" xfId="66"/>
    <cellStyle name="Orange 2 2 3 3 2" xfId="67"/>
    <cellStyle name="Orange 2 2 3 3 2 2" xfId="68"/>
    <cellStyle name="Orange 2 2 3 3 2 2 2" xfId="69"/>
    <cellStyle name="Orange 2 2 3 3 3" xfId="70"/>
    <cellStyle name="Orange 2 2 3 3 3 2" xfId="71"/>
    <cellStyle name="Orange 2 2 3 4" xfId="72"/>
    <cellStyle name="Orange 2 2 3 4 2" xfId="73"/>
    <cellStyle name="Orange 2 2 3 4 2 2" xfId="74"/>
    <cellStyle name="Orange 2 2 3 5" xfId="75"/>
    <cellStyle name="Orange 2 2 3 5 2" xfId="76"/>
    <cellStyle name="Orange 2 2 3 6" xfId="77"/>
    <cellStyle name="Orange 2 2 4" xfId="78"/>
    <cellStyle name="Orange 2 2 4 2" xfId="79"/>
    <cellStyle name="Orange 2 2 4 2 2" xfId="80"/>
    <cellStyle name="Orange 2 2 4 2 2 2" xfId="81"/>
    <cellStyle name="Orange 2 2 4 2 2 2 2" xfId="82"/>
    <cellStyle name="Orange 2 2 4 2 3" xfId="83"/>
    <cellStyle name="Orange 2 2 4 2 3 2" xfId="84"/>
    <cellStyle name="Orange 2 2 4 3" xfId="85"/>
    <cellStyle name="Orange 2 2 4 3 2" xfId="86"/>
    <cellStyle name="Orange 2 2 4 3 2 2" xfId="87"/>
    <cellStyle name="Orange 2 2 4 3 2 2 2" xfId="88"/>
    <cellStyle name="Orange 2 2 4 3 3" xfId="89"/>
    <cellStyle name="Orange 2 2 4 3 3 2" xfId="90"/>
    <cellStyle name="Orange 2 2 4 4" xfId="91"/>
    <cellStyle name="Orange 2 2 4 4 2" xfId="92"/>
    <cellStyle name="Orange 2 2 4 4 2 2" xfId="93"/>
    <cellStyle name="Orange 2 2 4 5" xfId="94"/>
    <cellStyle name="Orange 2 2 4 5 2" xfId="95"/>
    <cellStyle name="Orange 2 2 5" xfId="96"/>
    <cellStyle name="Orange 2 2 5 2" xfId="97"/>
    <cellStyle name="Orange 2 2 5 2 2" xfId="98"/>
    <cellStyle name="Orange 2 2 5 2 2 2" xfId="99"/>
    <cellStyle name="Orange 2 2 5 3" xfId="100"/>
    <cellStyle name="Orange 2 2 5 3 2" xfId="101"/>
    <cellStyle name="Orange 2 2 6" xfId="102"/>
    <cellStyle name="Orange 2 2 6 2" xfId="103"/>
    <cellStyle name="Orange 2 2 6 2 2" xfId="104"/>
    <cellStyle name="Orange 2 2 6 2 2 2" xfId="105"/>
    <cellStyle name="Orange 2 2 6 3" xfId="106"/>
    <cellStyle name="Orange 2 2 6 3 2" xfId="107"/>
    <cellStyle name="Orange 2 2 7" xfId="108"/>
    <cellStyle name="Orange 2 2 7 2" xfId="109"/>
    <cellStyle name="Orange 2 2 8" xfId="110"/>
    <cellStyle name="Orange 2 3" xfId="111"/>
    <cellStyle name="Orange 2 3 2" xfId="112"/>
    <cellStyle name="Orange 2 3 2 2" xfId="113"/>
    <cellStyle name="Orange 2 3 2 2 2" xfId="114"/>
    <cellStyle name="Orange 2 3 2 2 2 2" xfId="115"/>
    <cellStyle name="Orange 2 3 2 2 2 2 2" xfId="116"/>
    <cellStyle name="Orange 2 3 2 2 2 2 2 2" xfId="117"/>
    <cellStyle name="Orange 2 3 2 2 2 3" xfId="118"/>
    <cellStyle name="Orange 2 3 2 2 2 3 2" xfId="119"/>
    <cellStyle name="Orange 2 3 2 2 3" xfId="120"/>
    <cellStyle name="Orange 2 3 2 2 3 2" xfId="121"/>
    <cellStyle name="Orange 2 3 2 2 3 2 2" xfId="122"/>
    <cellStyle name="Orange 2 3 2 2 3 2 2 2" xfId="123"/>
    <cellStyle name="Orange 2 3 2 2 3 3" xfId="124"/>
    <cellStyle name="Orange 2 3 2 2 3 3 2" xfId="125"/>
    <cellStyle name="Orange 2 3 2 2 4" xfId="126"/>
    <cellStyle name="Orange 2 3 2 2 4 2" xfId="127"/>
    <cellStyle name="Orange 2 3 2 2 4 2 2" xfId="128"/>
    <cellStyle name="Orange 2 3 2 2 5" xfId="129"/>
    <cellStyle name="Orange 2 3 2 2 5 2" xfId="130"/>
    <cellStyle name="Orange 2 3 2 3" xfId="131"/>
    <cellStyle name="Orange 2 3 2 3 2" xfId="132"/>
    <cellStyle name="Orange 2 3 2 3 2 2" xfId="133"/>
    <cellStyle name="Orange 2 3 2 3 2 2 2" xfId="134"/>
    <cellStyle name="Orange 2 3 2 3 2 2 2 2" xfId="135"/>
    <cellStyle name="Orange 2 3 2 3 2 3" xfId="136"/>
    <cellStyle name="Orange 2 3 2 3 2 3 2" xfId="137"/>
    <cellStyle name="Orange 2 3 2 3 3" xfId="138"/>
    <cellStyle name="Orange 2 3 2 3 3 2" xfId="139"/>
    <cellStyle name="Orange 2 3 2 3 3 2 2" xfId="140"/>
    <cellStyle name="Orange 2 3 2 3 3 2 2 2" xfId="141"/>
    <cellStyle name="Orange 2 3 2 3 3 3" xfId="142"/>
    <cellStyle name="Orange 2 3 2 3 3 3 2" xfId="143"/>
    <cellStyle name="Orange 2 3 2 3 4" xfId="144"/>
    <cellStyle name="Orange 2 3 2 3 4 2" xfId="145"/>
    <cellStyle name="Orange 2 3 2 3 4 2 2" xfId="146"/>
    <cellStyle name="Orange 2 3 2 3 5" xfId="147"/>
    <cellStyle name="Orange 2 3 2 3 5 2" xfId="148"/>
    <cellStyle name="Orange 2 3 2 4" xfId="149"/>
    <cellStyle name="Orange 2 3 2 4 2" xfId="150"/>
    <cellStyle name="Orange 2 3 2 4 2 2" xfId="151"/>
    <cellStyle name="Orange 2 3 2 4 2 2 2" xfId="152"/>
    <cellStyle name="Orange 2 3 2 4 3" xfId="153"/>
    <cellStyle name="Orange 2 3 2 4 3 2" xfId="154"/>
    <cellStyle name="Orange 2 3 2 5" xfId="155"/>
    <cellStyle name="Orange 2 3 2 5 2" xfId="156"/>
    <cellStyle name="Orange 2 3 2 5 2 2" xfId="157"/>
    <cellStyle name="Orange 2 3 2 5 2 2 2" xfId="158"/>
    <cellStyle name="Orange 2 3 2 5 3" xfId="159"/>
    <cellStyle name="Orange 2 3 2 5 3 2" xfId="160"/>
    <cellStyle name="Orange 2 3 2 6" xfId="161"/>
    <cellStyle name="Orange 2 3 2 6 2" xfId="162"/>
    <cellStyle name="Orange 2 3 2 7" xfId="163"/>
    <cellStyle name="Orange 2 3 3" xfId="164"/>
    <cellStyle name="Orange 2 3 3 2" xfId="165"/>
    <cellStyle name="Orange 2 3 3 2 2" xfId="166"/>
    <cellStyle name="Orange 2 3 3 2 2 2" xfId="167"/>
    <cellStyle name="Orange 2 3 3 2 2 2 2" xfId="168"/>
    <cellStyle name="Orange 2 3 3 2 3" xfId="169"/>
    <cellStyle name="Orange 2 3 3 2 3 2" xfId="170"/>
    <cellStyle name="Orange 2 3 3 3" xfId="171"/>
    <cellStyle name="Orange 2 3 3 3 2" xfId="172"/>
    <cellStyle name="Orange 2 3 3 3 2 2" xfId="173"/>
    <cellStyle name="Orange 2 3 3 3 2 2 2" xfId="174"/>
    <cellStyle name="Orange 2 3 3 3 3" xfId="175"/>
    <cellStyle name="Orange 2 3 3 3 3 2" xfId="176"/>
    <cellStyle name="Orange 2 3 3 4" xfId="177"/>
    <cellStyle name="Orange 2 3 3 4 2" xfId="178"/>
    <cellStyle name="Orange 2 3 3 4 2 2" xfId="179"/>
    <cellStyle name="Orange 2 3 3 5" xfId="180"/>
    <cellStyle name="Orange 2 3 3 5 2" xfId="181"/>
    <cellStyle name="Orange 2 3 3 6" xfId="182"/>
    <cellStyle name="Orange 2 3 4" xfId="183"/>
    <cellStyle name="Orange 2 3 4 2" xfId="184"/>
    <cellStyle name="Orange 2 3 4 2 2" xfId="185"/>
    <cellStyle name="Orange 2 3 4 2 2 2" xfId="186"/>
    <cellStyle name="Orange 2 3 4 2 2 2 2" xfId="187"/>
    <cellStyle name="Orange 2 3 4 2 3" xfId="188"/>
    <cellStyle name="Orange 2 3 4 2 3 2" xfId="189"/>
    <cellStyle name="Orange 2 3 4 3" xfId="190"/>
    <cellStyle name="Orange 2 3 4 3 2" xfId="191"/>
    <cellStyle name="Orange 2 3 4 3 2 2" xfId="192"/>
    <cellStyle name="Orange 2 3 4 3 2 2 2" xfId="193"/>
    <cellStyle name="Orange 2 3 4 3 3" xfId="194"/>
    <cellStyle name="Orange 2 3 4 3 3 2" xfId="195"/>
    <cellStyle name="Orange 2 3 4 4" xfId="196"/>
    <cellStyle name="Orange 2 3 4 4 2" xfId="197"/>
    <cellStyle name="Orange 2 3 4 4 2 2" xfId="198"/>
    <cellStyle name="Orange 2 3 4 5" xfId="199"/>
    <cellStyle name="Orange 2 3 4 5 2" xfId="200"/>
    <cellStyle name="Orange 2 3 5" xfId="201"/>
    <cellStyle name="Orange 2 3 5 2" xfId="202"/>
    <cellStyle name="Orange 2 3 5 2 2" xfId="203"/>
    <cellStyle name="Orange 2 3 5 2 2 2" xfId="204"/>
    <cellStyle name="Orange 2 3 5 3" xfId="205"/>
    <cellStyle name="Orange 2 3 5 3 2" xfId="206"/>
    <cellStyle name="Orange 2 3 6" xfId="207"/>
    <cellStyle name="Orange 2 3 6 2" xfId="208"/>
    <cellStyle name="Orange 2 3 6 2 2" xfId="209"/>
    <cellStyle name="Orange 2 3 6 2 2 2" xfId="210"/>
    <cellStyle name="Orange 2 3 6 3" xfId="211"/>
    <cellStyle name="Orange 2 3 6 3 2" xfId="212"/>
    <cellStyle name="Orange 2 3 7" xfId="213"/>
    <cellStyle name="Orange 2 3 7 2" xfId="214"/>
    <cellStyle name="Orange 2 3 8" xfId="215"/>
    <cellStyle name="Orange 2 4" xfId="216"/>
    <cellStyle name="Orange 2 4 2" xfId="217"/>
    <cellStyle name="Orange 2 4 2 2" xfId="218"/>
    <cellStyle name="Orange 2 4 2 2 2" xfId="219"/>
    <cellStyle name="Orange 2 4 2 2 2 2" xfId="220"/>
    <cellStyle name="Orange 2 4 2 2 2 2 2" xfId="221"/>
    <cellStyle name="Orange 2 4 2 2 3" xfId="222"/>
    <cellStyle name="Orange 2 4 2 2 3 2" xfId="223"/>
    <cellStyle name="Orange 2 4 2 3" xfId="224"/>
    <cellStyle name="Orange 2 4 2 3 2" xfId="225"/>
    <cellStyle name="Orange 2 4 2 3 2 2" xfId="226"/>
    <cellStyle name="Orange 2 4 2 3 2 2 2" xfId="227"/>
    <cellStyle name="Orange 2 4 2 3 3" xfId="228"/>
    <cellStyle name="Orange 2 4 2 3 3 2" xfId="229"/>
    <cellStyle name="Orange 2 4 2 4" xfId="230"/>
    <cellStyle name="Orange 2 4 2 4 2" xfId="231"/>
    <cellStyle name="Orange 2 4 2 4 2 2" xfId="232"/>
    <cellStyle name="Orange 2 4 2 5" xfId="233"/>
    <cellStyle name="Orange 2 4 2 5 2" xfId="234"/>
    <cellStyle name="Orange 2 4 2 6" xfId="235"/>
    <cellStyle name="Orange 2 4 3" xfId="236"/>
    <cellStyle name="Orange 2 4 3 2" xfId="237"/>
    <cellStyle name="Orange 2 4 3 2 2" xfId="238"/>
    <cellStyle name="Orange 2 4 3 2 2 2" xfId="239"/>
    <cellStyle name="Orange 2 4 3 2 2 2 2" xfId="240"/>
    <cellStyle name="Orange 2 4 3 2 3" xfId="241"/>
    <cellStyle name="Orange 2 4 3 2 3 2" xfId="242"/>
    <cellStyle name="Orange 2 4 3 3" xfId="243"/>
    <cellStyle name="Orange 2 4 3 3 2" xfId="244"/>
    <cellStyle name="Orange 2 4 3 3 2 2" xfId="245"/>
    <cellStyle name="Orange 2 4 3 3 2 2 2" xfId="246"/>
    <cellStyle name="Orange 2 4 3 3 3" xfId="247"/>
    <cellStyle name="Orange 2 4 3 3 3 2" xfId="248"/>
    <cellStyle name="Orange 2 4 3 4" xfId="249"/>
    <cellStyle name="Orange 2 4 3 4 2" xfId="250"/>
    <cellStyle name="Orange 2 4 3 4 2 2" xfId="251"/>
    <cellStyle name="Orange 2 4 3 5" xfId="252"/>
    <cellStyle name="Orange 2 4 3 5 2" xfId="253"/>
    <cellStyle name="Orange 2 4 4" xfId="254"/>
    <cellStyle name="Orange 2 4 4 2" xfId="255"/>
    <cellStyle name="Orange 2 4 4 2 2" xfId="256"/>
    <cellStyle name="Orange 2 4 4 2 2 2" xfId="257"/>
    <cellStyle name="Orange 2 4 4 3" xfId="258"/>
    <cellStyle name="Orange 2 4 4 3 2" xfId="259"/>
    <cellStyle name="Orange 2 4 5" xfId="260"/>
    <cellStyle name="Orange 2 4 5 2" xfId="261"/>
    <cellStyle name="Orange 2 4 5 2 2" xfId="262"/>
    <cellStyle name="Orange 2 4 5 2 2 2" xfId="263"/>
    <cellStyle name="Orange 2 4 5 3" xfId="264"/>
    <cellStyle name="Orange 2 4 5 3 2" xfId="265"/>
    <cellStyle name="Orange 2 4 6" xfId="266"/>
    <cellStyle name="Orange 2 4 6 2" xfId="267"/>
    <cellStyle name="Orange 2 4 7" xfId="268"/>
    <cellStyle name="Orange 2 5" xfId="269"/>
    <cellStyle name="Orange 2 5 2" xfId="270"/>
    <cellStyle name="Orange 2 5 2 2" xfId="271"/>
    <cellStyle name="Orange 2 5 2 2 2" xfId="272"/>
    <cellStyle name="Orange 2 5 2 2 2 2" xfId="273"/>
    <cellStyle name="Orange 2 5 2 3" xfId="274"/>
    <cellStyle name="Orange 2 5 2 3 2" xfId="275"/>
    <cellStyle name="Orange 2 5 3" xfId="276"/>
    <cellStyle name="Orange 2 5 3 2" xfId="277"/>
    <cellStyle name="Orange 2 5 3 2 2" xfId="278"/>
    <cellStyle name="Orange 2 5 3 2 2 2" xfId="279"/>
    <cellStyle name="Orange 2 5 3 3" xfId="280"/>
    <cellStyle name="Orange 2 5 3 3 2" xfId="281"/>
    <cellStyle name="Orange 2 5 4" xfId="282"/>
    <cellStyle name="Orange 2 5 4 2" xfId="283"/>
    <cellStyle name="Orange 2 5 4 2 2" xfId="284"/>
    <cellStyle name="Orange 2 5 5" xfId="285"/>
    <cellStyle name="Orange 2 5 5 2" xfId="286"/>
    <cellStyle name="Orange 2 5 6" xfId="287"/>
    <cellStyle name="Orange 2 6" xfId="288"/>
    <cellStyle name="Orange 2 6 2" xfId="289"/>
    <cellStyle name="Orange 2 6 2 2" xfId="290"/>
    <cellStyle name="Orange 2 6 2 2 2" xfId="291"/>
    <cellStyle name="Orange 2 6 2 2 2 2" xfId="292"/>
    <cellStyle name="Orange 2 6 2 3" xfId="293"/>
    <cellStyle name="Orange 2 6 2 3 2" xfId="294"/>
    <cellStyle name="Orange 2 6 3" xfId="295"/>
    <cellStyle name="Orange 2 6 3 2" xfId="296"/>
    <cellStyle name="Orange 2 6 3 2 2" xfId="297"/>
    <cellStyle name="Orange 2 6 3 2 2 2" xfId="298"/>
    <cellStyle name="Orange 2 6 3 3" xfId="299"/>
    <cellStyle name="Orange 2 6 3 3 2" xfId="300"/>
    <cellStyle name="Orange 2 6 4" xfId="301"/>
    <cellStyle name="Orange 2 6 4 2" xfId="302"/>
    <cellStyle name="Orange 2 6 4 2 2" xfId="303"/>
    <cellStyle name="Orange 2 6 5" xfId="304"/>
    <cellStyle name="Orange 2 6 5 2" xfId="305"/>
    <cellStyle name="Orange 2 7" xfId="306"/>
    <cellStyle name="Orange 2 7 2" xfId="307"/>
    <cellStyle name="Orange 2 7 2 2" xfId="308"/>
    <cellStyle name="Orange 2 7 2 2 2" xfId="309"/>
    <cellStyle name="Orange 2 7 3" xfId="310"/>
    <cellStyle name="Orange 2 7 3 2" xfId="311"/>
    <cellStyle name="Orange 2 8" xfId="312"/>
    <cellStyle name="Orange 2 8 2" xfId="313"/>
    <cellStyle name="Orange 2 8 2 2" xfId="314"/>
    <cellStyle name="Orange 2 8 2 2 2" xfId="315"/>
    <cellStyle name="Orange 2 8 3" xfId="316"/>
    <cellStyle name="Orange 2 8 3 2" xfId="317"/>
    <cellStyle name="Orange 2 9" xfId="318"/>
    <cellStyle name="Orange 2 9 2" xfId="319"/>
    <cellStyle name="Orange 3" xfId="320"/>
    <cellStyle name="Orange 3 2" xfId="321"/>
    <cellStyle name="Orange 3 2 2" xfId="322"/>
    <cellStyle name="Orange 3 2 2 2" xfId="323"/>
    <cellStyle name="Orange 3 2 2 2 2" xfId="324"/>
    <cellStyle name="Orange 3 2 2 2 2 2" xfId="325"/>
    <cellStyle name="Orange 3 2 2 2 2 2 2" xfId="326"/>
    <cellStyle name="Orange 3 2 2 2 3" xfId="327"/>
    <cellStyle name="Orange 3 2 2 2 3 2" xfId="328"/>
    <cellStyle name="Orange 3 2 2 3" xfId="329"/>
    <cellStyle name="Orange 3 2 2 3 2" xfId="330"/>
    <cellStyle name="Orange 3 2 2 3 2 2" xfId="331"/>
    <cellStyle name="Orange 3 2 2 3 2 2 2" xfId="332"/>
    <cellStyle name="Orange 3 2 2 3 3" xfId="333"/>
    <cellStyle name="Orange 3 2 2 3 3 2" xfId="334"/>
    <cellStyle name="Orange 3 2 2 4" xfId="335"/>
    <cellStyle name="Orange 3 2 2 4 2" xfId="336"/>
    <cellStyle name="Orange 3 2 2 4 2 2" xfId="337"/>
    <cellStyle name="Orange 3 2 2 5" xfId="338"/>
    <cellStyle name="Orange 3 2 2 5 2" xfId="339"/>
    <cellStyle name="Orange 3 2 3" xfId="340"/>
    <cellStyle name="Orange 3 2 3 2" xfId="341"/>
    <cellStyle name="Orange 3 2 3 2 2" xfId="342"/>
    <cellStyle name="Orange 3 2 3 2 2 2" xfId="343"/>
    <cellStyle name="Orange 3 2 3 2 2 2 2" xfId="344"/>
    <cellStyle name="Orange 3 2 3 2 3" xfId="345"/>
    <cellStyle name="Orange 3 2 3 2 3 2" xfId="346"/>
    <cellStyle name="Orange 3 2 3 3" xfId="347"/>
    <cellStyle name="Orange 3 2 3 3 2" xfId="348"/>
    <cellStyle name="Orange 3 2 3 3 2 2" xfId="349"/>
    <cellStyle name="Orange 3 2 3 3 2 2 2" xfId="350"/>
    <cellStyle name="Orange 3 2 3 3 3" xfId="351"/>
    <cellStyle name="Orange 3 2 3 3 3 2" xfId="352"/>
    <cellStyle name="Orange 3 2 3 4" xfId="353"/>
    <cellStyle name="Orange 3 2 3 4 2" xfId="354"/>
    <cellStyle name="Orange 3 2 3 4 2 2" xfId="355"/>
    <cellStyle name="Orange 3 2 3 5" xfId="356"/>
    <cellStyle name="Orange 3 2 3 5 2" xfId="357"/>
    <cellStyle name="Orange 3 2 4" xfId="358"/>
    <cellStyle name="Orange 3 2 4 2" xfId="359"/>
    <cellStyle name="Orange 3 2 4 2 2" xfId="360"/>
    <cellStyle name="Orange 3 2 4 2 2 2" xfId="361"/>
    <cellStyle name="Orange 3 2 4 3" xfId="362"/>
    <cellStyle name="Orange 3 2 4 3 2" xfId="363"/>
    <cellStyle name="Orange 3 2 5" xfId="364"/>
    <cellStyle name="Orange 3 2 5 2" xfId="365"/>
    <cellStyle name="Orange 3 2 5 2 2" xfId="366"/>
    <cellStyle name="Orange 3 2 5 2 2 2" xfId="367"/>
    <cellStyle name="Orange 3 2 5 3" xfId="368"/>
    <cellStyle name="Orange 3 2 5 3 2" xfId="369"/>
    <cellStyle name="Orange 3 2 6" xfId="370"/>
    <cellStyle name="Orange 3 2 6 2" xfId="371"/>
    <cellStyle name="Orange 3 2 7" xfId="372"/>
    <cellStyle name="Orange 3 3" xfId="373"/>
    <cellStyle name="Orange 3 3 2" xfId="374"/>
    <cellStyle name="Orange 3 3 2 2" xfId="375"/>
    <cellStyle name="Orange 3 3 2 2 2" xfId="376"/>
    <cellStyle name="Orange 3 3 2 2 2 2" xfId="377"/>
    <cellStyle name="Orange 3 3 2 3" xfId="378"/>
    <cellStyle name="Orange 3 3 2 3 2" xfId="379"/>
    <cellStyle name="Orange 3 3 3" xfId="380"/>
    <cellStyle name="Orange 3 3 3 2" xfId="381"/>
    <cellStyle name="Orange 3 3 3 2 2" xfId="382"/>
    <cellStyle name="Orange 3 3 3 2 2 2" xfId="383"/>
    <cellStyle name="Orange 3 3 3 3" xfId="384"/>
    <cellStyle name="Orange 3 3 3 3 2" xfId="385"/>
    <cellStyle name="Orange 3 3 4" xfId="386"/>
    <cellStyle name="Orange 3 3 4 2" xfId="387"/>
    <cellStyle name="Orange 3 3 4 2 2" xfId="388"/>
    <cellStyle name="Orange 3 3 5" xfId="389"/>
    <cellStyle name="Orange 3 3 5 2" xfId="390"/>
    <cellStyle name="Orange 3 3 6" xfId="391"/>
    <cellStyle name="Orange 3 4" xfId="392"/>
    <cellStyle name="Orange 3 4 2" xfId="393"/>
    <cellStyle name="Orange 3 4 2 2" xfId="394"/>
    <cellStyle name="Orange 3 4 2 2 2" xfId="395"/>
    <cellStyle name="Orange 3 4 2 2 2 2" xfId="396"/>
    <cellStyle name="Orange 3 4 2 3" xfId="397"/>
    <cellStyle name="Orange 3 4 2 3 2" xfId="398"/>
    <cellStyle name="Orange 3 4 3" xfId="399"/>
    <cellStyle name="Orange 3 4 3 2" xfId="400"/>
    <cellStyle name="Orange 3 4 3 2 2" xfId="401"/>
    <cellStyle name="Orange 3 4 3 2 2 2" xfId="402"/>
    <cellStyle name="Orange 3 4 3 3" xfId="403"/>
    <cellStyle name="Orange 3 4 3 3 2" xfId="404"/>
    <cellStyle name="Orange 3 4 4" xfId="405"/>
    <cellStyle name="Orange 3 4 4 2" xfId="406"/>
    <cellStyle name="Orange 3 4 4 2 2" xfId="407"/>
    <cellStyle name="Orange 3 4 5" xfId="408"/>
    <cellStyle name="Orange 3 4 5 2" xfId="409"/>
    <cellStyle name="Orange 3 5" xfId="410"/>
    <cellStyle name="Orange 3 5 2" xfId="411"/>
    <cellStyle name="Orange 3 5 2 2" xfId="412"/>
    <cellStyle name="Orange 3 5 2 2 2" xfId="413"/>
    <cellStyle name="Orange 3 5 3" xfId="414"/>
    <cellStyle name="Orange 3 5 3 2" xfId="415"/>
    <cellStyle name="Orange 3 6" xfId="416"/>
    <cellStyle name="Orange 3 6 2" xfId="417"/>
    <cellStyle name="Orange 3 6 2 2" xfId="418"/>
    <cellStyle name="Orange 3 6 2 2 2" xfId="419"/>
    <cellStyle name="Orange 3 6 3" xfId="420"/>
    <cellStyle name="Orange 3 6 3 2" xfId="421"/>
    <cellStyle name="Orange 3 7" xfId="422"/>
    <cellStyle name="Orange 3 7 2" xfId="423"/>
    <cellStyle name="Orange 3 8" xfId="424"/>
    <cellStyle name="Orange 4" xfId="425"/>
    <cellStyle name="Orange 4 2" xfId="426"/>
    <cellStyle name="Orange 4 2 2" xfId="427"/>
    <cellStyle name="Orange 4 2 2 2" xfId="428"/>
    <cellStyle name="Orange 4 2 2 2 2" xfId="429"/>
    <cellStyle name="Orange 4 2 2 2 2 2" xfId="430"/>
    <cellStyle name="Orange 4 2 2 2 2 2 2" xfId="431"/>
    <cellStyle name="Orange 4 2 2 2 3" xfId="432"/>
    <cellStyle name="Orange 4 2 2 2 3 2" xfId="433"/>
    <cellStyle name="Orange 4 2 2 3" xfId="434"/>
    <cellStyle name="Orange 4 2 2 3 2" xfId="435"/>
    <cellStyle name="Orange 4 2 2 3 2 2" xfId="436"/>
    <cellStyle name="Orange 4 2 2 3 2 2 2" xfId="437"/>
    <cellStyle name="Orange 4 2 2 3 3" xfId="438"/>
    <cellStyle name="Orange 4 2 2 3 3 2" xfId="439"/>
    <cellStyle name="Orange 4 2 2 4" xfId="440"/>
    <cellStyle name="Orange 4 2 2 4 2" xfId="441"/>
    <cellStyle name="Orange 4 2 2 4 2 2" xfId="442"/>
    <cellStyle name="Orange 4 2 2 5" xfId="443"/>
    <cellStyle name="Orange 4 2 2 5 2" xfId="444"/>
    <cellStyle name="Orange 4 2 3" xfId="445"/>
    <cellStyle name="Orange 4 2 3 2" xfId="446"/>
    <cellStyle name="Orange 4 2 3 2 2" xfId="447"/>
    <cellStyle name="Orange 4 2 3 2 2 2" xfId="448"/>
    <cellStyle name="Orange 4 2 3 2 2 2 2" xfId="449"/>
    <cellStyle name="Orange 4 2 3 2 3" xfId="450"/>
    <cellStyle name="Orange 4 2 3 2 3 2" xfId="451"/>
    <cellStyle name="Orange 4 2 3 3" xfId="452"/>
    <cellStyle name="Orange 4 2 3 3 2" xfId="453"/>
    <cellStyle name="Orange 4 2 3 3 2 2" xfId="454"/>
    <cellStyle name="Orange 4 2 3 3 2 2 2" xfId="455"/>
    <cellStyle name="Orange 4 2 3 3 3" xfId="456"/>
    <cellStyle name="Orange 4 2 3 3 3 2" xfId="457"/>
    <cellStyle name="Orange 4 2 3 4" xfId="458"/>
    <cellStyle name="Orange 4 2 3 4 2" xfId="459"/>
    <cellStyle name="Orange 4 2 3 4 2 2" xfId="460"/>
    <cellStyle name="Orange 4 2 3 5" xfId="461"/>
    <cellStyle name="Orange 4 2 3 5 2" xfId="462"/>
    <cellStyle name="Orange 4 2 4" xfId="463"/>
    <cellStyle name="Orange 4 2 4 2" xfId="464"/>
    <cellStyle name="Orange 4 2 4 2 2" xfId="465"/>
    <cellStyle name="Orange 4 2 4 2 2 2" xfId="466"/>
    <cellStyle name="Orange 4 2 4 3" xfId="467"/>
    <cellStyle name="Orange 4 2 4 3 2" xfId="468"/>
    <cellStyle name="Orange 4 2 5" xfId="469"/>
    <cellStyle name="Orange 4 2 5 2" xfId="470"/>
    <cellStyle name="Orange 4 2 5 2 2" xfId="471"/>
    <cellStyle name="Orange 4 2 5 2 2 2" xfId="472"/>
    <cellStyle name="Orange 4 2 5 3" xfId="473"/>
    <cellStyle name="Orange 4 2 5 3 2" xfId="474"/>
    <cellStyle name="Orange 4 2 6" xfId="475"/>
    <cellStyle name="Orange 4 2 6 2" xfId="476"/>
    <cellStyle name="Orange 4 2 7" xfId="477"/>
    <cellStyle name="Orange 4 3" xfId="478"/>
    <cellStyle name="Orange 4 3 2" xfId="479"/>
    <cellStyle name="Orange 4 3 2 2" xfId="480"/>
    <cellStyle name="Orange 4 3 2 2 2" xfId="481"/>
    <cellStyle name="Orange 4 3 2 2 2 2" xfId="482"/>
    <cellStyle name="Orange 4 3 2 3" xfId="483"/>
    <cellStyle name="Orange 4 3 2 3 2" xfId="484"/>
    <cellStyle name="Orange 4 3 3" xfId="485"/>
    <cellStyle name="Orange 4 3 3 2" xfId="486"/>
    <cellStyle name="Orange 4 3 3 2 2" xfId="487"/>
    <cellStyle name="Orange 4 3 3 2 2 2" xfId="488"/>
    <cellStyle name="Orange 4 3 3 3" xfId="489"/>
    <cellStyle name="Orange 4 3 3 3 2" xfId="490"/>
    <cellStyle name="Orange 4 3 4" xfId="491"/>
    <cellStyle name="Orange 4 3 4 2" xfId="492"/>
    <cellStyle name="Orange 4 3 4 2 2" xfId="493"/>
    <cellStyle name="Orange 4 3 5" xfId="494"/>
    <cellStyle name="Orange 4 3 5 2" xfId="495"/>
    <cellStyle name="Orange 4 3 6" xfId="496"/>
    <cellStyle name="Orange 4 4" xfId="497"/>
    <cellStyle name="Orange 4 4 2" xfId="498"/>
    <cellStyle name="Orange 4 4 2 2" xfId="499"/>
    <cellStyle name="Orange 4 4 2 2 2" xfId="500"/>
    <cellStyle name="Orange 4 4 2 2 2 2" xfId="501"/>
    <cellStyle name="Orange 4 4 2 3" xfId="502"/>
    <cellStyle name="Orange 4 4 2 3 2" xfId="503"/>
    <cellStyle name="Orange 4 4 3" xfId="504"/>
    <cellStyle name="Orange 4 4 3 2" xfId="505"/>
    <cellStyle name="Orange 4 4 3 2 2" xfId="506"/>
    <cellStyle name="Orange 4 4 3 2 2 2" xfId="507"/>
    <cellStyle name="Orange 4 4 3 3" xfId="508"/>
    <cellStyle name="Orange 4 4 3 3 2" xfId="509"/>
    <cellStyle name="Orange 4 4 4" xfId="510"/>
    <cellStyle name="Orange 4 4 4 2" xfId="511"/>
    <cellStyle name="Orange 4 4 4 2 2" xfId="512"/>
    <cellStyle name="Orange 4 4 5" xfId="513"/>
    <cellStyle name="Orange 4 4 5 2" xfId="514"/>
    <cellStyle name="Orange 4 5" xfId="515"/>
    <cellStyle name="Orange 4 5 2" xfId="516"/>
    <cellStyle name="Orange 4 5 2 2" xfId="517"/>
    <cellStyle name="Orange 4 5 2 2 2" xfId="518"/>
    <cellStyle name="Orange 4 5 3" xfId="519"/>
    <cellStyle name="Orange 4 5 3 2" xfId="520"/>
    <cellStyle name="Orange 4 6" xfId="521"/>
    <cellStyle name="Orange 4 6 2" xfId="522"/>
    <cellStyle name="Orange 4 6 2 2" xfId="523"/>
    <cellStyle name="Orange 4 6 2 2 2" xfId="524"/>
    <cellStyle name="Orange 4 6 3" xfId="525"/>
    <cellStyle name="Orange 4 6 3 2" xfId="526"/>
    <cellStyle name="Orange 4 7" xfId="527"/>
    <cellStyle name="Orange 4 7 2" xfId="528"/>
    <cellStyle name="Orange 4 8" xfId="529"/>
    <cellStyle name="Orange 5" xfId="530"/>
    <cellStyle name="Orange 5 2" xfId="531"/>
    <cellStyle name="Orange 5 2 2" xfId="532"/>
    <cellStyle name="Orange 5 2 2 2" xfId="533"/>
    <cellStyle name="Orange 5 2 2 2 2" xfId="534"/>
    <cellStyle name="Orange 5 2 3" xfId="535"/>
    <cellStyle name="Orange 5 2 3 2" xfId="536"/>
    <cellStyle name="Orange 5 3" xfId="537"/>
    <cellStyle name="Orange 5 3 2" xfId="538"/>
    <cellStyle name="Orange 5 3 2 2" xfId="539"/>
    <cellStyle name="Orange 5 3 2 2 2" xfId="540"/>
    <cellStyle name="Orange 5 3 3" xfId="541"/>
    <cellStyle name="Orange 5 3 3 2" xfId="542"/>
    <cellStyle name="Orange 5 4" xfId="543"/>
    <cellStyle name="Orange 5 4 2" xfId="544"/>
    <cellStyle name="Orange 5 4 2 2" xfId="545"/>
    <cellStyle name="Orange 5 5" xfId="546"/>
    <cellStyle name="Orange 5 5 2" xfId="547"/>
    <cellStyle name="Orange 5 6" xfId="548"/>
    <cellStyle name="Orange 6" xfId="549"/>
    <cellStyle name="Orange 6 2" xfId="550"/>
    <cellStyle name="Orange 6 2 2" xfId="551"/>
    <cellStyle name="Orange 6 2 2 2" xfId="552"/>
    <cellStyle name="Orange 6 2 2 2 2" xfId="553"/>
    <cellStyle name="Orange 6 2 3" xfId="554"/>
    <cellStyle name="Orange 6 2 3 2" xfId="555"/>
    <cellStyle name="Orange 6 3" xfId="556"/>
    <cellStyle name="Orange 6 3 2" xfId="557"/>
    <cellStyle name="Orange 6 3 2 2" xfId="558"/>
    <cellStyle name="Orange 6 3 2 2 2" xfId="559"/>
    <cellStyle name="Orange 6 3 3" xfId="560"/>
    <cellStyle name="Orange 6 3 3 2" xfId="561"/>
    <cellStyle name="Orange 6 4" xfId="562"/>
    <cellStyle name="Orange 6 4 2" xfId="563"/>
    <cellStyle name="Orange 6 4 2 2" xfId="564"/>
    <cellStyle name="Orange 6 5" xfId="565"/>
    <cellStyle name="Orange 6 5 2" xfId="566"/>
    <cellStyle name="Orange 7" xfId="567"/>
    <cellStyle name="Orange 7 2" xfId="568"/>
    <cellStyle name="Orange 7 2 2" xfId="569"/>
    <cellStyle name="Orange 7 2 2 2" xfId="570"/>
    <cellStyle name="Orange 7 3" xfId="571"/>
    <cellStyle name="Orange 7 3 2" xfId="572"/>
    <cellStyle name="Orange 8" xfId="573"/>
    <cellStyle name="Orange 8 2" xfId="574"/>
    <cellStyle name="Orange 8 2 2" xfId="575"/>
    <cellStyle name="Orange 8 2 2 2" xfId="576"/>
    <cellStyle name="Orange 8 3" xfId="577"/>
    <cellStyle name="Orange 8 3 2" xfId="578"/>
    <cellStyle name="Orange 9" xfId="579"/>
    <cellStyle name="Orange 9 2" xfId="580"/>
    <cellStyle name="SAPBEXstdItem" xfId="581"/>
    <cellStyle name="パーセント 2" xfId="582"/>
    <cellStyle name="パーセント 2 2" xfId="583"/>
    <cellStyle name="パーセント 2 3" xfId="584"/>
    <cellStyle name="パーセント 2 4" xfId="585"/>
    <cellStyle name="百分比" xfId="586" builtinId="5"/>
    <cellStyle name="百分比 2" xfId="587"/>
    <cellStyle name="百分比 2 2" xfId="588"/>
    <cellStyle name="百分比 2 2 2" xfId="589"/>
    <cellStyle name="百分比 2 2 2 2" xfId="590"/>
    <cellStyle name="百分比 2 2 2 2 2" xfId="591"/>
    <cellStyle name="百分比 2 2 2 2 2 2" xfId="592"/>
    <cellStyle name="百分比 2 2 2 2 2 2 2" xfId="593"/>
    <cellStyle name="百分比 2 2 2 2 2 2 2 2" xfId="594"/>
    <cellStyle name="百分比 2 2 2 2 2 2 2 2 2" xfId="595"/>
    <cellStyle name="百分比 2 2 2 2 2 2 3" xfId="596"/>
    <cellStyle name="百分比 2 2 2 2 2 2 3 2" xfId="597"/>
    <cellStyle name="百分比 2 2 2 2 2 3" xfId="598"/>
    <cellStyle name="百分比 2 2 2 2 2 3 2" xfId="599"/>
    <cellStyle name="百分比 2 2 2 2 2 3 2 2" xfId="600"/>
    <cellStyle name="百分比 2 2 2 2 2 3 2 2 2" xfId="601"/>
    <cellStyle name="百分比 2 2 2 2 2 3 3" xfId="602"/>
    <cellStyle name="百分比 2 2 2 2 2 3 3 2" xfId="603"/>
    <cellStyle name="百分比 2 2 2 2 2 4" xfId="604"/>
    <cellStyle name="百分比 2 2 2 2 2 4 2" xfId="605"/>
    <cellStyle name="百分比 2 2 2 2 2 4 2 2" xfId="606"/>
    <cellStyle name="百分比 2 2 2 2 2 5" xfId="607"/>
    <cellStyle name="百分比 2 2 2 2 2 5 2" xfId="608"/>
    <cellStyle name="百分比 2 2 2 2 3" xfId="609"/>
    <cellStyle name="百分比 2 2 2 2 3 2" xfId="610"/>
    <cellStyle name="百分比 2 2 2 2 3 2 2" xfId="611"/>
    <cellStyle name="百分比 2 2 2 2 3 2 2 2" xfId="612"/>
    <cellStyle name="百分比 2 2 2 2 3 2 2 2 2" xfId="613"/>
    <cellStyle name="百分比 2 2 2 2 3 2 3" xfId="614"/>
    <cellStyle name="百分比 2 2 2 2 3 2 3 2" xfId="615"/>
    <cellStyle name="百分比 2 2 2 2 3 3" xfId="616"/>
    <cellStyle name="百分比 2 2 2 2 3 3 2" xfId="617"/>
    <cellStyle name="百分比 2 2 2 2 3 3 2 2" xfId="618"/>
    <cellStyle name="百分比 2 2 2 2 3 3 2 2 2" xfId="619"/>
    <cellStyle name="百分比 2 2 2 2 3 3 3" xfId="620"/>
    <cellStyle name="百分比 2 2 2 2 3 3 3 2" xfId="621"/>
    <cellStyle name="百分比 2 2 2 2 3 4" xfId="622"/>
    <cellStyle name="百分比 2 2 2 2 3 4 2" xfId="623"/>
    <cellStyle name="百分比 2 2 2 2 3 4 2 2" xfId="624"/>
    <cellStyle name="百分比 2 2 2 2 3 5" xfId="625"/>
    <cellStyle name="百分比 2 2 2 2 3 5 2" xfId="626"/>
    <cellStyle name="百分比 2 2 2 2 4" xfId="627"/>
    <cellStyle name="百分比 2 2 2 2 4 2" xfId="628"/>
    <cellStyle name="百分比 2 2 2 2 4 2 2" xfId="629"/>
    <cellStyle name="百分比 2 2 2 2 4 2 2 2" xfId="630"/>
    <cellStyle name="百分比 2 2 2 2 4 3" xfId="631"/>
    <cellStyle name="百分比 2 2 2 2 4 3 2" xfId="632"/>
    <cellStyle name="百分比 2 2 2 2 5" xfId="633"/>
    <cellStyle name="百分比 2 2 2 2 5 2" xfId="634"/>
    <cellStyle name="百分比 2 2 2 2 5 2 2" xfId="635"/>
    <cellStyle name="百分比 2 2 2 2 5 2 2 2" xfId="636"/>
    <cellStyle name="百分比 2 2 2 2 5 3" xfId="637"/>
    <cellStyle name="百分比 2 2 2 2 5 3 2" xfId="638"/>
    <cellStyle name="百分比 2 2 2 2 6" xfId="639"/>
    <cellStyle name="百分比 2 2 2 2 6 2" xfId="640"/>
    <cellStyle name="百分比 2 2 2 3" xfId="641"/>
    <cellStyle name="百分比 2 2 2 3 2" xfId="642"/>
    <cellStyle name="百分比 2 2 2 3 2 2" xfId="643"/>
    <cellStyle name="百分比 2 2 2 3 2 2 2" xfId="644"/>
    <cellStyle name="百分比 2 2 2 3 2 2 2 2" xfId="645"/>
    <cellStyle name="百分比 2 2 2 3 2 3" xfId="646"/>
    <cellStyle name="百分比 2 2 2 3 2 3 2" xfId="647"/>
    <cellStyle name="百分比 2 2 2 3 3" xfId="648"/>
    <cellStyle name="百分比 2 2 2 3 3 2" xfId="649"/>
    <cellStyle name="百分比 2 2 2 3 3 2 2" xfId="650"/>
    <cellStyle name="百分比 2 2 2 3 3 2 2 2" xfId="651"/>
    <cellStyle name="百分比 2 2 2 3 3 3" xfId="652"/>
    <cellStyle name="百分比 2 2 2 3 3 3 2" xfId="653"/>
    <cellStyle name="百分比 2 2 2 3 4" xfId="654"/>
    <cellStyle name="百分比 2 2 2 3 4 2" xfId="655"/>
    <cellStyle name="百分比 2 2 2 3 4 2 2" xfId="656"/>
    <cellStyle name="百分比 2 2 2 3 5" xfId="657"/>
    <cellStyle name="百分比 2 2 2 3 5 2" xfId="658"/>
    <cellStyle name="百分比 2 2 2 4" xfId="659"/>
    <cellStyle name="百分比 2 2 2 4 2" xfId="660"/>
    <cellStyle name="百分比 2 2 2 4 2 2" xfId="661"/>
    <cellStyle name="百分比 2 2 2 4 2 2 2" xfId="662"/>
    <cellStyle name="百分比 2 2 2 4 2 2 2 2" xfId="663"/>
    <cellStyle name="百分比 2 2 2 4 2 3" xfId="664"/>
    <cellStyle name="百分比 2 2 2 4 2 3 2" xfId="665"/>
    <cellStyle name="百分比 2 2 2 4 3" xfId="666"/>
    <cellStyle name="百分比 2 2 2 4 3 2" xfId="667"/>
    <cellStyle name="百分比 2 2 2 4 3 2 2" xfId="668"/>
    <cellStyle name="百分比 2 2 2 4 3 2 2 2" xfId="669"/>
    <cellStyle name="百分比 2 2 2 4 3 3" xfId="670"/>
    <cellStyle name="百分比 2 2 2 4 3 3 2" xfId="671"/>
    <cellStyle name="百分比 2 2 2 4 4" xfId="672"/>
    <cellStyle name="百分比 2 2 2 4 4 2" xfId="673"/>
    <cellStyle name="百分比 2 2 2 4 4 2 2" xfId="674"/>
    <cellStyle name="百分比 2 2 2 4 5" xfId="675"/>
    <cellStyle name="百分比 2 2 2 4 5 2" xfId="676"/>
    <cellStyle name="百分比 2 2 2 5" xfId="677"/>
    <cellStyle name="百分比 2 2 2 5 2" xfId="678"/>
    <cellStyle name="百分比 2 2 2 5 2 2" xfId="679"/>
    <cellStyle name="百分比 2 2 2 5 2 2 2" xfId="680"/>
    <cellStyle name="百分比 2 2 2 5 3" xfId="681"/>
    <cellStyle name="百分比 2 2 2 5 3 2" xfId="682"/>
    <cellStyle name="百分比 2 2 2 6" xfId="683"/>
    <cellStyle name="百分比 2 2 2 6 2" xfId="684"/>
    <cellStyle name="百分比 2 2 2 6 2 2" xfId="685"/>
    <cellStyle name="百分比 2 2 2 6 2 2 2" xfId="686"/>
    <cellStyle name="百分比 2 2 2 6 3" xfId="687"/>
    <cellStyle name="百分比 2 2 2 6 3 2" xfId="688"/>
    <cellStyle name="百分比 2 2 2 7" xfId="689"/>
    <cellStyle name="百分比 2 2 2 7 2" xfId="690"/>
    <cellStyle name="百分比 2 2 3" xfId="691"/>
    <cellStyle name="百分比 2 2 3 2" xfId="692"/>
    <cellStyle name="百分比 2 2 3 2 2" xfId="693"/>
    <cellStyle name="百分比 2 2 3 2 2 2" xfId="694"/>
    <cellStyle name="百分比 2 2 3 2 2 2 2" xfId="695"/>
    <cellStyle name="百分比 2 2 3 2 2 2 2 2" xfId="696"/>
    <cellStyle name="百分比 2 2 3 2 2 2 2 2 2" xfId="697"/>
    <cellStyle name="百分比 2 2 3 2 2 2 3" xfId="698"/>
    <cellStyle name="百分比 2 2 3 2 2 2 3 2" xfId="699"/>
    <cellStyle name="百分比 2 2 3 2 2 3" xfId="700"/>
    <cellStyle name="百分比 2 2 3 2 2 3 2" xfId="701"/>
    <cellStyle name="百分比 2 2 3 2 2 3 2 2" xfId="702"/>
    <cellStyle name="百分比 2 2 3 2 2 3 2 2 2" xfId="703"/>
    <cellStyle name="百分比 2 2 3 2 2 3 3" xfId="704"/>
    <cellStyle name="百分比 2 2 3 2 2 3 3 2" xfId="705"/>
    <cellStyle name="百分比 2 2 3 2 2 4" xfId="706"/>
    <cellStyle name="百分比 2 2 3 2 2 4 2" xfId="707"/>
    <cellStyle name="百分比 2 2 3 2 2 4 2 2" xfId="708"/>
    <cellStyle name="百分比 2 2 3 2 2 5" xfId="709"/>
    <cellStyle name="百分比 2 2 3 2 2 5 2" xfId="710"/>
    <cellStyle name="百分比 2 2 3 2 3" xfId="711"/>
    <cellStyle name="百分比 2 2 3 2 3 2" xfId="712"/>
    <cellStyle name="百分比 2 2 3 2 3 2 2" xfId="713"/>
    <cellStyle name="百分比 2 2 3 2 3 2 2 2" xfId="714"/>
    <cellStyle name="百分比 2 2 3 2 3 2 2 2 2" xfId="715"/>
    <cellStyle name="百分比 2 2 3 2 3 2 3" xfId="716"/>
    <cellStyle name="百分比 2 2 3 2 3 2 3 2" xfId="717"/>
    <cellStyle name="百分比 2 2 3 2 3 3" xfId="718"/>
    <cellStyle name="百分比 2 2 3 2 3 3 2" xfId="719"/>
    <cellStyle name="百分比 2 2 3 2 3 3 2 2" xfId="720"/>
    <cellStyle name="百分比 2 2 3 2 3 3 2 2 2" xfId="721"/>
    <cellStyle name="百分比 2 2 3 2 3 3 3" xfId="722"/>
    <cellStyle name="百分比 2 2 3 2 3 3 3 2" xfId="723"/>
    <cellStyle name="百分比 2 2 3 2 3 4" xfId="724"/>
    <cellStyle name="百分比 2 2 3 2 3 4 2" xfId="725"/>
    <cellStyle name="百分比 2 2 3 2 3 4 2 2" xfId="726"/>
    <cellStyle name="百分比 2 2 3 2 3 5" xfId="727"/>
    <cellStyle name="百分比 2 2 3 2 3 5 2" xfId="728"/>
    <cellStyle name="百分比 2 2 3 2 4" xfId="729"/>
    <cellStyle name="百分比 2 2 3 2 4 2" xfId="730"/>
    <cellStyle name="百分比 2 2 3 2 4 2 2" xfId="731"/>
    <cellStyle name="百分比 2 2 3 2 4 2 2 2" xfId="732"/>
    <cellStyle name="百分比 2 2 3 2 4 3" xfId="733"/>
    <cellStyle name="百分比 2 2 3 2 4 3 2" xfId="734"/>
    <cellStyle name="百分比 2 2 3 2 5" xfId="735"/>
    <cellStyle name="百分比 2 2 3 2 5 2" xfId="736"/>
    <cellStyle name="百分比 2 2 3 2 5 2 2" xfId="737"/>
    <cellStyle name="百分比 2 2 3 2 5 2 2 2" xfId="738"/>
    <cellStyle name="百分比 2 2 3 2 5 3" xfId="739"/>
    <cellStyle name="百分比 2 2 3 2 5 3 2" xfId="740"/>
    <cellStyle name="百分比 2 2 3 2 6" xfId="741"/>
    <cellStyle name="百分比 2 2 3 2 6 2" xfId="742"/>
    <cellStyle name="百分比 2 2 3 3" xfId="743"/>
    <cellStyle name="百分比 2 2 3 3 2" xfId="744"/>
    <cellStyle name="百分比 2 2 3 3 2 2" xfId="745"/>
    <cellStyle name="百分比 2 2 3 3 2 2 2" xfId="746"/>
    <cellStyle name="百分比 2 2 3 3 2 2 2 2" xfId="747"/>
    <cellStyle name="百分比 2 2 3 3 2 3" xfId="748"/>
    <cellStyle name="百分比 2 2 3 3 2 3 2" xfId="749"/>
    <cellStyle name="百分比 2 2 3 3 3" xfId="750"/>
    <cellStyle name="百分比 2 2 3 3 3 2" xfId="751"/>
    <cellStyle name="百分比 2 2 3 3 3 2 2" xfId="752"/>
    <cellStyle name="百分比 2 2 3 3 3 2 2 2" xfId="753"/>
    <cellStyle name="百分比 2 2 3 3 3 3" xfId="754"/>
    <cellStyle name="百分比 2 2 3 3 3 3 2" xfId="755"/>
    <cellStyle name="百分比 2 2 3 3 4" xfId="756"/>
    <cellStyle name="百分比 2 2 3 3 4 2" xfId="757"/>
    <cellStyle name="百分比 2 2 3 3 4 2 2" xfId="758"/>
    <cellStyle name="百分比 2 2 3 3 5" xfId="759"/>
    <cellStyle name="百分比 2 2 3 3 5 2" xfId="760"/>
    <cellStyle name="百分比 2 2 3 4" xfId="761"/>
    <cellStyle name="百分比 2 2 3 4 2" xfId="762"/>
    <cellStyle name="百分比 2 2 3 4 2 2" xfId="763"/>
    <cellStyle name="百分比 2 2 3 4 2 2 2" xfId="764"/>
    <cellStyle name="百分比 2 2 3 4 2 2 2 2" xfId="765"/>
    <cellStyle name="百分比 2 2 3 4 2 3" xfId="766"/>
    <cellStyle name="百分比 2 2 3 4 2 3 2" xfId="767"/>
    <cellStyle name="百分比 2 2 3 4 3" xfId="768"/>
    <cellStyle name="百分比 2 2 3 4 3 2" xfId="769"/>
    <cellStyle name="百分比 2 2 3 4 3 2 2" xfId="770"/>
    <cellStyle name="百分比 2 2 3 4 3 2 2 2" xfId="771"/>
    <cellStyle name="百分比 2 2 3 4 3 3" xfId="772"/>
    <cellStyle name="百分比 2 2 3 4 3 3 2" xfId="773"/>
    <cellStyle name="百分比 2 2 3 4 4" xfId="774"/>
    <cellStyle name="百分比 2 2 3 4 4 2" xfId="775"/>
    <cellStyle name="百分比 2 2 3 4 4 2 2" xfId="776"/>
    <cellStyle name="百分比 2 2 3 4 5" xfId="777"/>
    <cellStyle name="百分比 2 2 3 4 5 2" xfId="778"/>
    <cellStyle name="百分比 2 2 3 5" xfId="779"/>
    <cellStyle name="百分比 2 2 3 5 2" xfId="780"/>
    <cellStyle name="百分比 2 2 3 5 2 2" xfId="781"/>
    <cellStyle name="百分比 2 2 3 5 2 2 2" xfId="782"/>
    <cellStyle name="百分比 2 2 3 5 3" xfId="783"/>
    <cellStyle name="百分比 2 2 3 5 3 2" xfId="784"/>
    <cellStyle name="百分比 2 2 3 6" xfId="785"/>
    <cellStyle name="百分比 2 2 3 6 2" xfId="786"/>
    <cellStyle name="百分比 2 2 3 6 2 2" xfId="787"/>
    <cellStyle name="百分比 2 2 3 6 2 2 2" xfId="788"/>
    <cellStyle name="百分比 2 2 3 6 3" xfId="789"/>
    <cellStyle name="百分比 2 2 3 6 3 2" xfId="790"/>
    <cellStyle name="百分比 2 2 3 7" xfId="791"/>
    <cellStyle name="百分比 2 2 3 7 2" xfId="792"/>
    <cellStyle name="百分比 2 2 4" xfId="793"/>
    <cellStyle name="百分比 2 2 4 2" xfId="794"/>
    <cellStyle name="百分比 2 2 4 2 2" xfId="795"/>
    <cellStyle name="百分比 2 2 4 2 2 2" xfId="796"/>
    <cellStyle name="百分比 2 2 4 2 2 2 2" xfId="797"/>
    <cellStyle name="百分比 2 2 4 2 3" xfId="798"/>
    <cellStyle name="百分比 2 2 4 2 3 2" xfId="799"/>
    <cellStyle name="百分比 2 2 4 3" xfId="800"/>
    <cellStyle name="百分比 2 2 4 3 2" xfId="801"/>
    <cellStyle name="百分比 2 2 4 3 2 2" xfId="802"/>
    <cellStyle name="百分比 2 2 4 3 2 2 2" xfId="803"/>
    <cellStyle name="百分比 2 2 4 3 3" xfId="804"/>
    <cellStyle name="百分比 2 2 4 3 3 2" xfId="805"/>
    <cellStyle name="百分比 2 2 4 4" xfId="806"/>
    <cellStyle name="百分比 2 2 4 4 2" xfId="807"/>
    <cellStyle name="百分比 2 2 4 4 2 2" xfId="808"/>
    <cellStyle name="百分比 2 2 4 5" xfId="809"/>
    <cellStyle name="百分比 2 2 4 5 2" xfId="810"/>
    <cellStyle name="百分比 2 2 5" xfId="811"/>
    <cellStyle name="百分比 2 2 5 2" xfId="812"/>
    <cellStyle name="百分比 2 2 5 2 2" xfId="813"/>
    <cellStyle name="百分比 2 2 5 2 2 2" xfId="814"/>
    <cellStyle name="百分比 2 2 5 2 2 2 2" xfId="815"/>
    <cellStyle name="百分比 2 2 5 2 3" xfId="816"/>
    <cellStyle name="百分比 2 2 5 2 3 2" xfId="817"/>
    <cellStyle name="百分比 2 2 5 3" xfId="818"/>
    <cellStyle name="百分比 2 2 5 3 2" xfId="819"/>
    <cellStyle name="百分比 2 2 5 3 2 2" xfId="820"/>
    <cellStyle name="百分比 2 2 5 3 2 2 2" xfId="821"/>
    <cellStyle name="百分比 2 2 5 3 3" xfId="822"/>
    <cellStyle name="百分比 2 2 5 3 3 2" xfId="823"/>
    <cellStyle name="百分比 2 2 5 4" xfId="824"/>
    <cellStyle name="百分比 2 2 5 4 2" xfId="825"/>
    <cellStyle name="百分比 2 2 5 4 2 2" xfId="826"/>
    <cellStyle name="百分比 2 2 5 5" xfId="827"/>
    <cellStyle name="百分比 2 2 5 5 2" xfId="828"/>
    <cellStyle name="百分比 2 2 6" xfId="829"/>
    <cellStyle name="百分比 2 2 6 2" xfId="830"/>
    <cellStyle name="百分比 2 2 6 2 2" xfId="831"/>
    <cellStyle name="百分比 2 2 6 2 2 2" xfId="832"/>
    <cellStyle name="百分比 2 2 6 3" xfId="833"/>
    <cellStyle name="百分比 2 2 6 3 2" xfId="834"/>
    <cellStyle name="百分比 2 2 7" xfId="835"/>
    <cellStyle name="百分比 2 2 7 2" xfId="836"/>
    <cellStyle name="百分比 2 2 7 2 2" xfId="837"/>
    <cellStyle name="百分比 2 2 7 2 2 2" xfId="838"/>
    <cellStyle name="百分比 2 2 7 3" xfId="839"/>
    <cellStyle name="百分比 2 2 7 3 2" xfId="840"/>
    <cellStyle name="百分比 2 2 8" xfId="841"/>
    <cellStyle name="百分比 2 2 8 2" xfId="842"/>
    <cellStyle name="百分比 2 3" xfId="843"/>
    <cellStyle name="百分比 2 3 2" xfId="844"/>
    <cellStyle name="百分比 2 3 2 2" xfId="845"/>
    <cellStyle name="百分比 2 3 2 2 2" xfId="846"/>
    <cellStyle name="百分比 2 3 2 2 2 2" xfId="847"/>
    <cellStyle name="百分比 2 3 2 2 2 2 2" xfId="848"/>
    <cellStyle name="百分比 2 3 2 2 2 2 2 2" xfId="849"/>
    <cellStyle name="百分比 2 3 2 2 2 3" xfId="850"/>
    <cellStyle name="百分比 2 3 2 2 2 3 2" xfId="851"/>
    <cellStyle name="百分比 2 3 2 2 3" xfId="852"/>
    <cellStyle name="百分比 2 3 2 2 3 2" xfId="853"/>
    <cellStyle name="百分比 2 3 2 2 3 2 2" xfId="854"/>
    <cellStyle name="百分比 2 3 2 2 3 2 2 2" xfId="855"/>
    <cellStyle name="百分比 2 3 2 2 3 3" xfId="856"/>
    <cellStyle name="百分比 2 3 2 2 3 3 2" xfId="857"/>
    <cellStyle name="百分比 2 3 2 2 4" xfId="858"/>
    <cellStyle name="百分比 2 3 2 2 4 2" xfId="859"/>
    <cellStyle name="百分比 2 3 2 2 4 2 2" xfId="860"/>
    <cellStyle name="百分比 2 3 2 2 5" xfId="861"/>
    <cellStyle name="百分比 2 3 2 2 5 2" xfId="862"/>
    <cellStyle name="百分比 2 3 2 3" xfId="863"/>
    <cellStyle name="百分比 2 3 2 3 2" xfId="864"/>
    <cellStyle name="百分比 2 3 2 3 2 2" xfId="865"/>
    <cellStyle name="百分比 2 3 2 3 2 2 2" xfId="866"/>
    <cellStyle name="百分比 2 3 2 3 2 2 2 2" xfId="867"/>
    <cellStyle name="百分比 2 3 2 3 2 3" xfId="868"/>
    <cellStyle name="百分比 2 3 2 3 2 3 2" xfId="869"/>
    <cellStyle name="百分比 2 3 2 3 3" xfId="870"/>
    <cellStyle name="百分比 2 3 2 3 3 2" xfId="871"/>
    <cellStyle name="百分比 2 3 2 3 3 2 2" xfId="872"/>
    <cellStyle name="百分比 2 3 2 3 3 2 2 2" xfId="873"/>
    <cellStyle name="百分比 2 3 2 3 3 3" xfId="874"/>
    <cellStyle name="百分比 2 3 2 3 3 3 2" xfId="875"/>
    <cellStyle name="百分比 2 3 2 3 4" xfId="876"/>
    <cellStyle name="百分比 2 3 2 3 4 2" xfId="877"/>
    <cellStyle name="百分比 2 3 2 3 4 2 2" xfId="878"/>
    <cellStyle name="百分比 2 3 2 3 5" xfId="879"/>
    <cellStyle name="百分比 2 3 2 3 5 2" xfId="880"/>
    <cellStyle name="百分比 2 3 2 4" xfId="881"/>
    <cellStyle name="百分比 2 3 2 4 2" xfId="882"/>
    <cellStyle name="百分比 2 3 2 4 2 2" xfId="883"/>
    <cellStyle name="百分比 2 3 2 4 2 2 2" xfId="884"/>
    <cellStyle name="百分比 2 3 2 4 3" xfId="885"/>
    <cellStyle name="百分比 2 3 2 4 3 2" xfId="886"/>
    <cellStyle name="百分比 2 3 2 5" xfId="887"/>
    <cellStyle name="百分比 2 3 2 5 2" xfId="888"/>
    <cellStyle name="百分比 2 3 2 5 2 2" xfId="889"/>
    <cellStyle name="百分比 2 3 2 5 2 2 2" xfId="890"/>
    <cellStyle name="百分比 2 3 2 5 3" xfId="891"/>
    <cellStyle name="百分比 2 3 2 5 3 2" xfId="892"/>
    <cellStyle name="百分比 2 3 2 6" xfId="893"/>
    <cellStyle name="百分比 2 3 2 6 2" xfId="894"/>
    <cellStyle name="百分比 2 3 3" xfId="895"/>
    <cellStyle name="百分比 2 3 3 2" xfId="896"/>
    <cellStyle name="百分比 2 3 3 2 2" xfId="897"/>
    <cellStyle name="百分比 2 3 3 2 2 2" xfId="898"/>
    <cellStyle name="百分比 2 3 3 2 2 2 2" xfId="899"/>
    <cellStyle name="百分比 2 3 3 2 3" xfId="900"/>
    <cellStyle name="百分比 2 3 3 2 3 2" xfId="901"/>
    <cellStyle name="百分比 2 3 3 3" xfId="902"/>
    <cellStyle name="百分比 2 3 3 3 2" xfId="903"/>
    <cellStyle name="百分比 2 3 3 3 2 2" xfId="904"/>
    <cellStyle name="百分比 2 3 3 3 2 2 2" xfId="905"/>
    <cellStyle name="百分比 2 3 3 3 3" xfId="906"/>
    <cellStyle name="百分比 2 3 3 3 3 2" xfId="907"/>
    <cellStyle name="百分比 2 3 3 4" xfId="908"/>
    <cellStyle name="百分比 2 3 3 4 2" xfId="909"/>
    <cellStyle name="百分比 2 3 3 4 2 2" xfId="910"/>
    <cellStyle name="百分比 2 3 3 5" xfId="911"/>
    <cellStyle name="百分比 2 3 3 5 2" xfId="912"/>
    <cellStyle name="百分比 2 3 4" xfId="913"/>
    <cellStyle name="百分比 2 3 4 2" xfId="914"/>
    <cellStyle name="百分比 2 3 4 2 2" xfId="915"/>
    <cellStyle name="百分比 2 3 4 2 2 2" xfId="916"/>
    <cellStyle name="百分比 2 3 4 2 2 2 2" xfId="917"/>
    <cellStyle name="百分比 2 3 4 2 3" xfId="918"/>
    <cellStyle name="百分比 2 3 4 2 3 2" xfId="919"/>
    <cellStyle name="百分比 2 3 4 3" xfId="920"/>
    <cellStyle name="百分比 2 3 4 3 2" xfId="921"/>
    <cellStyle name="百分比 2 3 4 3 2 2" xfId="922"/>
    <cellStyle name="百分比 2 3 4 3 2 2 2" xfId="923"/>
    <cellStyle name="百分比 2 3 4 3 3" xfId="924"/>
    <cellStyle name="百分比 2 3 4 3 3 2" xfId="925"/>
    <cellStyle name="百分比 2 3 4 4" xfId="926"/>
    <cellStyle name="百分比 2 3 4 4 2" xfId="927"/>
    <cellStyle name="百分比 2 3 4 4 2 2" xfId="928"/>
    <cellStyle name="百分比 2 3 4 5" xfId="929"/>
    <cellStyle name="百分比 2 3 4 5 2" xfId="930"/>
    <cellStyle name="百分比 2 3 5" xfId="931"/>
    <cellStyle name="百分比 2 3 5 2" xfId="932"/>
    <cellStyle name="百分比 2 3 5 2 2" xfId="933"/>
    <cellStyle name="百分比 2 3 5 2 2 2" xfId="934"/>
    <cellStyle name="百分比 2 3 5 3" xfId="935"/>
    <cellStyle name="百分比 2 3 5 3 2" xfId="936"/>
    <cellStyle name="百分比 2 3 6" xfId="937"/>
    <cellStyle name="百分比 2 3 6 2" xfId="938"/>
    <cellStyle name="百分比 2 3 6 2 2" xfId="939"/>
    <cellStyle name="百分比 2 3 6 2 2 2" xfId="940"/>
    <cellStyle name="百分比 2 3 6 3" xfId="941"/>
    <cellStyle name="百分比 2 3 6 3 2" xfId="942"/>
    <cellStyle name="百分比 2 3 7" xfId="943"/>
    <cellStyle name="百分比 2 3 7 2" xfId="944"/>
    <cellStyle name="百分比 2 4" xfId="945"/>
    <cellStyle name="百分比 2 4 2" xfId="946"/>
    <cellStyle name="百分比 2 4 2 2" xfId="947"/>
    <cellStyle name="百分比 2 4 2 2 2" xfId="948"/>
    <cellStyle name="百分比 2 4 2 2 2 2" xfId="949"/>
    <cellStyle name="百分比 2 4 2 2 2 2 2" xfId="950"/>
    <cellStyle name="百分比 2 4 2 2 2 2 2 2" xfId="951"/>
    <cellStyle name="百分比 2 4 2 2 2 3" xfId="952"/>
    <cellStyle name="百分比 2 4 2 2 2 3 2" xfId="953"/>
    <cellStyle name="百分比 2 4 2 2 3" xfId="954"/>
    <cellStyle name="百分比 2 4 2 2 3 2" xfId="955"/>
    <cellStyle name="百分比 2 4 2 2 3 2 2" xfId="956"/>
    <cellStyle name="百分比 2 4 2 2 3 2 2 2" xfId="957"/>
    <cellStyle name="百分比 2 4 2 2 3 3" xfId="958"/>
    <cellStyle name="百分比 2 4 2 2 3 3 2" xfId="959"/>
    <cellStyle name="百分比 2 4 2 2 4" xfId="960"/>
    <cellStyle name="百分比 2 4 2 2 4 2" xfId="961"/>
    <cellStyle name="百分比 2 4 2 2 4 2 2" xfId="962"/>
    <cellStyle name="百分比 2 4 2 2 5" xfId="963"/>
    <cellStyle name="百分比 2 4 2 2 5 2" xfId="964"/>
    <cellStyle name="百分比 2 4 2 3" xfId="965"/>
    <cellStyle name="百分比 2 4 2 3 2" xfId="966"/>
    <cellStyle name="百分比 2 4 2 3 2 2" xfId="967"/>
    <cellStyle name="百分比 2 4 2 3 2 2 2" xfId="968"/>
    <cellStyle name="百分比 2 4 2 3 2 2 2 2" xfId="969"/>
    <cellStyle name="百分比 2 4 2 3 2 3" xfId="970"/>
    <cellStyle name="百分比 2 4 2 3 2 3 2" xfId="971"/>
    <cellStyle name="百分比 2 4 2 3 3" xfId="972"/>
    <cellStyle name="百分比 2 4 2 3 3 2" xfId="973"/>
    <cellStyle name="百分比 2 4 2 3 3 2 2" xfId="974"/>
    <cellStyle name="百分比 2 4 2 3 3 2 2 2" xfId="975"/>
    <cellStyle name="百分比 2 4 2 3 3 3" xfId="976"/>
    <cellStyle name="百分比 2 4 2 3 3 3 2" xfId="977"/>
    <cellStyle name="百分比 2 4 2 3 4" xfId="978"/>
    <cellStyle name="百分比 2 4 2 3 4 2" xfId="979"/>
    <cellStyle name="百分比 2 4 2 3 4 2 2" xfId="980"/>
    <cellStyle name="百分比 2 4 2 3 5" xfId="981"/>
    <cellStyle name="百分比 2 4 2 3 5 2" xfId="982"/>
    <cellStyle name="百分比 2 4 2 4" xfId="983"/>
    <cellStyle name="百分比 2 4 2 4 2" xfId="984"/>
    <cellStyle name="百分比 2 4 2 4 2 2" xfId="985"/>
    <cellStyle name="百分比 2 4 2 4 2 2 2" xfId="986"/>
    <cellStyle name="百分比 2 4 2 4 3" xfId="987"/>
    <cellStyle name="百分比 2 4 2 4 3 2" xfId="988"/>
    <cellStyle name="百分比 2 4 2 5" xfId="989"/>
    <cellStyle name="百分比 2 4 2 5 2" xfId="990"/>
    <cellStyle name="百分比 2 4 2 5 2 2" xfId="991"/>
    <cellStyle name="百分比 2 4 2 5 2 2 2" xfId="992"/>
    <cellStyle name="百分比 2 4 2 5 3" xfId="993"/>
    <cellStyle name="百分比 2 4 2 5 3 2" xfId="994"/>
    <cellStyle name="百分比 2 4 2 6" xfId="995"/>
    <cellStyle name="百分比 2 4 2 6 2" xfId="996"/>
    <cellStyle name="百分比 2 4 3" xfId="997"/>
    <cellStyle name="百分比 2 4 3 2" xfId="998"/>
    <cellStyle name="百分比 2 4 3 2 2" xfId="999"/>
    <cellStyle name="百分比 2 4 3 2 2 2" xfId="1000"/>
    <cellStyle name="百分比 2 4 3 2 2 2 2" xfId="1001"/>
    <cellStyle name="百分比 2 4 3 2 3" xfId="1002"/>
    <cellStyle name="百分比 2 4 3 2 3 2" xfId="1003"/>
    <cellStyle name="百分比 2 4 3 3" xfId="1004"/>
    <cellStyle name="百分比 2 4 3 3 2" xfId="1005"/>
    <cellStyle name="百分比 2 4 3 3 2 2" xfId="1006"/>
    <cellStyle name="百分比 2 4 3 3 2 2 2" xfId="1007"/>
    <cellStyle name="百分比 2 4 3 3 3" xfId="1008"/>
    <cellStyle name="百分比 2 4 3 3 3 2" xfId="1009"/>
    <cellStyle name="百分比 2 4 3 4" xfId="1010"/>
    <cellStyle name="百分比 2 4 3 4 2" xfId="1011"/>
    <cellStyle name="百分比 2 4 3 4 2 2" xfId="1012"/>
    <cellStyle name="百分比 2 4 3 5" xfId="1013"/>
    <cellStyle name="百分比 2 4 3 5 2" xfId="1014"/>
    <cellStyle name="百分比 2 4 4" xfId="1015"/>
    <cellStyle name="百分比 2 4 4 2" xfId="1016"/>
    <cellStyle name="百分比 2 4 4 2 2" xfId="1017"/>
    <cellStyle name="百分比 2 4 4 2 2 2" xfId="1018"/>
    <cellStyle name="百分比 2 4 4 2 2 2 2" xfId="1019"/>
    <cellStyle name="百分比 2 4 4 2 3" xfId="1020"/>
    <cellStyle name="百分比 2 4 4 2 3 2" xfId="1021"/>
    <cellStyle name="百分比 2 4 4 3" xfId="1022"/>
    <cellStyle name="百分比 2 4 4 3 2" xfId="1023"/>
    <cellStyle name="百分比 2 4 4 3 2 2" xfId="1024"/>
    <cellStyle name="百分比 2 4 4 3 2 2 2" xfId="1025"/>
    <cellStyle name="百分比 2 4 4 3 3" xfId="1026"/>
    <cellStyle name="百分比 2 4 4 3 3 2" xfId="1027"/>
    <cellStyle name="百分比 2 4 4 4" xfId="1028"/>
    <cellStyle name="百分比 2 4 4 4 2" xfId="1029"/>
    <cellStyle name="百分比 2 4 4 4 2 2" xfId="1030"/>
    <cellStyle name="百分比 2 4 4 5" xfId="1031"/>
    <cellStyle name="百分比 2 4 4 5 2" xfId="1032"/>
    <cellStyle name="百分比 2 4 5" xfId="1033"/>
    <cellStyle name="百分比 2 4 5 2" xfId="1034"/>
    <cellStyle name="百分比 2 4 5 2 2" xfId="1035"/>
    <cellStyle name="百分比 2 4 5 2 2 2" xfId="1036"/>
    <cellStyle name="百分比 2 4 5 3" xfId="1037"/>
    <cellStyle name="百分比 2 4 5 3 2" xfId="1038"/>
    <cellStyle name="百分比 2 4 6" xfId="1039"/>
    <cellStyle name="百分比 2 4 6 2" xfId="1040"/>
    <cellStyle name="百分比 2 4 6 2 2" xfId="1041"/>
    <cellStyle name="百分比 2 4 6 2 2 2" xfId="1042"/>
    <cellStyle name="百分比 2 4 6 3" xfId="1043"/>
    <cellStyle name="百分比 2 4 6 3 2" xfId="1044"/>
    <cellStyle name="百分比 2 4 7" xfId="1045"/>
    <cellStyle name="百分比 2 4 7 2" xfId="1046"/>
    <cellStyle name="百分比 2 5" xfId="1047"/>
    <cellStyle name="百分比 2 5 2" xfId="1048"/>
    <cellStyle name="百分比 2 5 2 2" xfId="1049"/>
    <cellStyle name="百分比 2 5 2 2 2" xfId="1050"/>
    <cellStyle name="百分比 2 5 2 2 2 2" xfId="1051"/>
    <cellStyle name="百分比 2 5 2 3" xfId="1052"/>
    <cellStyle name="百分比 2 5 2 3 2" xfId="1053"/>
    <cellStyle name="百分比 2 5 3" xfId="1054"/>
    <cellStyle name="百分比 2 5 3 2" xfId="1055"/>
    <cellStyle name="百分比 2 5 3 2 2" xfId="1056"/>
    <cellStyle name="百分比 2 5 3 2 2 2" xfId="1057"/>
    <cellStyle name="百分比 2 5 3 3" xfId="1058"/>
    <cellStyle name="百分比 2 5 3 3 2" xfId="1059"/>
    <cellStyle name="百分比 2 5 4" xfId="1060"/>
    <cellStyle name="百分比 2 5 4 2" xfId="1061"/>
    <cellStyle name="百分比 2 5 4 2 2" xfId="1062"/>
    <cellStyle name="百分比 2 5 5" xfId="1063"/>
    <cellStyle name="百分比 2 5 5 2" xfId="1064"/>
    <cellStyle name="百分比 2 6" xfId="1065"/>
    <cellStyle name="百分比 2 6 2" xfId="1066"/>
    <cellStyle name="百分比 2 6 2 2" xfId="1067"/>
    <cellStyle name="百分比 2 6 2 2 2" xfId="1068"/>
    <cellStyle name="百分比 2 6 2 2 2 2" xfId="1069"/>
    <cellStyle name="百分比 2 6 2 3" xfId="1070"/>
    <cellStyle name="百分比 2 6 2 3 2" xfId="1071"/>
    <cellStyle name="百分比 2 6 3" xfId="1072"/>
    <cellStyle name="百分比 2 6 3 2" xfId="1073"/>
    <cellStyle name="百分比 2 6 3 2 2" xfId="1074"/>
    <cellStyle name="百分比 2 6 3 2 2 2" xfId="1075"/>
    <cellStyle name="百分比 2 6 3 3" xfId="1076"/>
    <cellStyle name="百分比 2 6 3 3 2" xfId="1077"/>
    <cellStyle name="百分比 2 6 4" xfId="1078"/>
    <cellStyle name="百分比 2 6 4 2" xfId="1079"/>
    <cellStyle name="百分比 2 6 4 2 2" xfId="1080"/>
    <cellStyle name="百分比 2 6 5" xfId="1081"/>
    <cellStyle name="百分比 2 6 5 2" xfId="1082"/>
    <cellStyle name="百分比 2 7" xfId="1083"/>
    <cellStyle name="百分比 2 7 2" xfId="1084"/>
    <cellStyle name="百分比 2 7 2 2" xfId="1085"/>
    <cellStyle name="百分比 2 7 2 2 2" xfId="1086"/>
    <cellStyle name="百分比 2 7 3" xfId="1087"/>
    <cellStyle name="百分比 2 7 3 2" xfId="1088"/>
    <cellStyle name="百分比 2 8" xfId="1089"/>
    <cellStyle name="百分比 2 8 2" xfId="1090"/>
    <cellStyle name="百分比 2 8 2 2" xfId="1091"/>
    <cellStyle name="百分比 2 8 2 2 2" xfId="1092"/>
    <cellStyle name="百分比 2 8 3" xfId="1093"/>
    <cellStyle name="百分比 2 8 3 2" xfId="1094"/>
    <cellStyle name="百分比 2 9" xfId="1095"/>
    <cellStyle name="百分比 2 9 2" xfId="1096"/>
    <cellStyle name="百分比 3" xfId="1097"/>
    <cellStyle name="百分比 3 2" xfId="1098"/>
    <cellStyle name="百分比 3 2 2" xfId="1099"/>
    <cellStyle name="百分比 3 2 2 2" xfId="1100"/>
    <cellStyle name="百分比 3 2 2 2 2" xfId="1101"/>
    <cellStyle name="百分比 3 2 2 2 2 2" xfId="1102"/>
    <cellStyle name="百分比 3 2 2 2 2 2 2" xfId="1103"/>
    <cellStyle name="百分比 3 2 2 2 3" xfId="1104"/>
    <cellStyle name="百分比 3 2 2 2 3 2" xfId="1105"/>
    <cellStyle name="百分比 3 2 2 3" xfId="1106"/>
    <cellStyle name="百分比 3 2 2 3 2" xfId="1107"/>
    <cellStyle name="百分比 3 2 2 3 2 2" xfId="1108"/>
    <cellStyle name="百分比 3 2 2 3 2 2 2" xfId="1109"/>
    <cellStyle name="百分比 3 2 2 3 3" xfId="1110"/>
    <cellStyle name="百分比 3 2 2 3 3 2" xfId="1111"/>
    <cellStyle name="百分比 3 2 2 4" xfId="1112"/>
    <cellStyle name="百分比 3 2 2 4 2" xfId="1113"/>
    <cellStyle name="百分比 3 2 2 4 2 2" xfId="1114"/>
    <cellStyle name="百分比 3 2 2 5" xfId="1115"/>
    <cellStyle name="百分比 3 2 2 5 2" xfId="1116"/>
    <cellStyle name="百分比 3 2 2 6" xfId="1117"/>
    <cellStyle name="百分比 3 2 3" xfId="1118"/>
    <cellStyle name="百分比 3 2 3 2" xfId="1119"/>
    <cellStyle name="百分比 3 2 3 2 2" xfId="1120"/>
    <cellStyle name="百分比 3 2 3 2 2 2" xfId="1121"/>
    <cellStyle name="百分比 3 2 3 2 2 2 2" xfId="1122"/>
    <cellStyle name="百分比 3 2 3 2 3" xfId="1123"/>
    <cellStyle name="百分比 3 2 3 2 3 2" xfId="1124"/>
    <cellStyle name="百分比 3 2 3 3" xfId="1125"/>
    <cellStyle name="百分比 3 2 3 3 2" xfId="1126"/>
    <cellStyle name="百分比 3 2 3 3 2 2" xfId="1127"/>
    <cellStyle name="百分比 3 2 3 3 2 2 2" xfId="1128"/>
    <cellStyle name="百分比 3 2 3 3 3" xfId="1129"/>
    <cellStyle name="百分比 3 2 3 3 3 2" xfId="1130"/>
    <cellStyle name="百分比 3 2 3 4" xfId="1131"/>
    <cellStyle name="百分比 3 2 3 4 2" xfId="1132"/>
    <cellStyle name="百分比 3 2 3 4 2 2" xfId="1133"/>
    <cellStyle name="百分比 3 2 3 5" xfId="1134"/>
    <cellStyle name="百分比 3 2 3 5 2" xfId="1135"/>
    <cellStyle name="百分比 3 2 3 6" xfId="1136"/>
    <cellStyle name="百分比 3 2 4" xfId="1137"/>
    <cellStyle name="百分比 3 2 4 2" xfId="1138"/>
    <cellStyle name="百分比 3 2 4 2 2" xfId="1139"/>
    <cellStyle name="百分比 3 2 4 2 2 2" xfId="1140"/>
    <cellStyle name="百分比 3 2 4 3" xfId="1141"/>
    <cellStyle name="百分比 3 2 4 3 2" xfId="1142"/>
    <cellStyle name="百分比 3 2 4 4" xfId="1143"/>
    <cellStyle name="百分比 3 2 5" xfId="1144"/>
    <cellStyle name="百分比 3 2 5 2" xfId="1145"/>
    <cellStyle name="百分比 3 2 5 2 2" xfId="1146"/>
    <cellStyle name="百分比 3 2 5 2 2 2" xfId="1147"/>
    <cellStyle name="百分比 3 2 5 3" xfId="1148"/>
    <cellStyle name="百分比 3 2 5 3 2" xfId="1149"/>
    <cellStyle name="百分比 3 2 6" xfId="1150"/>
    <cellStyle name="百分比 3 2 6 2" xfId="1151"/>
    <cellStyle name="百分比 3 2 7" xfId="1152"/>
    <cellStyle name="百分比 3 3" xfId="1153"/>
    <cellStyle name="百分比 3 3 2" xfId="1154"/>
    <cellStyle name="百分比 3 3 2 2" xfId="1155"/>
    <cellStyle name="百分比 3 3 2 2 2" xfId="1156"/>
    <cellStyle name="百分比 3 3 2 2 2 2" xfId="1157"/>
    <cellStyle name="百分比 3 3 2 3" xfId="1158"/>
    <cellStyle name="百分比 3 3 2 3 2" xfId="1159"/>
    <cellStyle name="百分比 3 3 3" xfId="1160"/>
    <cellStyle name="百分比 3 3 3 2" xfId="1161"/>
    <cellStyle name="百分比 3 3 3 2 2" xfId="1162"/>
    <cellStyle name="百分比 3 3 3 2 2 2" xfId="1163"/>
    <cellStyle name="百分比 3 3 3 3" xfId="1164"/>
    <cellStyle name="百分比 3 3 3 3 2" xfId="1165"/>
    <cellStyle name="百分比 3 3 4" xfId="1166"/>
    <cellStyle name="百分比 3 3 4 2" xfId="1167"/>
    <cellStyle name="百分比 3 3 4 2 2" xfId="1168"/>
    <cellStyle name="百分比 3 3 5" xfId="1169"/>
    <cellStyle name="百分比 3 3 5 2" xfId="1170"/>
    <cellStyle name="百分比 3 3 6" xfId="1171"/>
    <cellStyle name="百分比 3 4" xfId="1172"/>
    <cellStyle name="百分比 3 4 2" xfId="1173"/>
    <cellStyle name="百分比 3 4 2 2" xfId="1174"/>
    <cellStyle name="百分比 3 4 2 2 2" xfId="1175"/>
    <cellStyle name="百分比 3 4 2 2 2 2" xfId="1176"/>
    <cellStyle name="百分比 3 4 2 3" xfId="1177"/>
    <cellStyle name="百分比 3 4 2 3 2" xfId="1178"/>
    <cellStyle name="百分比 3 4 3" xfId="1179"/>
    <cellStyle name="百分比 3 4 3 2" xfId="1180"/>
    <cellStyle name="百分比 3 4 3 2 2" xfId="1181"/>
    <cellStyle name="百分比 3 4 3 2 2 2" xfId="1182"/>
    <cellStyle name="百分比 3 4 3 3" xfId="1183"/>
    <cellStyle name="百分比 3 4 3 3 2" xfId="1184"/>
    <cellStyle name="百分比 3 4 4" xfId="1185"/>
    <cellStyle name="百分比 3 4 4 2" xfId="1186"/>
    <cellStyle name="百分比 3 4 4 2 2" xfId="1187"/>
    <cellStyle name="百分比 3 4 5" xfId="1188"/>
    <cellStyle name="百分比 3 4 5 2" xfId="1189"/>
    <cellStyle name="百分比 3 4 6" xfId="1190"/>
    <cellStyle name="百分比 3 5" xfId="1191"/>
    <cellStyle name="百分比 3 5 2" xfId="1192"/>
    <cellStyle name="百分比 3 5 2 2" xfId="1193"/>
    <cellStyle name="百分比 3 5 2 2 2" xfId="1194"/>
    <cellStyle name="百分比 3 5 3" xfId="1195"/>
    <cellStyle name="百分比 3 5 3 2" xfId="1196"/>
    <cellStyle name="百分比 3 5 4" xfId="1197"/>
    <cellStyle name="百分比 3 6" xfId="1198"/>
    <cellStyle name="百分比 3 6 2" xfId="1199"/>
    <cellStyle name="百分比 3 6 2 2" xfId="1200"/>
    <cellStyle name="百分比 3 6 2 2 2" xfId="1201"/>
    <cellStyle name="百分比 3 6 3" xfId="1202"/>
    <cellStyle name="百分比 3 6 3 2" xfId="1203"/>
    <cellStyle name="百分比 3 6 4" xfId="1204"/>
    <cellStyle name="百分比 3 7" xfId="1205"/>
    <cellStyle name="百分比 3 7 2" xfId="1206"/>
    <cellStyle name="百分比 4" xfId="1207"/>
    <cellStyle name="百分比 4 2" xfId="1208"/>
    <cellStyle name="百分比 4 2 2" xfId="1209"/>
    <cellStyle name="百分比 4 2 2 2" xfId="1210"/>
    <cellStyle name="百分比 4 2 2 2 2" xfId="1211"/>
    <cellStyle name="百分比 4 2 2 2 2 2" xfId="1212"/>
    <cellStyle name="百分比 4 2 2 2 2 2 2" xfId="1213"/>
    <cellStyle name="百分比 4 2 2 2 3" xfId="1214"/>
    <cellStyle name="百分比 4 2 2 2 3 2" xfId="1215"/>
    <cellStyle name="百分比 4 2 2 3" xfId="1216"/>
    <cellStyle name="百分比 4 2 2 3 2" xfId="1217"/>
    <cellStyle name="百分比 4 2 2 3 2 2" xfId="1218"/>
    <cellStyle name="百分比 4 2 2 3 2 2 2" xfId="1219"/>
    <cellStyle name="百分比 4 2 2 3 3" xfId="1220"/>
    <cellStyle name="百分比 4 2 2 3 3 2" xfId="1221"/>
    <cellStyle name="百分比 4 2 2 4" xfId="1222"/>
    <cellStyle name="百分比 4 2 2 4 2" xfId="1223"/>
    <cellStyle name="百分比 4 2 2 4 2 2" xfId="1224"/>
    <cellStyle name="百分比 4 2 2 5" xfId="1225"/>
    <cellStyle name="百分比 4 2 2 5 2" xfId="1226"/>
    <cellStyle name="百分比 4 2 3" xfId="1227"/>
    <cellStyle name="百分比 4 2 3 2" xfId="1228"/>
    <cellStyle name="百分比 4 2 3 2 2" xfId="1229"/>
    <cellStyle name="百分比 4 2 3 2 2 2" xfId="1230"/>
    <cellStyle name="百分比 4 2 3 2 2 2 2" xfId="1231"/>
    <cellStyle name="百分比 4 2 3 2 3" xfId="1232"/>
    <cellStyle name="百分比 4 2 3 2 3 2" xfId="1233"/>
    <cellStyle name="百分比 4 2 3 3" xfId="1234"/>
    <cellStyle name="百分比 4 2 3 3 2" xfId="1235"/>
    <cellStyle name="百分比 4 2 3 3 2 2" xfId="1236"/>
    <cellStyle name="百分比 4 2 3 3 2 2 2" xfId="1237"/>
    <cellStyle name="百分比 4 2 3 3 3" xfId="1238"/>
    <cellStyle name="百分比 4 2 3 3 3 2" xfId="1239"/>
    <cellStyle name="百分比 4 2 3 4" xfId="1240"/>
    <cellStyle name="百分比 4 2 3 4 2" xfId="1241"/>
    <cellStyle name="百分比 4 2 3 4 2 2" xfId="1242"/>
    <cellStyle name="百分比 4 2 3 5" xfId="1243"/>
    <cellStyle name="百分比 4 2 3 5 2" xfId="1244"/>
    <cellStyle name="百分比 4 2 4" xfId="1245"/>
    <cellStyle name="百分比 4 2 4 2" xfId="1246"/>
    <cellStyle name="百分比 4 2 4 2 2" xfId="1247"/>
    <cellStyle name="百分比 4 2 4 2 2 2" xfId="1248"/>
    <cellStyle name="百分比 4 2 4 3" xfId="1249"/>
    <cellStyle name="百分比 4 2 4 3 2" xfId="1250"/>
    <cellStyle name="百分比 4 2 5" xfId="1251"/>
    <cellStyle name="百分比 4 2 5 2" xfId="1252"/>
    <cellStyle name="百分比 4 2 5 2 2" xfId="1253"/>
    <cellStyle name="百分比 4 2 5 2 2 2" xfId="1254"/>
    <cellStyle name="百分比 4 2 5 3" xfId="1255"/>
    <cellStyle name="百分比 4 2 5 3 2" xfId="1256"/>
    <cellStyle name="百分比 4 2 6" xfId="1257"/>
    <cellStyle name="百分比 4 2 6 2" xfId="1258"/>
    <cellStyle name="百分比 4 3" xfId="1259"/>
    <cellStyle name="百分比 4 3 2" xfId="1260"/>
    <cellStyle name="百分比 4 3 2 2" xfId="1261"/>
    <cellStyle name="百分比 4 3 2 2 2" xfId="1262"/>
    <cellStyle name="百分比 4 3 2 2 2 2" xfId="1263"/>
    <cellStyle name="百分比 4 3 2 3" xfId="1264"/>
    <cellStyle name="百分比 4 3 2 3 2" xfId="1265"/>
    <cellStyle name="百分比 4 3 3" xfId="1266"/>
    <cellStyle name="百分比 4 3 3 2" xfId="1267"/>
    <cellStyle name="百分比 4 3 3 2 2" xfId="1268"/>
    <cellStyle name="百分比 4 3 3 2 2 2" xfId="1269"/>
    <cellStyle name="百分比 4 3 3 3" xfId="1270"/>
    <cellStyle name="百分比 4 3 3 3 2" xfId="1271"/>
    <cellStyle name="百分比 4 3 4" xfId="1272"/>
    <cellStyle name="百分比 4 3 4 2" xfId="1273"/>
    <cellStyle name="百分比 4 3 4 2 2" xfId="1274"/>
    <cellStyle name="百分比 4 3 5" xfId="1275"/>
    <cellStyle name="百分比 4 3 5 2" xfId="1276"/>
    <cellStyle name="百分比 4 3 6" xfId="1277"/>
    <cellStyle name="百分比 4 4" xfId="1278"/>
    <cellStyle name="百分比 4 4 2" xfId="1279"/>
    <cellStyle name="百分比 4 4 2 2" xfId="1280"/>
    <cellStyle name="百分比 4 4 2 2 2" xfId="1281"/>
    <cellStyle name="百分比 4 4 2 2 2 2" xfId="1282"/>
    <cellStyle name="百分比 4 4 2 3" xfId="1283"/>
    <cellStyle name="百分比 4 4 2 3 2" xfId="1284"/>
    <cellStyle name="百分比 4 4 3" xfId="1285"/>
    <cellStyle name="百分比 4 4 3 2" xfId="1286"/>
    <cellStyle name="百分比 4 4 3 2 2" xfId="1287"/>
    <cellStyle name="百分比 4 4 3 2 2 2" xfId="1288"/>
    <cellStyle name="百分比 4 4 3 3" xfId="1289"/>
    <cellStyle name="百分比 4 4 3 3 2" xfId="1290"/>
    <cellStyle name="百分比 4 4 4" xfId="1291"/>
    <cellStyle name="百分比 4 4 4 2" xfId="1292"/>
    <cellStyle name="百分比 4 4 4 2 2" xfId="1293"/>
    <cellStyle name="百分比 4 4 5" xfId="1294"/>
    <cellStyle name="百分比 4 4 5 2" xfId="1295"/>
    <cellStyle name="百分比 4 4 6" xfId="1296"/>
    <cellStyle name="百分比 4 5" xfId="1297"/>
    <cellStyle name="百分比 4 5 2" xfId="1298"/>
    <cellStyle name="百分比 4 5 2 2" xfId="1299"/>
    <cellStyle name="百分比 4 5 2 2 2" xfId="1300"/>
    <cellStyle name="百分比 4 5 3" xfId="1301"/>
    <cellStyle name="百分比 4 5 3 2" xfId="1302"/>
    <cellStyle name="百分比 4 5 4" xfId="1303"/>
    <cellStyle name="百分比 4 6" xfId="1304"/>
    <cellStyle name="百分比 4 6 2" xfId="1305"/>
    <cellStyle name="百分比 4 6 2 2" xfId="1306"/>
    <cellStyle name="百分比 4 6 2 2 2" xfId="1307"/>
    <cellStyle name="百分比 4 6 3" xfId="1308"/>
    <cellStyle name="百分比 4 6 3 2" xfId="1309"/>
    <cellStyle name="百分比 4 7" xfId="1310"/>
    <cellStyle name="百分比 4 7 2" xfId="1311"/>
    <cellStyle name="百分比 5" xfId="1312"/>
    <cellStyle name="百分比 5 2" xfId="1313"/>
    <cellStyle name="百分比 5 2 2" xfId="1314"/>
    <cellStyle name="百分比 5 2 2 2" xfId="1315"/>
    <cellStyle name="百分比 5 2 2 2 2" xfId="1316"/>
    <cellStyle name="百分比 5 2 3" xfId="1317"/>
    <cellStyle name="百分比 5 2 3 2" xfId="1318"/>
    <cellStyle name="百分比 5 3" xfId="1319"/>
    <cellStyle name="百分比 5 3 2" xfId="1320"/>
    <cellStyle name="百分比 5 3 2 2" xfId="1321"/>
    <cellStyle name="百分比 5 3 2 2 2" xfId="1322"/>
    <cellStyle name="百分比 5 3 3" xfId="1323"/>
    <cellStyle name="百分比 5 3 3 2" xfId="1324"/>
    <cellStyle name="百分比 5 4" xfId="1325"/>
    <cellStyle name="百分比 5 4 2" xfId="1326"/>
    <cellStyle name="百分比 5 4 2 2" xfId="1327"/>
    <cellStyle name="百分比 5 5" xfId="1328"/>
    <cellStyle name="百分比 5 5 2" xfId="1329"/>
    <cellStyle name="百分比 5 6" xfId="1330"/>
    <cellStyle name="百分比 6" xfId="1331"/>
    <cellStyle name="百分比 6 2" xfId="1332"/>
    <cellStyle name="百分比 6 2 2" xfId="1333"/>
    <cellStyle name="百分比 6 2 2 2" xfId="1334"/>
    <cellStyle name="百分比 6 2 2 2 2" xfId="1335"/>
    <cellStyle name="百分比 6 2 3" xfId="1336"/>
    <cellStyle name="百分比 6 2 3 2" xfId="1337"/>
    <cellStyle name="百分比 6 3" xfId="1338"/>
    <cellStyle name="百分比 6 3 2" xfId="1339"/>
    <cellStyle name="百分比 6 3 2 2" xfId="1340"/>
    <cellStyle name="百分比 6 3 2 2 2" xfId="1341"/>
    <cellStyle name="百分比 6 3 3" xfId="1342"/>
    <cellStyle name="百分比 6 3 3 2" xfId="1343"/>
    <cellStyle name="百分比 6 4" xfId="1344"/>
    <cellStyle name="百分比 6 4 2" xfId="1345"/>
    <cellStyle name="百分比 6 4 2 2" xfId="1346"/>
    <cellStyle name="百分比 6 5" xfId="1347"/>
    <cellStyle name="百分比 6 5 2" xfId="1348"/>
    <cellStyle name="百分比 6 6" xfId="1349"/>
    <cellStyle name="百分比 7" xfId="1350"/>
    <cellStyle name="百分比 7 2" xfId="1351"/>
    <cellStyle name="百分比 7 2 2" xfId="1352"/>
    <cellStyle name="百分比 7 2 2 2" xfId="1353"/>
    <cellStyle name="百分比 7 3" xfId="1354"/>
    <cellStyle name="百分比 7 3 2" xfId="1355"/>
    <cellStyle name="百分比 7 4" xfId="1356"/>
    <cellStyle name="百分比 8" xfId="1357"/>
    <cellStyle name="百分比 8 2" xfId="1358"/>
    <cellStyle name="百分比 8 2 2" xfId="1359"/>
    <cellStyle name="百分比 8 2 2 2" xfId="1360"/>
    <cellStyle name="百分比 8 3" xfId="1361"/>
    <cellStyle name="百分比 8 3 2" xfId="1362"/>
    <cellStyle name="百分比 8 4" xfId="1363"/>
    <cellStyle name="百分比 9" xfId="1364"/>
    <cellStyle name="百分比 9 2" xfId="1365"/>
    <cellStyle name="標準 2" xfId="1366"/>
    <cellStyle name="標準 2 2" xfId="1367"/>
    <cellStyle name="標準 2 2 2" xfId="1368"/>
    <cellStyle name="標準 2 2 2 2" xfId="1369"/>
    <cellStyle name="標準 2 2 2 2 2" xfId="1370"/>
    <cellStyle name="標準 2 2 2 2 2 2" xfId="1371"/>
    <cellStyle name="標準 2 2 2 2 2 2 2" xfId="1372"/>
    <cellStyle name="標準 2 2 2 2 2 2 2 2" xfId="1373"/>
    <cellStyle name="標準 2 2 2 2 2 2 2 2 2" xfId="1374"/>
    <cellStyle name="標準 2 2 2 2 2 2 3" xfId="1375"/>
    <cellStyle name="標準 2 2 2 2 2 2 3 2" xfId="1376"/>
    <cellStyle name="標準 2 2 2 2 2 3" xfId="1377"/>
    <cellStyle name="標準 2 2 2 2 2 3 2" xfId="1378"/>
    <cellStyle name="標準 2 2 2 2 2 3 2 2" xfId="1379"/>
    <cellStyle name="標準 2 2 2 2 2 3 2 2 2" xfId="1380"/>
    <cellStyle name="標準 2 2 2 2 2 3 3" xfId="1381"/>
    <cellStyle name="標準 2 2 2 2 2 3 3 2" xfId="1382"/>
    <cellStyle name="標準 2 2 2 2 2 4" xfId="1383"/>
    <cellStyle name="標準 2 2 2 2 2 4 2" xfId="1384"/>
    <cellStyle name="標準 2 2 2 2 2 4 2 2" xfId="1385"/>
    <cellStyle name="標準 2 2 2 2 2 5" xfId="1386"/>
    <cellStyle name="標準 2 2 2 2 2 5 2" xfId="1387"/>
    <cellStyle name="標準 2 2 2 2 3" xfId="1388"/>
    <cellStyle name="標準 2 2 2 2 3 2" xfId="1389"/>
    <cellStyle name="標準 2 2 2 2 3 2 2" xfId="1390"/>
    <cellStyle name="標準 2 2 2 2 3 2 2 2" xfId="1391"/>
    <cellStyle name="標準 2 2 2 2 3 2 2 2 2" xfId="1392"/>
    <cellStyle name="標準 2 2 2 2 3 2 3" xfId="1393"/>
    <cellStyle name="標準 2 2 2 2 3 2 3 2" xfId="1394"/>
    <cellStyle name="標準 2 2 2 2 3 3" xfId="1395"/>
    <cellStyle name="標準 2 2 2 2 3 3 2" xfId="1396"/>
    <cellStyle name="標準 2 2 2 2 3 3 2 2" xfId="1397"/>
    <cellStyle name="標準 2 2 2 2 3 3 2 2 2" xfId="1398"/>
    <cellStyle name="標準 2 2 2 2 3 3 3" xfId="1399"/>
    <cellStyle name="標準 2 2 2 2 3 3 3 2" xfId="1400"/>
    <cellStyle name="標準 2 2 2 2 3 4" xfId="1401"/>
    <cellStyle name="標準 2 2 2 2 3 4 2" xfId="1402"/>
    <cellStyle name="標準 2 2 2 2 3 4 2 2" xfId="1403"/>
    <cellStyle name="標準 2 2 2 2 3 5" xfId="1404"/>
    <cellStyle name="標準 2 2 2 2 3 5 2" xfId="1405"/>
    <cellStyle name="標準 2 2 2 2 4" xfId="1406"/>
    <cellStyle name="標準 2 2 2 2 4 2" xfId="1407"/>
    <cellStyle name="標準 2 2 2 2 4 2 2" xfId="1408"/>
    <cellStyle name="標準 2 2 2 2 4 2 2 2" xfId="1409"/>
    <cellStyle name="標準 2 2 2 2 4 3" xfId="1410"/>
    <cellStyle name="標準 2 2 2 2 4 3 2" xfId="1411"/>
    <cellStyle name="標準 2 2 2 2 5" xfId="1412"/>
    <cellStyle name="標準 2 2 2 2 5 2" xfId="1413"/>
    <cellStyle name="標準 2 2 2 2 5 2 2" xfId="1414"/>
    <cellStyle name="標準 2 2 2 2 5 2 2 2" xfId="1415"/>
    <cellStyle name="標準 2 2 2 2 5 3" xfId="1416"/>
    <cellStyle name="標準 2 2 2 2 5 3 2" xfId="1417"/>
    <cellStyle name="標準 2 2 2 2 6" xfId="1418"/>
    <cellStyle name="標準 2 2 2 2 6 2" xfId="1419"/>
    <cellStyle name="標準 2 2 2 3" xfId="1420"/>
    <cellStyle name="標準 2 2 2 3 2" xfId="1421"/>
    <cellStyle name="標準 2 2 2 3 2 2" xfId="1422"/>
    <cellStyle name="標準 2 2 2 3 2 2 2" xfId="1423"/>
    <cellStyle name="標準 2 2 2 3 2 2 2 2" xfId="1424"/>
    <cellStyle name="標準 2 2 2 3 2 3" xfId="1425"/>
    <cellStyle name="標準 2 2 2 3 2 3 2" xfId="1426"/>
    <cellStyle name="標準 2 2 2 3 3" xfId="1427"/>
    <cellStyle name="標準 2 2 2 3 3 2" xfId="1428"/>
    <cellStyle name="標準 2 2 2 3 3 2 2" xfId="1429"/>
    <cellStyle name="標準 2 2 2 3 3 2 2 2" xfId="1430"/>
    <cellStyle name="標準 2 2 2 3 3 3" xfId="1431"/>
    <cellStyle name="標準 2 2 2 3 3 3 2" xfId="1432"/>
    <cellStyle name="標準 2 2 2 3 4" xfId="1433"/>
    <cellStyle name="標準 2 2 2 3 4 2" xfId="1434"/>
    <cellStyle name="標準 2 2 2 3 4 2 2" xfId="1435"/>
    <cellStyle name="標準 2 2 2 3 5" xfId="1436"/>
    <cellStyle name="標準 2 2 2 3 5 2" xfId="1437"/>
    <cellStyle name="標準 2 2 2 4" xfId="1438"/>
    <cellStyle name="標準 2 2 2 4 2" xfId="1439"/>
    <cellStyle name="標準 2 2 2 4 2 2" xfId="1440"/>
    <cellStyle name="標準 2 2 2 4 2 2 2" xfId="1441"/>
    <cellStyle name="標準 2 2 2 4 2 2 2 2" xfId="1442"/>
    <cellStyle name="標準 2 2 2 4 2 3" xfId="1443"/>
    <cellStyle name="標準 2 2 2 4 2 3 2" xfId="1444"/>
    <cellStyle name="標準 2 2 2 4 3" xfId="1445"/>
    <cellStyle name="標準 2 2 2 4 3 2" xfId="1446"/>
    <cellStyle name="標準 2 2 2 4 3 2 2" xfId="1447"/>
    <cellStyle name="標準 2 2 2 4 3 2 2 2" xfId="1448"/>
    <cellStyle name="標準 2 2 2 4 3 3" xfId="1449"/>
    <cellStyle name="標準 2 2 2 4 3 3 2" xfId="1450"/>
    <cellStyle name="標準 2 2 2 4 4" xfId="1451"/>
    <cellStyle name="標準 2 2 2 4 4 2" xfId="1452"/>
    <cellStyle name="標準 2 2 2 4 4 2 2" xfId="1453"/>
    <cellStyle name="標準 2 2 2 4 5" xfId="1454"/>
    <cellStyle name="標準 2 2 2 4 5 2" xfId="1455"/>
    <cellStyle name="標準 2 2 2 5" xfId="1456"/>
    <cellStyle name="標準 2 2 2 5 2" xfId="1457"/>
    <cellStyle name="標準 2 2 2 5 2 2" xfId="1458"/>
    <cellStyle name="標準 2 2 2 5 2 2 2" xfId="1459"/>
    <cellStyle name="標準 2 2 2 5 3" xfId="1460"/>
    <cellStyle name="標準 2 2 2 5 3 2" xfId="1461"/>
    <cellStyle name="標準 2 2 2 6" xfId="1462"/>
    <cellStyle name="標準 2 2 2 6 2" xfId="1463"/>
    <cellStyle name="標準 2 2 2 6 2 2" xfId="1464"/>
    <cellStyle name="標準 2 2 2 6 2 2 2" xfId="1465"/>
    <cellStyle name="標準 2 2 2 6 3" xfId="1466"/>
    <cellStyle name="標準 2 2 2 6 3 2" xfId="1467"/>
    <cellStyle name="標準 2 2 2 7" xfId="1468"/>
    <cellStyle name="標準 2 2 2 7 2" xfId="1469"/>
    <cellStyle name="標準 2 2 3" xfId="1470"/>
    <cellStyle name="標準 2 2 3 2" xfId="1471"/>
    <cellStyle name="標準 2 2 3 2 2" xfId="1472"/>
    <cellStyle name="標準 2 2 3 2 2 2" xfId="1473"/>
    <cellStyle name="標準 2 2 3 2 2 2 2" xfId="1474"/>
    <cellStyle name="標準 2 2 3 2 2 2 2 2" xfId="1475"/>
    <cellStyle name="標準 2 2 3 2 2 2 2 2 2" xfId="1476"/>
    <cellStyle name="標準 2 2 3 2 2 2 3" xfId="1477"/>
    <cellStyle name="標準 2 2 3 2 2 2 3 2" xfId="1478"/>
    <cellStyle name="標準 2 2 3 2 2 3" xfId="1479"/>
    <cellStyle name="標準 2 2 3 2 2 3 2" xfId="1480"/>
    <cellStyle name="標準 2 2 3 2 2 3 2 2" xfId="1481"/>
    <cellStyle name="標準 2 2 3 2 2 3 2 2 2" xfId="1482"/>
    <cellStyle name="標準 2 2 3 2 2 3 3" xfId="1483"/>
    <cellStyle name="標準 2 2 3 2 2 3 3 2" xfId="1484"/>
    <cellStyle name="標準 2 2 3 2 2 4" xfId="1485"/>
    <cellStyle name="標準 2 2 3 2 2 4 2" xfId="1486"/>
    <cellStyle name="標準 2 2 3 2 2 4 2 2" xfId="1487"/>
    <cellStyle name="標準 2 2 3 2 2 5" xfId="1488"/>
    <cellStyle name="標準 2 2 3 2 2 5 2" xfId="1489"/>
    <cellStyle name="標準 2 2 3 2 3" xfId="1490"/>
    <cellStyle name="標準 2 2 3 2 3 2" xfId="1491"/>
    <cellStyle name="標準 2 2 3 2 3 2 2" xfId="1492"/>
    <cellStyle name="標準 2 2 3 2 3 2 2 2" xfId="1493"/>
    <cellStyle name="標準 2 2 3 2 3 2 2 2 2" xfId="1494"/>
    <cellStyle name="標準 2 2 3 2 3 2 3" xfId="1495"/>
    <cellStyle name="標準 2 2 3 2 3 2 3 2" xfId="1496"/>
    <cellStyle name="標準 2 2 3 2 3 3" xfId="1497"/>
    <cellStyle name="標準 2 2 3 2 3 3 2" xfId="1498"/>
    <cellStyle name="標準 2 2 3 2 3 3 2 2" xfId="1499"/>
    <cellStyle name="標準 2 2 3 2 3 3 2 2 2" xfId="1500"/>
    <cellStyle name="標準 2 2 3 2 3 3 3" xfId="1501"/>
    <cellStyle name="標準 2 2 3 2 3 3 3 2" xfId="1502"/>
    <cellStyle name="標準 2 2 3 2 3 4" xfId="1503"/>
    <cellStyle name="標準 2 2 3 2 3 4 2" xfId="1504"/>
    <cellStyle name="標準 2 2 3 2 3 4 2 2" xfId="1505"/>
    <cellStyle name="標準 2 2 3 2 3 5" xfId="1506"/>
    <cellStyle name="標準 2 2 3 2 3 5 2" xfId="1507"/>
    <cellStyle name="標準 2 2 3 2 4" xfId="1508"/>
    <cellStyle name="標準 2 2 3 2 4 2" xfId="1509"/>
    <cellStyle name="標準 2 2 3 2 4 2 2" xfId="1510"/>
    <cellStyle name="標準 2 2 3 2 4 2 2 2" xfId="1511"/>
    <cellStyle name="標準 2 2 3 2 4 3" xfId="1512"/>
    <cellStyle name="標準 2 2 3 2 4 3 2" xfId="1513"/>
    <cellStyle name="標準 2 2 3 2 5" xfId="1514"/>
    <cellStyle name="標準 2 2 3 2 5 2" xfId="1515"/>
    <cellStyle name="標準 2 2 3 2 5 2 2" xfId="1516"/>
    <cellStyle name="標準 2 2 3 2 5 2 2 2" xfId="1517"/>
    <cellStyle name="標準 2 2 3 2 5 3" xfId="1518"/>
    <cellStyle name="標準 2 2 3 2 5 3 2" xfId="1519"/>
    <cellStyle name="標準 2 2 3 2 6" xfId="1520"/>
    <cellStyle name="標準 2 2 3 2 6 2" xfId="1521"/>
    <cellStyle name="標準 2 2 3 3" xfId="1522"/>
    <cellStyle name="標準 2 2 3 3 2" xfId="1523"/>
    <cellStyle name="標準 2 2 3 3 2 2" xfId="1524"/>
    <cellStyle name="標準 2 2 3 3 2 2 2" xfId="1525"/>
    <cellStyle name="標準 2 2 3 3 2 2 2 2" xfId="1526"/>
    <cellStyle name="標準 2 2 3 3 2 3" xfId="1527"/>
    <cellStyle name="標準 2 2 3 3 2 3 2" xfId="1528"/>
    <cellStyle name="標準 2 2 3 3 3" xfId="1529"/>
    <cellStyle name="標準 2 2 3 3 3 2" xfId="1530"/>
    <cellStyle name="標準 2 2 3 3 3 2 2" xfId="1531"/>
    <cellStyle name="標準 2 2 3 3 3 2 2 2" xfId="1532"/>
    <cellStyle name="標準 2 2 3 3 3 3" xfId="1533"/>
    <cellStyle name="標準 2 2 3 3 3 3 2" xfId="1534"/>
    <cellStyle name="標準 2 2 3 3 4" xfId="1535"/>
    <cellStyle name="標準 2 2 3 3 4 2" xfId="1536"/>
    <cellStyle name="標準 2 2 3 3 4 2 2" xfId="1537"/>
    <cellStyle name="標準 2 2 3 3 5" xfId="1538"/>
    <cellStyle name="標準 2 2 3 3 5 2" xfId="1539"/>
    <cellStyle name="標準 2 2 3 4" xfId="1540"/>
    <cellStyle name="標準 2 2 3 4 2" xfId="1541"/>
    <cellStyle name="標準 2 2 3 4 2 2" xfId="1542"/>
    <cellStyle name="標準 2 2 3 4 2 2 2" xfId="1543"/>
    <cellStyle name="標準 2 2 3 4 2 2 2 2" xfId="1544"/>
    <cellStyle name="標準 2 2 3 4 2 3" xfId="1545"/>
    <cellStyle name="標準 2 2 3 4 2 3 2" xfId="1546"/>
    <cellStyle name="標準 2 2 3 4 3" xfId="1547"/>
    <cellStyle name="標準 2 2 3 4 3 2" xfId="1548"/>
    <cellStyle name="標準 2 2 3 4 3 2 2" xfId="1549"/>
    <cellStyle name="標準 2 2 3 4 3 2 2 2" xfId="1550"/>
    <cellStyle name="標準 2 2 3 4 3 3" xfId="1551"/>
    <cellStyle name="標準 2 2 3 4 3 3 2" xfId="1552"/>
    <cellStyle name="標準 2 2 3 4 4" xfId="1553"/>
    <cellStyle name="標準 2 2 3 4 4 2" xfId="1554"/>
    <cellStyle name="標準 2 2 3 4 4 2 2" xfId="1555"/>
    <cellStyle name="標準 2 2 3 4 5" xfId="1556"/>
    <cellStyle name="標準 2 2 3 4 5 2" xfId="1557"/>
    <cellStyle name="標準 2 2 3 5" xfId="1558"/>
    <cellStyle name="標準 2 2 3 5 2" xfId="1559"/>
    <cellStyle name="標準 2 2 3 5 2 2" xfId="1560"/>
    <cellStyle name="標準 2 2 3 5 2 2 2" xfId="1561"/>
    <cellStyle name="標準 2 2 3 5 3" xfId="1562"/>
    <cellStyle name="標準 2 2 3 5 3 2" xfId="1563"/>
    <cellStyle name="標準 2 2 3 6" xfId="1564"/>
    <cellStyle name="標準 2 2 3 6 2" xfId="1565"/>
    <cellStyle name="標準 2 2 3 6 2 2" xfId="1566"/>
    <cellStyle name="標準 2 2 3 6 2 2 2" xfId="1567"/>
    <cellStyle name="標準 2 2 3 6 3" xfId="1568"/>
    <cellStyle name="標準 2 2 3 6 3 2" xfId="1569"/>
    <cellStyle name="標準 2 2 3 7" xfId="1570"/>
    <cellStyle name="標準 2 2 3 7 2" xfId="1571"/>
    <cellStyle name="標準 2 2 4" xfId="1572"/>
    <cellStyle name="標準 2 2 4 2" xfId="1573"/>
    <cellStyle name="標準 2 2 4 2 2" xfId="1574"/>
    <cellStyle name="標準 2 2 4 2 2 2" xfId="1575"/>
    <cellStyle name="標準 2 2 4 2 2 2 2" xfId="1576"/>
    <cellStyle name="標準 2 2 4 2 2 2 2 2" xfId="1577"/>
    <cellStyle name="標準 2 2 4 2 2 3" xfId="1578"/>
    <cellStyle name="標準 2 2 4 2 2 3 2" xfId="1579"/>
    <cellStyle name="標準 2 2 4 2 3" xfId="1580"/>
    <cellStyle name="標準 2 2 4 2 3 2" xfId="1581"/>
    <cellStyle name="標準 2 2 4 2 3 2 2" xfId="1582"/>
    <cellStyle name="標準 2 2 4 2 3 2 2 2" xfId="1583"/>
    <cellStyle name="標準 2 2 4 2 3 3" xfId="1584"/>
    <cellStyle name="標準 2 2 4 2 3 3 2" xfId="1585"/>
    <cellStyle name="標準 2 2 4 2 4" xfId="1586"/>
    <cellStyle name="標準 2 2 4 2 4 2" xfId="1587"/>
    <cellStyle name="標準 2 2 4 2 4 2 2" xfId="1588"/>
    <cellStyle name="標準 2 2 4 2 5" xfId="1589"/>
    <cellStyle name="標準 2 2 4 2 5 2" xfId="1590"/>
    <cellStyle name="標準 2 2 4 3" xfId="1591"/>
    <cellStyle name="標準 2 2 4 3 2" xfId="1592"/>
    <cellStyle name="標準 2 2 4 3 2 2" xfId="1593"/>
    <cellStyle name="標準 2 2 4 3 2 2 2" xfId="1594"/>
    <cellStyle name="標準 2 2 4 3 2 2 2 2" xfId="1595"/>
    <cellStyle name="標準 2 2 4 3 2 3" xfId="1596"/>
    <cellStyle name="標準 2 2 4 3 2 3 2" xfId="1597"/>
    <cellStyle name="標準 2 2 4 3 3" xfId="1598"/>
    <cellStyle name="標準 2 2 4 3 3 2" xfId="1599"/>
    <cellStyle name="標準 2 2 4 3 3 2 2" xfId="1600"/>
    <cellStyle name="標準 2 2 4 3 3 2 2 2" xfId="1601"/>
    <cellStyle name="標準 2 2 4 3 3 3" xfId="1602"/>
    <cellStyle name="標準 2 2 4 3 3 3 2" xfId="1603"/>
    <cellStyle name="標準 2 2 4 3 4" xfId="1604"/>
    <cellStyle name="標準 2 2 4 3 4 2" xfId="1605"/>
    <cellStyle name="標準 2 2 4 3 4 2 2" xfId="1606"/>
    <cellStyle name="標準 2 2 4 3 5" xfId="1607"/>
    <cellStyle name="標準 2 2 4 3 5 2" xfId="1608"/>
    <cellStyle name="標準 2 2 4 4" xfId="1609"/>
    <cellStyle name="標準 2 2 4 4 2" xfId="1610"/>
    <cellStyle name="標準 2 2 4 4 2 2" xfId="1611"/>
    <cellStyle name="標準 2 2 4 4 2 2 2" xfId="1612"/>
    <cellStyle name="標準 2 2 4 4 3" xfId="1613"/>
    <cellStyle name="標準 2 2 4 4 3 2" xfId="1614"/>
    <cellStyle name="標準 2 2 4 5" xfId="1615"/>
    <cellStyle name="標準 2 2 4 5 2" xfId="1616"/>
    <cellStyle name="標準 2 2 4 5 2 2" xfId="1617"/>
    <cellStyle name="標準 2 2 4 5 2 2 2" xfId="1618"/>
    <cellStyle name="標準 2 2 4 5 3" xfId="1619"/>
    <cellStyle name="標準 2 2 4 5 3 2" xfId="1620"/>
    <cellStyle name="標準 2 2 4 6" xfId="1621"/>
    <cellStyle name="標準 2 2 4 6 2" xfId="1622"/>
    <cellStyle name="標準 2 2 5" xfId="1623"/>
    <cellStyle name="標準 2 2 5 2" xfId="1624"/>
    <cellStyle name="標準 2 2 5 2 2" xfId="1625"/>
    <cellStyle name="標準 2 2 5 2 2 2" xfId="1626"/>
    <cellStyle name="標準 2 2 5 2 2 2 2" xfId="1627"/>
    <cellStyle name="標準 2 2 5 2 3" xfId="1628"/>
    <cellStyle name="標準 2 2 5 2 3 2" xfId="1629"/>
    <cellStyle name="標準 2 2 5 3" xfId="1630"/>
    <cellStyle name="標準 2 2 5 3 2" xfId="1631"/>
    <cellStyle name="標準 2 2 5 3 2 2" xfId="1632"/>
    <cellStyle name="標準 2 2 5 3 2 2 2" xfId="1633"/>
    <cellStyle name="標準 2 2 5 3 3" xfId="1634"/>
    <cellStyle name="標準 2 2 5 3 3 2" xfId="1635"/>
    <cellStyle name="標準 2 2 5 4" xfId="1636"/>
    <cellStyle name="標準 2 2 5 4 2" xfId="1637"/>
    <cellStyle name="標準 2 2 5 4 2 2" xfId="1638"/>
    <cellStyle name="標準 2 2 5 5" xfId="1639"/>
    <cellStyle name="標準 2 2 5 5 2" xfId="1640"/>
    <cellStyle name="標準 2 2 6" xfId="1641"/>
    <cellStyle name="標準 2 2 6 2" xfId="1642"/>
    <cellStyle name="標準 2 2 6 2 2" xfId="1643"/>
    <cellStyle name="標準 2 2 6 2 2 2" xfId="1644"/>
    <cellStyle name="標準 2 2 6 2 2 2 2" xfId="1645"/>
    <cellStyle name="標準 2 2 6 2 3" xfId="1646"/>
    <cellStyle name="標準 2 2 6 2 3 2" xfId="1647"/>
    <cellStyle name="標準 2 2 6 3" xfId="1648"/>
    <cellStyle name="標準 2 2 6 3 2" xfId="1649"/>
    <cellStyle name="標準 2 2 6 3 2 2" xfId="1650"/>
    <cellStyle name="標準 2 2 6 3 2 2 2" xfId="1651"/>
    <cellStyle name="標準 2 2 6 3 3" xfId="1652"/>
    <cellStyle name="標準 2 2 6 3 3 2" xfId="1653"/>
    <cellStyle name="標準 2 2 6 4" xfId="1654"/>
    <cellStyle name="標準 2 2 6 4 2" xfId="1655"/>
    <cellStyle name="標準 2 2 6 4 2 2" xfId="1656"/>
    <cellStyle name="標準 2 2 6 5" xfId="1657"/>
    <cellStyle name="標準 2 2 6 5 2" xfId="1658"/>
    <cellStyle name="標準 2 2 7" xfId="1659"/>
    <cellStyle name="標準 2 2 7 2" xfId="1660"/>
    <cellStyle name="標準 2 2 7 2 2" xfId="1661"/>
    <cellStyle name="標準 2 2 7 2 2 2" xfId="1662"/>
    <cellStyle name="標準 2 2 7 3" xfId="1663"/>
    <cellStyle name="標準 2 2 7 3 2" xfId="1664"/>
    <cellStyle name="標準 2 2 8" xfId="1665"/>
    <cellStyle name="標準 2 2 8 2" xfId="1666"/>
    <cellStyle name="標準 2 2 8 2 2" xfId="1667"/>
    <cellStyle name="標準 2 2 8 2 2 2" xfId="1668"/>
    <cellStyle name="標準 2 2 8 3" xfId="1669"/>
    <cellStyle name="標準 2 2 8 3 2" xfId="1670"/>
    <cellStyle name="標準 2 2 9" xfId="1671"/>
    <cellStyle name="標準 2 2 9 2" xfId="1672"/>
    <cellStyle name="標準 2 3" xfId="1673"/>
    <cellStyle name="標準 2 3 2" xfId="1674"/>
    <cellStyle name="標準 2 3 2 2" xfId="1675"/>
    <cellStyle name="標準 2 3 2 2 2" xfId="1676"/>
    <cellStyle name="標準 2 3 2 2 2 2" xfId="1677"/>
    <cellStyle name="標準 2 3 2 2 2 2 2" xfId="1678"/>
    <cellStyle name="標準 2 3 2 2 2 2 2 2" xfId="1679"/>
    <cellStyle name="標準 2 3 2 2 2 3" xfId="1680"/>
    <cellStyle name="標準 2 3 2 2 2 3 2" xfId="1681"/>
    <cellStyle name="標準 2 3 2 2 3" xfId="1682"/>
    <cellStyle name="標準 2 3 2 2 3 2" xfId="1683"/>
    <cellStyle name="標準 2 3 2 2 3 2 2" xfId="1684"/>
    <cellStyle name="標準 2 3 2 2 3 2 2 2" xfId="1685"/>
    <cellStyle name="標準 2 3 2 2 3 3" xfId="1686"/>
    <cellStyle name="標準 2 3 2 2 3 3 2" xfId="1687"/>
    <cellStyle name="標準 2 3 2 2 4" xfId="1688"/>
    <cellStyle name="標準 2 3 2 2 4 2" xfId="1689"/>
    <cellStyle name="標準 2 3 2 2 4 2 2" xfId="1690"/>
    <cellStyle name="標準 2 3 2 2 5" xfId="1691"/>
    <cellStyle name="標準 2 3 2 2 5 2" xfId="1692"/>
    <cellStyle name="標準 2 3 2 3" xfId="1693"/>
    <cellStyle name="標準 2 3 2 3 2" xfId="1694"/>
    <cellStyle name="標準 2 3 2 3 2 2" xfId="1695"/>
    <cellStyle name="標準 2 3 2 3 2 2 2" xfId="1696"/>
    <cellStyle name="標準 2 3 2 3 2 2 2 2" xfId="1697"/>
    <cellStyle name="標準 2 3 2 3 2 3" xfId="1698"/>
    <cellStyle name="標準 2 3 2 3 2 3 2" xfId="1699"/>
    <cellStyle name="標準 2 3 2 3 3" xfId="1700"/>
    <cellStyle name="標準 2 3 2 3 3 2" xfId="1701"/>
    <cellStyle name="標準 2 3 2 3 3 2 2" xfId="1702"/>
    <cellStyle name="標準 2 3 2 3 3 2 2 2" xfId="1703"/>
    <cellStyle name="標準 2 3 2 3 3 3" xfId="1704"/>
    <cellStyle name="標準 2 3 2 3 3 3 2" xfId="1705"/>
    <cellStyle name="標準 2 3 2 3 4" xfId="1706"/>
    <cellStyle name="標準 2 3 2 3 4 2" xfId="1707"/>
    <cellStyle name="標準 2 3 2 3 4 2 2" xfId="1708"/>
    <cellStyle name="標準 2 3 2 3 5" xfId="1709"/>
    <cellStyle name="標準 2 3 2 3 5 2" xfId="1710"/>
    <cellStyle name="標準 2 3 2 4" xfId="1711"/>
    <cellStyle name="標準 2 3 2 4 2" xfId="1712"/>
    <cellStyle name="標準 2 3 2 4 2 2" xfId="1713"/>
    <cellStyle name="標準 2 3 2 4 2 2 2" xfId="1714"/>
    <cellStyle name="標準 2 3 2 4 3" xfId="1715"/>
    <cellStyle name="標準 2 3 2 4 3 2" xfId="1716"/>
    <cellStyle name="標準 2 3 2 5" xfId="1717"/>
    <cellStyle name="標準 2 3 2 5 2" xfId="1718"/>
    <cellStyle name="標準 2 3 2 5 2 2" xfId="1719"/>
    <cellStyle name="標準 2 3 2 5 2 2 2" xfId="1720"/>
    <cellStyle name="標準 2 3 2 5 3" xfId="1721"/>
    <cellStyle name="標準 2 3 2 5 3 2" xfId="1722"/>
    <cellStyle name="標準 2 3 2 6" xfId="1723"/>
    <cellStyle name="標準 2 3 2 6 2" xfId="1724"/>
    <cellStyle name="標準 2 3 3" xfId="1725"/>
    <cellStyle name="標準 2 3 3 2" xfId="1726"/>
    <cellStyle name="標準 2 3 3 2 2" xfId="1727"/>
    <cellStyle name="標準 2 3 3 2 2 2" xfId="1728"/>
    <cellStyle name="標準 2 3 3 2 2 2 2" xfId="1729"/>
    <cellStyle name="標準 2 3 3 2 3" xfId="1730"/>
    <cellStyle name="標準 2 3 3 2 3 2" xfId="1731"/>
    <cellStyle name="標準 2 3 3 3" xfId="1732"/>
    <cellStyle name="標準 2 3 3 3 2" xfId="1733"/>
    <cellStyle name="標準 2 3 3 3 2 2" xfId="1734"/>
    <cellStyle name="標準 2 3 3 3 2 2 2" xfId="1735"/>
    <cellStyle name="標準 2 3 3 3 3" xfId="1736"/>
    <cellStyle name="標準 2 3 3 3 3 2" xfId="1737"/>
    <cellStyle name="標準 2 3 3 4" xfId="1738"/>
    <cellStyle name="標準 2 3 3 4 2" xfId="1739"/>
    <cellStyle name="標準 2 3 3 4 2 2" xfId="1740"/>
    <cellStyle name="標準 2 3 3 5" xfId="1741"/>
    <cellStyle name="標準 2 3 3 5 2" xfId="1742"/>
    <cellStyle name="標準 2 3 4" xfId="1743"/>
    <cellStyle name="標準 2 3 4 2" xfId="1744"/>
    <cellStyle name="標準 2 3 4 2 2" xfId="1745"/>
    <cellStyle name="標準 2 3 4 2 2 2" xfId="1746"/>
    <cellStyle name="標準 2 3 4 2 2 2 2" xfId="1747"/>
    <cellStyle name="標準 2 3 4 2 3" xfId="1748"/>
    <cellStyle name="標準 2 3 4 2 3 2" xfId="1749"/>
    <cellStyle name="標準 2 3 4 3" xfId="1750"/>
    <cellStyle name="標準 2 3 4 3 2" xfId="1751"/>
    <cellStyle name="標準 2 3 4 3 2 2" xfId="1752"/>
    <cellStyle name="標準 2 3 4 3 2 2 2" xfId="1753"/>
    <cellStyle name="標準 2 3 4 3 3" xfId="1754"/>
    <cellStyle name="標準 2 3 4 3 3 2" xfId="1755"/>
    <cellStyle name="標準 2 3 4 4" xfId="1756"/>
    <cellStyle name="標準 2 3 4 4 2" xfId="1757"/>
    <cellStyle name="標準 2 3 4 4 2 2" xfId="1758"/>
    <cellStyle name="標準 2 3 4 5" xfId="1759"/>
    <cellStyle name="標準 2 3 4 5 2" xfId="1760"/>
    <cellStyle name="標準 2 3 5" xfId="1761"/>
    <cellStyle name="標準 2 3 5 2" xfId="1762"/>
    <cellStyle name="標準 2 3 5 2 2" xfId="1763"/>
    <cellStyle name="標準 2 3 5 2 2 2" xfId="1764"/>
    <cellStyle name="標準 2 3 5 3" xfId="1765"/>
    <cellStyle name="標準 2 3 5 3 2" xfId="1766"/>
    <cellStyle name="標準 2 3 6" xfId="1767"/>
    <cellStyle name="標準 2 3 6 2" xfId="1768"/>
    <cellStyle name="標準 2 3 6 2 2" xfId="1769"/>
    <cellStyle name="標準 2 3 6 2 2 2" xfId="1770"/>
    <cellStyle name="標準 2 3 6 3" xfId="1771"/>
    <cellStyle name="標準 2 3 6 3 2" xfId="1772"/>
    <cellStyle name="標準 2 3 7" xfId="1773"/>
    <cellStyle name="標準 2 3 7 2" xfId="1774"/>
    <cellStyle name="標準 2 4" xfId="1775"/>
    <cellStyle name="標準 2 4 2" xfId="1776"/>
    <cellStyle name="標準 2 4 2 2" xfId="1777"/>
    <cellStyle name="標準 2 4 2 2 2" xfId="1778"/>
    <cellStyle name="標準 2 4 2 2 2 2" xfId="1779"/>
    <cellStyle name="標準 2 4 2 2 2 2 2" xfId="1780"/>
    <cellStyle name="標準 2 4 2 2 2 2 2 2" xfId="1781"/>
    <cellStyle name="標準 2 4 2 2 2 3" xfId="1782"/>
    <cellStyle name="標準 2 4 2 2 2 3 2" xfId="1783"/>
    <cellStyle name="標準 2 4 2 2 3" xfId="1784"/>
    <cellStyle name="標準 2 4 2 2 3 2" xfId="1785"/>
    <cellStyle name="標準 2 4 2 2 3 2 2" xfId="1786"/>
    <cellStyle name="標準 2 4 2 2 3 2 2 2" xfId="1787"/>
    <cellStyle name="標準 2 4 2 2 3 3" xfId="1788"/>
    <cellStyle name="標準 2 4 2 2 3 3 2" xfId="1789"/>
    <cellStyle name="標準 2 4 2 2 4" xfId="1790"/>
    <cellStyle name="標準 2 4 2 2 4 2" xfId="1791"/>
    <cellStyle name="標準 2 4 2 2 4 2 2" xfId="1792"/>
    <cellStyle name="標準 2 4 2 2 5" xfId="1793"/>
    <cellStyle name="標準 2 4 2 2 5 2" xfId="1794"/>
    <cellStyle name="標準 2 4 2 3" xfId="1795"/>
    <cellStyle name="標準 2 4 2 3 2" xfId="1796"/>
    <cellStyle name="標準 2 4 2 3 2 2" xfId="1797"/>
    <cellStyle name="標準 2 4 2 3 2 2 2" xfId="1798"/>
    <cellStyle name="標準 2 4 2 3 2 2 2 2" xfId="1799"/>
    <cellStyle name="標準 2 4 2 3 2 3" xfId="1800"/>
    <cellStyle name="標準 2 4 2 3 2 3 2" xfId="1801"/>
    <cellStyle name="標準 2 4 2 3 3" xfId="1802"/>
    <cellStyle name="標準 2 4 2 3 3 2" xfId="1803"/>
    <cellStyle name="標準 2 4 2 3 3 2 2" xfId="1804"/>
    <cellStyle name="標準 2 4 2 3 3 2 2 2" xfId="1805"/>
    <cellStyle name="標準 2 4 2 3 3 3" xfId="1806"/>
    <cellStyle name="標準 2 4 2 3 3 3 2" xfId="1807"/>
    <cellStyle name="標準 2 4 2 3 4" xfId="1808"/>
    <cellStyle name="標準 2 4 2 3 4 2" xfId="1809"/>
    <cellStyle name="標準 2 4 2 3 4 2 2" xfId="1810"/>
    <cellStyle name="標準 2 4 2 3 5" xfId="1811"/>
    <cellStyle name="標準 2 4 2 3 5 2" xfId="1812"/>
    <cellStyle name="標準 2 4 2 4" xfId="1813"/>
    <cellStyle name="標準 2 4 2 4 2" xfId="1814"/>
    <cellStyle name="標準 2 4 2 4 2 2" xfId="1815"/>
    <cellStyle name="標準 2 4 2 4 2 2 2" xfId="1816"/>
    <cellStyle name="標準 2 4 2 4 3" xfId="1817"/>
    <cellStyle name="標準 2 4 2 4 3 2" xfId="1818"/>
    <cellStyle name="標準 2 4 2 5" xfId="1819"/>
    <cellStyle name="標準 2 4 2 5 2" xfId="1820"/>
    <cellStyle name="標準 2 4 2 5 2 2" xfId="1821"/>
    <cellStyle name="標準 2 4 2 5 2 2 2" xfId="1822"/>
    <cellStyle name="標準 2 4 2 5 3" xfId="1823"/>
    <cellStyle name="標準 2 4 2 5 3 2" xfId="1824"/>
    <cellStyle name="標準 2 4 2 6" xfId="1825"/>
    <cellStyle name="標準 2 4 2 6 2" xfId="1826"/>
    <cellStyle name="標準 2 4 3" xfId="1827"/>
    <cellStyle name="標準 2 4 3 2" xfId="1828"/>
    <cellStyle name="標準 2 4 3 2 2" xfId="1829"/>
    <cellStyle name="標準 2 4 3 2 2 2" xfId="1830"/>
    <cellStyle name="標準 2 4 3 2 2 2 2" xfId="1831"/>
    <cellStyle name="標準 2 4 3 2 3" xfId="1832"/>
    <cellStyle name="標準 2 4 3 2 3 2" xfId="1833"/>
    <cellStyle name="標準 2 4 3 3" xfId="1834"/>
    <cellStyle name="標準 2 4 3 3 2" xfId="1835"/>
    <cellStyle name="標準 2 4 3 3 2 2" xfId="1836"/>
    <cellStyle name="標準 2 4 3 3 2 2 2" xfId="1837"/>
    <cellStyle name="標準 2 4 3 3 3" xfId="1838"/>
    <cellStyle name="標準 2 4 3 3 3 2" xfId="1839"/>
    <cellStyle name="標準 2 4 3 4" xfId="1840"/>
    <cellStyle name="標準 2 4 3 4 2" xfId="1841"/>
    <cellStyle name="標準 2 4 3 4 2 2" xfId="1842"/>
    <cellStyle name="標準 2 4 3 5" xfId="1843"/>
    <cellStyle name="標準 2 4 3 5 2" xfId="1844"/>
    <cellStyle name="標準 2 4 4" xfId="1845"/>
    <cellStyle name="標準 2 4 4 2" xfId="1846"/>
    <cellStyle name="標準 2 4 4 2 2" xfId="1847"/>
    <cellStyle name="標準 2 4 4 2 2 2" xfId="1848"/>
    <cellStyle name="標準 2 4 4 2 2 2 2" xfId="1849"/>
    <cellStyle name="標準 2 4 4 2 3" xfId="1850"/>
    <cellStyle name="標準 2 4 4 2 3 2" xfId="1851"/>
    <cellStyle name="標準 2 4 4 3" xfId="1852"/>
    <cellStyle name="標準 2 4 4 3 2" xfId="1853"/>
    <cellStyle name="標準 2 4 4 3 2 2" xfId="1854"/>
    <cellStyle name="標準 2 4 4 3 2 2 2" xfId="1855"/>
    <cellStyle name="標準 2 4 4 3 3" xfId="1856"/>
    <cellStyle name="標準 2 4 4 3 3 2" xfId="1857"/>
    <cellStyle name="標準 2 4 4 4" xfId="1858"/>
    <cellStyle name="標準 2 4 4 4 2" xfId="1859"/>
    <cellStyle name="標準 2 4 4 4 2 2" xfId="1860"/>
    <cellStyle name="標準 2 4 4 5" xfId="1861"/>
    <cellStyle name="標準 2 4 4 5 2" xfId="1862"/>
    <cellStyle name="標準 2 4 5" xfId="1863"/>
    <cellStyle name="標準 2 4 5 2" xfId="1864"/>
    <cellStyle name="標準 2 4 5 2 2" xfId="1865"/>
    <cellStyle name="標準 2 4 5 2 2 2" xfId="1866"/>
    <cellStyle name="標準 2 4 5 3" xfId="1867"/>
    <cellStyle name="標準 2 4 5 3 2" xfId="1868"/>
    <cellStyle name="標準 2 4 6" xfId="1869"/>
    <cellStyle name="標準 2 4 6 2" xfId="1870"/>
    <cellStyle name="標準 2 4 6 2 2" xfId="1871"/>
    <cellStyle name="標準 2 4 6 2 2 2" xfId="1872"/>
    <cellStyle name="標準 2 4 6 3" xfId="1873"/>
    <cellStyle name="標準 2 4 6 3 2" xfId="1874"/>
    <cellStyle name="標準 2 4 7" xfId="1875"/>
    <cellStyle name="標準 2 4 7 2" xfId="1876"/>
    <cellStyle name="標準 2 5" xfId="1877"/>
    <cellStyle name="標準 2 5 2" xfId="1878"/>
    <cellStyle name="標準 2 5 2 2" xfId="1879"/>
    <cellStyle name="標準 2 5 2 2 2" xfId="1880"/>
    <cellStyle name="標準 2 5 2 2 2 2" xfId="1881"/>
    <cellStyle name="標準 2 5 2 3" xfId="1882"/>
    <cellStyle name="標準 2 5 2 3 2" xfId="1883"/>
    <cellStyle name="標準 2 5 3" xfId="1884"/>
    <cellStyle name="標準 2 5 3 2" xfId="1885"/>
    <cellStyle name="標準 2 5 3 2 2" xfId="1886"/>
    <cellStyle name="標準 2 5 3 2 2 2" xfId="1887"/>
    <cellStyle name="標準 2 5 3 3" xfId="1888"/>
    <cellStyle name="標準 2 5 3 3 2" xfId="1889"/>
    <cellStyle name="標準 2 5 4" xfId="1890"/>
    <cellStyle name="標準 2 5 4 2" xfId="1891"/>
    <cellStyle name="標準 2 5 4 2 2" xfId="1892"/>
    <cellStyle name="標準 2 5 5" xfId="1893"/>
    <cellStyle name="標準 2 5 5 2" xfId="1894"/>
    <cellStyle name="標準 2 6" xfId="1895"/>
    <cellStyle name="標準 2 6 2" xfId="1896"/>
    <cellStyle name="標準 2 6 2 2" xfId="1897"/>
    <cellStyle name="標準 2 6 2 2 2" xfId="1898"/>
    <cellStyle name="標準 2 6 2 2 2 2" xfId="1899"/>
    <cellStyle name="標準 2 6 2 3" xfId="1900"/>
    <cellStyle name="標準 2 6 2 3 2" xfId="1901"/>
    <cellStyle name="標準 2 6 3" xfId="1902"/>
    <cellStyle name="標準 2 6 3 2" xfId="1903"/>
    <cellStyle name="標準 2 6 3 2 2" xfId="1904"/>
    <cellStyle name="標準 2 6 3 2 2 2" xfId="1905"/>
    <cellStyle name="標準 2 6 3 3" xfId="1906"/>
    <cellStyle name="標準 2 6 3 3 2" xfId="1907"/>
    <cellStyle name="標準 2 6 4" xfId="1908"/>
    <cellStyle name="標準 2 6 4 2" xfId="1909"/>
    <cellStyle name="標準 2 6 4 2 2" xfId="1910"/>
    <cellStyle name="標準 2 6 5" xfId="1911"/>
    <cellStyle name="標準 2 6 5 2" xfId="1912"/>
    <cellStyle name="標準 2 7" xfId="1913"/>
    <cellStyle name="標準 2 7 2" xfId="1914"/>
    <cellStyle name="標準 2 7 2 2" xfId="1915"/>
    <cellStyle name="標準 2 7 2 2 2" xfId="1916"/>
    <cellStyle name="標準 2 7 3" xfId="1917"/>
    <cellStyle name="標準 2 7 3 2" xfId="1918"/>
    <cellStyle name="標準 2 8" xfId="1919"/>
    <cellStyle name="標準 2 8 2" xfId="1920"/>
    <cellStyle name="標準 2 8 2 2" xfId="1921"/>
    <cellStyle name="標準 2 8 2 2 2" xfId="1922"/>
    <cellStyle name="標準 2 8 3" xfId="1923"/>
    <cellStyle name="標準 2 8 3 2" xfId="1924"/>
    <cellStyle name="標準 2 9" xfId="1925"/>
    <cellStyle name="標準 2 9 2" xfId="1926"/>
    <cellStyle name="標準 3" xfId="1927"/>
    <cellStyle name="標準 3 2" xfId="1928"/>
    <cellStyle name="標準 3 2 2" xfId="1929"/>
    <cellStyle name="標準 3 2 2 2" xfId="1930"/>
    <cellStyle name="標準 3 2 3" xfId="1931"/>
    <cellStyle name="標準 3 3" xfId="1932"/>
    <cellStyle name="標準 3 3 2" xfId="1933"/>
    <cellStyle name="標準 3 3 3" xfId="1934"/>
    <cellStyle name="標準 3 4" xfId="1935"/>
    <cellStyle name="標準 3 5" xfId="1936"/>
    <cellStyle name="標準 4" xfId="1937"/>
    <cellStyle name="常规" xfId="0" builtinId="0"/>
    <cellStyle name="常规 10" xfId="1938"/>
    <cellStyle name="常规 10 2" xfId="1939"/>
    <cellStyle name="常规 10 2 2" xfId="1940"/>
    <cellStyle name="常规 10 2 2 2" xfId="1941"/>
    <cellStyle name="常规 10 2 2 3" xfId="1942"/>
    <cellStyle name="常规 10 2 2 4" xfId="1943"/>
    <cellStyle name="常规 10 2 2 5" xfId="1944"/>
    <cellStyle name="常规 10 2 3" xfId="1945"/>
    <cellStyle name="常规 10 3" xfId="1946"/>
    <cellStyle name="常规 10 4" xfId="1947"/>
    <cellStyle name="常规 10 5" xfId="1948"/>
    <cellStyle name="常规 11" xfId="1949"/>
    <cellStyle name="常规 11 2" xfId="1950"/>
    <cellStyle name="常规 11 3" xfId="1951"/>
    <cellStyle name="常规 11 4" xfId="1952"/>
    <cellStyle name="常规 12" xfId="1953"/>
    <cellStyle name="常规 12 2" xfId="1954"/>
    <cellStyle name="常规 13" xfId="1955"/>
    <cellStyle name="常规 13 2" xfId="1956"/>
    <cellStyle name="常规 13 3" xfId="1957"/>
    <cellStyle name="常规 13 4" xfId="1958"/>
    <cellStyle name="常规 14" xfId="1959"/>
    <cellStyle name="常规 14 2" xfId="1960"/>
    <cellStyle name="常规 15" xfId="1961"/>
    <cellStyle name="常规 15 2" xfId="1962"/>
    <cellStyle name="常规 16" xfId="1963"/>
    <cellStyle name="常规 16 2" xfId="1964"/>
    <cellStyle name="常规 17" xfId="1965"/>
    <cellStyle name="常规 17 2" xfId="1966"/>
    <cellStyle name="常规 18" xfId="1967"/>
    <cellStyle name="常规 18 2" xfId="1968"/>
    <cellStyle name="常规 18 3" xfId="1969"/>
    <cellStyle name="常规 18 4" xfId="1970"/>
    <cellStyle name="常规 18 5" xfId="1971"/>
    <cellStyle name="常规 19" xfId="1972"/>
    <cellStyle name="常规 2" xfId="1973"/>
    <cellStyle name="常规 2 2" xfId="1974"/>
    <cellStyle name="常规 2 2 2" xfId="1975"/>
    <cellStyle name="常规 2 2 2 2" xfId="1976"/>
    <cellStyle name="常规 2 2 2 2 2" xfId="1977"/>
    <cellStyle name="常规 2 2 2 2 2 2" xfId="1978"/>
    <cellStyle name="常规 2 2 2 2 2 2 2" xfId="1979"/>
    <cellStyle name="常规 2 2 2 2 2 2 2 2" xfId="1980"/>
    <cellStyle name="常规 2 2 2 2 2 3" xfId="1981"/>
    <cellStyle name="常规 2 2 2 2 2 3 2" xfId="1982"/>
    <cellStyle name="常规 2 2 2 2 3" xfId="1983"/>
    <cellStyle name="常规 2 2 2 2 3 2" xfId="1984"/>
    <cellStyle name="常规 2 2 2 2 3 2 2" xfId="1985"/>
    <cellStyle name="常规 2 2 2 2 3 2 2 2" xfId="1986"/>
    <cellStyle name="常规 2 2 2 2 3 3" xfId="1987"/>
    <cellStyle name="常规 2 2 2 2 3 3 2" xfId="1988"/>
    <cellStyle name="常规 2 2 2 2 4" xfId="1989"/>
    <cellStyle name="常规 2 2 2 2 4 2" xfId="1990"/>
    <cellStyle name="常规 2 2 2 2 4 2 2" xfId="1991"/>
    <cellStyle name="常规 2 2 2 2 5" xfId="1992"/>
    <cellStyle name="常规 2 2 2 2 5 2" xfId="1993"/>
    <cellStyle name="常规 2 2 2 2 6" xfId="1994"/>
    <cellStyle name="常规 2 2 2 3" xfId="1995"/>
    <cellStyle name="常规 2 2 2 3 2" xfId="1996"/>
    <cellStyle name="常规 2 2 2 3 2 2" xfId="1997"/>
    <cellStyle name="常规 2 2 2 3 2 2 2" xfId="1998"/>
    <cellStyle name="常规 2 2 2 3 2 2 2 2" xfId="1999"/>
    <cellStyle name="常规 2 2 2 3 2 3" xfId="2000"/>
    <cellStyle name="常规 2 2 2 3 2 3 2" xfId="2001"/>
    <cellStyle name="常规 2 2 2 3 3" xfId="2002"/>
    <cellStyle name="常规 2 2 2 3 3 2" xfId="2003"/>
    <cellStyle name="常规 2 2 2 3 3 2 2" xfId="2004"/>
    <cellStyle name="常规 2 2 2 3 3 2 2 2" xfId="2005"/>
    <cellStyle name="常规 2 2 2 3 3 3" xfId="2006"/>
    <cellStyle name="常规 2 2 2 3 3 3 2" xfId="2007"/>
    <cellStyle name="常规 2 2 2 3 4" xfId="2008"/>
    <cellStyle name="常规 2 2 2 3 4 2" xfId="2009"/>
    <cellStyle name="常规 2 2 2 3 4 2 2" xfId="2010"/>
    <cellStyle name="常规 2 2 2 3 5" xfId="2011"/>
    <cellStyle name="常规 2 2 2 3 5 2" xfId="2012"/>
    <cellStyle name="常规 2 2 2 3 6" xfId="2013"/>
    <cellStyle name="常规 2 2 2 4" xfId="2014"/>
    <cellStyle name="常规 2 2 2 4 2" xfId="2015"/>
    <cellStyle name="常规 2 2 2 4 2 2" xfId="2016"/>
    <cellStyle name="常规 2 2 2 4 2 2 2" xfId="2017"/>
    <cellStyle name="常规 2 2 2 4 3" xfId="2018"/>
    <cellStyle name="常规 2 2 2 4 3 2" xfId="2019"/>
    <cellStyle name="常规 2 2 2 5" xfId="2020"/>
    <cellStyle name="常规 2 2 2 5 2" xfId="2021"/>
    <cellStyle name="常规 2 2 2 5 2 2" xfId="2022"/>
    <cellStyle name="常规 2 2 2 5 2 2 2" xfId="2023"/>
    <cellStyle name="常规 2 2 2 5 3" xfId="2024"/>
    <cellStyle name="常规 2 2 2 5 3 2" xfId="2025"/>
    <cellStyle name="常规 2 2 2 6" xfId="2026"/>
    <cellStyle name="常规 2 2 2 6 2" xfId="2027"/>
    <cellStyle name="常规 2 2 3" xfId="2028"/>
    <cellStyle name="常规 2 2 3 2" xfId="2029"/>
    <cellStyle name="常规 2 2 3 2 2" xfId="2030"/>
    <cellStyle name="常规 2 2 3 2 2 2" xfId="2031"/>
    <cellStyle name="常规 2 2 3 2 2 2 2" xfId="2032"/>
    <cellStyle name="常规 2 2 3 2 3" xfId="2033"/>
    <cellStyle name="常规 2 2 3 2 3 2" xfId="2034"/>
    <cellStyle name="常规 2 2 3 3" xfId="2035"/>
    <cellStyle name="常规 2 2 3 3 2" xfId="2036"/>
    <cellStyle name="常规 2 2 3 3 2 2" xfId="2037"/>
    <cellStyle name="常规 2 2 3 3 2 2 2" xfId="2038"/>
    <cellStyle name="常规 2 2 3 3 3" xfId="2039"/>
    <cellStyle name="常规 2 2 3 3 3 2" xfId="2040"/>
    <cellStyle name="常规 2 2 3 4" xfId="2041"/>
    <cellStyle name="常规 2 2 3 4 2" xfId="2042"/>
    <cellStyle name="常规 2 2 3 4 2 2" xfId="2043"/>
    <cellStyle name="常规 2 2 3 5" xfId="2044"/>
    <cellStyle name="常规 2 2 3 5 2" xfId="2045"/>
    <cellStyle name="常规 2 2 3 6" xfId="2046"/>
    <cellStyle name="常规 2 2 4" xfId="2047"/>
    <cellStyle name="常规 2 2 4 2" xfId="2048"/>
    <cellStyle name="常规 2 2 4 2 2" xfId="2049"/>
    <cellStyle name="常规 2 2 4 2 2 2" xfId="2050"/>
    <cellStyle name="常规 2 2 4 2 2 2 2" xfId="2051"/>
    <cellStyle name="常规 2 2 4 2 3" xfId="2052"/>
    <cellStyle name="常规 2 2 4 2 3 2" xfId="2053"/>
    <cellStyle name="常规 2 2 4 3" xfId="2054"/>
    <cellStyle name="常规 2 2 4 3 2" xfId="2055"/>
    <cellStyle name="常规 2 2 4 3 2 2" xfId="2056"/>
    <cellStyle name="常规 2 2 4 3 2 2 2" xfId="2057"/>
    <cellStyle name="常规 2 2 4 3 3" xfId="2058"/>
    <cellStyle name="常规 2 2 4 3 3 2" xfId="2059"/>
    <cellStyle name="常规 2 2 4 4" xfId="2060"/>
    <cellStyle name="常规 2 2 4 4 2" xfId="2061"/>
    <cellStyle name="常规 2 2 4 4 2 2" xfId="2062"/>
    <cellStyle name="常规 2 2 4 5" xfId="2063"/>
    <cellStyle name="常规 2 2 4 5 2" xfId="2064"/>
    <cellStyle name="常规 2 2 4 6" xfId="2065"/>
    <cellStyle name="常规 2 2 5" xfId="2066"/>
    <cellStyle name="常规 2 2 5 2" xfId="2067"/>
    <cellStyle name="常规 2 2 5 2 2" xfId="2068"/>
    <cellStyle name="常规 2 2 5 2 2 2" xfId="2069"/>
    <cellStyle name="常规 2 2 5 3" xfId="2070"/>
    <cellStyle name="常规 2 2 5 3 2" xfId="2071"/>
    <cellStyle name="常规 2 2 5 4" xfId="2072"/>
    <cellStyle name="常规 2 2 6" xfId="2073"/>
    <cellStyle name="常规 2 2 6 2" xfId="2074"/>
    <cellStyle name="常规 2 2 6 2 2" xfId="2075"/>
    <cellStyle name="常规 2 2 6 2 2 2" xfId="2076"/>
    <cellStyle name="常规 2 2 6 3" xfId="2077"/>
    <cellStyle name="常规 2 2 6 3 2" xfId="2078"/>
    <cellStyle name="常规 2 2 6 4" xfId="2079"/>
    <cellStyle name="常规 2 2 7" xfId="2080"/>
    <cellStyle name="常规 2 2 7 2" xfId="2081"/>
    <cellStyle name="常规 2 3" xfId="2082"/>
    <cellStyle name="常规 2 3 2" xfId="2083"/>
    <cellStyle name="常规 2 3 2 2" xfId="2084"/>
    <cellStyle name="常规 2 3 2 2 2" xfId="2085"/>
    <cellStyle name="常规 2 3 2 2 2 2" xfId="2086"/>
    <cellStyle name="常规 2 3 2 2 2 2 2" xfId="2087"/>
    <cellStyle name="常规 2 3 2 2 2 2 2 2" xfId="2088"/>
    <cellStyle name="常规 2 3 2 2 2 3" xfId="2089"/>
    <cellStyle name="常规 2 3 2 2 2 3 2" xfId="2090"/>
    <cellStyle name="常规 2 3 2 2 3" xfId="2091"/>
    <cellStyle name="常规 2 3 2 2 3 2" xfId="2092"/>
    <cellStyle name="常规 2 3 2 2 3 2 2" xfId="2093"/>
    <cellStyle name="常规 2 3 2 2 3 2 2 2" xfId="2094"/>
    <cellStyle name="常规 2 3 2 2 3 3" xfId="2095"/>
    <cellStyle name="常规 2 3 2 2 3 3 2" xfId="2096"/>
    <cellStyle name="常规 2 3 2 2 4" xfId="2097"/>
    <cellStyle name="常规 2 3 2 2 4 2" xfId="2098"/>
    <cellStyle name="常规 2 3 2 2 4 2 2" xfId="2099"/>
    <cellStyle name="常规 2 3 2 2 5" xfId="2100"/>
    <cellStyle name="常规 2 3 2 2 5 2" xfId="2101"/>
    <cellStyle name="常规 2 3 2 3" xfId="2102"/>
    <cellStyle name="常规 2 3 2 3 2" xfId="2103"/>
    <cellStyle name="常规 2 3 2 3 2 2" xfId="2104"/>
    <cellStyle name="常规 2 3 2 3 2 2 2" xfId="2105"/>
    <cellStyle name="常规 2 3 2 3 2 2 2 2" xfId="2106"/>
    <cellStyle name="常规 2 3 2 3 2 3" xfId="2107"/>
    <cellStyle name="常规 2 3 2 3 2 3 2" xfId="2108"/>
    <cellStyle name="常规 2 3 2 3 3" xfId="2109"/>
    <cellStyle name="常规 2 3 2 3 3 2" xfId="2110"/>
    <cellStyle name="常规 2 3 2 3 3 2 2" xfId="2111"/>
    <cellStyle name="常规 2 3 2 3 3 2 2 2" xfId="2112"/>
    <cellStyle name="常规 2 3 2 3 3 3" xfId="2113"/>
    <cellStyle name="常规 2 3 2 3 3 3 2" xfId="2114"/>
    <cellStyle name="常规 2 3 2 3 4" xfId="2115"/>
    <cellStyle name="常规 2 3 2 3 4 2" xfId="2116"/>
    <cellStyle name="常规 2 3 2 3 4 2 2" xfId="2117"/>
    <cellStyle name="常规 2 3 2 3 5" xfId="2118"/>
    <cellStyle name="常规 2 3 2 3 5 2" xfId="2119"/>
    <cellStyle name="常规 2 3 2 4" xfId="2120"/>
    <cellStyle name="常规 2 3 2 4 2" xfId="2121"/>
    <cellStyle name="常规 2 3 2 4 2 2" xfId="2122"/>
    <cellStyle name="常规 2 3 2 4 2 2 2" xfId="2123"/>
    <cellStyle name="常规 2 3 2 4 3" xfId="2124"/>
    <cellStyle name="常规 2 3 2 4 3 2" xfId="2125"/>
    <cellStyle name="常规 2 3 2 5" xfId="2126"/>
    <cellStyle name="常规 2 3 2 5 2" xfId="2127"/>
    <cellStyle name="常规 2 3 2 5 2 2" xfId="2128"/>
    <cellStyle name="常规 2 3 2 5 2 2 2" xfId="2129"/>
    <cellStyle name="常规 2 3 2 5 3" xfId="2130"/>
    <cellStyle name="常规 2 3 2 5 3 2" xfId="2131"/>
    <cellStyle name="常规 2 3 2 6" xfId="2132"/>
    <cellStyle name="常规 2 3 2 6 2" xfId="2133"/>
    <cellStyle name="常规 2 3 3" xfId="2134"/>
    <cellStyle name="常规 2 3 3 2" xfId="2135"/>
    <cellStyle name="常规 2 3 3 2 2" xfId="2136"/>
    <cellStyle name="常规 2 3 3 2 2 2" xfId="2137"/>
    <cellStyle name="常规 2 3 3 2 2 2 2" xfId="2138"/>
    <cellStyle name="常规 2 3 3 2 3" xfId="2139"/>
    <cellStyle name="常规 2 3 3 2 3 2" xfId="2140"/>
    <cellStyle name="常规 2 3 3 3" xfId="2141"/>
    <cellStyle name="常规 2 3 3 3 2" xfId="2142"/>
    <cellStyle name="常规 2 3 3 3 2 2" xfId="2143"/>
    <cellStyle name="常规 2 3 3 3 2 2 2" xfId="2144"/>
    <cellStyle name="常规 2 3 3 3 3" xfId="2145"/>
    <cellStyle name="常规 2 3 3 3 3 2" xfId="2146"/>
    <cellStyle name="常规 2 3 3 4" xfId="2147"/>
    <cellStyle name="常规 2 3 3 4 2" xfId="2148"/>
    <cellStyle name="常规 2 3 3 4 2 2" xfId="2149"/>
    <cellStyle name="常规 2 3 3 5" xfId="2150"/>
    <cellStyle name="常规 2 3 3 5 2" xfId="2151"/>
    <cellStyle name="常规 2 3 4" xfId="2152"/>
    <cellStyle name="常规 2 3 4 2" xfId="2153"/>
    <cellStyle name="常规 2 3 4 2 2" xfId="2154"/>
    <cellStyle name="常规 2 3 4 2 2 2" xfId="2155"/>
    <cellStyle name="常规 2 3 4 2 2 2 2" xfId="2156"/>
    <cellStyle name="常规 2 3 4 2 3" xfId="2157"/>
    <cellStyle name="常规 2 3 4 2 3 2" xfId="2158"/>
    <cellStyle name="常规 2 3 4 3" xfId="2159"/>
    <cellStyle name="常规 2 3 4 3 2" xfId="2160"/>
    <cellStyle name="常规 2 3 4 3 2 2" xfId="2161"/>
    <cellStyle name="常规 2 3 4 3 2 2 2" xfId="2162"/>
    <cellStyle name="常规 2 3 4 3 3" xfId="2163"/>
    <cellStyle name="常规 2 3 4 3 3 2" xfId="2164"/>
    <cellStyle name="常规 2 3 4 4" xfId="2165"/>
    <cellStyle name="常规 2 3 4 4 2" xfId="2166"/>
    <cellStyle name="常规 2 3 4 4 2 2" xfId="2167"/>
    <cellStyle name="常规 2 3 4 5" xfId="2168"/>
    <cellStyle name="常规 2 3 4 5 2" xfId="2169"/>
    <cellStyle name="常规 2 3 5" xfId="2170"/>
    <cellStyle name="常规 2 3 5 2" xfId="2171"/>
    <cellStyle name="常规 2 3 5 2 2" xfId="2172"/>
    <cellStyle name="常规 2 3 5 2 2 2" xfId="2173"/>
    <cellStyle name="常规 2 3 5 3" xfId="2174"/>
    <cellStyle name="常规 2 3 5 3 2" xfId="2175"/>
    <cellStyle name="常规 2 3 6" xfId="2176"/>
    <cellStyle name="常规 2 3 6 2" xfId="2177"/>
    <cellStyle name="常规 2 3 6 2 2" xfId="2178"/>
    <cellStyle name="常规 2 3 6 2 2 2" xfId="2179"/>
    <cellStyle name="常规 2 3 6 3" xfId="2180"/>
    <cellStyle name="常规 2 3 6 3 2" xfId="2181"/>
    <cellStyle name="常规 2 3 7" xfId="2182"/>
    <cellStyle name="常规 2 3 7 2" xfId="2183"/>
    <cellStyle name="常规 2 4" xfId="2184"/>
    <cellStyle name="常规 2 4 2" xfId="2185"/>
    <cellStyle name="常规 2 4 2 2" xfId="2186"/>
    <cellStyle name="常规 2 4 2 2 2" xfId="2187"/>
    <cellStyle name="常规 2 4 2 2 2 2" xfId="2188"/>
    <cellStyle name="常规 2 4 2 2 2 2 2" xfId="2189"/>
    <cellStyle name="常规 2 4 2 2 3" xfId="2190"/>
    <cellStyle name="常规 2 4 2 2 3 2" xfId="2191"/>
    <cellStyle name="常规 2 4 2 3" xfId="2192"/>
    <cellStyle name="常规 2 4 2 3 2" xfId="2193"/>
    <cellStyle name="常规 2 4 2 3 2 2" xfId="2194"/>
    <cellStyle name="常规 2 4 2 3 2 2 2" xfId="2195"/>
    <cellStyle name="常规 2 4 2 3 3" xfId="2196"/>
    <cellStyle name="常规 2 4 2 3 3 2" xfId="2197"/>
    <cellStyle name="常规 2 4 2 4" xfId="2198"/>
    <cellStyle name="常规 2 4 2 4 2" xfId="2199"/>
    <cellStyle name="常规 2 4 2 4 2 2" xfId="2200"/>
    <cellStyle name="常规 2 4 2 5" xfId="2201"/>
    <cellStyle name="常规 2 4 2 5 2" xfId="2202"/>
    <cellStyle name="常规 2 4 3" xfId="2203"/>
    <cellStyle name="常规 2 4 3 2" xfId="2204"/>
    <cellStyle name="常规 2 4 3 2 2" xfId="2205"/>
    <cellStyle name="常规 2 4 3 2 2 2" xfId="2206"/>
    <cellStyle name="常规 2 4 3 2 2 2 2" xfId="2207"/>
    <cellStyle name="常规 2 4 3 2 3" xfId="2208"/>
    <cellStyle name="常规 2 4 3 2 3 2" xfId="2209"/>
    <cellStyle name="常规 2 4 3 3" xfId="2210"/>
    <cellStyle name="常规 2 4 3 3 2" xfId="2211"/>
    <cellStyle name="常规 2 4 3 3 2 2" xfId="2212"/>
    <cellStyle name="常规 2 4 3 3 2 2 2" xfId="2213"/>
    <cellStyle name="常规 2 4 3 3 3" xfId="2214"/>
    <cellStyle name="常规 2 4 3 3 3 2" xfId="2215"/>
    <cellStyle name="常规 2 4 3 4" xfId="2216"/>
    <cellStyle name="常规 2 4 3 4 2" xfId="2217"/>
    <cellStyle name="常规 2 4 3 4 2 2" xfId="2218"/>
    <cellStyle name="常规 2 4 3 5" xfId="2219"/>
    <cellStyle name="常规 2 4 3 5 2" xfId="2220"/>
    <cellStyle name="常规 2 4 4" xfId="2221"/>
    <cellStyle name="常规 2 4 4 2" xfId="2222"/>
    <cellStyle name="常规 2 4 4 2 2" xfId="2223"/>
    <cellStyle name="常规 2 4 4 2 2 2" xfId="2224"/>
    <cellStyle name="常规 2 4 4 3" xfId="2225"/>
    <cellStyle name="常规 2 4 4 3 2" xfId="2226"/>
    <cellStyle name="常规 2 4 5" xfId="2227"/>
    <cellStyle name="常规 2 4 5 2" xfId="2228"/>
    <cellStyle name="常规 2 4 5 2 2" xfId="2229"/>
    <cellStyle name="常规 2 4 5 2 2 2" xfId="2230"/>
    <cellStyle name="常规 2 4 5 3" xfId="2231"/>
    <cellStyle name="常规 2 4 5 3 2" xfId="2232"/>
    <cellStyle name="常规 2 4 6" xfId="2233"/>
    <cellStyle name="常规 2 4 6 2" xfId="2234"/>
    <cellStyle name="常规 2 5" xfId="2235"/>
    <cellStyle name="常规 2 5 2" xfId="2236"/>
    <cellStyle name="常规 2 5 2 2" xfId="2237"/>
    <cellStyle name="常规 2 5 2 2 2" xfId="2238"/>
    <cellStyle name="常规 2 5 2 2 2 2" xfId="2239"/>
    <cellStyle name="常规 2 5 2 3" xfId="2240"/>
    <cellStyle name="常规 2 5 2 3 2" xfId="2241"/>
    <cellStyle name="常规 2 5 3" xfId="2242"/>
    <cellStyle name="常规 2 5 3 2" xfId="2243"/>
    <cellStyle name="常规 2 5 3 2 2" xfId="2244"/>
    <cellStyle name="常规 2 5 3 2 2 2" xfId="2245"/>
    <cellStyle name="常规 2 5 3 3" xfId="2246"/>
    <cellStyle name="常规 2 5 3 3 2" xfId="2247"/>
    <cellStyle name="常规 2 5 4" xfId="2248"/>
    <cellStyle name="常规 2 5 4 2" xfId="2249"/>
    <cellStyle name="常规 2 5 4 2 2" xfId="2250"/>
    <cellStyle name="常规 2 5 5" xfId="2251"/>
    <cellStyle name="常规 2 5 5 2" xfId="2252"/>
    <cellStyle name="常规 2 5 6" xfId="2253"/>
    <cellStyle name="常规 2 6" xfId="2254"/>
    <cellStyle name="常规 2 6 2" xfId="2255"/>
    <cellStyle name="常规 2 6 2 2" xfId="2256"/>
    <cellStyle name="常规 2 6 2 2 2" xfId="2257"/>
    <cellStyle name="常规 2 6 2 2 2 2" xfId="2258"/>
    <cellStyle name="常规 2 6 2 3" xfId="2259"/>
    <cellStyle name="常规 2 6 2 3 2" xfId="2260"/>
    <cellStyle name="常规 2 6 3" xfId="2261"/>
    <cellStyle name="常规 2 6 3 2" xfId="2262"/>
    <cellStyle name="常规 2 6 3 2 2" xfId="2263"/>
    <cellStyle name="常规 2 6 3 2 2 2" xfId="2264"/>
    <cellStyle name="常规 2 6 3 3" xfId="2265"/>
    <cellStyle name="常规 2 6 3 3 2" xfId="2266"/>
    <cellStyle name="常规 2 6 4" xfId="2267"/>
    <cellStyle name="常规 2 6 4 2" xfId="2268"/>
    <cellStyle name="常规 2 6 4 2 2" xfId="2269"/>
    <cellStyle name="常规 2 6 5" xfId="2270"/>
    <cellStyle name="常规 2 6 5 2" xfId="2271"/>
    <cellStyle name="常规 2 6 6" xfId="2272"/>
    <cellStyle name="常规 2 7" xfId="2273"/>
    <cellStyle name="常规 2 7 2" xfId="2274"/>
    <cellStyle name="常规 2 7 2 2" xfId="2275"/>
    <cellStyle name="常规 2 7 2 2 2" xfId="2276"/>
    <cellStyle name="常规 2 7 3" xfId="2277"/>
    <cellStyle name="常规 2 7 3 2" xfId="2278"/>
    <cellStyle name="常规 2 8" xfId="2279"/>
    <cellStyle name="常规 2 8 2" xfId="2280"/>
    <cellStyle name="常规 2 8 2 2" xfId="2281"/>
    <cellStyle name="常规 2 8 2 2 2" xfId="2282"/>
    <cellStyle name="常规 2 8 3" xfId="2283"/>
    <cellStyle name="常规 2 8 3 2" xfId="2284"/>
    <cellStyle name="常规 2 9" xfId="2285"/>
    <cellStyle name="常规 2 9 2" xfId="2286"/>
    <cellStyle name="常规 20" xfId="2287"/>
    <cellStyle name="常规 21" xfId="2288"/>
    <cellStyle name="常规 22" xfId="2289"/>
    <cellStyle name="常规 3" xfId="2290"/>
    <cellStyle name="常规 3 10" xfId="2291"/>
    <cellStyle name="常规 3 11" xfId="2292"/>
    <cellStyle name="常规 3 2" xfId="2293"/>
    <cellStyle name="常规 3 2 2" xfId="2294"/>
    <cellStyle name="常规 3 2 2 2" xfId="2295"/>
    <cellStyle name="常规 3 2 2 2 2" xfId="2296"/>
    <cellStyle name="常规 3 2 2 2 2 2" xfId="2297"/>
    <cellStyle name="常规 3 2 2 2 2 2 2" xfId="2298"/>
    <cellStyle name="常规 3 2 2 2 3" xfId="2299"/>
    <cellStyle name="常规 3 2 2 2 3 2" xfId="2300"/>
    <cellStyle name="常规 3 2 2 2 4" xfId="2301"/>
    <cellStyle name="常规 3 2 2 3" xfId="2302"/>
    <cellStyle name="常规 3 2 2 3 2" xfId="2303"/>
    <cellStyle name="常规 3 2 2 3 2 2" xfId="2304"/>
    <cellStyle name="常规 3 2 2 3 2 2 2" xfId="2305"/>
    <cellStyle name="常规 3 2 2 3 3" xfId="2306"/>
    <cellStyle name="常规 3 2 2 3 3 2" xfId="2307"/>
    <cellStyle name="常规 3 2 2 4" xfId="2308"/>
    <cellStyle name="常规 3 2 2 4 2" xfId="2309"/>
    <cellStyle name="常规 3 2 2 4 2 2" xfId="2310"/>
    <cellStyle name="常规 3 2 2 5" xfId="2311"/>
    <cellStyle name="常规 3 2 2 5 2" xfId="2312"/>
    <cellStyle name="常规 3 2 2 6" xfId="2313"/>
    <cellStyle name="常规 3 2 3" xfId="2314"/>
    <cellStyle name="常规 3 2 3 2" xfId="2315"/>
    <cellStyle name="常规 3 2 3 2 2" xfId="2316"/>
    <cellStyle name="常规 3 2 3 2 2 2" xfId="2317"/>
    <cellStyle name="常规 3 2 3 2 2 2 2" xfId="2318"/>
    <cellStyle name="常规 3 2 3 2 3" xfId="2319"/>
    <cellStyle name="常规 3 2 3 2 3 2" xfId="2320"/>
    <cellStyle name="常规 3 2 3 3" xfId="2321"/>
    <cellStyle name="常规 3 2 3 3 2" xfId="2322"/>
    <cellStyle name="常规 3 2 3 3 2 2" xfId="2323"/>
    <cellStyle name="常规 3 2 3 3 2 2 2" xfId="2324"/>
    <cellStyle name="常规 3 2 3 3 3" xfId="2325"/>
    <cellStyle name="常规 3 2 3 3 3 2" xfId="2326"/>
    <cellStyle name="常规 3 2 3 4" xfId="2327"/>
    <cellStyle name="常规 3 2 3 4 2" xfId="2328"/>
    <cellStyle name="常规 3 2 3 4 2 2" xfId="2329"/>
    <cellStyle name="常规 3 2 3 5" xfId="2330"/>
    <cellStyle name="常规 3 2 3 5 2" xfId="2331"/>
    <cellStyle name="常规 3 2 3 6" xfId="2332"/>
    <cellStyle name="常规 3 2 4" xfId="2333"/>
    <cellStyle name="常规 3 2 4 2" xfId="2334"/>
    <cellStyle name="常规 3 2 4 2 2" xfId="2335"/>
    <cellStyle name="常规 3 2 4 2 2 2" xfId="2336"/>
    <cellStyle name="常规 3 2 4 3" xfId="2337"/>
    <cellStyle name="常规 3 2 4 3 2" xfId="2338"/>
    <cellStyle name="常规 3 2 4 4" xfId="2339"/>
    <cellStyle name="常规 3 2 5" xfId="2340"/>
    <cellStyle name="常规 3 2 5 2" xfId="2341"/>
    <cellStyle name="常规 3 2 5 2 2" xfId="2342"/>
    <cellStyle name="常规 3 2 5 2 2 2" xfId="2343"/>
    <cellStyle name="常规 3 2 5 3" xfId="2344"/>
    <cellStyle name="常规 3 2 5 3 2" xfId="2345"/>
    <cellStyle name="常规 3 2 5 4" xfId="2346"/>
    <cellStyle name="常规 3 2 6" xfId="2347"/>
    <cellStyle name="常规 3 2 6 2" xfId="2348"/>
    <cellStyle name="常规 3 2 7" xfId="2349"/>
    <cellStyle name="常规 3 3" xfId="2350"/>
    <cellStyle name="常规 3 3 2" xfId="2351"/>
    <cellStyle name="常规 3 3 2 2" xfId="2352"/>
    <cellStyle name="常规 3 3 2 2 2" xfId="2353"/>
    <cellStyle name="常规 3 3 2 2 2 2" xfId="2354"/>
    <cellStyle name="常规 3 3 2 3" xfId="2355"/>
    <cellStyle name="常规 3 3 2 3 2" xfId="2356"/>
    <cellStyle name="常规 3 3 2 4" xfId="2357"/>
    <cellStyle name="常规 3 3 3" xfId="2358"/>
    <cellStyle name="常规 3 3 3 2" xfId="2359"/>
    <cellStyle name="常规 3 3 3 2 2" xfId="2360"/>
    <cellStyle name="常规 3 3 3 2 2 2" xfId="2361"/>
    <cellStyle name="常规 3 3 3 3" xfId="2362"/>
    <cellStyle name="常规 3 3 3 3 2" xfId="2363"/>
    <cellStyle name="常规 3 3 3 4" xfId="2364"/>
    <cellStyle name="常规 3 3 4" xfId="2365"/>
    <cellStyle name="常规 3 3 4 2" xfId="2366"/>
    <cellStyle name="常规 3 3 4 2 2" xfId="2367"/>
    <cellStyle name="常规 3 3 5" xfId="2368"/>
    <cellStyle name="常规 3 3 5 2" xfId="2369"/>
    <cellStyle name="常规 3 3 6" xfId="2370"/>
    <cellStyle name="常规 3 4" xfId="2371"/>
    <cellStyle name="常规 3 4 2" xfId="2372"/>
    <cellStyle name="常规 3 4 2 2" xfId="2373"/>
    <cellStyle name="常规 3 4 2 2 2" xfId="2374"/>
    <cellStyle name="常规 3 4 2 2 2 2" xfId="2375"/>
    <cellStyle name="常规 3 4 2 3" xfId="2376"/>
    <cellStyle name="常规 3 4 2 3 2" xfId="2377"/>
    <cellStyle name="常规 3 4 3" xfId="2378"/>
    <cellStyle name="常规 3 4 3 2" xfId="2379"/>
    <cellStyle name="常规 3 4 3 2 2" xfId="2380"/>
    <cellStyle name="常规 3 4 3 2 2 2" xfId="2381"/>
    <cellStyle name="常规 3 4 3 3" xfId="2382"/>
    <cellStyle name="常规 3 4 3 3 2" xfId="2383"/>
    <cellStyle name="常规 3 4 4" xfId="2384"/>
    <cellStyle name="常规 3 4 4 2" xfId="2385"/>
    <cellStyle name="常规 3 4 4 2 2" xfId="2386"/>
    <cellStyle name="常规 3 4 5" xfId="2387"/>
    <cellStyle name="常规 3 4 5 2" xfId="2388"/>
    <cellStyle name="常规 3 4 6" xfId="2389"/>
    <cellStyle name="常规 3 5" xfId="2390"/>
    <cellStyle name="常规 3 5 2" xfId="2391"/>
    <cellStyle name="常规 3 5 2 2" xfId="2392"/>
    <cellStyle name="常规 3 5 2 2 2" xfId="2393"/>
    <cellStyle name="常规 3 5 3" xfId="2394"/>
    <cellStyle name="常规 3 5 3 2" xfId="2395"/>
    <cellStyle name="常规 3 5 4" xfId="2396"/>
    <cellStyle name="常规 3 6" xfId="2397"/>
    <cellStyle name="常规 3 6 2" xfId="2398"/>
    <cellStyle name="常规 3 6 2 2" xfId="2399"/>
    <cellStyle name="常规 3 6 2 2 2" xfId="2400"/>
    <cellStyle name="常规 3 6 3" xfId="2401"/>
    <cellStyle name="常规 3 6 3 2" xfId="2402"/>
    <cellStyle name="常规 3 6 4" xfId="2403"/>
    <cellStyle name="常规 3 7" xfId="2404"/>
    <cellStyle name="常规 3 7 2" xfId="2405"/>
    <cellStyle name="常规 3 7 3" xfId="2406"/>
    <cellStyle name="常规 3 8" xfId="2407"/>
    <cellStyle name="常规 3 9" xfId="2408"/>
    <cellStyle name="常规 4" xfId="2409"/>
    <cellStyle name="常规 4 10" xfId="2410"/>
    <cellStyle name="常规 4 11" xfId="2411"/>
    <cellStyle name="常规 4 12" xfId="2412"/>
    <cellStyle name="常规 4 13" xfId="2413"/>
    <cellStyle name="常规 4 2" xfId="2414"/>
    <cellStyle name="常规 4 2 2" xfId="2415"/>
    <cellStyle name="常规 4 2 2 2" xfId="2416"/>
    <cellStyle name="常规 4 2 2 2 2" xfId="2417"/>
    <cellStyle name="常规 4 2 2 2 2 2" xfId="2418"/>
    <cellStyle name="常规 4 2 2 2 2 2 2" xfId="2419"/>
    <cellStyle name="常规 4 2 2 2 3" xfId="2420"/>
    <cellStyle name="常规 4 2 2 2 3 2" xfId="2421"/>
    <cellStyle name="常规 4 2 2 3" xfId="2422"/>
    <cellStyle name="常规 4 2 2 3 2" xfId="2423"/>
    <cellStyle name="常规 4 2 2 3 2 2" xfId="2424"/>
    <cellStyle name="常规 4 2 2 3 2 2 2" xfId="2425"/>
    <cellStyle name="常规 4 2 2 3 3" xfId="2426"/>
    <cellStyle name="常规 4 2 2 3 3 2" xfId="2427"/>
    <cellStyle name="常规 4 2 2 4" xfId="2428"/>
    <cellStyle name="常规 4 2 2 4 2" xfId="2429"/>
    <cellStyle name="常规 4 2 2 4 2 2" xfId="2430"/>
    <cellStyle name="常规 4 2 2 5" xfId="2431"/>
    <cellStyle name="常规 4 2 2 5 2" xfId="2432"/>
    <cellStyle name="常规 4 2 2 6" xfId="2433"/>
    <cellStyle name="常规 4 2 3" xfId="2434"/>
    <cellStyle name="常规 4 2 3 2" xfId="2435"/>
    <cellStyle name="常规 4 2 3 2 2" xfId="2436"/>
    <cellStyle name="常规 4 2 3 2 2 2" xfId="2437"/>
    <cellStyle name="常规 4 2 3 2 2 2 2" xfId="2438"/>
    <cellStyle name="常规 4 2 3 2 3" xfId="2439"/>
    <cellStyle name="常规 4 2 3 2 3 2" xfId="2440"/>
    <cellStyle name="常规 4 2 3 3" xfId="2441"/>
    <cellStyle name="常规 4 2 3 3 2" xfId="2442"/>
    <cellStyle name="常规 4 2 3 3 2 2" xfId="2443"/>
    <cellStyle name="常规 4 2 3 3 2 2 2" xfId="2444"/>
    <cellStyle name="常规 4 2 3 3 3" xfId="2445"/>
    <cellStyle name="常规 4 2 3 3 3 2" xfId="2446"/>
    <cellStyle name="常规 4 2 3 4" xfId="2447"/>
    <cellStyle name="常规 4 2 3 4 2" xfId="2448"/>
    <cellStyle name="常规 4 2 3 4 2 2" xfId="2449"/>
    <cellStyle name="常规 4 2 3 5" xfId="2450"/>
    <cellStyle name="常规 4 2 3 5 2" xfId="2451"/>
    <cellStyle name="常规 4 2 3 6" xfId="2452"/>
    <cellStyle name="常规 4 2 4" xfId="2453"/>
    <cellStyle name="常规 4 2 4 2" xfId="2454"/>
    <cellStyle name="常规 4 2 4 2 2" xfId="2455"/>
    <cellStyle name="常规 4 2 4 2 2 2" xfId="2456"/>
    <cellStyle name="常规 4 2 4 3" xfId="2457"/>
    <cellStyle name="常规 4 2 4 3 2" xfId="2458"/>
    <cellStyle name="常规 4 2 5" xfId="2459"/>
    <cellStyle name="常规 4 2 5 2" xfId="2460"/>
    <cellStyle name="常规 4 2 5 2 2" xfId="2461"/>
    <cellStyle name="常规 4 2 5 2 2 2" xfId="2462"/>
    <cellStyle name="常规 4 2 5 3" xfId="2463"/>
    <cellStyle name="常规 4 2 5 3 2" xfId="2464"/>
    <cellStyle name="常规 4 2 6" xfId="2465"/>
    <cellStyle name="常规 4 2 6 2" xfId="2466"/>
    <cellStyle name="常规 4 3" xfId="2467"/>
    <cellStyle name="常规 4 3 2" xfId="2468"/>
    <cellStyle name="常规 4 3 2 2" xfId="2469"/>
    <cellStyle name="常规 4 3 2 2 2" xfId="2470"/>
    <cellStyle name="常规 4 3 2 2 2 2" xfId="2471"/>
    <cellStyle name="常规 4 3 2 3" xfId="2472"/>
    <cellStyle name="常规 4 3 2 3 2" xfId="2473"/>
    <cellStyle name="常规 4 3 2 4" xfId="2474"/>
    <cellStyle name="常规 4 3 3" xfId="2475"/>
    <cellStyle name="常规 4 3 3 2" xfId="2476"/>
    <cellStyle name="常规 4 3 3 2 2" xfId="2477"/>
    <cellStyle name="常规 4 3 3 2 2 2" xfId="2478"/>
    <cellStyle name="常规 4 3 3 3" xfId="2479"/>
    <cellStyle name="常规 4 3 3 3 2" xfId="2480"/>
    <cellStyle name="常规 4 3 3 4" xfId="2481"/>
    <cellStyle name="常规 4 3 4" xfId="2482"/>
    <cellStyle name="常规 4 3 4 2" xfId="2483"/>
    <cellStyle name="常规 4 3 4 2 2" xfId="2484"/>
    <cellStyle name="常规 4 3 5" xfId="2485"/>
    <cellStyle name="常规 4 3 5 2" xfId="2486"/>
    <cellStyle name="常规 4 3 6" xfId="2487"/>
    <cellStyle name="常规 4 4" xfId="2488"/>
    <cellStyle name="常规 4 4 2" xfId="2489"/>
    <cellStyle name="常规 4 4 2 2" xfId="2490"/>
    <cellStyle name="常规 4 4 2 2 2" xfId="2491"/>
    <cellStyle name="常规 4 4 2 2 2 2" xfId="2492"/>
    <cellStyle name="常规 4 4 2 3" xfId="2493"/>
    <cellStyle name="常规 4 4 2 3 2" xfId="2494"/>
    <cellStyle name="常规 4 4 2 4" xfId="2495"/>
    <cellStyle name="常规 4 4 3" xfId="2496"/>
    <cellStyle name="常规 4 4 3 2" xfId="2497"/>
    <cellStyle name="常规 4 4 3 2 2" xfId="2498"/>
    <cellStyle name="常规 4 4 3 2 2 2" xfId="2499"/>
    <cellStyle name="常规 4 4 3 3" xfId="2500"/>
    <cellStyle name="常规 4 4 3 3 2" xfId="2501"/>
    <cellStyle name="常规 4 4 3 4" xfId="2502"/>
    <cellStyle name="常规 4 4 4" xfId="2503"/>
    <cellStyle name="常规 4 4 4 2" xfId="2504"/>
    <cellStyle name="常规 4 4 4 2 2" xfId="2505"/>
    <cellStyle name="常规 4 4 5" xfId="2506"/>
    <cellStyle name="常规 4 4 5 2" xfId="2507"/>
    <cellStyle name="常规 4 4 6" xfId="2508"/>
    <cellStyle name="常规 4 5" xfId="2509"/>
    <cellStyle name="常规 4 5 2" xfId="2510"/>
    <cellStyle name="常规 4 5 2 2" xfId="2511"/>
    <cellStyle name="常规 4 5 2 2 2" xfId="2512"/>
    <cellStyle name="常规 4 5 3" xfId="2513"/>
    <cellStyle name="常规 4 5 3 2" xfId="2514"/>
    <cellStyle name="常规 4 5 4" xfId="2515"/>
    <cellStyle name="常规 4 6" xfId="2516"/>
    <cellStyle name="常规 4 6 2" xfId="2517"/>
    <cellStyle name="常规 4 6 2 2" xfId="2518"/>
    <cellStyle name="常规 4 6 2 2 2" xfId="2519"/>
    <cellStyle name="常规 4 6 2 3" xfId="2520"/>
    <cellStyle name="常规 4 6 3" xfId="2521"/>
    <cellStyle name="常规 4 6 3 2" xfId="2522"/>
    <cellStyle name="常规 4 6 4" xfId="2523"/>
    <cellStyle name="常规 4 7" xfId="2524"/>
    <cellStyle name="常规 4 7 2" xfId="2525"/>
    <cellStyle name="常规 4 7 3" xfId="2526"/>
    <cellStyle name="常规 4 8" xfId="2527"/>
    <cellStyle name="常规 4 9" xfId="2528"/>
    <cellStyle name="常规 5" xfId="2529"/>
    <cellStyle name="常规 5 2" xfId="2530"/>
    <cellStyle name="常规 5 2 2" xfId="2531"/>
    <cellStyle name="常规 5 2 2 2" xfId="2532"/>
    <cellStyle name="常规 5 2 2 2 2" xfId="2533"/>
    <cellStyle name="常规 5 2 3" xfId="2534"/>
    <cellStyle name="常规 5 2 3 2" xfId="2535"/>
    <cellStyle name="常规 5 2 4" xfId="2536"/>
    <cellStyle name="常规 5 3" xfId="2537"/>
    <cellStyle name="常规 5 3 2" xfId="2538"/>
    <cellStyle name="常规 5 3 2 2" xfId="2539"/>
    <cellStyle name="常规 5 3 2 2 2" xfId="2540"/>
    <cellStyle name="常规 5 3 3" xfId="2541"/>
    <cellStyle name="常规 5 3 3 2" xfId="2542"/>
    <cellStyle name="常规 5 4" xfId="2543"/>
    <cellStyle name="常规 5 4 2" xfId="2544"/>
    <cellStyle name="常规 5 4 2 2" xfId="2545"/>
    <cellStyle name="常规 5 5" xfId="2546"/>
    <cellStyle name="常规 5 5 2" xfId="2547"/>
    <cellStyle name="常规 5 6" xfId="2548"/>
    <cellStyle name="常规 6" xfId="2549"/>
    <cellStyle name="常规 6 2" xfId="2550"/>
    <cellStyle name="常规 6 2 2" xfId="2551"/>
    <cellStyle name="常规 6 2 2 2" xfId="2552"/>
    <cellStyle name="常规 6 2 2 2 2" xfId="2553"/>
    <cellStyle name="常规 6 2 2 3" xfId="2554"/>
    <cellStyle name="常规 6 2 3" xfId="2555"/>
    <cellStyle name="常规 6 2 3 2" xfId="2556"/>
    <cellStyle name="常规 6 2 3 3" xfId="2557"/>
    <cellStyle name="常规 6 2 4" xfId="2558"/>
    <cellStyle name="常规 6 2 5" xfId="2559"/>
    <cellStyle name="常规 6 3" xfId="2560"/>
    <cellStyle name="常规 6 3 2" xfId="2561"/>
    <cellStyle name="常规 6 3 2 2" xfId="2562"/>
    <cellStyle name="常规 6 3 2 2 2" xfId="2563"/>
    <cellStyle name="常规 6 3 2 3" xfId="2564"/>
    <cellStyle name="常规 6 3 3" xfId="2565"/>
    <cellStyle name="常规 6 3 3 2" xfId="2566"/>
    <cellStyle name="常规 6 3 4" xfId="2567"/>
    <cellStyle name="常规 6 4" xfId="2568"/>
    <cellStyle name="常规 6 4 2" xfId="2569"/>
    <cellStyle name="常规 6 4 2 2" xfId="2570"/>
    <cellStyle name="常规 6 4 3" xfId="2571"/>
    <cellStyle name="常规 6 5" xfId="2572"/>
    <cellStyle name="常规 6 5 2" xfId="2573"/>
    <cellStyle name="常规 6 5 3" xfId="2574"/>
    <cellStyle name="常规 6 6" xfId="2575"/>
    <cellStyle name="常规 6 7" xfId="2576"/>
    <cellStyle name="常规 7" xfId="2577"/>
    <cellStyle name="常规 7 2" xfId="2578"/>
    <cellStyle name="常规 7 2 2" xfId="2579"/>
    <cellStyle name="常规 7 2 2 2" xfId="2580"/>
    <cellStyle name="常规 7 2 3" xfId="2581"/>
    <cellStyle name="常规 7 3" xfId="2582"/>
    <cellStyle name="常规 7 3 2" xfId="2583"/>
    <cellStyle name="常规 7 3 3" xfId="2584"/>
    <cellStyle name="常规 7 4" xfId="2585"/>
    <cellStyle name="常规 7 5" xfId="2586"/>
    <cellStyle name="常规 8" xfId="2587"/>
    <cellStyle name="常规 8 2" xfId="2588"/>
    <cellStyle name="常规 8 2 2" xfId="2589"/>
    <cellStyle name="常规 8 2 2 2" xfId="2590"/>
    <cellStyle name="常规 8 2 3" xfId="2591"/>
    <cellStyle name="常规 8 3" xfId="2592"/>
    <cellStyle name="常规 8 3 2" xfId="2593"/>
    <cellStyle name="常规 8 3 3" xfId="2594"/>
    <cellStyle name="常规 8 4" xfId="2595"/>
    <cellStyle name="常规 8 5" xfId="2596"/>
    <cellStyle name="常规 9" xfId="2597"/>
    <cellStyle name="常规 9 2" xfId="2598"/>
    <cellStyle name="常规 9 3" xfId="2599"/>
    <cellStyle name="常规 9 4" xfId="2600"/>
    <cellStyle name="好 2" xfId="2601"/>
    <cellStyle name="好 3" xfId="2602"/>
    <cellStyle name="好 4" xfId="2603"/>
    <cellStyle name="桁区切り 2" xfId="2604"/>
    <cellStyle name="桁区切り 2 2" xfId="2605"/>
    <cellStyle name="桁区切り 2 3" xfId="2606"/>
    <cellStyle name="桁区切り 2 4" xfId="2607"/>
    <cellStyle name="桁区切り 2 5" xfId="2608"/>
    <cellStyle name="桁区切り 3" xfId="2609"/>
    <cellStyle name="桁区切り 3 2" xfId="2610"/>
    <cellStyle name="桁区切り 3 3" xfId="2611"/>
    <cellStyle name="桁区切り 3 4" xfId="2612"/>
    <cellStyle name="解释性文本 2" xfId="2613"/>
    <cellStyle name="解释性文本 3" xfId="2614"/>
    <cellStyle name="解释性文本 4" xfId="2615"/>
    <cellStyle name="千位分隔" xfId="3435" builtinId="3"/>
    <cellStyle name="千位分隔 2" xfId="2616"/>
    <cellStyle name="千位分隔 2 2" xfId="2617"/>
    <cellStyle name="千位分隔 2 2 2" xfId="2618"/>
    <cellStyle name="千位分隔 2 2 3" xfId="2619"/>
    <cellStyle name="千位分隔 2 2 4" xfId="2620"/>
    <cellStyle name="千位分隔 2 2 5" xfId="2621"/>
    <cellStyle name="千位分隔 2 3" xfId="2622"/>
    <cellStyle name="千位分隔 2 4" xfId="2623"/>
    <cellStyle name="千位分隔 2 5" xfId="2624"/>
    <cellStyle name="千位分隔 2 6" xfId="2625"/>
    <cellStyle name="千位分隔 3" xfId="2626"/>
    <cellStyle name="千位分隔 3 2" xfId="2627"/>
    <cellStyle name="千位分隔 3 3" xfId="2628"/>
    <cellStyle name="千位分隔 3 4" xfId="2629"/>
    <cellStyle name="千位分隔 4" xfId="2630"/>
    <cellStyle name="千位分隔 5" xfId="2631"/>
    <cellStyle name="千位分隔 6" xfId="2632"/>
    <cellStyle name="千位分隔 7" xfId="2633"/>
    <cellStyle name="千位分隔[0]" xfId="2634" builtinId="6"/>
    <cellStyle name="千位分隔[0] 10" xfId="2635"/>
    <cellStyle name="千位分隔[0] 2" xfId="2636"/>
    <cellStyle name="千位分隔[0] 2 2" xfId="2637"/>
    <cellStyle name="千位分隔[0] 2 2 2" xfId="2638"/>
    <cellStyle name="千位分隔[0] 2 2 2 2" xfId="2639"/>
    <cellStyle name="千位分隔[0] 2 2 2 2 2" xfId="2640"/>
    <cellStyle name="千位分隔[0] 2 2 2 2 2 2" xfId="2641"/>
    <cellStyle name="千位分隔[0] 2 2 2 2 2 2 2" xfId="2642"/>
    <cellStyle name="千位分隔[0] 2 2 2 2 2 2 2 2" xfId="2643"/>
    <cellStyle name="千位分隔[0] 2 2 2 2 2 2 2 2 2" xfId="2644"/>
    <cellStyle name="千位分隔[0] 2 2 2 2 2 2 3" xfId="2645"/>
    <cellStyle name="千位分隔[0] 2 2 2 2 2 2 3 2" xfId="2646"/>
    <cellStyle name="千位分隔[0] 2 2 2 2 2 3" xfId="2647"/>
    <cellStyle name="千位分隔[0] 2 2 2 2 2 3 2" xfId="2648"/>
    <cellStyle name="千位分隔[0] 2 2 2 2 2 3 2 2" xfId="2649"/>
    <cellStyle name="千位分隔[0] 2 2 2 2 2 3 2 2 2" xfId="2650"/>
    <cellStyle name="千位分隔[0] 2 2 2 2 2 3 3" xfId="2651"/>
    <cellStyle name="千位分隔[0] 2 2 2 2 2 3 3 2" xfId="2652"/>
    <cellStyle name="千位分隔[0] 2 2 2 2 2 3 4" xfId="2653"/>
    <cellStyle name="千位分隔[0] 2 2 2 2 2 4" xfId="2654"/>
    <cellStyle name="千位分隔[0] 2 2 2 2 2 4 2" xfId="2655"/>
    <cellStyle name="千位分隔[0] 2 2 2 2 2 4 2 2" xfId="2656"/>
    <cellStyle name="千位分隔[0] 2 2 2 2 2 4 3" xfId="2657"/>
    <cellStyle name="千位分隔[0] 2 2 2 2 2 5" xfId="2658"/>
    <cellStyle name="千位分隔[0] 2 2 2 2 2 5 2" xfId="2659"/>
    <cellStyle name="千位分隔[0] 2 2 2 2 2 5 3" xfId="2660"/>
    <cellStyle name="千位分隔[0] 2 2 2 2 2 6" xfId="2661"/>
    <cellStyle name="千位分隔[0] 2 2 2 2 3" xfId="2662"/>
    <cellStyle name="千位分隔[0] 2 2 2 2 3 2" xfId="2663"/>
    <cellStyle name="千位分隔[0] 2 2 2 2 3 2 2" xfId="2664"/>
    <cellStyle name="千位分隔[0] 2 2 2 2 3 2 2 2" xfId="2665"/>
    <cellStyle name="千位分隔[0] 2 2 2 2 3 2 2 2 2" xfId="2666"/>
    <cellStyle name="千位分隔[0] 2 2 2 2 3 2 3" xfId="2667"/>
    <cellStyle name="千位分隔[0] 2 2 2 2 3 2 3 2" xfId="2668"/>
    <cellStyle name="千位分隔[0] 2 2 2 2 3 3" xfId="2669"/>
    <cellStyle name="千位分隔[0] 2 2 2 2 3 3 2" xfId="2670"/>
    <cellStyle name="千位分隔[0] 2 2 2 2 3 3 2 2" xfId="2671"/>
    <cellStyle name="千位分隔[0] 2 2 2 2 3 3 2 2 2" xfId="2672"/>
    <cellStyle name="千位分隔[0] 2 2 2 2 3 3 3" xfId="2673"/>
    <cellStyle name="千位分隔[0] 2 2 2 2 3 3 3 2" xfId="2674"/>
    <cellStyle name="千位分隔[0] 2 2 2 2 3 4" xfId="2675"/>
    <cellStyle name="千位分隔[0] 2 2 2 2 3 4 2" xfId="2676"/>
    <cellStyle name="千位分隔[0] 2 2 2 2 3 4 2 2" xfId="2677"/>
    <cellStyle name="千位分隔[0] 2 2 2 2 3 5" xfId="2678"/>
    <cellStyle name="千位分隔[0] 2 2 2 2 3 5 2" xfId="2679"/>
    <cellStyle name="千位分隔[0] 2 2 2 2 4" xfId="2680"/>
    <cellStyle name="千位分隔[0] 2 2 2 2 4 2" xfId="2681"/>
    <cellStyle name="千位分隔[0] 2 2 2 2 4 2 2" xfId="2682"/>
    <cellStyle name="千位分隔[0] 2 2 2 2 4 2 2 2" xfId="2683"/>
    <cellStyle name="千位分隔[0] 2 2 2 2 4 3" xfId="2684"/>
    <cellStyle name="千位分隔[0] 2 2 2 2 4 3 2" xfId="2685"/>
    <cellStyle name="千位分隔[0] 2 2 2 2 5" xfId="2686"/>
    <cellStyle name="千位分隔[0] 2 2 2 2 5 2" xfId="2687"/>
    <cellStyle name="千位分隔[0] 2 2 2 2 5 2 2" xfId="2688"/>
    <cellStyle name="千位分隔[0] 2 2 2 2 5 2 2 2" xfId="2689"/>
    <cellStyle name="千位分隔[0] 2 2 2 2 5 3" xfId="2690"/>
    <cellStyle name="千位分隔[0] 2 2 2 2 5 3 2" xfId="2691"/>
    <cellStyle name="千位分隔[0] 2 2 2 2 6" xfId="2692"/>
    <cellStyle name="千位分隔[0] 2 2 2 2 6 2" xfId="2693"/>
    <cellStyle name="千位分隔[0] 2 2 2 3" xfId="2694"/>
    <cellStyle name="千位分隔[0] 2 2 2 3 2" xfId="2695"/>
    <cellStyle name="千位分隔[0] 2 2 2 3 2 2" xfId="2696"/>
    <cellStyle name="千位分隔[0] 2 2 2 3 2 2 2" xfId="2697"/>
    <cellStyle name="千位分隔[0] 2 2 2 3 2 2 2 2" xfId="2698"/>
    <cellStyle name="千位分隔[0] 2 2 2 3 2 3" xfId="2699"/>
    <cellStyle name="千位分隔[0] 2 2 2 3 2 3 2" xfId="2700"/>
    <cellStyle name="千位分隔[0] 2 2 2 3 3" xfId="2701"/>
    <cellStyle name="千位分隔[0] 2 2 2 3 3 2" xfId="2702"/>
    <cellStyle name="千位分隔[0] 2 2 2 3 3 2 2" xfId="2703"/>
    <cellStyle name="千位分隔[0] 2 2 2 3 3 2 2 2" xfId="2704"/>
    <cellStyle name="千位分隔[0] 2 2 2 3 3 3" xfId="2705"/>
    <cellStyle name="千位分隔[0] 2 2 2 3 3 3 2" xfId="2706"/>
    <cellStyle name="千位分隔[0] 2 2 2 3 4" xfId="2707"/>
    <cellStyle name="千位分隔[0] 2 2 2 3 4 2" xfId="2708"/>
    <cellStyle name="千位分隔[0] 2 2 2 3 4 2 2" xfId="2709"/>
    <cellStyle name="千位分隔[0] 2 2 2 3 5" xfId="2710"/>
    <cellStyle name="千位分隔[0] 2 2 2 3 5 2" xfId="2711"/>
    <cellStyle name="千位分隔[0] 2 2 2 3 6" xfId="2712"/>
    <cellStyle name="千位分隔[0] 2 2 2 4" xfId="2713"/>
    <cellStyle name="千位分隔[0] 2 2 2 4 2" xfId="2714"/>
    <cellStyle name="千位分隔[0] 2 2 2 4 2 2" xfId="2715"/>
    <cellStyle name="千位分隔[0] 2 2 2 4 2 2 2" xfId="2716"/>
    <cellStyle name="千位分隔[0] 2 2 2 4 2 2 2 2" xfId="2717"/>
    <cellStyle name="千位分隔[0] 2 2 2 4 2 3" xfId="2718"/>
    <cellStyle name="千位分隔[0] 2 2 2 4 2 3 2" xfId="2719"/>
    <cellStyle name="千位分隔[0] 2 2 2 4 3" xfId="2720"/>
    <cellStyle name="千位分隔[0] 2 2 2 4 3 2" xfId="2721"/>
    <cellStyle name="千位分隔[0] 2 2 2 4 3 2 2" xfId="2722"/>
    <cellStyle name="千位分隔[0] 2 2 2 4 3 2 2 2" xfId="2723"/>
    <cellStyle name="千位分隔[0] 2 2 2 4 3 3" xfId="2724"/>
    <cellStyle name="千位分隔[0] 2 2 2 4 3 3 2" xfId="2725"/>
    <cellStyle name="千位分隔[0] 2 2 2 4 4" xfId="2726"/>
    <cellStyle name="千位分隔[0] 2 2 2 4 4 2" xfId="2727"/>
    <cellStyle name="千位分隔[0] 2 2 2 4 4 2 2" xfId="2728"/>
    <cellStyle name="千位分隔[0] 2 2 2 4 5" xfId="2729"/>
    <cellStyle name="千位分隔[0] 2 2 2 4 5 2" xfId="2730"/>
    <cellStyle name="千位分隔[0] 2 2 2 4 6" xfId="2731"/>
    <cellStyle name="千位分隔[0] 2 2 2 5" xfId="2732"/>
    <cellStyle name="千位分隔[0] 2 2 2 5 2" xfId="2733"/>
    <cellStyle name="千位分隔[0] 2 2 2 5 2 2" xfId="2734"/>
    <cellStyle name="千位分隔[0] 2 2 2 5 2 2 2" xfId="2735"/>
    <cellStyle name="千位分隔[0] 2 2 2 5 3" xfId="2736"/>
    <cellStyle name="千位分隔[0] 2 2 2 5 3 2" xfId="2737"/>
    <cellStyle name="千位分隔[0] 2 2 2 6" xfId="2738"/>
    <cellStyle name="千位分隔[0] 2 2 2 6 2" xfId="2739"/>
    <cellStyle name="千位分隔[0] 2 2 2 6 2 2" xfId="2740"/>
    <cellStyle name="千位分隔[0] 2 2 2 6 2 2 2" xfId="2741"/>
    <cellStyle name="千位分隔[0] 2 2 2 6 3" xfId="2742"/>
    <cellStyle name="千位分隔[0] 2 2 2 6 3 2" xfId="2743"/>
    <cellStyle name="千位分隔[0] 2 2 2 7" xfId="2744"/>
    <cellStyle name="千位分隔[0] 2 2 2 7 2" xfId="2745"/>
    <cellStyle name="千位分隔[0] 2 2 3" xfId="2746"/>
    <cellStyle name="千位分隔[0] 2 2 3 2" xfId="2747"/>
    <cellStyle name="千位分隔[0] 2 2 3 2 2" xfId="2748"/>
    <cellStyle name="千位分隔[0] 2 2 3 2 2 2" xfId="2749"/>
    <cellStyle name="千位分隔[0] 2 2 3 2 2 2 2" xfId="2750"/>
    <cellStyle name="千位分隔[0] 2 2 3 2 2 2 2 2" xfId="2751"/>
    <cellStyle name="千位分隔[0] 2 2 3 2 2 2 2 2 2" xfId="2752"/>
    <cellStyle name="千位分隔[0] 2 2 3 2 2 2 3" xfId="2753"/>
    <cellStyle name="千位分隔[0] 2 2 3 2 2 2 3 2" xfId="2754"/>
    <cellStyle name="千位分隔[0] 2 2 3 2 2 3" xfId="2755"/>
    <cellStyle name="千位分隔[0] 2 2 3 2 2 3 2" xfId="2756"/>
    <cellStyle name="千位分隔[0] 2 2 3 2 2 3 2 2" xfId="2757"/>
    <cellStyle name="千位分隔[0] 2 2 3 2 2 3 2 2 2" xfId="2758"/>
    <cellStyle name="千位分隔[0] 2 2 3 2 2 3 3" xfId="2759"/>
    <cellStyle name="千位分隔[0] 2 2 3 2 2 3 3 2" xfId="2760"/>
    <cellStyle name="千位分隔[0] 2 2 3 2 2 4" xfId="2761"/>
    <cellStyle name="千位分隔[0] 2 2 3 2 2 4 2" xfId="2762"/>
    <cellStyle name="千位分隔[0] 2 2 3 2 2 4 2 2" xfId="2763"/>
    <cellStyle name="千位分隔[0] 2 2 3 2 2 5" xfId="2764"/>
    <cellStyle name="千位分隔[0] 2 2 3 2 2 5 2" xfId="2765"/>
    <cellStyle name="千位分隔[0] 2 2 3 2 3" xfId="2766"/>
    <cellStyle name="千位分隔[0] 2 2 3 2 3 2" xfId="2767"/>
    <cellStyle name="千位分隔[0] 2 2 3 2 3 2 2" xfId="2768"/>
    <cellStyle name="千位分隔[0] 2 2 3 2 3 2 2 2" xfId="2769"/>
    <cellStyle name="千位分隔[0] 2 2 3 2 3 2 2 2 2" xfId="2770"/>
    <cellStyle name="千位分隔[0] 2 2 3 2 3 2 3" xfId="2771"/>
    <cellStyle name="千位分隔[0] 2 2 3 2 3 2 3 2" xfId="2772"/>
    <cellStyle name="千位分隔[0] 2 2 3 2 3 3" xfId="2773"/>
    <cellStyle name="千位分隔[0] 2 2 3 2 3 3 2" xfId="2774"/>
    <cellStyle name="千位分隔[0] 2 2 3 2 3 3 2 2" xfId="2775"/>
    <cellStyle name="千位分隔[0] 2 2 3 2 3 3 2 2 2" xfId="2776"/>
    <cellStyle name="千位分隔[0] 2 2 3 2 3 3 3" xfId="2777"/>
    <cellStyle name="千位分隔[0] 2 2 3 2 3 3 3 2" xfId="2778"/>
    <cellStyle name="千位分隔[0] 2 2 3 2 3 4" xfId="2779"/>
    <cellStyle name="千位分隔[0] 2 2 3 2 3 4 2" xfId="2780"/>
    <cellStyle name="千位分隔[0] 2 2 3 2 3 4 2 2" xfId="2781"/>
    <cellStyle name="千位分隔[0] 2 2 3 2 3 5" xfId="2782"/>
    <cellStyle name="千位分隔[0] 2 2 3 2 3 5 2" xfId="2783"/>
    <cellStyle name="千位分隔[0] 2 2 3 2 4" xfId="2784"/>
    <cellStyle name="千位分隔[0] 2 2 3 2 4 2" xfId="2785"/>
    <cellStyle name="千位分隔[0] 2 2 3 2 4 2 2" xfId="2786"/>
    <cellStyle name="千位分隔[0] 2 2 3 2 4 2 2 2" xfId="2787"/>
    <cellStyle name="千位分隔[0] 2 2 3 2 4 3" xfId="2788"/>
    <cellStyle name="千位分隔[0] 2 2 3 2 4 3 2" xfId="2789"/>
    <cellStyle name="千位分隔[0] 2 2 3 2 5" xfId="2790"/>
    <cellStyle name="千位分隔[0] 2 2 3 2 5 2" xfId="2791"/>
    <cellStyle name="千位分隔[0] 2 2 3 2 5 2 2" xfId="2792"/>
    <cellStyle name="千位分隔[0] 2 2 3 2 5 2 2 2" xfId="2793"/>
    <cellStyle name="千位分隔[0] 2 2 3 2 5 3" xfId="2794"/>
    <cellStyle name="千位分隔[0] 2 2 3 2 5 3 2" xfId="2795"/>
    <cellStyle name="千位分隔[0] 2 2 3 2 6" xfId="2796"/>
    <cellStyle name="千位分隔[0] 2 2 3 2 6 2" xfId="2797"/>
    <cellStyle name="千位分隔[0] 2 2 3 3" xfId="2798"/>
    <cellStyle name="千位分隔[0] 2 2 3 3 2" xfId="2799"/>
    <cellStyle name="千位分隔[0] 2 2 3 3 2 2" xfId="2800"/>
    <cellStyle name="千位分隔[0] 2 2 3 3 2 2 2" xfId="2801"/>
    <cellStyle name="千位分隔[0] 2 2 3 3 2 2 2 2" xfId="2802"/>
    <cellStyle name="千位分隔[0] 2 2 3 3 2 3" xfId="2803"/>
    <cellStyle name="千位分隔[0] 2 2 3 3 2 3 2" xfId="2804"/>
    <cellStyle name="千位分隔[0] 2 2 3 3 3" xfId="2805"/>
    <cellStyle name="千位分隔[0] 2 2 3 3 3 2" xfId="2806"/>
    <cellStyle name="千位分隔[0] 2 2 3 3 3 2 2" xfId="2807"/>
    <cellStyle name="千位分隔[0] 2 2 3 3 3 2 2 2" xfId="2808"/>
    <cellStyle name="千位分隔[0] 2 2 3 3 3 3" xfId="2809"/>
    <cellStyle name="千位分隔[0] 2 2 3 3 3 3 2" xfId="2810"/>
    <cellStyle name="千位分隔[0] 2 2 3 3 4" xfId="2811"/>
    <cellStyle name="千位分隔[0] 2 2 3 3 4 2" xfId="2812"/>
    <cellStyle name="千位分隔[0] 2 2 3 3 4 2 2" xfId="2813"/>
    <cellStyle name="千位分隔[0] 2 2 3 3 5" xfId="2814"/>
    <cellStyle name="千位分隔[0] 2 2 3 3 5 2" xfId="2815"/>
    <cellStyle name="千位分隔[0] 2 2 3 4" xfId="2816"/>
    <cellStyle name="千位分隔[0] 2 2 3 4 2" xfId="2817"/>
    <cellStyle name="千位分隔[0] 2 2 3 4 2 2" xfId="2818"/>
    <cellStyle name="千位分隔[0] 2 2 3 4 2 2 2" xfId="2819"/>
    <cellStyle name="千位分隔[0] 2 2 3 4 2 2 2 2" xfId="2820"/>
    <cellStyle name="千位分隔[0] 2 2 3 4 2 3" xfId="2821"/>
    <cellStyle name="千位分隔[0] 2 2 3 4 2 3 2" xfId="2822"/>
    <cellStyle name="千位分隔[0] 2 2 3 4 3" xfId="2823"/>
    <cellStyle name="千位分隔[0] 2 2 3 4 3 2" xfId="2824"/>
    <cellStyle name="千位分隔[0] 2 2 3 4 3 2 2" xfId="2825"/>
    <cellStyle name="千位分隔[0] 2 2 3 4 3 2 2 2" xfId="2826"/>
    <cellStyle name="千位分隔[0] 2 2 3 4 3 3" xfId="2827"/>
    <cellStyle name="千位分隔[0] 2 2 3 4 3 3 2" xfId="2828"/>
    <cellStyle name="千位分隔[0] 2 2 3 4 4" xfId="2829"/>
    <cellStyle name="千位分隔[0] 2 2 3 4 4 2" xfId="2830"/>
    <cellStyle name="千位分隔[0] 2 2 3 4 4 2 2" xfId="2831"/>
    <cellStyle name="千位分隔[0] 2 2 3 4 5" xfId="2832"/>
    <cellStyle name="千位分隔[0] 2 2 3 4 5 2" xfId="2833"/>
    <cellStyle name="千位分隔[0] 2 2 3 5" xfId="2834"/>
    <cellStyle name="千位分隔[0] 2 2 3 5 2" xfId="2835"/>
    <cellStyle name="千位分隔[0] 2 2 3 5 2 2" xfId="2836"/>
    <cellStyle name="千位分隔[0] 2 2 3 5 2 2 2" xfId="2837"/>
    <cellStyle name="千位分隔[0] 2 2 3 5 3" xfId="2838"/>
    <cellStyle name="千位分隔[0] 2 2 3 5 3 2" xfId="2839"/>
    <cellStyle name="千位分隔[0] 2 2 3 6" xfId="2840"/>
    <cellStyle name="千位分隔[0] 2 2 3 6 2" xfId="2841"/>
    <cellStyle name="千位分隔[0] 2 2 3 6 2 2" xfId="2842"/>
    <cellStyle name="千位分隔[0] 2 2 3 6 2 2 2" xfId="2843"/>
    <cellStyle name="千位分隔[0] 2 2 3 6 3" xfId="2844"/>
    <cellStyle name="千位分隔[0] 2 2 3 6 3 2" xfId="2845"/>
    <cellStyle name="千位分隔[0] 2 2 3 7" xfId="2846"/>
    <cellStyle name="千位分隔[0] 2 2 3 7 2" xfId="2847"/>
    <cellStyle name="千位分隔[0] 2 2 4" xfId="2848"/>
    <cellStyle name="千位分隔[0] 2 2 4 2" xfId="2849"/>
    <cellStyle name="千位分隔[0] 2 2 4 2 2" xfId="2850"/>
    <cellStyle name="千位分隔[0] 2 2 4 2 2 2" xfId="2851"/>
    <cellStyle name="千位分隔[0] 2 2 4 2 2 2 2" xfId="2852"/>
    <cellStyle name="千位分隔[0] 2 2 4 2 3" xfId="2853"/>
    <cellStyle name="千位分隔[0] 2 2 4 2 3 2" xfId="2854"/>
    <cellStyle name="千位分隔[0] 2 2 4 3" xfId="2855"/>
    <cellStyle name="千位分隔[0] 2 2 4 3 2" xfId="2856"/>
    <cellStyle name="千位分隔[0] 2 2 4 3 2 2" xfId="2857"/>
    <cellStyle name="千位分隔[0] 2 2 4 3 2 2 2" xfId="2858"/>
    <cellStyle name="千位分隔[0] 2 2 4 3 3" xfId="2859"/>
    <cellStyle name="千位分隔[0] 2 2 4 3 3 2" xfId="2860"/>
    <cellStyle name="千位分隔[0] 2 2 4 4" xfId="2861"/>
    <cellStyle name="千位分隔[0] 2 2 4 4 2" xfId="2862"/>
    <cellStyle name="千位分隔[0] 2 2 4 4 2 2" xfId="2863"/>
    <cellStyle name="千位分隔[0] 2 2 4 5" xfId="2864"/>
    <cellStyle name="千位分隔[0] 2 2 4 5 2" xfId="2865"/>
    <cellStyle name="千位分隔[0] 2 2 4 6" xfId="2866"/>
    <cellStyle name="千位分隔[0] 2 2 5" xfId="2867"/>
    <cellStyle name="千位分隔[0] 2 2 5 2" xfId="2868"/>
    <cellStyle name="千位分隔[0] 2 2 5 2 2" xfId="2869"/>
    <cellStyle name="千位分隔[0] 2 2 5 2 2 2" xfId="2870"/>
    <cellStyle name="千位分隔[0] 2 2 5 2 2 2 2" xfId="2871"/>
    <cellStyle name="千位分隔[0] 2 2 5 2 3" xfId="2872"/>
    <cellStyle name="千位分隔[0] 2 2 5 2 3 2" xfId="2873"/>
    <cellStyle name="千位分隔[0] 2 2 5 3" xfId="2874"/>
    <cellStyle name="千位分隔[0] 2 2 5 3 2" xfId="2875"/>
    <cellStyle name="千位分隔[0] 2 2 5 3 2 2" xfId="2876"/>
    <cellStyle name="千位分隔[0] 2 2 5 3 2 2 2" xfId="2877"/>
    <cellStyle name="千位分隔[0] 2 2 5 3 3" xfId="2878"/>
    <cellStyle name="千位分隔[0] 2 2 5 3 3 2" xfId="2879"/>
    <cellStyle name="千位分隔[0] 2 2 5 4" xfId="2880"/>
    <cellStyle name="千位分隔[0] 2 2 5 4 2" xfId="2881"/>
    <cellStyle name="千位分隔[0] 2 2 5 4 2 2" xfId="2882"/>
    <cellStyle name="千位分隔[0] 2 2 5 5" xfId="2883"/>
    <cellStyle name="千位分隔[0] 2 2 5 5 2" xfId="2884"/>
    <cellStyle name="千位分隔[0] 2 2 5 6" xfId="2885"/>
    <cellStyle name="千位分隔[0] 2 2 6" xfId="2886"/>
    <cellStyle name="千位分隔[0] 2 2 6 2" xfId="2887"/>
    <cellStyle name="千位分隔[0] 2 2 6 2 2" xfId="2888"/>
    <cellStyle name="千位分隔[0] 2 2 6 2 2 2" xfId="2889"/>
    <cellStyle name="千位分隔[0] 2 2 6 3" xfId="2890"/>
    <cellStyle name="千位分隔[0] 2 2 6 3 2" xfId="2891"/>
    <cellStyle name="千位分隔[0] 2 2 7" xfId="2892"/>
    <cellStyle name="千位分隔[0] 2 2 7 2" xfId="2893"/>
    <cellStyle name="千位分隔[0] 2 2 7 2 2" xfId="2894"/>
    <cellStyle name="千位分隔[0] 2 2 7 2 2 2" xfId="2895"/>
    <cellStyle name="千位分隔[0] 2 2 7 3" xfId="2896"/>
    <cellStyle name="千位分隔[0] 2 2 7 3 2" xfId="2897"/>
    <cellStyle name="千位分隔[0] 2 2 8" xfId="2898"/>
    <cellStyle name="千位分隔[0] 2 2 8 2" xfId="2899"/>
    <cellStyle name="千位分隔[0] 2 3" xfId="2900"/>
    <cellStyle name="千位分隔[0] 2 3 2" xfId="2901"/>
    <cellStyle name="千位分隔[0] 2 3 2 2" xfId="2902"/>
    <cellStyle name="千位分隔[0] 2 3 2 2 2" xfId="2903"/>
    <cellStyle name="千位分隔[0] 2 3 2 2 2 2" xfId="2904"/>
    <cellStyle name="千位分隔[0] 2 3 2 2 2 2 2" xfId="2905"/>
    <cellStyle name="千位分隔[0] 2 3 2 2 2 2 2 2" xfId="2906"/>
    <cellStyle name="千位分隔[0] 2 3 2 2 2 3" xfId="2907"/>
    <cellStyle name="千位分隔[0] 2 3 2 2 2 3 2" xfId="2908"/>
    <cellStyle name="千位分隔[0] 2 3 2 2 3" xfId="2909"/>
    <cellStyle name="千位分隔[0] 2 3 2 2 3 2" xfId="2910"/>
    <cellStyle name="千位分隔[0] 2 3 2 2 3 2 2" xfId="2911"/>
    <cellStyle name="千位分隔[0] 2 3 2 2 3 2 2 2" xfId="2912"/>
    <cellStyle name="千位分隔[0] 2 3 2 2 3 3" xfId="2913"/>
    <cellStyle name="千位分隔[0] 2 3 2 2 3 3 2" xfId="2914"/>
    <cellStyle name="千位分隔[0] 2 3 2 2 4" xfId="2915"/>
    <cellStyle name="千位分隔[0] 2 3 2 2 4 2" xfId="2916"/>
    <cellStyle name="千位分隔[0] 2 3 2 2 4 2 2" xfId="2917"/>
    <cellStyle name="千位分隔[0] 2 3 2 2 5" xfId="2918"/>
    <cellStyle name="千位分隔[0] 2 3 2 2 5 2" xfId="2919"/>
    <cellStyle name="千位分隔[0] 2 3 2 3" xfId="2920"/>
    <cellStyle name="千位分隔[0] 2 3 2 3 2" xfId="2921"/>
    <cellStyle name="千位分隔[0] 2 3 2 3 2 2" xfId="2922"/>
    <cellStyle name="千位分隔[0] 2 3 2 3 2 2 2" xfId="2923"/>
    <cellStyle name="千位分隔[0] 2 3 2 3 2 2 2 2" xfId="2924"/>
    <cellStyle name="千位分隔[0] 2 3 2 3 2 3" xfId="2925"/>
    <cellStyle name="千位分隔[0] 2 3 2 3 2 3 2" xfId="2926"/>
    <cellStyle name="千位分隔[0] 2 3 2 3 3" xfId="2927"/>
    <cellStyle name="千位分隔[0] 2 3 2 3 3 2" xfId="2928"/>
    <cellStyle name="千位分隔[0] 2 3 2 3 3 2 2" xfId="2929"/>
    <cellStyle name="千位分隔[0] 2 3 2 3 3 2 2 2" xfId="2930"/>
    <cellStyle name="千位分隔[0] 2 3 2 3 3 3" xfId="2931"/>
    <cellStyle name="千位分隔[0] 2 3 2 3 3 3 2" xfId="2932"/>
    <cellStyle name="千位分隔[0] 2 3 2 3 4" xfId="2933"/>
    <cellStyle name="千位分隔[0] 2 3 2 3 4 2" xfId="2934"/>
    <cellStyle name="千位分隔[0] 2 3 2 3 4 2 2" xfId="2935"/>
    <cellStyle name="千位分隔[0] 2 3 2 3 5" xfId="2936"/>
    <cellStyle name="千位分隔[0] 2 3 2 3 5 2" xfId="2937"/>
    <cellStyle name="千位分隔[0] 2 3 2 4" xfId="2938"/>
    <cellStyle name="千位分隔[0] 2 3 2 4 2" xfId="2939"/>
    <cellStyle name="千位分隔[0] 2 3 2 4 2 2" xfId="2940"/>
    <cellStyle name="千位分隔[0] 2 3 2 4 2 2 2" xfId="2941"/>
    <cellStyle name="千位分隔[0] 2 3 2 4 3" xfId="2942"/>
    <cellStyle name="千位分隔[0] 2 3 2 4 3 2" xfId="2943"/>
    <cellStyle name="千位分隔[0] 2 3 2 5" xfId="2944"/>
    <cellStyle name="千位分隔[0] 2 3 2 5 2" xfId="2945"/>
    <cellStyle name="千位分隔[0] 2 3 2 5 2 2" xfId="2946"/>
    <cellStyle name="千位分隔[0] 2 3 2 5 2 2 2" xfId="2947"/>
    <cellStyle name="千位分隔[0] 2 3 2 5 3" xfId="2948"/>
    <cellStyle name="千位分隔[0] 2 3 2 5 3 2" xfId="2949"/>
    <cellStyle name="千位分隔[0] 2 3 2 6" xfId="2950"/>
    <cellStyle name="千位分隔[0] 2 3 2 6 2" xfId="2951"/>
    <cellStyle name="千位分隔[0] 2 3 3" xfId="2952"/>
    <cellStyle name="千位分隔[0] 2 3 3 2" xfId="2953"/>
    <cellStyle name="千位分隔[0] 2 3 3 2 2" xfId="2954"/>
    <cellStyle name="千位分隔[0] 2 3 3 2 2 2" xfId="2955"/>
    <cellStyle name="千位分隔[0] 2 3 3 2 2 2 2" xfId="2956"/>
    <cellStyle name="千位分隔[0] 2 3 3 2 3" xfId="2957"/>
    <cellStyle name="千位分隔[0] 2 3 3 2 3 2" xfId="2958"/>
    <cellStyle name="千位分隔[0] 2 3 3 3" xfId="2959"/>
    <cellStyle name="千位分隔[0] 2 3 3 3 2" xfId="2960"/>
    <cellStyle name="千位分隔[0] 2 3 3 3 2 2" xfId="2961"/>
    <cellStyle name="千位分隔[0] 2 3 3 3 2 2 2" xfId="2962"/>
    <cellStyle name="千位分隔[0] 2 3 3 3 3" xfId="2963"/>
    <cellStyle name="千位分隔[0] 2 3 3 3 3 2" xfId="2964"/>
    <cellStyle name="千位分隔[0] 2 3 3 4" xfId="2965"/>
    <cellStyle name="千位分隔[0] 2 3 3 4 2" xfId="2966"/>
    <cellStyle name="千位分隔[0] 2 3 3 4 2 2" xfId="2967"/>
    <cellStyle name="千位分隔[0] 2 3 3 5" xfId="2968"/>
    <cellStyle name="千位分隔[0] 2 3 3 5 2" xfId="2969"/>
    <cellStyle name="千位分隔[0] 2 3 4" xfId="2970"/>
    <cellStyle name="千位分隔[0] 2 3 4 2" xfId="2971"/>
    <cellStyle name="千位分隔[0] 2 3 4 2 2" xfId="2972"/>
    <cellStyle name="千位分隔[0] 2 3 4 2 2 2" xfId="2973"/>
    <cellStyle name="千位分隔[0] 2 3 4 2 2 2 2" xfId="2974"/>
    <cellStyle name="千位分隔[0] 2 3 4 2 3" xfId="2975"/>
    <cellStyle name="千位分隔[0] 2 3 4 2 3 2" xfId="2976"/>
    <cellStyle name="千位分隔[0] 2 3 4 3" xfId="2977"/>
    <cellStyle name="千位分隔[0] 2 3 4 3 2" xfId="2978"/>
    <cellStyle name="千位分隔[0] 2 3 4 3 2 2" xfId="2979"/>
    <cellStyle name="千位分隔[0] 2 3 4 3 2 2 2" xfId="2980"/>
    <cellStyle name="千位分隔[0] 2 3 4 3 3" xfId="2981"/>
    <cellStyle name="千位分隔[0] 2 3 4 3 3 2" xfId="2982"/>
    <cellStyle name="千位分隔[0] 2 3 4 4" xfId="2983"/>
    <cellStyle name="千位分隔[0] 2 3 4 4 2" xfId="2984"/>
    <cellStyle name="千位分隔[0] 2 3 4 4 2 2" xfId="2985"/>
    <cellStyle name="千位分隔[0] 2 3 4 5" xfId="2986"/>
    <cellStyle name="千位分隔[0] 2 3 4 5 2" xfId="2987"/>
    <cellStyle name="千位分隔[0] 2 3 5" xfId="2988"/>
    <cellStyle name="千位分隔[0] 2 3 5 2" xfId="2989"/>
    <cellStyle name="千位分隔[0] 2 3 5 2 2" xfId="2990"/>
    <cellStyle name="千位分隔[0] 2 3 5 2 2 2" xfId="2991"/>
    <cellStyle name="千位分隔[0] 2 3 5 3" xfId="2992"/>
    <cellStyle name="千位分隔[0] 2 3 5 3 2" xfId="2993"/>
    <cellStyle name="千位分隔[0] 2 3 6" xfId="2994"/>
    <cellStyle name="千位分隔[0] 2 3 6 2" xfId="2995"/>
    <cellStyle name="千位分隔[0] 2 3 6 2 2" xfId="2996"/>
    <cellStyle name="千位分隔[0] 2 3 6 2 2 2" xfId="2997"/>
    <cellStyle name="千位分隔[0] 2 3 6 3" xfId="2998"/>
    <cellStyle name="千位分隔[0] 2 3 6 3 2" xfId="2999"/>
    <cellStyle name="千位分隔[0] 2 3 7" xfId="3000"/>
    <cellStyle name="千位分隔[0] 2 3 7 2" xfId="3001"/>
    <cellStyle name="千位分隔[0] 2 4" xfId="3002"/>
    <cellStyle name="千位分隔[0] 2 4 2" xfId="3003"/>
    <cellStyle name="千位分隔[0] 2 4 2 2" xfId="3004"/>
    <cellStyle name="千位分隔[0] 2 4 2 2 2" xfId="3005"/>
    <cellStyle name="千位分隔[0] 2 4 2 2 2 2" xfId="3006"/>
    <cellStyle name="千位分隔[0] 2 4 2 2 2 2 2" xfId="3007"/>
    <cellStyle name="千位分隔[0] 2 4 2 2 2 2 2 2" xfId="3008"/>
    <cellStyle name="千位分隔[0] 2 4 2 2 2 3" xfId="3009"/>
    <cellStyle name="千位分隔[0] 2 4 2 2 2 3 2" xfId="3010"/>
    <cellStyle name="千位分隔[0] 2 4 2 2 3" xfId="3011"/>
    <cellStyle name="千位分隔[0] 2 4 2 2 3 2" xfId="3012"/>
    <cellStyle name="千位分隔[0] 2 4 2 2 3 2 2" xfId="3013"/>
    <cellStyle name="千位分隔[0] 2 4 2 2 3 2 2 2" xfId="3014"/>
    <cellStyle name="千位分隔[0] 2 4 2 2 3 3" xfId="3015"/>
    <cellStyle name="千位分隔[0] 2 4 2 2 3 3 2" xfId="3016"/>
    <cellStyle name="千位分隔[0] 2 4 2 2 4" xfId="3017"/>
    <cellStyle name="千位分隔[0] 2 4 2 2 4 2" xfId="3018"/>
    <cellStyle name="千位分隔[0] 2 4 2 2 4 2 2" xfId="3019"/>
    <cellStyle name="千位分隔[0] 2 4 2 2 5" xfId="3020"/>
    <cellStyle name="千位分隔[0] 2 4 2 2 5 2" xfId="3021"/>
    <cellStyle name="千位分隔[0] 2 4 2 3" xfId="3022"/>
    <cellStyle name="千位分隔[0] 2 4 2 3 2" xfId="3023"/>
    <cellStyle name="千位分隔[0] 2 4 2 3 2 2" xfId="3024"/>
    <cellStyle name="千位分隔[0] 2 4 2 3 2 2 2" xfId="3025"/>
    <cellStyle name="千位分隔[0] 2 4 2 3 2 2 2 2" xfId="3026"/>
    <cellStyle name="千位分隔[0] 2 4 2 3 2 3" xfId="3027"/>
    <cellStyle name="千位分隔[0] 2 4 2 3 2 3 2" xfId="3028"/>
    <cellStyle name="千位分隔[0] 2 4 2 3 3" xfId="3029"/>
    <cellStyle name="千位分隔[0] 2 4 2 3 3 2" xfId="3030"/>
    <cellStyle name="千位分隔[0] 2 4 2 3 3 2 2" xfId="3031"/>
    <cellStyle name="千位分隔[0] 2 4 2 3 3 2 2 2" xfId="3032"/>
    <cellStyle name="千位分隔[0] 2 4 2 3 3 3" xfId="3033"/>
    <cellStyle name="千位分隔[0] 2 4 2 3 3 3 2" xfId="3034"/>
    <cellStyle name="千位分隔[0] 2 4 2 3 4" xfId="3035"/>
    <cellStyle name="千位分隔[0] 2 4 2 3 4 2" xfId="3036"/>
    <cellStyle name="千位分隔[0] 2 4 2 3 4 2 2" xfId="3037"/>
    <cellStyle name="千位分隔[0] 2 4 2 3 5" xfId="3038"/>
    <cellStyle name="千位分隔[0] 2 4 2 3 5 2" xfId="3039"/>
    <cellStyle name="千位分隔[0] 2 4 2 4" xfId="3040"/>
    <cellStyle name="千位分隔[0] 2 4 2 4 2" xfId="3041"/>
    <cellStyle name="千位分隔[0] 2 4 2 4 2 2" xfId="3042"/>
    <cellStyle name="千位分隔[0] 2 4 2 4 2 2 2" xfId="3043"/>
    <cellStyle name="千位分隔[0] 2 4 2 4 3" xfId="3044"/>
    <cellStyle name="千位分隔[0] 2 4 2 4 3 2" xfId="3045"/>
    <cellStyle name="千位分隔[0] 2 4 2 5" xfId="3046"/>
    <cellStyle name="千位分隔[0] 2 4 2 5 2" xfId="3047"/>
    <cellStyle name="千位分隔[0] 2 4 2 5 2 2" xfId="3048"/>
    <cellStyle name="千位分隔[0] 2 4 2 5 2 2 2" xfId="3049"/>
    <cellStyle name="千位分隔[0] 2 4 2 5 3" xfId="3050"/>
    <cellStyle name="千位分隔[0] 2 4 2 5 3 2" xfId="3051"/>
    <cellStyle name="千位分隔[0] 2 4 2 6" xfId="3052"/>
    <cellStyle name="千位分隔[0] 2 4 2 6 2" xfId="3053"/>
    <cellStyle name="千位分隔[0] 2 4 3" xfId="3054"/>
    <cellStyle name="千位分隔[0] 2 4 3 2" xfId="3055"/>
    <cellStyle name="千位分隔[0] 2 4 3 2 2" xfId="3056"/>
    <cellStyle name="千位分隔[0] 2 4 3 2 2 2" xfId="3057"/>
    <cellStyle name="千位分隔[0] 2 4 3 2 2 2 2" xfId="3058"/>
    <cellStyle name="千位分隔[0] 2 4 3 2 3" xfId="3059"/>
    <cellStyle name="千位分隔[0] 2 4 3 2 3 2" xfId="3060"/>
    <cellStyle name="千位分隔[0] 2 4 3 3" xfId="3061"/>
    <cellStyle name="千位分隔[0] 2 4 3 3 2" xfId="3062"/>
    <cellStyle name="千位分隔[0] 2 4 3 3 2 2" xfId="3063"/>
    <cellStyle name="千位分隔[0] 2 4 3 3 2 2 2" xfId="3064"/>
    <cellStyle name="千位分隔[0] 2 4 3 3 3" xfId="3065"/>
    <cellStyle name="千位分隔[0] 2 4 3 3 3 2" xfId="3066"/>
    <cellStyle name="千位分隔[0] 2 4 3 4" xfId="3067"/>
    <cellStyle name="千位分隔[0] 2 4 3 4 2" xfId="3068"/>
    <cellStyle name="千位分隔[0] 2 4 3 4 2 2" xfId="3069"/>
    <cellStyle name="千位分隔[0] 2 4 3 5" xfId="3070"/>
    <cellStyle name="千位分隔[0] 2 4 3 5 2" xfId="3071"/>
    <cellStyle name="千位分隔[0] 2 4 4" xfId="3072"/>
    <cellStyle name="千位分隔[0] 2 4 4 2" xfId="3073"/>
    <cellStyle name="千位分隔[0] 2 4 4 2 2" xfId="3074"/>
    <cellStyle name="千位分隔[0] 2 4 4 2 2 2" xfId="3075"/>
    <cellStyle name="千位分隔[0] 2 4 4 2 2 2 2" xfId="3076"/>
    <cellStyle name="千位分隔[0] 2 4 4 2 3" xfId="3077"/>
    <cellStyle name="千位分隔[0] 2 4 4 2 3 2" xfId="3078"/>
    <cellStyle name="千位分隔[0] 2 4 4 3" xfId="3079"/>
    <cellStyle name="千位分隔[0] 2 4 4 3 2" xfId="3080"/>
    <cellStyle name="千位分隔[0] 2 4 4 3 2 2" xfId="3081"/>
    <cellStyle name="千位分隔[0] 2 4 4 3 2 2 2" xfId="3082"/>
    <cellStyle name="千位分隔[0] 2 4 4 3 3" xfId="3083"/>
    <cellStyle name="千位分隔[0] 2 4 4 3 3 2" xfId="3084"/>
    <cellStyle name="千位分隔[0] 2 4 4 4" xfId="3085"/>
    <cellStyle name="千位分隔[0] 2 4 4 4 2" xfId="3086"/>
    <cellStyle name="千位分隔[0] 2 4 4 4 2 2" xfId="3087"/>
    <cellStyle name="千位分隔[0] 2 4 4 5" xfId="3088"/>
    <cellStyle name="千位分隔[0] 2 4 4 5 2" xfId="3089"/>
    <cellStyle name="千位分隔[0] 2 4 5" xfId="3090"/>
    <cellStyle name="千位分隔[0] 2 4 5 2" xfId="3091"/>
    <cellStyle name="千位分隔[0] 2 4 5 2 2" xfId="3092"/>
    <cellStyle name="千位分隔[0] 2 4 5 2 2 2" xfId="3093"/>
    <cellStyle name="千位分隔[0] 2 4 5 3" xfId="3094"/>
    <cellStyle name="千位分隔[0] 2 4 5 3 2" xfId="3095"/>
    <cellStyle name="千位分隔[0] 2 4 6" xfId="3096"/>
    <cellStyle name="千位分隔[0] 2 4 6 2" xfId="3097"/>
    <cellStyle name="千位分隔[0] 2 4 6 2 2" xfId="3098"/>
    <cellStyle name="千位分隔[0] 2 4 6 2 2 2" xfId="3099"/>
    <cellStyle name="千位分隔[0] 2 4 6 3" xfId="3100"/>
    <cellStyle name="千位分隔[0] 2 4 6 3 2" xfId="3101"/>
    <cellStyle name="千位分隔[0] 2 4 7" xfId="3102"/>
    <cellStyle name="千位分隔[0] 2 4 7 2" xfId="3103"/>
    <cellStyle name="千位分隔[0] 2 5" xfId="3104"/>
    <cellStyle name="千位分隔[0] 2 5 2" xfId="3105"/>
    <cellStyle name="千位分隔[0] 2 5 2 2" xfId="3106"/>
    <cellStyle name="千位分隔[0] 2 5 2 2 2" xfId="3107"/>
    <cellStyle name="千位分隔[0] 2 5 2 2 2 2" xfId="3108"/>
    <cellStyle name="千位分隔[0] 2 5 2 3" xfId="3109"/>
    <cellStyle name="千位分隔[0] 2 5 2 3 2" xfId="3110"/>
    <cellStyle name="千位分隔[0] 2 5 3" xfId="3111"/>
    <cellStyle name="千位分隔[0] 2 5 3 2" xfId="3112"/>
    <cellStyle name="千位分隔[0] 2 5 3 2 2" xfId="3113"/>
    <cellStyle name="千位分隔[0] 2 5 3 2 2 2" xfId="3114"/>
    <cellStyle name="千位分隔[0] 2 5 3 3" xfId="3115"/>
    <cellStyle name="千位分隔[0] 2 5 3 3 2" xfId="3116"/>
    <cellStyle name="千位分隔[0] 2 5 4" xfId="3117"/>
    <cellStyle name="千位分隔[0] 2 5 4 2" xfId="3118"/>
    <cellStyle name="千位分隔[0] 2 5 4 2 2" xfId="3119"/>
    <cellStyle name="千位分隔[0] 2 5 5" xfId="3120"/>
    <cellStyle name="千位分隔[0] 2 5 5 2" xfId="3121"/>
    <cellStyle name="千位分隔[0] 2 5 6" xfId="3122"/>
    <cellStyle name="千位分隔[0] 2 6" xfId="3123"/>
    <cellStyle name="千位分隔[0] 2 6 2" xfId="3124"/>
    <cellStyle name="千位分隔[0] 2 6 2 2" xfId="3125"/>
    <cellStyle name="千位分隔[0] 2 6 2 2 2" xfId="3126"/>
    <cellStyle name="千位分隔[0] 2 6 2 2 2 2" xfId="3127"/>
    <cellStyle name="千位分隔[0] 2 6 2 3" xfId="3128"/>
    <cellStyle name="千位分隔[0] 2 6 2 3 2" xfId="3129"/>
    <cellStyle name="千位分隔[0] 2 6 3" xfId="3130"/>
    <cellStyle name="千位分隔[0] 2 6 3 2" xfId="3131"/>
    <cellStyle name="千位分隔[0] 2 6 3 2 2" xfId="3132"/>
    <cellStyle name="千位分隔[0] 2 6 3 2 2 2" xfId="3133"/>
    <cellStyle name="千位分隔[0] 2 6 3 3" xfId="3134"/>
    <cellStyle name="千位分隔[0] 2 6 3 3 2" xfId="3135"/>
    <cellStyle name="千位分隔[0] 2 6 4" xfId="3136"/>
    <cellStyle name="千位分隔[0] 2 6 4 2" xfId="3137"/>
    <cellStyle name="千位分隔[0] 2 6 4 2 2" xfId="3138"/>
    <cellStyle name="千位分隔[0] 2 6 5" xfId="3139"/>
    <cellStyle name="千位分隔[0] 2 6 5 2" xfId="3140"/>
    <cellStyle name="千位分隔[0] 2 6 6" xfId="3141"/>
    <cellStyle name="千位分隔[0] 2 7" xfId="3142"/>
    <cellStyle name="千位分隔[0] 2 7 2" xfId="3143"/>
    <cellStyle name="千位分隔[0] 2 7 2 2" xfId="3144"/>
    <cellStyle name="千位分隔[0] 2 7 2 2 2" xfId="3145"/>
    <cellStyle name="千位分隔[0] 2 7 3" xfId="3146"/>
    <cellStyle name="千位分隔[0] 2 7 3 2" xfId="3147"/>
    <cellStyle name="千位分隔[0] 2 7 4" xfId="3148"/>
    <cellStyle name="千位分隔[0] 2 8" xfId="3149"/>
    <cellStyle name="千位分隔[0] 2 8 2" xfId="3150"/>
    <cellStyle name="千位分隔[0] 2 8 2 2" xfId="3151"/>
    <cellStyle name="千位分隔[0] 2 8 2 2 2" xfId="3152"/>
    <cellStyle name="千位分隔[0] 2 8 3" xfId="3153"/>
    <cellStyle name="千位分隔[0] 2 8 3 2" xfId="3154"/>
    <cellStyle name="千位分隔[0] 2 8 4" xfId="3155"/>
    <cellStyle name="千位分隔[0] 2 9" xfId="3156"/>
    <cellStyle name="千位分隔[0] 2 9 2" xfId="3157"/>
    <cellStyle name="千位分隔[0] 3" xfId="3158"/>
    <cellStyle name="千位分隔[0] 3 10" xfId="3159"/>
    <cellStyle name="千位分隔[0] 3 2" xfId="3160"/>
    <cellStyle name="千位分隔[0] 3 2 2" xfId="3161"/>
    <cellStyle name="千位分隔[0] 3 2 2 2" xfId="3162"/>
    <cellStyle name="千位分隔[0] 3 2 2 2 2" xfId="3163"/>
    <cellStyle name="千位分隔[0] 3 2 2 2 2 2" xfId="3164"/>
    <cellStyle name="千位分隔[0] 3 2 2 2 2 2 2" xfId="3165"/>
    <cellStyle name="千位分隔[0] 3 2 2 2 3" xfId="3166"/>
    <cellStyle name="千位分隔[0] 3 2 2 2 3 2" xfId="3167"/>
    <cellStyle name="千位分隔[0] 3 2 2 3" xfId="3168"/>
    <cellStyle name="千位分隔[0] 3 2 2 3 2" xfId="3169"/>
    <cellStyle name="千位分隔[0] 3 2 2 3 2 2" xfId="3170"/>
    <cellStyle name="千位分隔[0] 3 2 2 3 2 2 2" xfId="3171"/>
    <cellStyle name="千位分隔[0] 3 2 2 3 3" xfId="3172"/>
    <cellStyle name="千位分隔[0] 3 2 2 3 3 2" xfId="3173"/>
    <cellStyle name="千位分隔[0] 3 2 2 4" xfId="3174"/>
    <cellStyle name="千位分隔[0] 3 2 2 4 2" xfId="3175"/>
    <cellStyle name="千位分隔[0] 3 2 2 4 2 2" xfId="3176"/>
    <cellStyle name="千位分隔[0] 3 2 2 5" xfId="3177"/>
    <cellStyle name="千位分隔[0] 3 2 2 5 2" xfId="3178"/>
    <cellStyle name="千位分隔[0] 3 2 2 6" xfId="3179"/>
    <cellStyle name="千位分隔[0] 3 2 3" xfId="3180"/>
    <cellStyle name="千位分隔[0] 3 2 3 2" xfId="3181"/>
    <cellStyle name="千位分隔[0] 3 2 3 2 2" xfId="3182"/>
    <cellStyle name="千位分隔[0] 3 2 3 2 2 2" xfId="3183"/>
    <cellStyle name="千位分隔[0] 3 2 3 2 2 2 2" xfId="3184"/>
    <cellStyle name="千位分隔[0] 3 2 3 2 3" xfId="3185"/>
    <cellStyle name="千位分隔[0] 3 2 3 2 3 2" xfId="3186"/>
    <cellStyle name="千位分隔[0] 3 2 3 3" xfId="3187"/>
    <cellStyle name="千位分隔[0] 3 2 3 3 2" xfId="3188"/>
    <cellStyle name="千位分隔[0] 3 2 3 3 2 2" xfId="3189"/>
    <cellStyle name="千位分隔[0] 3 2 3 3 2 2 2" xfId="3190"/>
    <cellStyle name="千位分隔[0] 3 2 3 3 3" xfId="3191"/>
    <cellStyle name="千位分隔[0] 3 2 3 3 3 2" xfId="3192"/>
    <cellStyle name="千位分隔[0] 3 2 3 4" xfId="3193"/>
    <cellStyle name="千位分隔[0] 3 2 3 4 2" xfId="3194"/>
    <cellStyle name="千位分隔[0] 3 2 3 4 2 2" xfId="3195"/>
    <cellStyle name="千位分隔[0] 3 2 3 5" xfId="3196"/>
    <cellStyle name="千位分隔[0] 3 2 3 5 2" xfId="3197"/>
    <cellStyle name="千位分隔[0] 3 2 3 6" xfId="3198"/>
    <cellStyle name="千位分隔[0] 3 2 4" xfId="3199"/>
    <cellStyle name="千位分隔[0] 3 2 4 2" xfId="3200"/>
    <cellStyle name="千位分隔[0] 3 2 4 2 2" xfId="3201"/>
    <cellStyle name="千位分隔[0] 3 2 4 2 2 2" xfId="3202"/>
    <cellStyle name="千位分隔[0] 3 2 4 3" xfId="3203"/>
    <cellStyle name="千位分隔[0] 3 2 4 3 2" xfId="3204"/>
    <cellStyle name="千位分隔[0] 3 2 4 4" xfId="3205"/>
    <cellStyle name="千位分隔[0] 3 2 5" xfId="3206"/>
    <cellStyle name="千位分隔[0] 3 2 5 2" xfId="3207"/>
    <cellStyle name="千位分隔[0] 3 2 5 2 2" xfId="3208"/>
    <cellStyle name="千位分隔[0] 3 2 5 2 2 2" xfId="3209"/>
    <cellStyle name="千位分隔[0] 3 2 5 3" xfId="3210"/>
    <cellStyle name="千位分隔[0] 3 2 5 3 2" xfId="3211"/>
    <cellStyle name="千位分隔[0] 3 2 5 4" xfId="3212"/>
    <cellStyle name="千位分隔[0] 3 2 6" xfId="3213"/>
    <cellStyle name="千位分隔[0] 3 2 6 2" xfId="3214"/>
    <cellStyle name="千位分隔[0] 3 2 6 3" xfId="3215"/>
    <cellStyle name="千位分隔[0] 3 2 7" xfId="3216"/>
    <cellStyle name="千位分隔[0] 3 3" xfId="3217"/>
    <cellStyle name="千位分隔[0] 3 3 2" xfId="3218"/>
    <cellStyle name="千位分隔[0] 3 3 2 2" xfId="3219"/>
    <cellStyle name="千位分隔[0] 3 3 2 2 2" xfId="3220"/>
    <cellStyle name="千位分隔[0] 3 3 2 2 2 2" xfId="3221"/>
    <cellStyle name="千位分隔[0] 3 3 2 3" xfId="3222"/>
    <cellStyle name="千位分隔[0] 3 3 2 3 2" xfId="3223"/>
    <cellStyle name="千位分隔[0] 3 3 3" xfId="3224"/>
    <cellStyle name="千位分隔[0] 3 3 3 2" xfId="3225"/>
    <cellStyle name="千位分隔[0] 3 3 3 2 2" xfId="3226"/>
    <cellStyle name="千位分隔[0] 3 3 3 2 2 2" xfId="3227"/>
    <cellStyle name="千位分隔[0] 3 3 3 3" xfId="3228"/>
    <cellStyle name="千位分隔[0] 3 3 3 3 2" xfId="3229"/>
    <cellStyle name="千位分隔[0] 3 3 4" xfId="3230"/>
    <cellStyle name="千位分隔[0] 3 3 4 2" xfId="3231"/>
    <cellStyle name="千位分隔[0] 3 3 4 2 2" xfId="3232"/>
    <cellStyle name="千位分隔[0] 3 3 5" xfId="3233"/>
    <cellStyle name="千位分隔[0] 3 3 5 2" xfId="3234"/>
    <cellStyle name="千位分隔[0] 3 3 6" xfId="3235"/>
    <cellStyle name="千位分隔[0] 3 4" xfId="3236"/>
    <cellStyle name="千位分隔[0] 3 4 2" xfId="3237"/>
    <cellStyle name="千位分隔[0] 3 4 2 2" xfId="3238"/>
    <cellStyle name="千位分隔[0] 3 4 2 2 2" xfId="3239"/>
    <cellStyle name="千位分隔[0] 3 4 2 2 2 2" xfId="3240"/>
    <cellStyle name="千位分隔[0] 3 4 2 3" xfId="3241"/>
    <cellStyle name="千位分隔[0] 3 4 2 3 2" xfId="3242"/>
    <cellStyle name="千位分隔[0] 3 4 3" xfId="3243"/>
    <cellStyle name="千位分隔[0] 3 4 3 2" xfId="3244"/>
    <cellStyle name="千位分隔[0] 3 4 3 2 2" xfId="3245"/>
    <cellStyle name="千位分隔[0] 3 4 3 2 2 2" xfId="3246"/>
    <cellStyle name="千位分隔[0] 3 4 3 3" xfId="3247"/>
    <cellStyle name="千位分隔[0] 3 4 3 3 2" xfId="3248"/>
    <cellStyle name="千位分隔[0] 3 4 4" xfId="3249"/>
    <cellStyle name="千位分隔[0] 3 4 4 2" xfId="3250"/>
    <cellStyle name="千位分隔[0] 3 4 4 2 2" xfId="3251"/>
    <cellStyle name="千位分隔[0] 3 4 5" xfId="3252"/>
    <cellStyle name="千位分隔[0] 3 4 5 2" xfId="3253"/>
    <cellStyle name="千位分隔[0] 3 4 6" xfId="3254"/>
    <cellStyle name="千位分隔[0] 3 5" xfId="3255"/>
    <cellStyle name="千位分隔[0] 3 5 2" xfId="3256"/>
    <cellStyle name="千位分隔[0] 3 5 2 2" xfId="3257"/>
    <cellStyle name="千位分隔[0] 3 5 2 2 2" xfId="3258"/>
    <cellStyle name="千位分隔[0] 3 5 3" xfId="3259"/>
    <cellStyle name="千位分隔[0] 3 5 3 2" xfId="3260"/>
    <cellStyle name="千位分隔[0] 3 5 4" xfId="3261"/>
    <cellStyle name="千位分隔[0] 3 6" xfId="3262"/>
    <cellStyle name="千位分隔[0] 3 6 2" xfId="3263"/>
    <cellStyle name="千位分隔[0] 3 6 2 2" xfId="3264"/>
    <cellStyle name="千位分隔[0] 3 6 2 2 2" xfId="3265"/>
    <cellStyle name="千位分隔[0] 3 6 3" xfId="3266"/>
    <cellStyle name="千位分隔[0] 3 6 3 2" xfId="3267"/>
    <cellStyle name="千位分隔[0] 3 7" xfId="3268"/>
    <cellStyle name="千位分隔[0] 3 7 2" xfId="3269"/>
    <cellStyle name="千位分隔[0] 3 7 3" xfId="3270"/>
    <cellStyle name="千位分隔[0] 3 8" xfId="3271"/>
    <cellStyle name="千位分隔[0] 3 9" xfId="3272"/>
    <cellStyle name="千位分隔[0] 4" xfId="3273"/>
    <cellStyle name="千位分隔[0] 4 2" xfId="3274"/>
    <cellStyle name="千位分隔[0] 4 2 2" xfId="3275"/>
    <cellStyle name="千位分隔[0] 4 2 2 2" xfId="3276"/>
    <cellStyle name="千位分隔[0] 4 2 2 2 2" xfId="3277"/>
    <cellStyle name="千位分隔[0] 4 2 2 2 2 2" xfId="3278"/>
    <cellStyle name="千位分隔[0] 4 2 2 2 2 2 2" xfId="3279"/>
    <cellStyle name="千位分隔[0] 4 2 2 2 3" xfId="3280"/>
    <cellStyle name="千位分隔[0] 4 2 2 2 3 2" xfId="3281"/>
    <cellStyle name="千位分隔[0] 4 2 2 3" xfId="3282"/>
    <cellStyle name="千位分隔[0] 4 2 2 3 2" xfId="3283"/>
    <cellStyle name="千位分隔[0] 4 2 2 3 2 2" xfId="3284"/>
    <cellStyle name="千位分隔[0] 4 2 2 3 2 2 2" xfId="3285"/>
    <cellStyle name="千位分隔[0] 4 2 2 3 3" xfId="3286"/>
    <cellStyle name="千位分隔[0] 4 2 2 3 3 2" xfId="3287"/>
    <cellStyle name="千位分隔[0] 4 2 2 4" xfId="3288"/>
    <cellStyle name="千位分隔[0] 4 2 2 4 2" xfId="3289"/>
    <cellStyle name="千位分隔[0] 4 2 2 4 2 2" xfId="3290"/>
    <cellStyle name="千位分隔[0] 4 2 2 5" xfId="3291"/>
    <cellStyle name="千位分隔[0] 4 2 2 5 2" xfId="3292"/>
    <cellStyle name="千位分隔[0] 4 2 3" xfId="3293"/>
    <cellStyle name="千位分隔[0] 4 2 3 2" xfId="3294"/>
    <cellStyle name="千位分隔[0] 4 2 3 2 2" xfId="3295"/>
    <cellStyle name="千位分隔[0] 4 2 3 2 2 2" xfId="3296"/>
    <cellStyle name="千位分隔[0] 4 2 3 2 2 2 2" xfId="3297"/>
    <cellStyle name="千位分隔[0] 4 2 3 2 3" xfId="3298"/>
    <cellStyle name="千位分隔[0] 4 2 3 2 3 2" xfId="3299"/>
    <cellStyle name="千位分隔[0] 4 2 3 3" xfId="3300"/>
    <cellStyle name="千位分隔[0] 4 2 3 3 2" xfId="3301"/>
    <cellStyle name="千位分隔[0] 4 2 3 3 2 2" xfId="3302"/>
    <cellStyle name="千位分隔[0] 4 2 3 3 2 2 2" xfId="3303"/>
    <cellStyle name="千位分隔[0] 4 2 3 3 3" xfId="3304"/>
    <cellStyle name="千位分隔[0] 4 2 3 3 3 2" xfId="3305"/>
    <cellStyle name="千位分隔[0] 4 2 3 4" xfId="3306"/>
    <cellStyle name="千位分隔[0] 4 2 3 4 2" xfId="3307"/>
    <cellStyle name="千位分隔[0] 4 2 3 4 2 2" xfId="3308"/>
    <cellStyle name="千位分隔[0] 4 2 3 5" xfId="3309"/>
    <cellStyle name="千位分隔[0] 4 2 3 5 2" xfId="3310"/>
    <cellStyle name="千位分隔[0] 4 2 4" xfId="3311"/>
    <cellStyle name="千位分隔[0] 4 2 4 2" xfId="3312"/>
    <cellStyle name="千位分隔[0] 4 2 4 2 2" xfId="3313"/>
    <cellStyle name="千位分隔[0] 4 2 4 2 2 2" xfId="3314"/>
    <cellStyle name="千位分隔[0] 4 2 4 3" xfId="3315"/>
    <cellStyle name="千位分隔[0] 4 2 4 3 2" xfId="3316"/>
    <cellStyle name="千位分隔[0] 4 2 5" xfId="3317"/>
    <cellStyle name="千位分隔[0] 4 2 5 2" xfId="3318"/>
    <cellStyle name="千位分隔[0] 4 2 5 2 2" xfId="3319"/>
    <cellStyle name="千位分隔[0] 4 2 5 2 2 2" xfId="3320"/>
    <cellStyle name="千位分隔[0] 4 2 5 3" xfId="3321"/>
    <cellStyle name="千位分隔[0] 4 2 5 3 2" xfId="3322"/>
    <cellStyle name="千位分隔[0] 4 2 6" xfId="3323"/>
    <cellStyle name="千位分隔[0] 4 2 6 2" xfId="3324"/>
    <cellStyle name="千位分隔[0] 4 3" xfId="3325"/>
    <cellStyle name="千位分隔[0] 4 3 2" xfId="3326"/>
    <cellStyle name="千位分隔[0] 4 3 2 2" xfId="3327"/>
    <cellStyle name="千位分隔[0] 4 3 2 2 2" xfId="3328"/>
    <cellStyle name="千位分隔[0] 4 3 2 2 2 2" xfId="3329"/>
    <cellStyle name="千位分隔[0] 4 3 2 3" xfId="3330"/>
    <cellStyle name="千位分隔[0] 4 3 2 3 2" xfId="3331"/>
    <cellStyle name="千位分隔[0] 4 3 3" xfId="3332"/>
    <cellStyle name="千位分隔[0] 4 3 3 2" xfId="3333"/>
    <cellStyle name="千位分隔[0] 4 3 3 2 2" xfId="3334"/>
    <cellStyle name="千位分隔[0] 4 3 3 2 2 2" xfId="3335"/>
    <cellStyle name="千位分隔[0] 4 3 3 3" xfId="3336"/>
    <cellStyle name="千位分隔[0] 4 3 3 3 2" xfId="3337"/>
    <cellStyle name="千位分隔[0] 4 3 4" xfId="3338"/>
    <cellStyle name="千位分隔[0] 4 3 4 2" xfId="3339"/>
    <cellStyle name="千位分隔[0] 4 3 4 2 2" xfId="3340"/>
    <cellStyle name="千位分隔[0] 4 3 5" xfId="3341"/>
    <cellStyle name="千位分隔[0] 4 3 5 2" xfId="3342"/>
    <cellStyle name="千位分隔[0] 4 3 6" xfId="3343"/>
    <cellStyle name="千位分隔[0] 4 4" xfId="3344"/>
    <cellStyle name="千位分隔[0] 4 4 2" xfId="3345"/>
    <cellStyle name="千位分隔[0] 4 4 2 2" xfId="3346"/>
    <cellStyle name="千位分隔[0] 4 4 2 2 2" xfId="3347"/>
    <cellStyle name="千位分隔[0] 4 4 2 2 2 2" xfId="3348"/>
    <cellStyle name="千位分隔[0] 4 4 2 3" xfId="3349"/>
    <cellStyle name="千位分隔[0] 4 4 2 3 2" xfId="3350"/>
    <cellStyle name="千位分隔[0] 4 4 3" xfId="3351"/>
    <cellStyle name="千位分隔[0] 4 4 3 2" xfId="3352"/>
    <cellStyle name="千位分隔[0] 4 4 3 2 2" xfId="3353"/>
    <cellStyle name="千位分隔[0] 4 4 3 2 2 2" xfId="3354"/>
    <cellStyle name="千位分隔[0] 4 4 3 3" xfId="3355"/>
    <cellStyle name="千位分隔[0] 4 4 3 3 2" xfId="3356"/>
    <cellStyle name="千位分隔[0] 4 4 4" xfId="3357"/>
    <cellStyle name="千位分隔[0] 4 4 4 2" xfId="3358"/>
    <cellStyle name="千位分隔[0] 4 4 4 2 2" xfId="3359"/>
    <cellStyle name="千位分隔[0] 4 4 5" xfId="3360"/>
    <cellStyle name="千位分隔[0] 4 4 5 2" xfId="3361"/>
    <cellStyle name="千位分隔[0] 4 4 6" xfId="3362"/>
    <cellStyle name="千位分隔[0] 4 5" xfId="3363"/>
    <cellStyle name="千位分隔[0] 4 5 2" xfId="3364"/>
    <cellStyle name="千位分隔[0] 4 5 2 2" xfId="3365"/>
    <cellStyle name="千位分隔[0] 4 5 2 2 2" xfId="3366"/>
    <cellStyle name="千位分隔[0] 4 5 3" xfId="3367"/>
    <cellStyle name="千位分隔[0] 4 5 3 2" xfId="3368"/>
    <cellStyle name="千位分隔[0] 4 6" xfId="3369"/>
    <cellStyle name="千位分隔[0] 4 6 2" xfId="3370"/>
    <cellStyle name="千位分隔[0] 4 6 2 2" xfId="3371"/>
    <cellStyle name="千位分隔[0] 4 6 2 2 2" xfId="3372"/>
    <cellStyle name="千位分隔[0] 4 6 3" xfId="3373"/>
    <cellStyle name="千位分隔[0] 4 6 3 2" xfId="3374"/>
    <cellStyle name="千位分隔[0] 4 6 4" xfId="3375"/>
    <cellStyle name="千位分隔[0] 4 7" xfId="3376"/>
    <cellStyle name="千位分隔[0] 4 7 2" xfId="3377"/>
    <cellStyle name="千位分隔[0] 4 7 3" xfId="3378"/>
    <cellStyle name="千位分隔[0] 4 8" xfId="3379"/>
    <cellStyle name="千位分隔[0] 4 9" xfId="3380"/>
    <cellStyle name="千位分隔[0] 5" xfId="3381"/>
    <cellStyle name="千位分隔[0] 5 2" xfId="3382"/>
    <cellStyle name="千位分隔[0] 5 2 2" xfId="3383"/>
    <cellStyle name="千位分隔[0] 5 2 2 2" xfId="3384"/>
    <cellStyle name="千位分隔[0] 5 2 2 2 2" xfId="3385"/>
    <cellStyle name="千位分隔[0] 5 2 3" xfId="3386"/>
    <cellStyle name="千位分隔[0] 5 2 3 2" xfId="3387"/>
    <cellStyle name="千位分隔[0] 5 3" xfId="3388"/>
    <cellStyle name="千位分隔[0] 5 3 2" xfId="3389"/>
    <cellStyle name="千位分隔[0] 5 3 2 2" xfId="3390"/>
    <cellStyle name="千位分隔[0] 5 3 2 2 2" xfId="3391"/>
    <cellStyle name="千位分隔[0] 5 3 3" xfId="3392"/>
    <cellStyle name="千位分隔[0] 5 3 3 2" xfId="3393"/>
    <cellStyle name="千位分隔[0] 5 3 4" xfId="3394"/>
    <cellStyle name="千位分隔[0] 5 4" xfId="3395"/>
    <cellStyle name="千位分隔[0] 5 4 2" xfId="3396"/>
    <cellStyle name="千位分隔[0] 5 4 2 2" xfId="3397"/>
    <cellStyle name="千位分隔[0] 5 5" xfId="3398"/>
    <cellStyle name="千位分隔[0] 5 5 2" xfId="3399"/>
    <cellStyle name="千位分隔[0] 6" xfId="3400"/>
    <cellStyle name="千位分隔[0] 6 2" xfId="3401"/>
    <cellStyle name="千位分隔[0] 6 2 2" xfId="3402"/>
    <cellStyle name="千位分隔[0] 6 2 2 2" xfId="3403"/>
    <cellStyle name="千位分隔[0] 6 2 2 2 2" xfId="3404"/>
    <cellStyle name="千位分隔[0] 6 2 3" xfId="3405"/>
    <cellStyle name="千位分隔[0] 6 2 3 2" xfId="3406"/>
    <cellStyle name="千位分隔[0] 6 3" xfId="3407"/>
    <cellStyle name="千位分隔[0] 6 3 2" xfId="3408"/>
    <cellStyle name="千位分隔[0] 6 3 2 2" xfId="3409"/>
    <cellStyle name="千位分隔[0] 6 3 2 2 2" xfId="3410"/>
    <cellStyle name="千位分隔[0] 6 3 3" xfId="3411"/>
    <cellStyle name="千位分隔[0] 6 3 3 2" xfId="3412"/>
    <cellStyle name="千位分隔[0] 6 4" xfId="3413"/>
    <cellStyle name="千位分隔[0] 6 4 2" xfId="3414"/>
    <cellStyle name="千位分隔[0] 6 4 2 2" xfId="3415"/>
    <cellStyle name="千位分隔[0] 6 5" xfId="3416"/>
    <cellStyle name="千位分隔[0] 6 5 2" xfId="3417"/>
    <cellStyle name="千位分隔[0] 7" xfId="3418"/>
    <cellStyle name="千位分隔[0] 7 2" xfId="3419"/>
    <cellStyle name="千位分隔[0] 7 2 2" xfId="3420"/>
    <cellStyle name="千位分隔[0] 7 2 2 2" xfId="3421"/>
    <cellStyle name="千位分隔[0] 7 3" xfId="3422"/>
    <cellStyle name="千位分隔[0] 7 3 2" xfId="3423"/>
    <cellStyle name="千位分隔[0] 7 4" xfId="3424"/>
    <cellStyle name="千位分隔[0] 8" xfId="3425"/>
    <cellStyle name="千位分隔[0] 8 2" xfId="3426"/>
    <cellStyle name="千位分隔[0] 8 2 2" xfId="3427"/>
    <cellStyle name="千位分隔[0] 8 2 2 2" xfId="3428"/>
    <cellStyle name="千位分隔[0] 8 3" xfId="3429"/>
    <cellStyle name="千位分隔[0] 8 3 2" xfId="3430"/>
    <cellStyle name="千位分隔[0] 8 4" xfId="3431"/>
    <cellStyle name="千位分隔[0] 9" xfId="3432"/>
    <cellStyle name="千位分隔[0] 9 2" xfId="3433"/>
    <cellStyle name="千位分隔[0] 9 3" xfId="34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4992742471608"/>
          <c:y val="0.12209463536684083"/>
          <c:w val="0.85965702139993239"/>
          <c:h val="0.599908524477918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税抜!$C$203</c:f>
              <c:strCache>
                <c:ptCount val="1"/>
                <c:pt idx="0">
                  <c:v>2014年度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税抜!$D$203:$O$203</c:f>
              <c:numCache>
                <c:formatCode>#,##0_);[Red]\(#,##0\)</c:formatCode>
                <c:ptCount val="12"/>
                <c:pt idx="0">
                  <c:v>226247.00854700856</c:v>
                </c:pt>
                <c:pt idx="1">
                  <c:v>287356.41025641025</c:v>
                </c:pt>
                <c:pt idx="2">
                  <c:v>288276.92307692312</c:v>
                </c:pt>
                <c:pt idx="3">
                  <c:v>277626.49572649575</c:v>
                </c:pt>
                <c:pt idx="4">
                  <c:v>231815.38461538462</c:v>
                </c:pt>
                <c:pt idx="5">
                  <c:v>208039.31623931625</c:v>
                </c:pt>
                <c:pt idx="6">
                  <c:v>200781.19658119659</c:v>
                </c:pt>
                <c:pt idx="7">
                  <c:v>229175.21367521369</c:v>
                </c:pt>
                <c:pt idx="8">
                  <c:v>254451.28205128206</c:v>
                </c:pt>
                <c:pt idx="9">
                  <c:v>265536.75213675213</c:v>
                </c:pt>
                <c:pt idx="10">
                  <c:v>260321.36752136753</c:v>
                </c:pt>
                <c:pt idx="11">
                  <c:v>202749.57264957266</c:v>
                </c:pt>
              </c:numCache>
            </c:numRef>
          </c:val>
        </c:ser>
        <c:ser>
          <c:idx val="0"/>
          <c:order val="1"/>
          <c:tx>
            <c:strRef>
              <c:f>税抜!$C$205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税抜!$D$205:$O$205</c:f>
              <c:numCache>
                <c:formatCode>#,##0_);[Red]\(#,##0\)</c:formatCode>
                <c:ptCount val="12"/>
                <c:pt idx="0">
                  <c:v>218771.79487179487</c:v>
                </c:pt>
                <c:pt idx="1">
                  <c:v>248828.03418803425</c:v>
                </c:pt>
                <c:pt idx="2">
                  <c:v>270584.61538461538</c:v>
                </c:pt>
                <c:pt idx="3">
                  <c:v>230059.82905982906</c:v>
                </c:pt>
                <c:pt idx="4">
                  <c:v>235689.74358974359</c:v>
                </c:pt>
                <c:pt idx="5">
                  <c:v>272384.61538461538</c:v>
                </c:pt>
                <c:pt idx="6">
                  <c:v>194070.94017094019</c:v>
                </c:pt>
                <c:pt idx="7">
                  <c:v>188699.14529914531</c:v>
                </c:pt>
                <c:pt idx="8">
                  <c:v>200469.25641025644</c:v>
                </c:pt>
                <c:pt idx="9">
                  <c:v>215793.72374358977</c:v>
                </c:pt>
                <c:pt idx="10">
                  <c:v>200792.32735042737</c:v>
                </c:pt>
                <c:pt idx="11">
                  <c:v>162085.9112820513</c:v>
                </c:pt>
              </c:numCache>
            </c:numRef>
          </c:val>
        </c:ser>
        <c:ser>
          <c:idx val="1"/>
          <c:order val="2"/>
          <c:tx>
            <c:strRef>
              <c:f>税抜!$C$207</c:f>
              <c:strCache>
                <c:ptCount val="1"/>
                <c:pt idx="0">
                  <c:v>2016年度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税抜!$D$207:$O$207</c:f>
              <c:numCache>
                <c:formatCode>#,##0_);[Red]\(#,##0\)</c:formatCode>
                <c:ptCount val="12"/>
                <c:pt idx="0">
                  <c:v>222354.10971794874</c:v>
                </c:pt>
                <c:pt idx="1">
                  <c:v>261161.12393162397</c:v>
                </c:pt>
                <c:pt idx="2">
                  <c:v>275492.169991453</c:v>
                </c:pt>
                <c:pt idx="3">
                  <c:v>293134.02181196585</c:v>
                </c:pt>
                <c:pt idx="4">
                  <c:v>299571.61223931628</c:v>
                </c:pt>
                <c:pt idx="5">
                  <c:v>278174.3534786324</c:v>
                </c:pt>
                <c:pt idx="6">
                  <c:v>298469.54002564104</c:v>
                </c:pt>
                <c:pt idx="7">
                  <c:v>234440.46121367524</c:v>
                </c:pt>
                <c:pt idx="8">
                  <c:v>261865.48470085472</c:v>
                </c:pt>
                <c:pt idx="9">
                  <c:v>314379.82530769234</c:v>
                </c:pt>
                <c:pt idx="10">
                  <c:v>248039.57031623935</c:v>
                </c:pt>
                <c:pt idx="11">
                  <c:v>212776.82735042737</c:v>
                </c:pt>
              </c:numCache>
            </c:numRef>
          </c:val>
        </c:ser>
        <c:ser>
          <c:idx val="3"/>
          <c:order val="3"/>
          <c:tx>
            <c:strRef>
              <c:f>税抜!$C$209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endParaRPr lang="zh-CN" altLang="en-US">
                      <a:latin typeface="Meiryo UI" panose="020B0604030504040204" pitchFamily="34" charset="-128"/>
                      <a:ea typeface="Meiryo UI" panose="020B0604030504040204" pitchFamily="34" charset="-128"/>
                      <a:cs typeface="Meiryo UI" panose="020B0604030504040204" pitchFamily="34" charset="-128"/>
                    </a:endParaRP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endParaRPr lang="zh-CN" altLang="en-US">
                      <a:latin typeface="Meiryo UI" panose="020B0604030504040204" pitchFamily="34" charset="-128"/>
                      <a:ea typeface="Meiryo UI" panose="020B0604030504040204" pitchFamily="34" charset="-128"/>
                      <a:cs typeface="Meiryo UI" panose="020B0604030504040204" pitchFamily="34" charset="-128"/>
                    </a:endParaRP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pPr>
                      <a:defRPr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</a:p>
                  <a:p>
                    <a:r>
                      <a:rPr lang="ja-JP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計</a:t>
                    </a:r>
                    <a:endParaRPr lang="en-US" altLang="ja-JP">
                      <a:latin typeface="Meiryo UI" panose="020B0604030504040204" pitchFamily="34" charset="-128"/>
                      <a:ea typeface="Meiryo UI" panose="020B0604030504040204" pitchFamily="34" charset="-128"/>
                      <a:cs typeface="Meiryo UI" panose="020B0604030504040204" pitchFamily="34" charset="-128"/>
                    </a:endParaRPr>
                  </a:p>
                  <a:p>
                    <a:r>
                      <a:rPr lang="ja-JP" altLang="en-US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計</a:t>
                    </a:r>
                    <a:endParaRPr lang="zh-CN" altLang="zh-CN" sz="900">
                      <a:effectLst/>
                    </a:endParaRP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画</a:t>
                    </a:r>
                    <a:endParaRPr lang="zh-CN" altLang="zh-CN" sz="90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計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画</a:t>
                    </a:r>
                    <a:endParaRPr lang="zh-CN" altLang="zh-CN" sz="900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en-US"/>
                      <a:t>前</a:t>
                    </a:r>
                    <a:endParaRPr lang="en-US" altLang="ja-JP"/>
                  </a:p>
                  <a:p>
                    <a:r>
                      <a:rPr lang="ja-JP" altLang="en-US"/>
                      <a:t>回</a:t>
                    </a:r>
                    <a:endParaRPr lang="en-US" altLang="ja-JP"/>
                  </a:p>
                  <a:p>
                    <a:r>
                      <a:rPr lang="ja-JP" altLang="en-US"/>
                      <a:t>計</a:t>
                    </a:r>
                    <a:endParaRPr lang="en-US" altLang="ja-JP"/>
                  </a:p>
                  <a:p>
                    <a:r>
                      <a:rPr lang="ja-JP" altLang="en-US"/>
                      <a:t>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en-US"/>
                      <a:t>前</a:t>
                    </a:r>
                    <a:endParaRPr lang="en-US" altLang="ja-JP"/>
                  </a:p>
                  <a:p>
                    <a:r>
                      <a:rPr lang="ja-JP" altLang="en-US"/>
                      <a:t>回</a:t>
                    </a:r>
                    <a:endParaRPr lang="en-US" altLang="ja-JP"/>
                  </a:p>
                  <a:p>
                    <a:r>
                      <a:rPr lang="ja-JP" altLang="en-US"/>
                      <a:t>計</a:t>
                    </a:r>
                    <a:endParaRPr lang="en-US" altLang="ja-JP"/>
                  </a:p>
                  <a:p>
                    <a:r>
                      <a:rPr lang="ja-JP" altLang="en-US"/>
                      <a:t>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Meiryo UI" panose="020B0604030504040204" pitchFamily="34" charset="-128"/>
                    <a:ea typeface="Meiryo UI" panose="020B0604030504040204" pitchFamily="34" charset="-128"/>
                    <a:cs typeface="Meiryo UI" panose="020B0604030504040204" pitchFamily="34" charset="-128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税抜!$D$209:$O$209</c:f>
              <c:numCache>
                <c:formatCode>#,##0_);[Red]\(#,##0\)</c:formatCode>
                <c:ptCount val="12"/>
                <c:pt idx="0">
                  <c:v>344815.38461538462</c:v>
                </c:pt>
                <c:pt idx="1">
                  <c:v>343993.16239316243</c:v>
                </c:pt>
                <c:pt idx="2">
                  <c:v>347479.82905982912</c:v>
                </c:pt>
                <c:pt idx="3">
                  <c:v>343089.87692307698</c:v>
                </c:pt>
                <c:pt idx="4">
                  <c:v>390118.37606837612</c:v>
                </c:pt>
                <c:pt idx="5">
                  <c:v>418909.23076923081</c:v>
                </c:pt>
                <c:pt idx="6">
                  <c:v>432763.07692307694</c:v>
                </c:pt>
                <c:pt idx="7">
                  <c:v>332957.264957265</c:v>
                </c:pt>
                <c:pt idx="8">
                  <c:v>349529.05982905987</c:v>
                </c:pt>
                <c:pt idx="9">
                  <c:v>400983.16581196582</c:v>
                </c:pt>
                <c:pt idx="10">
                  <c:v>439147.86324786325</c:v>
                </c:pt>
                <c:pt idx="11">
                  <c:v>320938.88888888893</c:v>
                </c:pt>
              </c:numCache>
            </c:numRef>
          </c:val>
        </c:ser>
        <c:ser>
          <c:idx val="4"/>
          <c:order val="4"/>
          <c:tx>
            <c:strRef>
              <c:f>税抜!$C$211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  <a:alpha val="8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zh-CN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pPr>
                      <a:defRPr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defRPr>
                    </a:pPr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実</a:t>
                    </a:r>
                  </a:p>
                  <a:p>
                    <a:r>
                      <a:rPr lang="ja-JP" altLang="en-US" sz="900">
                        <a:latin typeface="Meiryo UI" panose="020B0604030504040204" pitchFamily="34" charset="-128"/>
                        <a:ea typeface="Meiryo UI" panose="020B0604030504040204" pitchFamily="34" charset="-128"/>
                        <a:cs typeface="Meiryo UI" panose="020B0604030504040204" pitchFamily="34" charset="-128"/>
                      </a:rPr>
                      <a:t>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/>
                      <a:t>実</a:t>
                    </a:r>
                    <a:endParaRPr lang="en-US" altLang="ja-JP"/>
                  </a:p>
                  <a:p>
                    <a:r>
                      <a:rPr lang="ja-JP" altLang="en-US"/>
                      <a:t>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en-US"/>
                      <a:t>実</a:t>
                    </a:r>
                    <a:endParaRPr lang="en-US" altLang="ja-JP"/>
                  </a:p>
                  <a:p>
                    <a:r>
                      <a:rPr lang="ja-JP" altLang="en-US"/>
                      <a:t>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en-US">
                        <a:effectLst/>
                      </a:rPr>
                      <a:t>実</a:t>
                    </a:r>
                    <a:endParaRPr lang="en-US" altLang="ja-JP">
                      <a:effectLst/>
                    </a:endParaRPr>
                  </a:p>
                  <a:p>
                    <a:r>
                      <a:rPr lang="ja-JP" altLang="en-US">
                        <a:effectLst/>
                      </a:rPr>
                      <a:t>績</a:t>
                    </a:r>
                    <a:endParaRPr lang="zh-CN" altLang="zh-CN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今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回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計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画</a:t>
                    </a:r>
                    <a:endParaRPr lang="zh-CN" altLang="zh-CN" sz="900">
                      <a:effectLst/>
                    </a:endParaRPr>
                  </a:p>
                  <a:p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今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回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計</a:t>
                    </a:r>
                    <a:endParaRPr lang="zh-CN" altLang="zh-CN" sz="900">
                      <a:effectLst/>
                    </a:endParaRPr>
                  </a:p>
                  <a:p>
                    <a:r>
                      <a:rPr lang="ja-JP" altLang="zh-CN" sz="900" b="0" i="0" baseline="0">
                        <a:effectLst/>
                      </a:rPr>
                      <a:t>画</a:t>
                    </a:r>
                  </a:p>
                  <a:p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Meiryo UI" panose="020B0604030504040204" pitchFamily="34" charset="-128"/>
                    <a:ea typeface="Meiryo UI" panose="020B0604030504040204" pitchFamily="34" charset="-128"/>
                    <a:cs typeface="Meiryo UI" panose="020B0604030504040204" pitchFamily="34" charset="-128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税抜!$D$211:$O$211</c:f>
              <c:numCache>
                <c:formatCode>#,##0_);[Red]\(#,##0\)</c:formatCode>
                <c:ptCount val="12"/>
                <c:pt idx="0">
                  <c:v>416862.56522222218</c:v>
                </c:pt>
                <c:pt idx="1">
                  <c:v>415394.30634188035</c:v>
                </c:pt>
                <c:pt idx="2">
                  <c:v>358497.15062393167</c:v>
                </c:pt>
                <c:pt idx="3">
                  <c:v>374877.46947008546</c:v>
                </c:pt>
                <c:pt idx="4">
                  <c:v>406598.74993435899</c:v>
                </c:pt>
                <c:pt idx="5">
                  <c:v>405852.48355743592</c:v>
                </c:pt>
                <c:pt idx="6">
                  <c:v>367824.62193162396</c:v>
                </c:pt>
                <c:pt idx="7">
                  <c:v>308214.71505820513</c:v>
                </c:pt>
                <c:pt idx="8">
                  <c:v>335966.2844068376</c:v>
                </c:pt>
                <c:pt idx="9">
                  <c:v>403403.37828213681</c:v>
                </c:pt>
                <c:pt idx="10">
                  <c:v>321645.55897435901</c:v>
                </c:pt>
                <c:pt idx="11">
                  <c:v>217387.60683760684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150464"/>
        <c:axId val="97152000"/>
      </c:barChart>
      <c:lineChart>
        <c:grouping val="standard"/>
        <c:varyColors val="0"/>
        <c:ser>
          <c:idx val="5"/>
          <c:order val="5"/>
          <c:tx>
            <c:strRef>
              <c:f>税抜!$C$213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 w="53975">
              <a:noFill/>
            </a:ln>
          </c:spPr>
          <c:marker>
            <c:symbol val="none"/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税抜!$D$213:$O$213</c:f>
              <c:numCache>
                <c:formatCode>#,##0_);[Red]\(#,##0\)</c:formatCode>
                <c:ptCount val="12"/>
                <c:pt idx="0">
                  <c:v>300182.905982906</c:v>
                </c:pt>
                <c:pt idx="1">
                  <c:v>324029.05982905987</c:v>
                </c:pt>
                <c:pt idx="2">
                  <c:v>324770.94017094019</c:v>
                </c:pt>
                <c:pt idx="3">
                  <c:v>317839.31623931625</c:v>
                </c:pt>
                <c:pt idx="4">
                  <c:v>315350.42735042737</c:v>
                </c:pt>
                <c:pt idx="5">
                  <c:v>295194.87179487181</c:v>
                </c:pt>
                <c:pt idx="6">
                  <c:v>436992.30769230775</c:v>
                </c:pt>
                <c:pt idx="7">
                  <c:v>350958.11965811969</c:v>
                </c:pt>
                <c:pt idx="8">
                  <c:v>398780.34188034193</c:v>
                </c:pt>
                <c:pt idx="9">
                  <c:v>390088.03418803419</c:v>
                </c:pt>
                <c:pt idx="10">
                  <c:v>363503.41880341881</c:v>
                </c:pt>
                <c:pt idx="11">
                  <c:v>312632.47863247863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74272"/>
        <c:axId val="97175808"/>
      </c:lineChart>
      <c:catAx>
        <c:axId val="971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97152000"/>
        <c:crosses val="autoZero"/>
        <c:auto val="1"/>
        <c:lblAlgn val="ctr"/>
        <c:lblOffset val="100"/>
        <c:noMultiLvlLbl val="0"/>
      </c:catAx>
      <c:valAx>
        <c:axId val="97152000"/>
        <c:scaling>
          <c:orientation val="minMax"/>
          <c:max val="5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97150464"/>
        <c:crosses val="autoZero"/>
        <c:crossBetween val="between"/>
        <c:majorUnit val="100000"/>
      </c:valAx>
      <c:catAx>
        <c:axId val="971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75808"/>
        <c:crosses val="autoZero"/>
        <c:auto val="1"/>
        <c:lblAlgn val="ctr"/>
        <c:lblOffset val="100"/>
        <c:noMultiLvlLbl val="0"/>
      </c:catAx>
      <c:valAx>
        <c:axId val="97175808"/>
        <c:scaling>
          <c:orientation val="minMax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97174272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392075173943805E-2"/>
          <c:y val="8.1865060985023927E-2"/>
          <c:w val="0.96170760950393597"/>
          <c:h val="0.89540910915547312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val>
            <c:numRef>
              <c:f>税抜!$D$122:$O$122</c:f>
              <c:numCache>
                <c:formatCode>#,##0_);[Red]\(#,##0\)</c:formatCode>
                <c:ptCount val="12"/>
                <c:pt idx="0">
                  <c:v>153846.15384615384</c:v>
                </c:pt>
                <c:pt idx="1">
                  <c:v>170940.17094017094</c:v>
                </c:pt>
                <c:pt idx="2">
                  <c:v>170940.17094017094</c:v>
                </c:pt>
                <c:pt idx="3">
                  <c:v>145299.14529914531</c:v>
                </c:pt>
                <c:pt idx="4">
                  <c:v>136752.13675213675</c:v>
                </c:pt>
                <c:pt idx="5">
                  <c:v>111111.11111111112</c:v>
                </c:pt>
                <c:pt idx="6">
                  <c:v>213675.21367521369</c:v>
                </c:pt>
                <c:pt idx="7">
                  <c:v>119658.11965811967</c:v>
                </c:pt>
                <c:pt idx="8">
                  <c:v>153846.15384615384</c:v>
                </c:pt>
                <c:pt idx="9">
                  <c:v>153846.15384615384</c:v>
                </c:pt>
                <c:pt idx="10">
                  <c:v>136752.13675213675</c:v>
                </c:pt>
                <c:pt idx="11">
                  <c:v>128205.12820512822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0320"/>
        <c:axId val="128682240"/>
      </c:lineChart>
      <c:catAx>
        <c:axId val="1286803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8682240"/>
        <c:crosses val="autoZero"/>
        <c:auto val="1"/>
        <c:lblAlgn val="ctr"/>
        <c:lblOffset val="100"/>
        <c:noMultiLvlLbl val="0"/>
      </c:catAx>
      <c:valAx>
        <c:axId val="128682240"/>
        <c:scaling>
          <c:orientation val="minMax"/>
          <c:max val="30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8680320"/>
        <c:crosses val="autoZero"/>
        <c:crossBetween val="between"/>
        <c:majorUnit val="5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726382640132"/>
          <c:y val="0.10394186642162688"/>
          <c:w val="0.83832278909213387"/>
          <c:h val="0.62449067106048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税抜!$C$193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税抜!$D$193:$O$193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188.03418803418805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188.03418803418805</c:v>
                </c:pt>
                <c:pt idx="8">
                  <c:v>188.03418803418805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1"/>
          <c:tx>
            <c:strRef>
              <c:f>税抜!$C$195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計画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計画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計画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計画 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税抜!$D$195:$O$195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179.4871794871795</c:v>
                </c:pt>
                <c:pt idx="5">
                  <c:v>0</c:v>
                </c:pt>
                <c:pt idx="6">
                  <c:v>0</c:v>
                </c:pt>
                <c:pt idx="7">
                  <c:v>217.94871794871796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2"/>
          <c:tx>
            <c:strRef>
              <c:f>税抜!$C$196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実績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実績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実績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 rot="0" vert="wordArtVertRtl"/>
                  <a:lstStyle/>
                  <a:p>
                    <a:pPr algn="ctr">
                      <a:defRPr sz="800" b="0" i="0" u="none" strike="noStrike" baseline="0">
                        <a:solidFill>
                          <a:srgbClr val="000000"/>
                        </a:solidFill>
                        <a:latin typeface="ＭＳ Ｐゴシック"/>
                        <a:ea typeface="ＭＳ Ｐゴシック"/>
                        <a:cs typeface="ＭＳ Ｐゴシック"/>
                      </a:defRPr>
                    </a:pPr>
                    <a:r>
                      <a:rPr lang="zh-CN" altLang="en-US" sz="1000" b="0" i="0" u="none" strike="noStrike" baseline="0">
                        <a:solidFill>
                          <a:srgbClr val="000000"/>
                        </a:solidFill>
                        <a:latin typeface="MS PGothic"/>
                        <a:ea typeface="MS PGothic"/>
                      </a:rPr>
                      <a:t>実績 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wordArtVertRtl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税抜!$D$196:$O$196</c:f>
              <c:numCache>
                <c:formatCode>#,##0_);[Red]\(#,##0\)</c:formatCode>
                <c:ptCount val="12"/>
                <c:pt idx="0">
                  <c:v>119.65811965811966</c:v>
                </c:pt>
                <c:pt idx="1">
                  <c:v>0</c:v>
                </c:pt>
                <c:pt idx="2">
                  <c:v>12.820512820512821</c:v>
                </c:pt>
                <c:pt idx="3">
                  <c:v>0</c:v>
                </c:pt>
                <c:pt idx="4">
                  <c:v>179.4871794871795</c:v>
                </c:pt>
                <c:pt idx="5">
                  <c:v>0</c:v>
                </c:pt>
                <c:pt idx="6">
                  <c:v>31.948717948717952</c:v>
                </c:pt>
                <c:pt idx="7">
                  <c:v>76.923076923076934</c:v>
                </c:pt>
                <c:pt idx="8">
                  <c:v>0</c:v>
                </c:pt>
                <c:pt idx="9">
                  <c:v>130.48632478632481</c:v>
                </c:pt>
                <c:pt idx="10">
                  <c:v>85.470085470085479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823680"/>
        <c:axId val="128825216"/>
      </c:barChart>
      <c:lineChart>
        <c:grouping val="standard"/>
        <c:varyColors val="0"/>
        <c:ser>
          <c:idx val="5"/>
          <c:order val="3"/>
          <c:tx>
            <c:strRef>
              <c:f>税抜!$C$197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税抜!$D$197:$O$197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6752"/>
        <c:axId val="128828544"/>
      </c:lineChart>
      <c:catAx>
        <c:axId val="1288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28825216"/>
        <c:crosses val="autoZero"/>
        <c:auto val="1"/>
        <c:lblAlgn val="ctr"/>
        <c:lblOffset val="100"/>
        <c:noMultiLvlLbl val="0"/>
      </c:catAx>
      <c:valAx>
        <c:axId val="128825216"/>
        <c:scaling>
          <c:orientation val="minMax"/>
          <c:max val="1000"/>
        </c:scaling>
        <c:delete val="0"/>
        <c:axPos val="l"/>
        <c:numFmt formatCode="#,##0_);[Red]\(#,##0\)" sourceLinked="1"/>
        <c:majorTickMark val="none"/>
        <c:minorTickMark val="in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  <c:crossAx val="128823680"/>
        <c:crosses val="autoZero"/>
        <c:crossBetween val="between"/>
        <c:majorUnit val="200"/>
      </c:valAx>
      <c:catAx>
        <c:axId val="12882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828544"/>
        <c:crosses val="autoZero"/>
        <c:auto val="1"/>
        <c:lblAlgn val="ctr"/>
        <c:lblOffset val="100"/>
        <c:noMultiLvlLbl val="0"/>
      </c:catAx>
      <c:valAx>
        <c:axId val="128828544"/>
        <c:scaling>
          <c:orientation val="minMax"/>
          <c:max val="4000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128826752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49740499093348E-3"/>
          <c:y val="4.780104614582751E-2"/>
          <c:w val="0.98811131950622755"/>
          <c:h val="0.8948207303296131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税抜!$D$197:$O$197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0896"/>
        <c:axId val="129123072"/>
      </c:lineChart>
      <c:catAx>
        <c:axId val="1291208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123072"/>
        <c:crosses val="autoZero"/>
        <c:auto val="1"/>
        <c:lblAlgn val="ctr"/>
        <c:lblOffset val="100"/>
        <c:noMultiLvlLbl val="0"/>
      </c:catAx>
      <c:valAx>
        <c:axId val="129123072"/>
        <c:scaling>
          <c:orientation val="minMax"/>
          <c:max val="1000"/>
          <c:min val="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120896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40904204946754E-2"/>
          <c:y val="2.5955288661389176E-2"/>
          <c:w val="0.89238997180572066"/>
          <c:h val="0.9262981574539364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税抜!$D$172:$I$172</c:f>
              <c:numCache>
                <c:formatCode>#,##0_);[Red]\(#,##0\)</c:formatCode>
                <c:ptCount val="6"/>
                <c:pt idx="0">
                  <c:v>2490.5982905982905</c:v>
                </c:pt>
                <c:pt idx="1">
                  <c:v>2490.5982905982905</c:v>
                </c:pt>
                <c:pt idx="2">
                  <c:v>2490.5982905982905</c:v>
                </c:pt>
                <c:pt idx="3">
                  <c:v>1489.7435897435898</c:v>
                </c:pt>
                <c:pt idx="4">
                  <c:v>1489.7435897435898</c:v>
                </c:pt>
                <c:pt idx="5">
                  <c:v>1489.7435897435898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9856"/>
        <c:axId val="129144320"/>
      </c:lineChart>
      <c:catAx>
        <c:axId val="129129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144320"/>
        <c:crosses val="autoZero"/>
        <c:auto val="1"/>
        <c:lblAlgn val="ctr"/>
        <c:lblOffset val="100"/>
        <c:noMultiLvlLbl val="0"/>
      </c:catAx>
      <c:valAx>
        <c:axId val="129144320"/>
        <c:scaling>
          <c:orientation val="minMax"/>
          <c:max val="15000"/>
          <c:min val="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129856"/>
        <c:crosses val="autoZero"/>
        <c:crossBetween val="between"/>
        <c:majorUnit val="3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175826506535169E-2"/>
          <c:y val="0.23929966585502113"/>
          <c:w val="0.98782412540362541"/>
          <c:h val="0.67967146348085805"/>
        </c:manualLayout>
      </c:layout>
      <c:lineChart>
        <c:grouping val="standard"/>
        <c:varyColors val="0"/>
        <c:ser>
          <c:idx val="2"/>
          <c:order val="0"/>
          <c:tx>
            <c:v>2014年度粗利率</c:v>
          </c:tx>
          <c:spPr>
            <a:ln w="38100"/>
          </c:spPr>
          <c:marker>
            <c:symbol val="triangle"/>
            <c:size val="8"/>
          </c:marker>
          <c:dLbls>
            <c:dLbl>
              <c:idx val="0"/>
              <c:layout>
                <c:manualLayout>
                  <c:x val="-3.0952888464699489E-2"/>
                  <c:y val="-5.2327359942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952888464699489E-2"/>
                  <c:y val="-4.083310706851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952888464699489E-2"/>
                  <c:y val="-5.2327359942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952888464699489E-2"/>
                  <c:y val="-5.8074486378857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952888464699489E-2"/>
                  <c:y val="-6.9568739252421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9606087117898142E-2"/>
                  <c:y val="4.5373789483211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0952888464699388E-2"/>
                  <c:y val="6.836229523033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9634136642010656E-2"/>
                  <c:y val="6.8362295230337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税抜!$D$112:$O$112</c:f>
              <c:numCache>
                <c:formatCode>0.0%</c:formatCode>
                <c:ptCount val="12"/>
                <c:pt idx="0">
                  <c:v>0.14000000000000001</c:v>
                </c:pt>
                <c:pt idx="1">
                  <c:v>0.14599999999999999</c:v>
                </c:pt>
                <c:pt idx="2">
                  <c:v>0.151</c:v>
                </c:pt>
                <c:pt idx="3">
                  <c:v>0.14399999999999999</c:v>
                </c:pt>
                <c:pt idx="4">
                  <c:v>0.154</c:v>
                </c:pt>
                <c:pt idx="5">
                  <c:v>0.156</c:v>
                </c:pt>
                <c:pt idx="6">
                  <c:v>0.16300000000000001</c:v>
                </c:pt>
                <c:pt idx="7">
                  <c:v>0.16500000000000001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0.17399999999999999</c:v>
                </c:pt>
                <c:pt idx="11">
                  <c:v>0.18099999999999999</c:v>
                </c:pt>
              </c:numCache>
            </c:numRef>
          </c:val>
          <c:smooth val="0"/>
        </c:ser>
        <c:ser>
          <c:idx val="0"/>
          <c:order val="1"/>
          <c:tx>
            <c:v>2015年度粗利率</c:v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3.0952888464699489E-2"/>
                  <c:y val="3.3879536609647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070733582544607E-2"/>
                  <c:y val="-3.8505747126436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952888464699464E-2"/>
                  <c:y val="-3.5085980631731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952888464699489E-2"/>
                  <c:y val="-4.083310706851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952888464699489E-2"/>
                  <c:y val="-5.2327359942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952888464699489E-2"/>
                  <c:y val="-6.382161281563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952888464699489E-2"/>
                  <c:y val="-5.8074486378857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952888464699489E-2"/>
                  <c:y val="-4.083310706851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952888464699388E-2"/>
                  <c:y val="-5.8074486378857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952888464699489E-2"/>
                  <c:y val="-5.2327359942076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0952888464699388E-2"/>
                  <c:y val="-3.5085980631731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9634167622935648E-2"/>
                  <c:y val="5.013247538935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税抜!$D$114:$O$114</c:f>
              <c:numCache>
                <c:formatCode>0.0%</c:formatCode>
                <c:ptCount val="12"/>
                <c:pt idx="0">
                  <c:v>0.18269205720283388</c:v>
                </c:pt>
                <c:pt idx="1">
                  <c:v>0.1818417117846676</c:v>
                </c:pt>
                <c:pt idx="2">
                  <c:v>0.18291674873122282</c:v>
                </c:pt>
                <c:pt idx="3">
                  <c:v>0.18149921779691422</c:v>
                </c:pt>
                <c:pt idx="4">
                  <c:v>0.17787598541711347</c:v>
                </c:pt>
                <c:pt idx="5">
                  <c:v>0.18183675655223477</c:v>
                </c:pt>
                <c:pt idx="6">
                  <c:v>0.18912619580704254</c:v>
                </c:pt>
                <c:pt idx="7">
                  <c:v>0.2023582677300895</c:v>
                </c:pt>
                <c:pt idx="8">
                  <c:v>0.19999035080921584</c:v>
                </c:pt>
                <c:pt idx="9">
                  <c:v>0.19422512712934792</c:v>
                </c:pt>
                <c:pt idx="10">
                  <c:v>0.19912417955916045</c:v>
                </c:pt>
                <c:pt idx="11">
                  <c:v>0.20343538859149002</c:v>
                </c:pt>
              </c:numCache>
            </c:numRef>
          </c:val>
          <c:smooth val="0"/>
        </c:ser>
        <c:ser>
          <c:idx val="1"/>
          <c:order val="2"/>
          <c:tx>
            <c:v>2016年度粗利率</c:v>
          </c:tx>
          <c:spPr>
            <a:ln w="38100"/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3.0952888464699489E-2"/>
                  <c:y val="-4.6580233505294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0869737656197944E-2"/>
                  <c:y val="-5.4744692132826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0869737656197847E-2"/>
                  <c:y val="-5.4744692132826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869737656197944E-2"/>
                  <c:y val="-3.8491875084516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692125455439628E-2"/>
                  <c:y val="-5.4744692132826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税抜!$D$116:$O$116</c:f>
              <c:numCache>
                <c:formatCode>0.0%</c:formatCode>
                <c:ptCount val="12"/>
                <c:pt idx="0">
                  <c:v>0.19441020533391254</c:v>
                </c:pt>
                <c:pt idx="1">
                  <c:v>0.20185440046267975</c:v>
                </c:pt>
                <c:pt idx="2">
                  <c:v>0.201557779564907</c:v>
                </c:pt>
                <c:pt idx="3">
                  <c:v>0.19740035717241641</c:v>
                </c:pt>
                <c:pt idx="4">
                  <c:v>0.20447011022454961</c:v>
                </c:pt>
                <c:pt idx="5">
                  <c:v>0.214692831429245</c:v>
                </c:pt>
                <c:pt idx="6">
                  <c:v>0.21423295234410472</c:v>
                </c:pt>
                <c:pt idx="7">
                  <c:v>0.22164909718940487</c:v>
                </c:pt>
                <c:pt idx="8">
                  <c:v>0.22396599969593325</c:v>
                </c:pt>
                <c:pt idx="9">
                  <c:v>0.21821055685438503</c:v>
                </c:pt>
                <c:pt idx="10">
                  <c:v>0.21478730447518357</c:v>
                </c:pt>
                <c:pt idx="11">
                  <c:v>0.2080275518161685</c:v>
                </c:pt>
              </c:numCache>
            </c:numRef>
          </c:val>
          <c:smooth val="0"/>
        </c:ser>
        <c:ser>
          <c:idx val="3"/>
          <c:order val="3"/>
          <c:tx>
            <c:v>2017年度粗利率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0952888464699489E-2"/>
                  <c:y val="-7.5315865689202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952888464699489E-2"/>
                  <c:y val="-4.8754809263299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952888464699464E-2"/>
                  <c:y val="-5.4109561606004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259285771096796E-2"/>
                  <c:y val="-5.4109561606004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952888464699489E-2"/>
                  <c:y val="-6.4819066291412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299689811500838E-2"/>
                  <c:y val="-7.5528570976820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869737656197944E-2"/>
                  <c:y val="-9.8085537594984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0869737656197944E-2"/>
                  <c:y val="-0.108920748960523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1220710406498047E-2"/>
                  <c:y val="-6.8664099489422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税抜!$D$120:$O$120</c:f>
              <c:numCache>
                <c:formatCode>0.0%</c:formatCode>
                <c:ptCount val="12"/>
                <c:pt idx="0">
                  <c:v>0.21529366205070974</c:v>
                </c:pt>
                <c:pt idx="1">
                  <c:v>0.2375169903816719</c:v>
                </c:pt>
                <c:pt idx="2">
                  <c:v>0.23370910440778958</c:v>
                </c:pt>
                <c:pt idx="3">
                  <c:v>0.22538581036693092</c:v>
                </c:pt>
                <c:pt idx="4">
                  <c:v>0.23625309113554119</c:v>
                </c:pt>
                <c:pt idx="5">
                  <c:v>0.23964217931872256</c:v>
                </c:pt>
                <c:pt idx="6">
                  <c:v>0.23709886997066337</c:v>
                </c:pt>
                <c:pt idx="7">
                  <c:v>0.23145129601279946</c:v>
                </c:pt>
                <c:pt idx="8">
                  <c:v>0.22855253184753091</c:v>
                </c:pt>
                <c:pt idx="9">
                  <c:v>0.223557719721829</c:v>
                </c:pt>
                <c:pt idx="10">
                  <c:v>0.22939999999999997</c:v>
                </c:pt>
                <c:pt idx="11">
                  <c:v>0.23050000000000004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90368"/>
        <c:axId val="128891904"/>
      </c:lineChart>
      <c:catAx>
        <c:axId val="1288903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8891904"/>
        <c:crosses val="autoZero"/>
        <c:auto val="1"/>
        <c:lblAlgn val="ctr"/>
        <c:lblOffset val="100"/>
        <c:noMultiLvlLbl val="0"/>
      </c:catAx>
      <c:valAx>
        <c:axId val="128891904"/>
        <c:scaling>
          <c:orientation val="minMax"/>
          <c:max val="0.25"/>
          <c:min val="0.1"/>
        </c:scaling>
        <c:delete val="1"/>
        <c:axPos val="l"/>
        <c:numFmt formatCode="0.0%" sourceLinked="1"/>
        <c:majorTickMark val="out"/>
        <c:minorTickMark val="none"/>
        <c:tickLblPos val="nextTo"/>
        <c:crossAx val="12889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5216257058776737E-2"/>
          <c:y val="3.2195132234976651E-2"/>
          <c:w val="0.22619464991118537"/>
          <c:h val="0.20309858858004198"/>
        </c:manualLayout>
      </c:layout>
      <c:overlay val="0"/>
      <c:txPr>
        <a:bodyPr/>
        <a:lstStyle/>
        <a:p>
          <a:pPr>
            <a:defRPr lang="ja-JP" sz="675" b="0" i="0" u="none" strike="noStrike" baseline="0">
              <a:solidFill>
                <a:srgbClr val="000000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15690449691"/>
          <c:y val="5.4024097079272769E-2"/>
          <c:w val="0.85159668023512192"/>
          <c:h val="0.660287769784172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税抜!$C$167</c:f>
              <c:strCache>
                <c:ptCount val="1"/>
                <c:pt idx="0">
                  <c:v>2014年度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税抜!$D$167:$O$167</c:f>
              <c:numCache>
                <c:formatCode>#,##0_);[Red]\(#,##0\)</c:formatCode>
                <c:ptCount val="12"/>
                <c:pt idx="0">
                  <c:v>2532.4786324786328</c:v>
                </c:pt>
                <c:pt idx="1">
                  <c:v>2669.2307692307695</c:v>
                </c:pt>
                <c:pt idx="2">
                  <c:v>526.49572649572656</c:v>
                </c:pt>
                <c:pt idx="3">
                  <c:v>747.008547008547</c:v>
                </c:pt>
                <c:pt idx="4">
                  <c:v>2081.1965811965815</c:v>
                </c:pt>
                <c:pt idx="5">
                  <c:v>4282.0512820512822</c:v>
                </c:pt>
                <c:pt idx="6">
                  <c:v>2636.7521367521367</c:v>
                </c:pt>
                <c:pt idx="7">
                  <c:v>3466.666666666667</c:v>
                </c:pt>
                <c:pt idx="8">
                  <c:v>7872.6495726495732</c:v>
                </c:pt>
                <c:pt idx="9">
                  <c:v>7641.8803418803427</c:v>
                </c:pt>
                <c:pt idx="10">
                  <c:v>11859.82905982906</c:v>
                </c:pt>
                <c:pt idx="11">
                  <c:v>6464.9572649572656</c:v>
                </c:pt>
              </c:numCache>
            </c:numRef>
          </c:val>
        </c:ser>
        <c:ser>
          <c:idx val="0"/>
          <c:order val="1"/>
          <c:tx>
            <c:strRef>
              <c:f>税抜!$C$168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税抜!$D$168:$O$168</c:f>
              <c:numCache>
                <c:formatCode>#,##0_);[Red]\(#,##0\)</c:formatCode>
                <c:ptCount val="12"/>
                <c:pt idx="0">
                  <c:v>8684.6153846153848</c:v>
                </c:pt>
                <c:pt idx="1">
                  <c:v>1370.9401709401711</c:v>
                </c:pt>
                <c:pt idx="2">
                  <c:v>2138.4615384615386</c:v>
                </c:pt>
                <c:pt idx="3">
                  <c:v>3538.4615384615386</c:v>
                </c:pt>
                <c:pt idx="4">
                  <c:v>1183.7606837606838</c:v>
                </c:pt>
                <c:pt idx="5">
                  <c:v>2235.897435897436</c:v>
                </c:pt>
                <c:pt idx="6">
                  <c:v>1417.0940170940171</c:v>
                </c:pt>
                <c:pt idx="7">
                  <c:v>1211.965811965812</c:v>
                </c:pt>
                <c:pt idx="8">
                  <c:v>2074.7521367521367</c:v>
                </c:pt>
                <c:pt idx="9">
                  <c:v>2618.5470085470088</c:v>
                </c:pt>
                <c:pt idx="10">
                  <c:v>399.15811965811969</c:v>
                </c:pt>
                <c:pt idx="11">
                  <c:v>2229.9145299145302</c:v>
                </c:pt>
              </c:numCache>
            </c:numRef>
          </c:val>
        </c:ser>
        <c:ser>
          <c:idx val="1"/>
          <c:order val="2"/>
          <c:tx>
            <c:strRef>
              <c:f>税抜!$C$169</c:f>
              <c:strCache>
                <c:ptCount val="1"/>
                <c:pt idx="0">
                  <c:v>2016年度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税抜!$D$169:$O$169</c:f>
              <c:numCache>
                <c:formatCode>#,##0_);[Red]\(#,##0\)</c:formatCode>
                <c:ptCount val="12"/>
                <c:pt idx="0">
                  <c:v>932.29059829059827</c:v>
                </c:pt>
                <c:pt idx="1">
                  <c:v>623.41452991452991</c:v>
                </c:pt>
                <c:pt idx="2">
                  <c:v>655.38461538461536</c:v>
                </c:pt>
                <c:pt idx="3">
                  <c:v>6016.2393162393164</c:v>
                </c:pt>
                <c:pt idx="4">
                  <c:v>430.34188034188037</c:v>
                </c:pt>
                <c:pt idx="5">
                  <c:v>4831.6239316239325</c:v>
                </c:pt>
                <c:pt idx="6">
                  <c:v>1301.3042735042736</c:v>
                </c:pt>
                <c:pt idx="7">
                  <c:v>2617.4188034188032</c:v>
                </c:pt>
                <c:pt idx="8">
                  <c:v>2324.9102564102564</c:v>
                </c:pt>
                <c:pt idx="9">
                  <c:v>897.52991452991455</c:v>
                </c:pt>
                <c:pt idx="10">
                  <c:v>3185.3273504273507</c:v>
                </c:pt>
                <c:pt idx="11">
                  <c:v>1637.737606837607</c:v>
                </c:pt>
              </c:numCache>
            </c:numRef>
          </c:val>
        </c:ser>
        <c:ser>
          <c:idx val="3"/>
          <c:order val="3"/>
          <c:tx>
            <c:strRef>
              <c:f>税抜!$C$170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前回計画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前回計画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前回計画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 rot="0" vert="wordArtVertRtl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/>
                      <a:t>前回計画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税抜!$D$170:$O$170</c:f>
              <c:numCache>
                <c:formatCode>#,##0_);[Red]\(#,##0\)</c:formatCode>
                <c:ptCount val="12"/>
                <c:pt idx="0">
                  <c:v>185.47008547008548</c:v>
                </c:pt>
                <c:pt idx="1">
                  <c:v>0</c:v>
                </c:pt>
                <c:pt idx="2">
                  <c:v>583.24786324786328</c:v>
                </c:pt>
                <c:pt idx="3">
                  <c:v>4471.196581196582</c:v>
                </c:pt>
                <c:pt idx="4">
                  <c:v>4820.0854700854707</c:v>
                </c:pt>
                <c:pt idx="5">
                  <c:v>4416.9230769230771</c:v>
                </c:pt>
                <c:pt idx="6">
                  <c:v>4416.9230769230771</c:v>
                </c:pt>
                <c:pt idx="7">
                  <c:v>84.615384615384627</c:v>
                </c:pt>
                <c:pt idx="8">
                  <c:v>0</c:v>
                </c:pt>
                <c:pt idx="9">
                  <c:v>392.56752136752135</c:v>
                </c:pt>
                <c:pt idx="10">
                  <c:v>0</c:v>
                </c:pt>
                <c:pt idx="11">
                  <c:v>8070.5128205128212</c:v>
                </c:pt>
              </c:numCache>
            </c:numRef>
          </c:val>
        </c:ser>
        <c:ser>
          <c:idx val="4"/>
          <c:order val="4"/>
          <c:tx>
            <c:strRef>
              <c:f>税抜!$C$171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/>
                      <a:t>今回計画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zh-CN" altLang="en-US"/>
                      <a:t>今回計画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zh-CN" altLang="en-US"/>
                      <a:t>今回計画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zh-CN" altLang="en-US"/>
                      <a:t>今回計画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wordArtVertRtl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税抜!$D$171:$O$171</c:f>
              <c:numCache>
                <c:formatCode>#,##0_);[Red]\(#,##0\)</c:formatCode>
                <c:ptCount val="12"/>
                <c:pt idx="0">
                  <c:v>1435.6752136752139</c:v>
                </c:pt>
                <c:pt idx="1">
                  <c:v>1784.1316239316238</c:v>
                </c:pt>
                <c:pt idx="2">
                  <c:v>583.24786324786328</c:v>
                </c:pt>
                <c:pt idx="3">
                  <c:v>5545.3675213675215</c:v>
                </c:pt>
                <c:pt idx="4">
                  <c:v>4735.4700854700859</c:v>
                </c:pt>
                <c:pt idx="5">
                  <c:v>0</c:v>
                </c:pt>
                <c:pt idx="6">
                  <c:v>0</c:v>
                </c:pt>
                <c:pt idx="7">
                  <c:v>210.25641025641028</c:v>
                </c:pt>
                <c:pt idx="8">
                  <c:v>0</c:v>
                </c:pt>
                <c:pt idx="9">
                  <c:v>166.85128205128206</c:v>
                </c:pt>
                <c:pt idx="10">
                  <c:v>4648.9777777777781</c:v>
                </c:pt>
                <c:pt idx="11">
                  <c:v>8544.8717948717949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245184"/>
        <c:axId val="129246720"/>
      </c:barChart>
      <c:lineChart>
        <c:grouping val="standard"/>
        <c:varyColors val="0"/>
        <c:ser>
          <c:idx val="5"/>
          <c:order val="5"/>
          <c:tx>
            <c:strRef>
              <c:f>税抜!$C$172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税抜!$D$172:$O$172</c:f>
              <c:numCache>
                <c:formatCode>#,##0_);[Red]\(#,##0\)</c:formatCode>
                <c:ptCount val="12"/>
                <c:pt idx="0">
                  <c:v>2490.5982905982905</c:v>
                </c:pt>
                <c:pt idx="1">
                  <c:v>2490.5982905982905</c:v>
                </c:pt>
                <c:pt idx="2">
                  <c:v>2490.5982905982905</c:v>
                </c:pt>
                <c:pt idx="3">
                  <c:v>1489.7435897435898</c:v>
                </c:pt>
                <c:pt idx="4">
                  <c:v>1489.7435897435898</c:v>
                </c:pt>
                <c:pt idx="5">
                  <c:v>1489.7435897435898</c:v>
                </c:pt>
                <c:pt idx="6">
                  <c:v>0</c:v>
                </c:pt>
                <c:pt idx="7">
                  <c:v>0</c:v>
                </c:pt>
                <c:pt idx="8">
                  <c:v>16247.008547008549</c:v>
                </c:pt>
                <c:pt idx="9">
                  <c:v>0</c:v>
                </c:pt>
                <c:pt idx="10">
                  <c:v>3868.3760683760688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8256"/>
        <c:axId val="129282816"/>
      </c:lineChart>
      <c:catAx>
        <c:axId val="1292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29246720"/>
        <c:crosses val="autoZero"/>
        <c:auto val="1"/>
        <c:lblAlgn val="ctr"/>
        <c:lblOffset val="100"/>
        <c:noMultiLvlLbl val="0"/>
      </c:catAx>
      <c:valAx>
        <c:axId val="129246720"/>
        <c:scaling>
          <c:orientation val="minMax"/>
          <c:max val="15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  <c:crossAx val="129245184"/>
        <c:crosses val="autoZero"/>
        <c:crossBetween val="between"/>
        <c:majorUnit val="3000"/>
      </c:valAx>
      <c:catAx>
        <c:axId val="12924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282816"/>
        <c:crosses val="autoZero"/>
        <c:auto val="1"/>
        <c:lblAlgn val="ctr"/>
        <c:lblOffset val="100"/>
        <c:noMultiLvlLbl val="0"/>
      </c:catAx>
      <c:valAx>
        <c:axId val="129282816"/>
        <c:scaling>
          <c:orientation val="minMax"/>
          <c:max val="35000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129248256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96073185026626"/>
          <c:y val="5.1400554097404488E-2"/>
          <c:w val="0.68443337499005386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R税抜!$E$43:$K$43</c:f>
              <c:strCache>
                <c:ptCount val="5"/>
                <c:pt idx="0">
                  <c:v>14/9月</c:v>
                </c:pt>
                <c:pt idx="1">
                  <c:v>15/9月</c:v>
                </c:pt>
                <c:pt idx="2">
                  <c:v>16/9月</c:v>
                </c:pt>
                <c:pt idx="3">
                  <c:v>17/9月(今回)</c:v>
                </c:pt>
                <c:pt idx="4">
                  <c:v>17/9月(実績)</c:v>
                </c:pt>
              </c:strCache>
            </c:strRef>
          </c:cat>
          <c:val>
            <c:numRef>
              <c:f>R税抜!$F$47:$K$47</c:f>
              <c:numCache>
                <c:formatCode>#,##0_);[Red]\(#,##0\)</c:formatCode>
                <c:ptCount val="5"/>
                <c:pt idx="0">
                  <c:v>21669.23076923077</c:v>
                </c:pt>
                <c:pt idx="1">
                  <c:v>23402.564102564105</c:v>
                </c:pt>
                <c:pt idx="2">
                  <c:v>46511.111111111117</c:v>
                </c:pt>
                <c:pt idx="3">
                  <c:v>47863.247863247867</c:v>
                </c:pt>
                <c:pt idx="4">
                  <c:v>49031.730769230773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R税抜!$E$43:$K$43</c:f>
              <c:strCache>
                <c:ptCount val="5"/>
                <c:pt idx="0">
                  <c:v>14/9月</c:v>
                </c:pt>
                <c:pt idx="1">
                  <c:v>15/9月</c:v>
                </c:pt>
                <c:pt idx="2">
                  <c:v>16/9月</c:v>
                </c:pt>
                <c:pt idx="3">
                  <c:v>17/9月(今回)</c:v>
                </c:pt>
                <c:pt idx="4">
                  <c:v>17/9月(実績)</c:v>
                </c:pt>
              </c:strCache>
            </c:strRef>
          </c:cat>
          <c:val>
            <c:numRef>
              <c:f>R税抜!$F$45:$K$45</c:f>
              <c:numCache>
                <c:formatCode>#,##0_);[Red]\(#,##0\)</c:formatCode>
                <c:ptCount val="5"/>
                <c:pt idx="0">
                  <c:v>20712.820512820515</c:v>
                </c:pt>
                <c:pt idx="1">
                  <c:v>29025.641025641027</c:v>
                </c:pt>
                <c:pt idx="2">
                  <c:v>41035.042735042734</c:v>
                </c:pt>
                <c:pt idx="3">
                  <c:v>74358.974358974359</c:v>
                </c:pt>
                <c:pt idx="4">
                  <c:v>73821.729914529918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992192"/>
        <c:axId val="107993728"/>
      </c:barChart>
      <c:catAx>
        <c:axId val="107992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7993728"/>
        <c:crosses val="autoZero"/>
        <c:auto val="1"/>
        <c:lblAlgn val="ctr"/>
        <c:lblOffset val="100"/>
        <c:noMultiLvlLbl val="0"/>
      </c:catAx>
      <c:valAx>
        <c:axId val="107993728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0799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96073185026626"/>
          <c:y val="5.1400554097404488E-2"/>
          <c:w val="0.5427715806357538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R税抜!$E$71:$K$71</c:f>
              <c:strCache>
                <c:ptCount val="5"/>
                <c:pt idx="0">
                  <c:v>15/1月</c:v>
                </c:pt>
                <c:pt idx="1">
                  <c:v>16/1月</c:v>
                </c:pt>
                <c:pt idx="2">
                  <c:v>1７/1月</c:v>
                </c:pt>
                <c:pt idx="3">
                  <c:v>18/1月(前回)</c:v>
                </c:pt>
                <c:pt idx="4">
                  <c:v>18/1月(今回)</c:v>
                </c:pt>
              </c:strCache>
            </c:strRef>
          </c:cat>
          <c:val>
            <c:numRef>
              <c:f>R税抜!$F$75:$K$75</c:f>
              <c:numCache>
                <c:formatCode>#,##0_);[Red]\(#,##0\)</c:formatCode>
                <c:ptCount val="5"/>
                <c:pt idx="0">
                  <c:v>33603.418803418805</c:v>
                </c:pt>
                <c:pt idx="1">
                  <c:v>30750.427350427351</c:v>
                </c:pt>
                <c:pt idx="2">
                  <c:v>34948.717948717953</c:v>
                </c:pt>
                <c:pt idx="3">
                  <c:v>41452.991452991453</c:v>
                </c:pt>
                <c:pt idx="4">
                  <c:v>36752.136752136757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R税抜!$E$71:$K$71</c:f>
              <c:strCache>
                <c:ptCount val="5"/>
                <c:pt idx="0">
                  <c:v>15/1月</c:v>
                </c:pt>
                <c:pt idx="1">
                  <c:v>16/1月</c:v>
                </c:pt>
                <c:pt idx="2">
                  <c:v>1７/1月</c:v>
                </c:pt>
                <c:pt idx="3">
                  <c:v>18/1月(前回)</c:v>
                </c:pt>
                <c:pt idx="4">
                  <c:v>18/1月(今回)</c:v>
                </c:pt>
              </c:strCache>
            </c:strRef>
          </c:cat>
          <c:val>
            <c:numRef>
              <c:f>R税抜!$F$73:$K$73</c:f>
              <c:numCache>
                <c:formatCode>#,##0_);[Red]\(#,##0\)</c:formatCode>
                <c:ptCount val="5"/>
                <c:pt idx="0">
                  <c:v>33180.341880341883</c:v>
                </c:pt>
                <c:pt idx="1">
                  <c:v>34776.068376068375</c:v>
                </c:pt>
                <c:pt idx="2">
                  <c:v>38004.273504273508</c:v>
                </c:pt>
                <c:pt idx="3">
                  <c:v>115384.61538461539</c:v>
                </c:pt>
                <c:pt idx="4">
                  <c:v>75213.675213675218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620224"/>
        <c:axId val="129626112"/>
      </c:barChart>
      <c:catAx>
        <c:axId val="1296202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626112"/>
        <c:crosses val="autoZero"/>
        <c:auto val="1"/>
        <c:lblAlgn val="ctr"/>
        <c:lblOffset val="100"/>
        <c:noMultiLvlLbl val="0"/>
      </c:catAx>
      <c:valAx>
        <c:axId val="129626112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62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72941038361814"/>
          <c:y val="5.1400554097404488E-2"/>
          <c:w val="0.73723484616483947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R税抜!$G$1:$K$1</c:f>
              <c:strCache>
                <c:ptCount val="5"/>
                <c:pt idx="0">
                  <c:v>14/3月</c:v>
                </c:pt>
                <c:pt idx="1">
                  <c:v>15/3月</c:v>
                </c:pt>
                <c:pt idx="2">
                  <c:v>16/3月</c:v>
                </c:pt>
                <c:pt idx="3">
                  <c:v>17/3月(今回)</c:v>
                </c:pt>
                <c:pt idx="4">
                  <c:v>17/3月(実績)</c:v>
                </c:pt>
              </c:strCache>
            </c:strRef>
          </c:cat>
          <c:val>
            <c:numRef>
              <c:f>R税抜!$G$5:$K$5</c:f>
              <c:numCache>
                <c:formatCode>#,##0_);[Red]\(#,##0\)</c:formatCode>
                <c:ptCount val="5"/>
                <c:pt idx="0">
                  <c:v>23283.760683760684</c:v>
                </c:pt>
                <c:pt idx="1">
                  <c:v>28450.427350427351</c:v>
                </c:pt>
                <c:pt idx="2">
                  <c:v>39370.940170940172</c:v>
                </c:pt>
                <c:pt idx="3">
                  <c:v>38461.538461538461</c:v>
                </c:pt>
                <c:pt idx="4">
                  <c:v>54233.472623931622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R税抜!$G$1:$K$1</c:f>
              <c:strCache>
                <c:ptCount val="5"/>
                <c:pt idx="0">
                  <c:v>14/3月</c:v>
                </c:pt>
                <c:pt idx="1">
                  <c:v>15/3月</c:v>
                </c:pt>
                <c:pt idx="2">
                  <c:v>16/3月</c:v>
                </c:pt>
                <c:pt idx="3">
                  <c:v>17/3月(今回)</c:v>
                </c:pt>
                <c:pt idx="4">
                  <c:v>17/3月(実績)</c:v>
                </c:pt>
              </c:strCache>
            </c:strRef>
          </c:cat>
          <c:val>
            <c:numRef>
              <c:f>R税抜!$F$3:$K$3</c:f>
              <c:numCache>
                <c:formatCode>#,##0_);[Red]\(#,##0\)</c:formatCode>
                <c:ptCount val="5"/>
                <c:pt idx="0">
                  <c:v>17979.48717948718</c:v>
                </c:pt>
                <c:pt idx="1">
                  <c:v>27547.86324786325</c:v>
                </c:pt>
                <c:pt idx="2">
                  <c:v>34223.931623931625</c:v>
                </c:pt>
                <c:pt idx="3">
                  <c:v>38461.538461538461</c:v>
                </c:pt>
                <c:pt idx="4">
                  <c:v>68305.449572649581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400192"/>
        <c:axId val="129414272"/>
      </c:barChart>
      <c:catAx>
        <c:axId val="129400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414272"/>
        <c:crosses val="autoZero"/>
        <c:auto val="1"/>
        <c:lblAlgn val="ctr"/>
        <c:lblOffset val="100"/>
        <c:noMultiLvlLbl val="0"/>
      </c:catAx>
      <c:valAx>
        <c:axId val="129414272"/>
        <c:scaling>
          <c:orientation val="minMax"/>
          <c:max val="16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Meiryo UI" panose="020B0604030504040204" pitchFamily="34" charset="-128"/>
                <a:ea typeface="Meiryo UI" panose="020B0604030504040204" pitchFamily="34" charset="-128"/>
                <a:cs typeface="Meiryo UI" panose="020B0604030504040204" pitchFamily="34" charset="-128"/>
              </a:defRPr>
            </a:pPr>
            <a:endParaRPr lang="zh-CN"/>
          </a:p>
        </c:txPr>
        <c:crossAx val="129400192"/>
        <c:crosses val="autoZero"/>
        <c:crossBetween val="between"/>
        <c:majorUnit val="2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304684887362E-2"/>
          <c:y val="5.1400554097404488E-2"/>
          <c:w val="0.7311549569817286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R税抜!$E$36:$K$36</c:f>
              <c:strCache>
                <c:ptCount val="5"/>
                <c:pt idx="0">
                  <c:v>14/8月</c:v>
                </c:pt>
                <c:pt idx="1">
                  <c:v>15/8月</c:v>
                </c:pt>
                <c:pt idx="2">
                  <c:v>16/8月</c:v>
                </c:pt>
                <c:pt idx="3">
                  <c:v>17/8月(今回)</c:v>
                </c:pt>
                <c:pt idx="4">
                  <c:v>17/8月(実績)</c:v>
                </c:pt>
              </c:strCache>
            </c:strRef>
          </c:cat>
          <c:val>
            <c:numRef>
              <c:f>R税抜!$F$40:$K$40</c:f>
              <c:numCache>
                <c:formatCode>#,##0_);[Red]\(#,##0\)</c:formatCode>
                <c:ptCount val="5"/>
                <c:pt idx="0">
                  <c:v>24852.136752136754</c:v>
                </c:pt>
                <c:pt idx="1">
                  <c:v>58003.418803418805</c:v>
                </c:pt>
                <c:pt idx="2">
                  <c:v>31545.299145299148</c:v>
                </c:pt>
                <c:pt idx="3">
                  <c:v>55555.555555555562</c:v>
                </c:pt>
                <c:pt idx="4">
                  <c:v>49536.925660000008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R税抜!$E$36:$K$36</c:f>
              <c:strCache>
                <c:ptCount val="5"/>
                <c:pt idx="0">
                  <c:v>14/8月</c:v>
                </c:pt>
                <c:pt idx="1">
                  <c:v>15/8月</c:v>
                </c:pt>
                <c:pt idx="2">
                  <c:v>16/8月</c:v>
                </c:pt>
                <c:pt idx="3">
                  <c:v>17/8月(今回)</c:v>
                </c:pt>
                <c:pt idx="4">
                  <c:v>17/8月(実績)</c:v>
                </c:pt>
              </c:strCache>
            </c:strRef>
          </c:cat>
          <c:val>
            <c:numRef>
              <c:f>R税抜!$F$38:$K$38</c:f>
              <c:numCache>
                <c:formatCode>#,##0_);[Red]\(#,##0\)</c:formatCode>
                <c:ptCount val="5"/>
                <c:pt idx="0">
                  <c:v>36448.717948717953</c:v>
                </c:pt>
                <c:pt idx="1">
                  <c:v>39623.076923076922</c:v>
                </c:pt>
                <c:pt idx="2">
                  <c:v>39440.094017094023</c:v>
                </c:pt>
                <c:pt idx="3">
                  <c:v>72649.572649572656</c:v>
                </c:pt>
                <c:pt idx="4">
                  <c:v>69046.901709401704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438464"/>
        <c:axId val="129440000"/>
      </c:barChart>
      <c:catAx>
        <c:axId val="129438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440000"/>
        <c:crosses val="autoZero"/>
        <c:auto val="1"/>
        <c:lblAlgn val="ctr"/>
        <c:lblOffset val="100"/>
        <c:noMultiLvlLbl val="0"/>
      </c:catAx>
      <c:valAx>
        <c:axId val="129440000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43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1867973066741"/>
          <c:y val="6.8756624600007185E-2"/>
          <c:w val="0.86508984278863599"/>
          <c:h val="0.9312433753999928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val>
            <c:numRef>
              <c:f>税抜!$D$213:$O$213</c:f>
              <c:numCache>
                <c:formatCode>#,##0_);[Red]\(#,##0\)</c:formatCode>
                <c:ptCount val="12"/>
                <c:pt idx="0">
                  <c:v>300182.905982906</c:v>
                </c:pt>
                <c:pt idx="1">
                  <c:v>324029.05982905987</c:v>
                </c:pt>
                <c:pt idx="2">
                  <c:v>324770.94017094019</c:v>
                </c:pt>
                <c:pt idx="3">
                  <c:v>317839.31623931625</c:v>
                </c:pt>
                <c:pt idx="4">
                  <c:v>315350.42735042737</c:v>
                </c:pt>
                <c:pt idx="5">
                  <c:v>295194.87179487181</c:v>
                </c:pt>
                <c:pt idx="6">
                  <c:v>436992.30769230775</c:v>
                </c:pt>
                <c:pt idx="7">
                  <c:v>350958.11965811969</c:v>
                </c:pt>
                <c:pt idx="8">
                  <c:v>398780.34188034193</c:v>
                </c:pt>
                <c:pt idx="9">
                  <c:v>390088.03418803419</c:v>
                </c:pt>
                <c:pt idx="10">
                  <c:v>363503.41880341881</c:v>
                </c:pt>
                <c:pt idx="11">
                  <c:v>312632.47863247863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2400"/>
        <c:axId val="97800960"/>
      </c:lineChart>
      <c:catAx>
        <c:axId val="977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97800960"/>
        <c:crosses val="autoZero"/>
        <c:auto val="1"/>
        <c:lblAlgn val="ctr"/>
        <c:lblOffset val="100"/>
        <c:noMultiLvlLbl val="0"/>
      </c:catAx>
      <c:valAx>
        <c:axId val="97800960"/>
        <c:scaling>
          <c:orientation val="minMax"/>
          <c:max val="500000"/>
          <c:min val="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97782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475721784777"/>
          <c:y val="5.1400554097404488E-2"/>
          <c:w val="0.66485821625238017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R税抜!$E$22:$K$22</c:f>
              <c:strCache>
                <c:ptCount val="5"/>
                <c:pt idx="0">
                  <c:v>14/6月</c:v>
                </c:pt>
                <c:pt idx="1">
                  <c:v>15/6月</c:v>
                </c:pt>
                <c:pt idx="2">
                  <c:v>16/6月</c:v>
                </c:pt>
                <c:pt idx="3">
                  <c:v>17/6月(今回)</c:v>
                </c:pt>
                <c:pt idx="4">
                  <c:v>17/6月(実績)</c:v>
                </c:pt>
              </c:strCache>
            </c:strRef>
          </c:cat>
          <c:val>
            <c:numRef>
              <c:f>R税抜!$F$26:$K$26</c:f>
              <c:numCache>
                <c:formatCode>#,##0_);[Red]\(#,##0\)</c:formatCode>
                <c:ptCount val="5"/>
                <c:pt idx="0">
                  <c:v>24682.905982905984</c:v>
                </c:pt>
                <c:pt idx="1">
                  <c:v>26877.777777777781</c:v>
                </c:pt>
                <c:pt idx="2">
                  <c:v>33498.983760683761</c:v>
                </c:pt>
                <c:pt idx="3">
                  <c:v>42735.042735042734</c:v>
                </c:pt>
                <c:pt idx="4">
                  <c:v>44897.198290598295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R税抜!$E$22:$K$22</c:f>
              <c:strCache>
                <c:ptCount val="5"/>
                <c:pt idx="0">
                  <c:v>14/6月</c:v>
                </c:pt>
                <c:pt idx="1">
                  <c:v>15/6月</c:v>
                </c:pt>
                <c:pt idx="2">
                  <c:v>16/6月</c:v>
                </c:pt>
                <c:pt idx="3">
                  <c:v>17/6月(今回)</c:v>
                </c:pt>
                <c:pt idx="4">
                  <c:v>17/6月(実績)</c:v>
                </c:pt>
              </c:strCache>
            </c:strRef>
          </c:cat>
          <c:val>
            <c:numRef>
              <c:f>R税抜!$F$24:$K$24</c:f>
              <c:numCache>
                <c:formatCode>#,##0_);[Red]\(#,##0\)</c:formatCode>
                <c:ptCount val="5"/>
                <c:pt idx="0">
                  <c:v>41699.145299145304</c:v>
                </c:pt>
                <c:pt idx="1">
                  <c:v>29699.145299145301</c:v>
                </c:pt>
                <c:pt idx="2">
                  <c:v>39424.807692307695</c:v>
                </c:pt>
                <c:pt idx="3">
                  <c:v>59829.059829059835</c:v>
                </c:pt>
                <c:pt idx="4">
                  <c:v>54607.988034188034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493632"/>
        <c:axId val="129630592"/>
      </c:barChart>
      <c:catAx>
        <c:axId val="1294936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630592"/>
        <c:crosses val="autoZero"/>
        <c:auto val="1"/>
        <c:lblAlgn val="ctr"/>
        <c:lblOffset val="100"/>
        <c:noMultiLvlLbl val="0"/>
      </c:catAx>
      <c:valAx>
        <c:axId val="129630592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49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2445089100704"/>
          <c:y val="5.1400554097404488E-2"/>
          <c:w val="0.77250426854537924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R税抜!$E$8:$K$8</c:f>
              <c:strCache>
                <c:ptCount val="5"/>
                <c:pt idx="0">
                  <c:v>14/4月</c:v>
                </c:pt>
                <c:pt idx="1">
                  <c:v>15/4月</c:v>
                </c:pt>
                <c:pt idx="2">
                  <c:v>16/4月</c:v>
                </c:pt>
                <c:pt idx="3">
                  <c:v>17/4月(今回)</c:v>
                </c:pt>
                <c:pt idx="4">
                  <c:v>17/4月(実績)</c:v>
                </c:pt>
              </c:strCache>
            </c:strRef>
          </c:cat>
          <c:val>
            <c:numRef>
              <c:f>R税抜!$F$12:$K$12</c:f>
              <c:numCache>
                <c:formatCode>#,##0_);[Red]\(#,##0\)</c:formatCode>
                <c:ptCount val="5"/>
                <c:pt idx="0">
                  <c:v>30471.794871794875</c:v>
                </c:pt>
                <c:pt idx="1">
                  <c:v>25750.427350427351</c:v>
                </c:pt>
                <c:pt idx="2">
                  <c:v>32829.059829059828</c:v>
                </c:pt>
                <c:pt idx="3">
                  <c:v>42735.042735042734</c:v>
                </c:pt>
                <c:pt idx="4">
                  <c:v>40258.974358974359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R税抜!$E$8:$K$8</c:f>
              <c:strCache>
                <c:ptCount val="5"/>
                <c:pt idx="0">
                  <c:v>14/4月</c:v>
                </c:pt>
                <c:pt idx="1">
                  <c:v>15/4月</c:v>
                </c:pt>
                <c:pt idx="2">
                  <c:v>16/4月</c:v>
                </c:pt>
                <c:pt idx="3">
                  <c:v>17/4月(今回)</c:v>
                </c:pt>
                <c:pt idx="4">
                  <c:v>17/4月(実績)</c:v>
                </c:pt>
              </c:strCache>
            </c:strRef>
          </c:cat>
          <c:val>
            <c:numRef>
              <c:f>R税抜!$F$10:$K$10</c:f>
              <c:numCache>
                <c:formatCode>#,##0_);[Red]\(#,##0\)</c:formatCode>
                <c:ptCount val="5"/>
                <c:pt idx="0">
                  <c:v>27266.666666666668</c:v>
                </c:pt>
                <c:pt idx="1">
                  <c:v>47338.034188034188</c:v>
                </c:pt>
                <c:pt idx="2">
                  <c:v>38323.367521367523</c:v>
                </c:pt>
                <c:pt idx="3">
                  <c:v>42735.042735042734</c:v>
                </c:pt>
                <c:pt idx="4">
                  <c:v>61919.658119658125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662976"/>
        <c:axId val="129664512"/>
      </c:barChart>
      <c:catAx>
        <c:axId val="129662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664512"/>
        <c:crosses val="autoZero"/>
        <c:auto val="1"/>
        <c:lblAlgn val="ctr"/>
        <c:lblOffset val="100"/>
        <c:noMultiLvlLbl val="0"/>
      </c:catAx>
      <c:valAx>
        <c:axId val="129664512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662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325608421021128"/>
          <c:y val="5.1400462359423617E-2"/>
          <c:w val="0.5427715806357538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R税抜!$E$78:$K$78</c:f>
              <c:strCache>
                <c:ptCount val="5"/>
                <c:pt idx="0">
                  <c:v>15/2月</c:v>
                </c:pt>
                <c:pt idx="1">
                  <c:v>16/2月</c:v>
                </c:pt>
                <c:pt idx="2">
                  <c:v>17/2月</c:v>
                </c:pt>
                <c:pt idx="3">
                  <c:v>18/2月(前回)</c:v>
                </c:pt>
                <c:pt idx="4">
                  <c:v>18/2月(今回)</c:v>
                </c:pt>
              </c:strCache>
            </c:strRef>
          </c:cat>
          <c:val>
            <c:numRef>
              <c:f>R税抜!$F$82:$K$82</c:f>
              <c:numCache>
                <c:formatCode>#,##0_);[Red]\(#,##0\)</c:formatCode>
                <c:ptCount val="5"/>
                <c:pt idx="0">
                  <c:v>40079.48717948718</c:v>
                </c:pt>
                <c:pt idx="1">
                  <c:v>25294.871794871797</c:v>
                </c:pt>
                <c:pt idx="2">
                  <c:v>45101.709401709406</c:v>
                </c:pt>
                <c:pt idx="3">
                  <c:v>39316.23931623932</c:v>
                </c:pt>
                <c:pt idx="4">
                  <c:v>33333.333333333336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R税抜!$E$78:$K$78</c:f>
              <c:strCache>
                <c:ptCount val="5"/>
                <c:pt idx="0">
                  <c:v>15/2月</c:v>
                </c:pt>
                <c:pt idx="1">
                  <c:v>16/2月</c:v>
                </c:pt>
                <c:pt idx="2">
                  <c:v>17/2月</c:v>
                </c:pt>
                <c:pt idx="3">
                  <c:v>18/2月(前回)</c:v>
                </c:pt>
                <c:pt idx="4">
                  <c:v>18/2月(今回)</c:v>
                </c:pt>
              </c:strCache>
            </c:strRef>
          </c:cat>
          <c:val>
            <c:numRef>
              <c:f>R税抜!$F$80:$K$80</c:f>
              <c:numCache>
                <c:formatCode>#,##0_);[Red]\(#,##0\)</c:formatCode>
                <c:ptCount val="5"/>
                <c:pt idx="0">
                  <c:v>17206.837606837609</c:v>
                </c:pt>
                <c:pt idx="1">
                  <c:v>26565.811965811969</c:v>
                </c:pt>
                <c:pt idx="2">
                  <c:v>31018.803418803422</c:v>
                </c:pt>
                <c:pt idx="3">
                  <c:v>79059.829059829062</c:v>
                </c:pt>
                <c:pt idx="4">
                  <c:v>47008.547008547008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700992"/>
        <c:axId val="129702528"/>
      </c:barChart>
      <c:catAx>
        <c:axId val="129700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702528"/>
        <c:crosses val="autoZero"/>
        <c:auto val="1"/>
        <c:lblAlgn val="ctr"/>
        <c:lblOffset val="100"/>
        <c:noMultiLvlLbl val="0"/>
      </c:catAx>
      <c:valAx>
        <c:axId val="129702528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70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96073185026626"/>
          <c:y val="5.1400554097404488E-2"/>
          <c:w val="0.5427715806357538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R税抜!$E$50:$K$50</c:f>
              <c:strCache>
                <c:ptCount val="5"/>
                <c:pt idx="0">
                  <c:v>14/10月</c:v>
                </c:pt>
                <c:pt idx="1">
                  <c:v>15/10月</c:v>
                </c:pt>
                <c:pt idx="2">
                  <c:v>16/10月</c:v>
                </c:pt>
                <c:pt idx="3">
                  <c:v>17/10月(今回)</c:v>
                </c:pt>
                <c:pt idx="4">
                  <c:v>17/10月(実績)</c:v>
                </c:pt>
              </c:strCache>
            </c:strRef>
          </c:cat>
          <c:val>
            <c:numRef>
              <c:f>R税抜!$F$54:$K$54</c:f>
              <c:numCache>
                <c:formatCode>#,##0_);[Red]\(#,##0\)</c:formatCode>
                <c:ptCount val="5"/>
                <c:pt idx="0">
                  <c:v>26994.871794871797</c:v>
                </c:pt>
                <c:pt idx="1">
                  <c:v>24417.094017094019</c:v>
                </c:pt>
                <c:pt idx="2">
                  <c:v>37528.205128205132</c:v>
                </c:pt>
                <c:pt idx="3">
                  <c:v>43589.743589743593</c:v>
                </c:pt>
                <c:pt idx="4">
                  <c:v>39698.56366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R税抜!$E$50:$K$50</c:f>
              <c:strCache>
                <c:ptCount val="5"/>
                <c:pt idx="0">
                  <c:v>14/10月</c:v>
                </c:pt>
                <c:pt idx="1">
                  <c:v>15/10月</c:v>
                </c:pt>
                <c:pt idx="2">
                  <c:v>16/10月</c:v>
                </c:pt>
                <c:pt idx="3">
                  <c:v>17/10月(今回)</c:v>
                </c:pt>
                <c:pt idx="4">
                  <c:v>17/10月(実績)</c:v>
                </c:pt>
              </c:strCache>
            </c:strRef>
          </c:cat>
          <c:val>
            <c:numRef>
              <c:f>R税抜!$F$52:$K$52</c:f>
              <c:numCache>
                <c:formatCode>#,##0_);[Red]\(#,##0\)</c:formatCode>
                <c:ptCount val="5"/>
                <c:pt idx="0">
                  <c:v>36232.478632478633</c:v>
                </c:pt>
                <c:pt idx="1">
                  <c:v>35726.495726495727</c:v>
                </c:pt>
                <c:pt idx="2">
                  <c:v>31108.692307692309</c:v>
                </c:pt>
                <c:pt idx="3">
                  <c:v>87179.487179487187</c:v>
                </c:pt>
                <c:pt idx="4">
                  <c:v>79699.341859743596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739008"/>
        <c:axId val="129740800"/>
      </c:barChart>
      <c:catAx>
        <c:axId val="1297390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740800"/>
        <c:crosses val="autoZero"/>
        <c:auto val="1"/>
        <c:lblAlgn val="ctr"/>
        <c:lblOffset val="100"/>
        <c:noMultiLvlLbl val="0"/>
      </c:catAx>
      <c:valAx>
        <c:axId val="129740800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73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88308670805121"/>
          <c:y val="5.5743585797703624E-2"/>
          <c:w val="0.5427715806357538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R税抜!$E$57:$K$57</c:f>
              <c:strCache>
                <c:ptCount val="5"/>
                <c:pt idx="0">
                  <c:v>14/11月</c:v>
                </c:pt>
                <c:pt idx="1">
                  <c:v>15/11月</c:v>
                </c:pt>
                <c:pt idx="2">
                  <c:v>16/11月</c:v>
                </c:pt>
                <c:pt idx="3">
                  <c:v>17/11月(今回)</c:v>
                </c:pt>
                <c:pt idx="4">
                  <c:v>17/11月(実績)</c:v>
                </c:pt>
              </c:strCache>
            </c:strRef>
          </c:cat>
          <c:val>
            <c:numRef>
              <c:f>R税抜!$F$61:$K$61</c:f>
              <c:numCache>
                <c:formatCode>#,##0_);[Red]\(#,##0\)</c:formatCode>
                <c:ptCount val="5"/>
                <c:pt idx="0">
                  <c:v>38763.247863247867</c:v>
                </c:pt>
                <c:pt idx="1">
                  <c:v>30604.273504273508</c:v>
                </c:pt>
                <c:pt idx="2">
                  <c:v>38323.931623931625</c:v>
                </c:pt>
                <c:pt idx="3">
                  <c:v>39316.23931623932</c:v>
                </c:pt>
                <c:pt idx="4">
                  <c:v>39431.300800000005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R税抜!$E$57:$K$57</c:f>
              <c:strCache>
                <c:ptCount val="5"/>
                <c:pt idx="0">
                  <c:v>14/11月</c:v>
                </c:pt>
                <c:pt idx="1">
                  <c:v>15/11月</c:v>
                </c:pt>
                <c:pt idx="2">
                  <c:v>16/11月</c:v>
                </c:pt>
                <c:pt idx="3">
                  <c:v>17/11月(今回)</c:v>
                </c:pt>
                <c:pt idx="4">
                  <c:v>17/11月(実績)</c:v>
                </c:pt>
              </c:strCache>
            </c:strRef>
          </c:cat>
          <c:val>
            <c:numRef>
              <c:f>R税抜!$F$59:$K$59</c:f>
              <c:numCache>
                <c:formatCode>#,##0_);[Red]\(#,##0\)</c:formatCode>
                <c:ptCount val="5"/>
                <c:pt idx="0">
                  <c:v>30671.794871794875</c:v>
                </c:pt>
                <c:pt idx="1">
                  <c:v>35878.632478632484</c:v>
                </c:pt>
                <c:pt idx="2">
                  <c:v>37681.927350427351</c:v>
                </c:pt>
                <c:pt idx="3">
                  <c:v>78632.47863247864</c:v>
                </c:pt>
                <c:pt idx="4">
                  <c:v>61711.253042735043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777024"/>
        <c:axId val="129778816"/>
      </c:barChart>
      <c:catAx>
        <c:axId val="1297770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778816"/>
        <c:crosses val="autoZero"/>
        <c:auto val="1"/>
        <c:lblAlgn val="ctr"/>
        <c:lblOffset val="100"/>
        <c:noMultiLvlLbl val="0"/>
      </c:catAx>
      <c:valAx>
        <c:axId val="129778816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77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96073185026626"/>
          <c:y val="5.1400554097404488E-2"/>
          <c:w val="0.54277158063575381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R税抜!$E$64:$K$64</c:f>
              <c:strCache>
                <c:ptCount val="5"/>
                <c:pt idx="0">
                  <c:v>14/12月</c:v>
                </c:pt>
                <c:pt idx="1">
                  <c:v>15/12月</c:v>
                </c:pt>
                <c:pt idx="2">
                  <c:v>16/12月</c:v>
                </c:pt>
                <c:pt idx="3">
                  <c:v>17/12月(前回)</c:v>
                </c:pt>
                <c:pt idx="4">
                  <c:v>17/12月(実績)</c:v>
                </c:pt>
              </c:strCache>
            </c:strRef>
          </c:cat>
          <c:val>
            <c:numRef>
              <c:f>R税抜!$F$68:$K$68</c:f>
              <c:numCache>
                <c:formatCode>#,##0_);[Red]\(#,##0\)</c:formatCode>
                <c:ptCount val="5"/>
                <c:pt idx="0">
                  <c:v>27883.760683760687</c:v>
                </c:pt>
                <c:pt idx="1">
                  <c:v>40673.504273504273</c:v>
                </c:pt>
                <c:pt idx="2">
                  <c:v>53115.384615384617</c:v>
                </c:pt>
                <c:pt idx="3">
                  <c:v>41880.341880341883</c:v>
                </c:pt>
                <c:pt idx="4">
                  <c:v>33231.50776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R税抜!$E$64:$K$64</c:f>
              <c:strCache>
                <c:ptCount val="5"/>
                <c:pt idx="0">
                  <c:v>14/12月</c:v>
                </c:pt>
                <c:pt idx="1">
                  <c:v>15/12月</c:v>
                </c:pt>
                <c:pt idx="2">
                  <c:v>16/12月</c:v>
                </c:pt>
                <c:pt idx="3">
                  <c:v>17/12月(前回)</c:v>
                </c:pt>
                <c:pt idx="4">
                  <c:v>17/12月(実績)</c:v>
                </c:pt>
              </c:strCache>
            </c:strRef>
          </c:cat>
          <c:val>
            <c:numRef>
              <c:f>R税抜!$F$66:$K$66</c:f>
              <c:numCache>
                <c:formatCode>#,##0_);[Red]\(#,##0\)</c:formatCode>
                <c:ptCount val="5"/>
                <c:pt idx="0">
                  <c:v>34572.649572649578</c:v>
                </c:pt>
                <c:pt idx="1">
                  <c:v>34694.017094017094</c:v>
                </c:pt>
                <c:pt idx="2">
                  <c:v>48742.735042735047</c:v>
                </c:pt>
                <c:pt idx="3">
                  <c:v>85897.435897435906</c:v>
                </c:pt>
                <c:pt idx="4">
                  <c:v>112241.34977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807104"/>
        <c:axId val="129808640"/>
      </c:barChart>
      <c:catAx>
        <c:axId val="129807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9808640"/>
        <c:crosses val="autoZero"/>
        <c:auto val="1"/>
        <c:lblAlgn val="ctr"/>
        <c:lblOffset val="100"/>
        <c:noMultiLvlLbl val="0"/>
      </c:catAx>
      <c:valAx>
        <c:axId val="129808640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980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1500202781511"/>
          <c:y val="5.1400554097404488E-2"/>
          <c:w val="0.72203320480968425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R税抜!$E$15:$K$15</c:f>
              <c:strCache>
                <c:ptCount val="5"/>
                <c:pt idx="0">
                  <c:v>14/5月</c:v>
                </c:pt>
                <c:pt idx="1">
                  <c:v>15/5月</c:v>
                </c:pt>
                <c:pt idx="2">
                  <c:v>16/5月</c:v>
                </c:pt>
                <c:pt idx="3">
                  <c:v>17/5月(今回)</c:v>
                </c:pt>
                <c:pt idx="4">
                  <c:v>17/5月(実績)</c:v>
                </c:pt>
              </c:strCache>
            </c:strRef>
          </c:cat>
          <c:val>
            <c:numRef>
              <c:f>R税抜!$F$19:$K$19</c:f>
              <c:numCache>
                <c:formatCode>#,##0_);[Red]\(#,##0\)</c:formatCode>
                <c:ptCount val="5"/>
                <c:pt idx="0">
                  <c:v>28711.111111111113</c:v>
                </c:pt>
                <c:pt idx="1">
                  <c:v>22560.683760683762</c:v>
                </c:pt>
                <c:pt idx="2">
                  <c:v>30039.74358974359</c:v>
                </c:pt>
                <c:pt idx="3">
                  <c:v>47008.547008547008</c:v>
                </c:pt>
                <c:pt idx="4">
                  <c:v>48672.649572649578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R税抜!$E$15:$K$15</c:f>
              <c:strCache>
                <c:ptCount val="5"/>
                <c:pt idx="0">
                  <c:v>14/5月</c:v>
                </c:pt>
                <c:pt idx="1">
                  <c:v>15/5月</c:v>
                </c:pt>
                <c:pt idx="2">
                  <c:v>16/5月</c:v>
                </c:pt>
                <c:pt idx="3">
                  <c:v>17/5月(今回)</c:v>
                </c:pt>
                <c:pt idx="4">
                  <c:v>17/5月(実績)</c:v>
                </c:pt>
              </c:strCache>
            </c:strRef>
          </c:cat>
          <c:val>
            <c:numRef>
              <c:f>R税抜!$F$17:$K$17</c:f>
              <c:numCache>
                <c:formatCode>#,##0_);[Red]\(#,##0\)</c:formatCode>
                <c:ptCount val="5"/>
                <c:pt idx="0">
                  <c:v>25367.521367521371</c:v>
                </c:pt>
                <c:pt idx="1">
                  <c:v>61264.957264957266</c:v>
                </c:pt>
                <c:pt idx="2">
                  <c:v>32926.974358974359</c:v>
                </c:pt>
                <c:pt idx="3">
                  <c:v>55555.555555555562</c:v>
                </c:pt>
                <c:pt idx="4">
                  <c:v>54722.538461538468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168128"/>
        <c:axId val="131169664"/>
      </c:barChart>
      <c:catAx>
        <c:axId val="1311681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31169664"/>
        <c:crosses val="autoZero"/>
        <c:auto val="1"/>
        <c:lblAlgn val="ctr"/>
        <c:lblOffset val="100"/>
        <c:noMultiLvlLbl val="0"/>
      </c:catAx>
      <c:valAx>
        <c:axId val="131169664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3116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359797052202"/>
          <c:y val="5.1400554097404488E-2"/>
          <c:w val="0.72480806096421047"/>
          <c:h val="0.82893919510061242"/>
        </c:manualLayout>
      </c:layout>
      <c:barChart>
        <c:barDir val="col"/>
        <c:grouping val="stack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R税抜!$E$29:$K$29</c:f>
              <c:strCache>
                <c:ptCount val="5"/>
                <c:pt idx="0">
                  <c:v>14/7月</c:v>
                </c:pt>
                <c:pt idx="1">
                  <c:v>15/7月</c:v>
                </c:pt>
                <c:pt idx="2">
                  <c:v>16/7月</c:v>
                </c:pt>
                <c:pt idx="3">
                  <c:v>17/7月(今回)</c:v>
                </c:pt>
                <c:pt idx="4">
                  <c:v>17/7月(実績)</c:v>
                </c:pt>
              </c:strCache>
            </c:strRef>
          </c:cat>
          <c:val>
            <c:numRef>
              <c:f>R税抜!$F$33:$K$33</c:f>
              <c:numCache>
                <c:formatCode>#,##0_);[Red]\(#,##0\)</c:formatCode>
                <c:ptCount val="5"/>
                <c:pt idx="0">
                  <c:v>30987.179487179488</c:v>
                </c:pt>
                <c:pt idx="1">
                  <c:v>33667.521367521367</c:v>
                </c:pt>
                <c:pt idx="2">
                  <c:v>36160.683760683765</c:v>
                </c:pt>
                <c:pt idx="3">
                  <c:v>51282.051282051289</c:v>
                </c:pt>
                <c:pt idx="4">
                  <c:v>52729.217140000008</c:v>
                </c:pt>
              </c:numCache>
            </c:numRef>
          </c:val>
        </c:ser>
        <c:ser>
          <c:idx val="0"/>
          <c:order val="1"/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</c:spPr>
          </c:dPt>
          <c:dPt>
            <c:idx val="2"/>
            <c:invertIfNegative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</c:spPr>
          </c:dPt>
          <c:dPt>
            <c:idx val="4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</c:spPr>
          </c:dPt>
          <c:cat>
            <c:strRef>
              <c:f>R税抜!$E$29:$K$29</c:f>
              <c:strCache>
                <c:ptCount val="5"/>
                <c:pt idx="0">
                  <c:v>14/7月</c:v>
                </c:pt>
                <c:pt idx="1">
                  <c:v>15/7月</c:v>
                </c:pt>
                <c:pt idx="2">
                  <c:v>16/7月</c:v>
                </c:pt>
                <c:pt idx="3">
                  <c:v>17/7月(今回)</c:v>
                </c:pt>
                <c:pt idx="4">
                  <c:v>17/7月(実績)</c:v>
                </c:pt>
              </c:strCache>
            </c:strRef>
          </c:cat>
          <c:val>
            <c:numRef>
              <c:f>R税抜!$F$31:$K$31</c:f>
              <c:numCache>
                <c:formatCode>#,##0_);[Red]\(#,##0\)</c:formatCode>
                <c:ptCount val="5"/>
                <c:pt idx="0">
                  <c:v>27307.692307692309</c:v>
                </c:pt>
                <c:pt idx="1">
                  <c:v>28129.914529914531</c:v>
                </c:pt>
                <c:pt idx="2">
                  <c:v>39874.358974358976</c:v>
                </c:pt>
                <c:pt idx="3">
                  <c:v>59829.059829059835</c:v>
                </c:pt>
                <c:pt idx="4">
                  <c:v>68814.9761191453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197952"/>
        <c:axId val="131199744"/>
      </c:barChart>
      <c:catAx>
        <c:axId val="1311979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31199744"/>
        <c:crosses val="autoZero"/>
        <c:auto val="1"/>
        <c:lblAlgn val="ctr"/>
        <c:lblOffset val="100"/>
        <c:noMultiLvlLbl val="0"/>
      </c:catAx>
      <c:valAx>
        <c:axId val="131199744"/>
        <c:scaling>
          <c:orientation val="minMax"/>
          <c:max val="16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3119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4108154189251668"/>
          <c:w val="1"/>
          <c:h val="0.8117272947012637"/>
        </c:manualLayout>
      </c:layout>
      <c:lineChart>
        <c:grouping val="standard"/>
        <c:varyColors val="0"/>
        <c:ser>
          <c:idx val="0"/>
          <c:order val="0"/>
          <c:tx>
            <c:v>2014年度粗利率</c:v>
          </c:tx>
          <c:spPr>
            <a:ln w="38100"/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1.8384739951736132E-2"/>
                  <c:y val="-8.972943820693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384464179240785E-2"/>
                  <c:y val="-8.4033922460512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9983328922519097E-2"/>
                  <c:y val="-3.8620471082591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983328922519097E-2"/>
                  <c:y val="-3.8620471082591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898939056697998E-2"/>
                  <c:y val="-5.3796237111969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898939056697998E-2"/>
                  <c:y val="3.99546313536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9898939056697998E-2"/>
                  <c:y val="3.7252400439096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14001689587809E-2"/>
                  <c:y val="3.7252400439096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9002279188993873E-2"/>
                  <c:y val="4.6440186139851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</c:dLbl>
            <c:dLbl>
              <c:idx val="11"/>
              <c:layout>
                <c:manualLayout>
                  <c:x val="-1.6024671304537483E-2"/>
                  <c:y val="9.2399970124781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税抜!$D$135:$O$135</c:f>
              <c:numCache>
                <c:formatCode>0.0%</c:formatCode>
                <c:ptCount val="12"/>
                <c:pt idx="0">
                  <c:v>0.13500000000000001</c:v>
                </c:pt>
                <c:pt idx="1">
                  <c:v>0.16300000000000001</c:v>
                </c:pt>
                <c:pt idx="2">
                  <c:v>0.14599999999999999</c:v>
                </c:pt>
                <c:pt idx="3">
                  <c:v>0.126</c:v>
                </c:pt>
                <c:pt idx="4">
                  <c:v>0.151</c:v>
                </c:pt>
                <c:pt idx="5">
                  <c:v>0.152</c:v>
                </c:pt>
                <c:pt idx="6">
                  <c:v>0.13100000000000001</c:v>
                </c:pt>
                <c:pt idx="7">
                  <c:v>0.106</c:v>
                </c:pt>
                <c:pt idx="8">
                  <c:v>0.11799999999999999</c:v>
                </c:pt>
                <c:pt idx="9">
                  <c:v>0.125</c:v>
                </c:pt>
                <c:pt idx="10">
                  <c:v>0.11</c:v>
                </c:pt>
                <c:pt idx="11">
                  <c:v>8.7999999999999995E-2</c:v>
                </c:pt>
              </c:numCache>
            </c:numRef>
          </c:val>
          <c:smooth val="0"/>
        </c:ser>
        <c:ser>
          <c:idx val="1"/>
          <c:order val="1"/>
          <c:tx>
            <c:v>2015年度粗利率</c:v>
          </c:tx>
          <c:spPr>
            <a:ln w="38100"/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1.9211781204829876E-2"/>
                  <c:y val="5.296628696507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970528721946997E-2"/>
                  <c:y val="4.1575622516188203E-2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017617750508105E-2"/>
                  <c:y val="-2.8001938415362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902586737394444E-2"/>
                  <c:y val="-6.6948023439521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6027608792009446E-2"/>
                  <c:y val="-4.9862124418530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税抜!$D$139:$O$139</c:f>
              <c:numCache>
                <c:formatCode>0.0%</c:formatCode>
                <c:ptCount val="12"/>
                <c:pt idx="0">
                  <c:v>0.13380051283616715</c:v>
                </c:pt>
                <c:pt idx="1">
                  <c:v>0.13367363047939798</c:v>
                </c:pt>
                <c:pt idx="2">
                  <c:v>0.12988865777560257</c:v>
                </c:pt>
                <c:pt idx="3">
                  <c:v>0.10182596872875595</c:v>
                </c:pt>
                <c:pt idx="4">
                  <c:v>8.4728434504792324E-2</c:v>
                </c:pt>
                <c:pt idx="5">
                  <c:v>8.9227826269665467E-2</c:v>
                </c:pt>
                <c:pt idx="6">
                  <c:v>7.5055020296375993E-2</c:v>
                </c:pt>
                <c:pt idx="7">
                  <c:v>8.7307725102319225E-2</c:v>
                </c:pt>
                <c:pt idx="8">
                  <c:v>8.0556045510059779E-2</c:v>
                </c:pt>
                <c:pt idx="9">
                  <c:v>4.7036176003628936E-2</c:v>
                </c:pt>
                <c:pt idx="10">
                  <c:v>9.4709780085044201E-2</c:v>
                </c:pt>
                <c:pt idx="11">
                  <c:v>9.7780557505759952E-2</c:v>
                </c:pt>
              </c:numCache>
            </c:numRef>
          </c:val>
          <c:smooth val="0"/>
        </c:ser>
        <c:ser>
          <c:idx val="2"/>
          <c:order val="2"/>
          <c:tx>
            <c:v>2016年度粗利率</c:v>
          </c:tx>
          <c:spPr>
            <a:ln w="38100"/>
          </c:spPr>
          <c:marker>
            <c:symbol val="triangle"/>
            <c:size val="8"/>
          </c:marker>
          <c:dLbls>
            <c:dLbl>
              <c:idx val="0"/>
              <c:layout>
                <c:manualLayout>
                  <c:x val="-1.7542515626177414E-2"/>
                  <c:y val="6.4826185281938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2586737394444E-2"/>
                  <c:y val="6.69484718883147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053517279289812E-2"/>
                  <c:y val="5.7173495447954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14001689587809E-2"/>
                  <c:y val="4.5469388322263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8248818475711009E-2"/>
                  <c:y val="-0.100335208280384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8529497423312679E-2"/>
                  <c:y val="-4.6439714613223208E-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en-US" altLang="en-US" sz="1000"/>
                      <a:t>11.0%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755799229891846E-2"/>
                  <c:y val="-6.4404879168943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税抜!$D$143:$O$143</c:f>
              <c:numCache>
                <c:formatCode>0.0%</c:formatCode>
                <c:ptCount val="12"/>
                <c:pt idx="0">
                  <c:v>8.8692321092606788E-2</c:v>
                </c:pt>
                <c:pt idx="1">
                  <c:v>0.10602620567703905</c:v>
                </c:pt>
                <c:pt idx="2">
                  <c:v>0.11086769663593937</c:v>
                </c:pt>
                <c:pt idx="3">
                  <c:v>0.10859253145011874</c:v>
                </c:pt>
                <c:pt idx="4">
                  <c:v>0.11185506171174209</c:v>
                </c:pt>
                <c:pt idx="5">
                  <c:v>0.11429831384372349</c:v>
                </c:pt>
                <c:pt idx="6">
                  <c:v>0.11175819348036199</c:v>
                </c:pt>
                <c:pt idx="7">
                  <c:v>0.12911308450747214</c:v>
                </c:pt>
                <c:pt idx="8">
                  <c:v>0.119595928972705</c:v>
                </c:pt>
                <c:pt idx="9">
                  <c:v>0.1293465856646584</c:v>
                </c:pt>
                <c:pt idx="10">
                  <c:v>0.10970077909905689</c:v>
                </c:pt>
                <c:pt idx="11">
                  <c:v>0.11586485262909689</c:v>
                </c:pt>
              </c:numCache>
            </c:numRef>
          </c:val>
          <c:smooth val="0"/>
        </c:ser>
        <c:ser>
          <c:idx val="3"/>
          <c:order val="3"/>
          <c:tx>
            <c:v>2017年度粗利率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9139222118782689E-2"/>
                  <c:y val="5.2966286965073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9355913101558549E-2"/>
                  <c:y val="-6.36142922934179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096809871102204E-2"/>
                  <c:y val="-6.7543507004203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74223901996497E-2"/>
                  <c:y val="3.2260894033293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951153020877704E-2"/>
                  <c:y val="-6.7612223133146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9898939056697998E-2"/>
                  <c:y val="-0.114458563766222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110875006978411E-2"/>
                  <c:y val="-5.7066510245566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520954246721125E-2"/>
                  <c:y val="6.9220109101831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1.8836517832071641E-2"/>
                  <c:y val="-6.587227003764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0104348969304308E-2"/>
                  <c:y val="-8.5359522550996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税抜!$D$154:$O$154</c:f>
              <c:numCache>
                <c:formatCode>0.0%</c:formatCode>
                <c:ptCount val="12"/>
                <c:pt idx="0">
                  <c:v>0.13370477470310679</c:v>
                </c:pt>
                <c:pt idx="1">
                  <c:v>0.13440187705459686</c:v>
                </c:pt>
                <c:pt idx="2">
                  <c:v>0.1584162626941549</c:v>
                </c:pt>
                <c:pt idx="3">
                  <c:v>0.1485270286519029</c:v>
                </c:pt>
                <c:pt idx="4">
                  <c:v>0.1422580452947422</c:v>
                </c:pt>
                <c:pt idx="5">
                  <c:v>0.15675926014831645</c:v>
                </c:pt>
                <c:pt idx="6">
                  <c:v>0.14429364174822051</c:v>
                </c:pt>
                <c:pt idx="7">
                  <c:v>0.13051248916107003</c:v>
                </c:pt>
                <c:pt idx="8">
                  <c:v>0.152208055860244</c:v>
                </c:pt>
                <c:pt idx="9">
                  <c:v>0.11954197020164907</c:v>
                </c:pt>
                <c:pt idx="10">
                  <c:v>0.13129007633587786</c:v>
                </c:pt>
                <c:pt idx="11">
                  <c:v>0.13753723404255319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42176"/>
        <c:axId val="107958656"/>
      </c:lineChart>
      <c:catAx>
        <c:axId val="1078421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07958656"/>
        <c:crosses val="autoZero"/>
        <c:auto val="1"/>
        <c:lblAlgn val="ctr"/>
        <c:lblOffset val="100"/>
        <c:noMultiLvlLbl val="0"/>
      </c:catAx>
      <c:valAx>
        <c:axId val="107958656"/>
        <c:scaling>
          <c:orientation val="minMax"/>
          <c:max val="0.2"/>
          <c:min val="4.0000000000000008E-2"/>
        </c:scaling>
        <c:delete val="1"/>
        <c:axPos val="l"/>
        <c:numFmt formatCode="0.0%" sourceLinked="1"/>
        <c:majorTickMark val="out"/>
        <c:minorTickMark val="none"/>
        <c:tickLblPos val="nextTo"/>
        <c:crossAx val="107842176"/>
        <c:crosses val="autoZero"/>
        <c:crossBetween val="between"/>
        <c:majorUnit val="7.0000000000000007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260778402699663"/>
          <c:y val="2.1130270108641481E-3"/>
          <c:w val="0.17319259092613426"/>
          <c:h val="0.21043268325636508"/>
        </c:manualLayout>
      </c:layout>
      <c:overlay val="0"/>
      <c:txPr>
        <a:bodyPr/>
        <a:lstStyle/>
        <a:p>
          <a:pPr>
            <a:defRPr lang="ja-JP" sz="900" b="0" i="0" u="none" strike="noStrike" baseline="0">
              <a:solidFill>
                <a:srgbClr val="000000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 sz="1800" b="1" i="0" u="none" strike="noStrike" baseline="0">
                <a:solidFill>
                  <a:srgbClr val="000000"/>
                </a:solidFill>
                <a:latin typeface="MS PGothic"/>
                <a:ea typeface="MS PGothic"/>
              </a:rPr>
              <a:t>2014年度受注高【税込】予算</a:t>
            </a:r>
          </a:p>
        </c:rich>
      </c:tx>
      <c:layout>
        <c:manualLayout>
          <c:xMode val="edge"/>
          <c:yMode val="edge"/>
          <c:x val="0.32423634785115463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'14予算datebase'!$B$6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'14予算datebase'!$C$6:$K$6</c:f>
              <c:numCache>
                <c:formatCode>#,##0_);[Red]\(#,##0\)</c:formatCode>
                <c:ptCount val="9"/>
                <c:pt idx="0">
                  <c:v>13003</c:v>
                </c:pt>
                <c:pt idx="1">
                  <c:v>7114</c:v>
                </c:pt>
                <c:pt idx="2">
                  <c:v>10058.5</c:v>
                </c:pt>
                <c:pt idx="3">
                  <c:v>10968</c:v>
                </c:pt>
                <c:pt idx="4">
                  <c:v>3091</c:v>
                </c:pt>
                <c:pt idx="5">
                  <c:v>7029.5</c:v>
                </c:pt>
                <c:pt idx="6">
                  <c:v>11140</c:v>
                </c:pt>
                <c:pt idx="7">
                  <c:v>8258</c:v>
                </c:pt>
                <c:pt idx="8">
                  <c:v>9699</c:v>
                </c:pt>
              </c:numCache>
            </c:numRef>
          </c:val>
        </c:ser>
        <c:ser>
          <c:idx val="3"/>
          <c:order val="1"/>
          <c:tx>
            <c:strRef>
              <c:f>'14予算datebase'!$B$5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'14予算datebase'!$C$5:$K$5</c:f>
              <c:numCache>
                <c:formatCode>#,##0_);[Red]\(#,##0\)</c:formatCode>
                <c:ptCount val="9"/>
                <c:pt idx="0">
                  <c:v>17337</c:v>
                </c:pt>
                <c:pt idx="1">
                  <c:v>9381</c:v>
                </c:pt>
                <c:pt idx="2">
                  <c:v>13359</c:v>
                </c:pt>
                <c:pt idx="3">
                  <c:v>33092.333333333336</c:v>
                </c:pt>
                <c:pt idx="4">
                  <c:v>57321</c:v>
                </c:pt>
                <c:pt idx="5">
                  <c:v>45206.666666666672</c:v>
                </c:pt>
                <c:pt idx="6">
                  <c:v>74690</c:v>
                </c:pt>
                <c:pt idx="7">
                  <c:v>86750</c:v>
                </c:pt>
                <c:pt idx="8">
                  <c:v>80720</c:v>
                </c:pt>
              </c:numCache>
            </c:numRef>
          </c:val>
        </c:ser>
        <c:ser>
          <c:idx val="2"/>
          <c:order val="2"/>
          <c:tx>
            <c:strRef>
              <c:f>'14予算datebase'!$B$4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'14予算datebase'!$C$4:$K$4</c:f>
              <c:numCache>
                <c:formatCode>#,##0_);[Red]\(#,##0\)</c:formatCode>
                <c:ptCount val="9"/>
                <c:pt idx="0">
                  <c:v>90457</c:v>
                </c:pt>
                <c:pt idx="1">
                  <c:v>61483</c:v>
                </c:pt>
                <c:pt idx="2">
                  <c:v>75970</c:v>
                </c:pt>
                <c:pt idx="3">
                  <c:v>110477.5</c:v>
                </c:pt>
                <c:pt idx="4">
                  <c:v>97452</c:v>
                </c:pt>
                <c:pt idx="5">
                  <c:v>103964.75</c:v>
                </c:pt>
                <c:pt idx="6">
                  <c:v>120067</c:v>
                </c:pt>
                <c:pt idx="7">
                  <c:v>125635</c:v>
                </c:pt>
                <c:pt idx="8">
                  <c:v>122851</c:v>
                </c:pt>
              </c:numCache>
            </c:numRef>
          </c:val>
        </c:ser>
        <c:ser>
          <c:idx val="1"/>
          <c:order val="3"/>
          <c:tx>
            <c:strRef>
              <c:f>'14予算datebase'!$B$3</c:f>
              <c:strCache>
                <c:ptCount val="1"/>
                <c:pt idx="0">
                  <c:v>Ｖ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'14予算datebase'!$C$3:$K$3</c:f>
              <c:numCache>
                <c:formatCode>#,##0_);[Red]\(#,##0\)</c:formatCode>
                <c:ptCount val="9"/>
                <c:pt idx="0">
                  <c:v>96659</c:v>
                </c:pt>
                <c:pt idx="1">
                  <c:v>92238</c:v>
                </c:pt>
                <c:pt idx="2">
                  <c:v>94448.5</c:v>
                </c:pt>
                <c:pt idx="3">
                  <c:v>100655.5</c:v>
                </c:pt>
                <c:pt idx="4">
                  <c:v>82412</c:v>
                </c:pt>
                <c:pt idx="5">
                  <c:v>91533.75</c:v>
                </c:pt>
                <c:pt idx="6">
                  <c:v>111750</c:v>
                </c:pt>
                <c:pt idx="7">
                  <c:v>111717</c:v>
                </c:pt>
                <c:pt idx="8">
                  <c:v>111734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0951040"/>
        <c:axId val="130952576"/>
      </c:barChart>
      <c:barChart>
        <c:barDir val="col"/>
        <c:grouping val="stacked"/>
        <c:varyColors val="0"/>
        <c:ser>
          <c:idx val="0"/>
          <c:order val="4"/>
          <c:tx>
            <c:strRef>
              <c:f>'14予算datebase'!$B$7</c:f>
              <c:strCache>
                <c:ptCount val="1"/>
                <c:pt idx="0">
                  <c:v>全体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1.6877637130801688E-3"/>
                  <c:y val="-0.298716416147837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3755274261603376E-3"/>
                  <c:y val="-0.245818717454991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6877637130801688E-3"/>
                  <c:y val="-0.27693501080372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6877009147802885E-3"/>
                  <c:y val="-0.3484699993896112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336055968166316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342279226836063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0.420059085637551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877009147802885E-3"/>
                  <c:y val="-0.438717939327351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"/>
                  <c:y val="-0.429404848212515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'14予算datebase'!$C$7:$K$7</c:f>
              <c:numCache>
                <c:formatCode>#,##0_);[Red]\(#,##0\)</c:formatCode>
                <c:ptCount val="9"/>
                <c:pt idx="0">
                  <c:v>219787</c:v>
                </c:pt>
                <c:pt idx="1">
                  <c:v>171531</c:v>
                </c:pt>
                <c:pt idx="2">
                  <c:v>195659</c:v>
                </c:pt>
                <c:pt idx="3">
                  <c:v>256181.33333333331</c:v>
                </c:pt>
                <c:pt idx="4">
                  <c:v>241576</c:v>
                </c:pt>
                <c:pt idx="5">
                  <c:v>248878.66666666666</c:v>
                </c:pt>
                <c:pt idx="6">
                  <c:v>319192</c:v>
                </c:pt>
                <c:pt idx="7">
                  <c:v>334090</c:v>
                </c:pt>
                <c:pt idx="8">
                  <c:v>326641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0954368"/>
        <c:axId val="130955904"/>
      </c:barChart>
      <c:catAx>
        <c:axId val="130951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PGothic"/>
                <a:ea typeface="MS PGothic"/>
                <a:cs typeface="MS PGothic"/>
              </a:defRPr>
            </a:pPr>
            <a:endParaRPr lang="zh-CN"/>
          </a:p>
        </c:txPr>
        <c:crossAx val="130952576"/>
        <c:crosses val="autoZero"/>
        <c:auto val="1"/>
        <c:lblAlgn val="ctr"/>
        <c:lblOffset val="100"/>
        <c:noMultiLvlLbl val="0"/>
      </c:catAx>
      <c:valAx>
        <c:axId val="130952576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30951040"/>
        <c:crosses val="autoZero"/>
        <c:crossBetween val="between"/>
      </c:valAx>
      <c:catAx>
        <c:axId val="1309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55904"/>
        <c:crosses val="autoZero"/>
        <c:auto val="1"/>
        <c:lblAlgn val="ctr"/>
        <c:lblOffset val="100"/>
        <c:noMultiLvlLbl val="0"/>
      </c:catAx>
      <c:valAx>
        <c:axId val="13095590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ja-JP"/>
            </a:pPr>
            <a:endParaRPr lang="zh-CN"/>
          </a:p>
        </c:txPr>
        <c:crossAx val="1309543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91717889669921537"/>
          <c:y val="0.42672099553989318"/>
          <c:w val="6.4135048253068039E-2"/>
          <c:h val="0.24737453272886345"/>
        </c:manualLayout>
      </c:layout>
      <c:overlay val="0"/>
      <c:txPr>
        <a:bodyPr/>
        <a:lstStyle/>
        <a:p>
          <a:pPr>
            <a:defRPr lang="ja-JP" sz="845" b="0" i="0" u="none" strike="noStrike" baseline="0">
              <a:solidFill>
                <a:srgbClr val="000000"/>
              </a:solidFill>
              <a:latin typeface="MS PGothic"/>
              <a:ea typeface="MS PGothic"/>
              <a:cs typeface="MS PGothic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01078747232071E-3"/>
          <c:y val="0.16757946923301253"/>
          <c:w val="0.99187603553563819"/>
          <c:h val="0.74803927286866922"/>
        </c:manualLayout>
      </c:layout>
      <c:lineChart>
        <c:grouping val="standard"/>
        <c:varyColors val="0"/>
        <c:ser>
          <c:idx val="3"/>
          <c:order val="0"/>
          <c:tx>
            <c:v>2014年度粗利率</c:v>
          </c:tx>
          <c:spPr>
            <a:ln w="38100">
              <a:solidFill>
                <a:schemeClr val="accent3"/>
              </a:solidFill>
            </a:ln>
          </c:spPr>
          <c:marker>
            <c:symbol val="star"/>
            <c:size val="8"/>
            <c:spPr>
              <a:noFill/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layout>
                <c:manualLayout>
                  <c:x val="-2.6696753086224944E-2"/>
                  <c:y val="6.1242662848962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704769118289073E-2"/>
                  <c:y val="3.1512588704189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704769118289073E-2"/>
                  <c:y val="-5.3908852302553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704769118289073E-2"/>
                  <c:y val="-6.237630018469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9368763774267597E-2"/>
                  <c:y val="6.8549625741226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税抜!$D$202:$O$202</c:f>
              <c:numCache>
                <c:formatCode>0.0%</c:formatCode>
                <c:ptCount val="12"/>
                <c:pt idx="0">
                  <c:v>0.1339111628240823</c:v>
                </c:pt>
                <c:pt idx="1">
                  <c:v>0.14842243993933477</c:v>
                </c:pt>
                <c:pt idx="2">
                  <c:v>0.14792542276208157</c:v>
                </c:pt>
                <c:pt idx="3">
                  <c:v>0.13930542854972186</c:v>
                </c:pt>
                <c:pt idx="4">
                  <c:v>0.14724768395651333</c:v>
                </c:pt>
                <c:pt idx="5">
                  <c:v>0.14723099180585622</c:v>
                </c:pt>
                <c:pt idx="6">
                  <c:v>0.14599999999999999</c:v>
                </c:pt>
                <c:pt idx="7">
                  <c:v>0.13900000000000001</c:v>
                </c:pt>
                <c:pt idx="8">
                  <c:v>0.14000000000000001</c:v>
                </c:pt>
                <c:pt idx="9">
                  <c:v>0.15466320338099254</c:v>
                </c:pt>
                <c:pt idx="10">
                  <c:v>0.14199999999999999</c:v>
                </c:pt>
                <c:pt idx="11">
                  <c:v>0.14000000000000001</c:v>
                </c:pt>
              </c:numCache>
            </c:numRef>
          </c:val>
          <c:smooth val="0"/>
        </c:ser>
        <c:ser>
          <c:idx val="1"/>
          <c:order val="1"/>
          <c:tx>
            <c:v>2015年度粗利率</c:v>
          </c:tx>
          <c:spPr>
            <a:ln w="38100">
              <a:solidFill>
                <a:srgbClr val="0070C0"/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2.3992236441386712E-2"/>
                  <c:y val="-4.9310886348411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663721143073547E-2"/>
                  <c:y val="-2.1808278149331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337099395641653E-2"/>
                  <c:y val="-3.2442853734192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006459112450623E-2"/>
                  <c:y val="-5.5137198759246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9368763774267694E-2"/>
                  <c:y val="3.1512588704189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7999305698010193E-2"/>
                  <c:y val="-4.6471274424030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6651097470531616E-2"/>
                  <c:y val="3.2676679303975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9368868971538779E-2"/>
                  <c:y val="-4.3858267716535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税抜!$D$204:$O$204</c:f>
              <c:numCache>
                <c:formatCode>0.0%</c:formatCode>
                <c:ptCount val="12"/>
                <c:pt idx="0">
                  <c:v>0.15684958990166548</c:v>
                </c:pt>
                <c:pt idx="1">
                  <c:v>0.15166470498968151</c:v>
                </c:pt>
                <c:pt idx="2">
                  <c:v>0.15273685053571878</c:v>
                </c:pt>
                <c:pt idx="3">
                  <c:v>0.14441397174265982</c:v>
                </c:pt>
                <c:pt idx="4">
                  <c:v>0.13983371881765466</c:v>
                </c:pt>
                <c:pt idx="5">
                  <c:v>0.13577512099532457</c:v>
                </c:pt>
                <c:pt idx="6">
                  <c:v>0.14382214187251996</c:v>
                </c:pt>
                <c:pt idx="7">
                  <c:v>0.14573357612624446</c:v>
                </c:pt>
                <c:pt idx="8">
                  <c:v>0.13812662148088273</c:v>
                </c:pt>
                <c:pt idx="9">
                  <c:v>0.12526063397986237</c:v>
                </c:pt>
                <c:pt idx="10">
                  <c:v>0.14723120072057441</c:v>
                </c:pt>
                <c:pt idx="11">
                  <c:v>0.1547356270501547</c:v>
                </c:pt>
              </c:numCache>
            </c:numRef>
          </c:val>
          <c:smooth val="0"/>
        </c:ser>
        <c:ser>
          <c:idx val="2"/>
          <c:order val="2"/>
          <c:tx>
            <c:v>2016年度粗利率</c:v>
          </c:tx>
          <c:spPr>
            <a:ln w="38100">
              <a:solidFill>
                <a:srgbClr val="C00000">
                  <a:alpha val="80000"/>
                </a:srgbClr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>
                    <a:alpha val="80000"/>
                  </a:srgbClr>
                </a:solidFill>
              </a:ln>
            </c:spPr>
          </c:marker>
          <c:dLbls>
            <c:dLbl>
              <c:idx val="0"/>
              <c:layout>
                <c:manualLayout>
                  <c:x val="-2.5133626833719933E-2"/>
                  <c:y val="-4.0606537819136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368763774267694E-2"/>
                  <c:y val="-9.1545215938916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704769118289073E-2"/>
                  <c:y val="-6.237630018469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704769118289073E-2"/>
                  <c:y val="-2.5339263147662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9368763774267694E-2"/>
                  <c:y val="4.8734810926411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9368763774267597E-2"/>
                  <c:y val="3.0216292407893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704874315560158E-2"/>
                  <c:y val="-5.620346067852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税抜!$D$206:$O$206</c:f>
              <c:numCache>
                <c:formatCode>0.0%</c:formatCode>
                <c:ptCount val="12"/>
                <c:pt idx="0">
                  <c:v>0.14556752681930621</c:v>
                </c:pt>
                <c:pt idx="1">
                  <c:v>0.15777432216329748</c:v>
                </c:pt>
                <c:pt idx="2">
                  <c:v>0.16227605473136528</c:v>
                </c:pt>
                <c:pt idx="3">
                  <c:v>0.15718392570546691</c:v>
                </c:pt>
                <c:pt idx="4">
                  <c:v>0.16282048492490231</c:v>
                </c:pt>
                <c:pt idx="5">
                  <c:v>0.16718321631691702</c:v>
                </c:pt>
                <c:pt idx="6">
                  <c:v>0.16358658716510985</c:v>
                </c:pt>
                <c:pt idx="7">
                  <c:v>0.1659031640531779</c:v>
                </c:pt>
                <c:pt idx="8">
                  <c:v>0.16527860712134007</c:v>
                </c:pt>
                <c:pt idx="9">
                  <c:v>0.16557834572061009</c:v>
                </c:pt>
                <c:pt idx="10">
                  <c:v>0.16178933161250944</c:v>
                </c:pt>
                <c:pt idx="11">
                  <c:v>0.1555851833177187</c:v>
                </c:pt>
              </c:numCache>
            </c:numRef>
          </c:val>
          <c:smooth val="0"/>
        </c:ser>
        <c:ser>
          <c:idx val="0"/>
          <c:order val="3"/>
          <c:tx>
            <c:v>2017年度粗利率</c:v>
          </c:tx>
          <c:spPr>
            <a:ln w="38100">
              <a:solidFill>
                <a:schemeClr val="accent6"/>
              </a:solidFill>
            </a:ln>
          </c:spPr>
          <c:marker>
            <c:symbol val="diamond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-2.6696753086224944E-2"/>
                  <c:y val="-8.0894818703217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9368763774267694E-2"/>
                  <c:y val="-3.1512102653834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704769118289073E-2"/>
                  <c:y val="-6.237630018469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704769118289073E-2"/>
                  <c:y val="-6.237630018469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0704769118289073E-2"/>
                  <c:y val="-6.854913969087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0704769118289073E-2"/>
                  <c:y val="-6.237630018469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0704769118288972E-2"/>
                  <c:y val="-8.7067658209390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税抜!$D$210:$O$210</c:f>
              <c:numCache>
                <c:formatCode>0.0%</c:formatCode>
                <c:ptCount val="12"/>
                <c:pt idx="0">
                  <c:v>0.17504920868215323</c:v>
                </c:pt>
                <c:pt idx="1">
                  <c:v>0.19028500484976943</c:v>
                </c:pt>
                <c:pt idx="2">
                  <c:v>0.18644752636944689</c:v>
                </c:pt>
                <c:pt idx="3">
                  <c:v>0.18109851411569924</c:v>
                </c:pt>
                <c:pt idx="4">
                  <c:v>0.18270739830943158</c:v>
                </c:pt>
                <c:pt idx="5">
                  <c:v>0.1940615837521685</c:v>
                </c:pt>
                <c:pt idx="6">
                  <c:v>0.18436816445427195</c:v>
                </c:pt>
                <c:pt idx="7">
                  <c:v>0.1684193953793432</c:v>
                </c:pt>
                <c:pt idx="8">
                  <c:v>0.18664798963496518</c:v>
                </c:pt>
                <c:pt idx="9">
                  <c:v>0.17027470171854192</c:v>
                </c:pt>
                <c:pt idx="10">
                  <c:v>0.17769886558040224</c:v>
                </c:pt>
                <c:pt idx="11">
                  <c:v>0.17450914570256368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23360"/>
        <c:axId val="99424896"/>
      </c:lineChart>
      <c:catAx>
        <c:axId val="99423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9424896"/>
        <c:crosses val="autoZero"/>
        <c:auto val="1"/>
        <c:lblAlgn val="ctr"/>
        <c:lblOffset val="100"/>
        <c:noMultiLvlLbl val="0"/>
      </c:catAx>
      <c:valAx>
        <c:axId val="99424896"/>
        <c:scaling>
          <c:orientation val="minMax"/>
          <c:min val="0.1"/>
        </c:scaling>
        <c:delete val="1"/>
        <c:axPos val="l"/>
        <c:numFmt formatCode="0.0%" sourceLinked="1"/>
        <c:majorTickMark val="out"/>
        <c:minorTickMark val="none"/>
        <c:tickLblPos val="nextTo"/>
        <c:crossAx val="99423360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5363693265796691E-2"/>
          <c:y val="9.915427238261884E-5"/>
          <c:w val="0.25306602706725789"/>
          <c:h val="0.20031204432779237"/>
        </c:manualLayout>
      </c:layout>
      <c:overlay val="0"/>
      <c:txPr>
        <a:bodyPr/>
        <a:lstStyle/>
        <a:p>
          <a:pPr>
            <a:defRPr lang="ja-JP" sz="675" b="0" i="0" u="none" strike="noStrike" baseline="0">
              <a:solidFill>
                <a:srgbClr val="000000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 sz="1800" b="1" i="0" u="none" strike="noStrike" baseline="0">
                <a:solidFill>
                  <a:srgbClr val="000000"/>
                </a:solidFill>
                <a:latin typeface="MS PGothic"/>
                <a:ea typeface="MS PGothic"/>
              </a:rPr>
              <a:t>2014年度売上高【税込】予算</a:t>
            </a:r>
          </a:p>
        </c:rich>
      </c:tx>
      <c:layout>
        <c:manualLayout>
          <c:xMode val="edge"/>
          <c:yMode val="edge"/>
          <c:x val="0.32423634785115463"/>
          <c:y val="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'14予算datebase'!$B$12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'14予算datebase'!$C$12:$K$12</c:f>
              <c:numCache>
                <c:formatCode>#,##0_);[Red]\(#,##0\)</c:formatCode>
                <c:ptCount val="9"/>
                <c:pt idx="0">
                  <c:v>7480</c:v>
                </c:pt>
                <c:pt idx="1">
                  <c:v>8542</c:v>
                </c:pt>
                <c:pt idx="2">
                  <c:v>8011</c:v>
                </c:pt>
                <c:pt idx="3">
                  <c:v>6027.1666666666661</c:v>
                </c:pt>
                <c:pt idx="4">
                  <c:v>4820</c:v>
                </c:pt>
                <c:pt idx="5">
                  <c:v>5423.583333333333</c:v>
                </c:pt>
                <c:pt idx="6">
                  <c:v>6741</c:v>
                </c:pt>
                <c:pt idx="7">
                  <c:v>11189</c:v>
                </c:pt>
                <c:pt idx="8">
                  <c:v>8965</c:v>
                </c:pt>
              </c:numCache>
            </c:numRef>
          </c:val>
        </c:ser>
        <c:ser>
          <c:idx val="3"/>
          <c:order val="1"/>
          <c:tx>
            <c:strRef>
              <c:f>'14予算datebase'!$B$11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'14予算datebase'!$C$11:$K$11</c:f>
              <c:numCache>
                <c:formatCode>#,##0_);[Red]\(#,##0\)</c:formatCode>
                <c:ptCount val="9"/>
                <c:pt idx="0">
                  <c:v>19586</c:v>
                </c:pt>
                <c:pt idx="1">
                  <c:v>11169</c:v>
                </c:pt>
                <c:pt idx="2">
                  <c:v>15377.5</c:v>
                </c:pt>
                <c:pt idx="3">
                  <c:v>21112.666666666668</c:v>
                </c:pt>
                <c:pt idx="4">
                  <c:v>44962</c:v>
                </c:pt>
                <c:pt idx="5">
                  <c:v>33037.333333333336</c:v>
                </c:pt>
                <c:pt idx="6">
                  <c:v>70945</c:v>
                </c:pt>
                <c:pt idx="7">
                  <c:v>79124</c:v>
                </c:pt>
                <c:pt idx="8">
                  <c:v>75034</c:v>
                </c:pt>
              </c:numCache>
            </c:numRef>
          </c:val>
        </c:ser>
        <c:ser>
          <c:idx val="2"/>
          <c:order val="2"/>
          <c:tx>
            <c:strRef>
              <c:f>'14予算datebase'!$B$10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'14予算datebase'!$C$10:$K$10</c:f>
              <c:numCache>
                <c:formatCode>#,##0_);[Red]\(#,##0\)</c:formatCode>
                <c:ptCount val="9"/>
                <c:pt idx="0">
                  <c:v>89369</c:v>
                </c:pt>
                <c:pt idx="1">
                  <c:v>65322</c:v>
                </c:pt>
                <c:pt idx="2">
                  <c:v>77345.5</c:v>
                </c:pt>
                <c:pt idx="3">
                  <c:v>112003.83333333334</c:v>
                </c:pt>
                <c:pt idx="4">
                  <c:v>95996</c:v>
                </c:pt>
                <c:pt idx="5">
                  <c:v>103999.91666666667</c:v>
                </c:pt>
                <c:pt idx="6">
                  <c:v>120067</c:v>
                </c:pt>
                <c:pt idx="7">
                  <c:v>125635</c:v>
                </c:pt>
                <c:pt idx="8">
                  <c:v>122851</c:v>
                </c:pt>
              </c:numCache>
            </c:numRef>
          </c:val>
        </c:ser>
        <c:ser>
          <c:idx val="1"/>
          <c:order val="3"/>
          <c:tx>
            <c:strRef>
              <c:f>'14予算datebase'!$B$9</c:f>
              <c:strCache>
                <c:ptCount val="1"/>
                <c:pt idx="0">
                  <c:v>Ｖ</c:v>
                </c:pt>
              </c:strCache>
            </c:strRef>
          </c:tx>
          <c:invertIfNegative val="0"/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'14予算datebase'!$C$9:$K$9</c:f>
              <c:numCache>
                <c:formatCode>#,##0_);[Red]\(#,##0\)</c:formatCode>
                <c:ptCount val="9"/>
                <c:pt idx="0">
                  <c:v>96771</c:v>
                </c:pt>
                <c:pt idx="1">
                  <c:v>90099</c:v>
                </c:pt>
                <c:pt idx="2">
                  <c:v>93435</c:v>
                </c:pt>
                <c:pt idx="3">
                  <c:v>98010</c:v>
                </c:pt>
                <c:pt idx="4">
                  <c:v>86908</c:v>
                </c:pt>
                <c:pt idx="5">
                  <c:v>92459</c:v>
                </c:pt>
                <c:pt idx="6">
                  <c:v>114550</c:v>
                </c:pt>
                <c:pt idx="7">
                  <c:v>112133</c:v>
                </c:pt>
                <c:pt idx="8">
                  <c:v>113342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1101056"/>
        <c:axId val="131102592"/>
      </c:barChart>
      <c:barChart>
        <c:barDir val="col"/>
        <c:grouping val="stacked"/>
        <c:varyColors val="0"/>
        <c:ser>
          <c:idx val="0"/>
          <c:order val="4"/>
          <c:tx>
            <c:strRef>
              <c:f>'14予算datebase'!$B$13</c:f>
              <c:strCache>
                <c:ptCount val="1"/>
                <c:pt idx="0">
                  <c:v>全体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1.6877009147802885E-3"/>
                  <c:y val="-0.270809497650003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3755274261603376E-3"/>
                  <c:y val="-0.227214063358359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6877009147802885E-3"/>
                  <c:y val="-0.252128914118293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6877009147802885E-3"/>
                  <c:y val="-0.292656045901239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3755359124170783E-3"/>
                  <c:y val="-0.29264505890252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1.6877009147802885E-3"/>
                  <c:y val="-0.295767563938228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0.373547457730574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877637130801688E-3"/>
                  <c:y val="-0.392206311420374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1.6877637130801688E-3"/>
                  <c:y val="-0.385994018189586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MS PGothic"/>
                    <a:ea typeface="MS PGothic"/>
                    <a:cs typeface="MS PGothic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'14予算datebase'!$C$2:$K$2</c:f>
              <c:strCache>
                <c:ptCount val="9"/>
                <c:pt idx="0">
                  <c:v>12/上
実績</c:v>
                </c:pt>
                <c:pt idx="1">
                  <c:v>12/下
実績</c:v>
                </c:pt>
                <c:pt idx="2">
                  <c:v>12年度
実績</c:v>
                </c:pt>
                <c:pt idx="3">
                  <c:v>13/上
実績</c:v>
                </c:pt>
                <c:pt idx="4">
                  <c:v>13/下
実績</c:v>
                </c:pt>
                <c:pt idx="5">
                  <c:v>13年度
実績</c:v>
                </c:pt>
                <c:pt idx="6">
                  <c:v>14/上
予算</c:v>
                </c:pt>
                <c:pt idx="7">
                  <c:v>14/下
予算</c:v>
                </c:pt>
                <c:pt idx="8">
                  <c:v>14年度
予算</c:v>
                </c:pt>
              </c:strCache>
            </c:strRef>
          </c:cat>
          <c:val>
            <c:numRef>
              <c:f>'14予算datebase'!$C$13:$K$13</c:f>
              <c:numCache>
                <c:formatCode>#,##0_);[Red]\(#,##0\)</c:formatCode>
                <c:ptCount val="9"/>
                <c:pt idx="0">
                  <c:v>215537</c:v>
                </c:pt>
                <c:pt idx="1">
                  <c:v>176447</c:v>
                </c:pt>
                <c:pt idx="2">
                  <c:v>195992</c:v>
                </c:pt>
                <c:pt idx="3">
                  <c:v>238143</c:v>
                </c:pt>
                <c:pt idx="4">
                  <c:v>234100</c:v>
                </c:pt>
                <c:pt idx="5">
                  <c:v>236121.5</c:v>
                </c:pt>
                <c:pt idx="6">
                  <c:v>313848</c:v>
                </c:pt>
                <c:pt idx="7">
                  <c:v>329811</c:v>
                </c:pt>
                <c:pt idx="8">
                  <c:v>321829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1104128"/>
        <c:axId val="131114112"/>
      </c:barChart>
      <c:catAx>
        <c:axId val="1311010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PGothic"/>
                <a:ea typeface="MS PGothic"/>
                <a:cs typeface="MS PGothic"/>
              </a:defRPr>
            </a:pPr>
            <a:endParaRPr lang="zh-CN"/>
          </a:p>
        </c:txPr>
        <c:crossAx val="131102592"/>
        <c:crosses val="autoZero"/>
        <c:auto val="1"/>
        <c:lblAlgn val="ctr"/>
        <c:lblOffset val="100"/>
        <c:noMultiLvlLbl val="0"/>
      </c:catAx>
      <c:valAx>
        <c:axId val="131102592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131101056"/>
        <c:crosses val="autoZero"/>
        <c:crossBetween val="between"/>
      </c:valAx>
      <c:catAx>
        <c:axId val="1311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14112"/>
        <c:crosses val="autoZero"/>
        <c:auto val="1"/>
        <c:lblAlgn val="ctr"/>
        <c:lblOffset val="100"/>
        <c:noMultiLvlLbl val="0"/>
      </c:catAx>
      <c:valAx>
        <c:axId val="131114112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lang="ja-JP"/>
            </a:pPr>
            <a:endParaRPr lang="zh-CN"/>
          </a:p>
        </c:txPr>
        <c:crossAx val="1311041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92058460125434516"/>
          <c:y val="0.42362033815540501"/>
          <c:w val="6.4135048253068039E-2"/>
          <c:h val="0.24737447353964481"/>
        </c:manualLayout>
      </c:layout>
      <c:overlay val="0"/>
      <c:txPr>
        <a:bodyPr/>
        <a:lstStyle/>
        <a:p>
          <a:pPr>
            <a:defRPr lang="ja-JP" sz="845" b="0" i="0" u="none" strike="noStrike" baseline="0">
              <a:solidFill>
                <a:srgbClr val="000000"/>
              </a:solidFill>
              <a:latin typeface="MS PGothic"/>
              <a:ea typeface="MS PGothic"/>
              <a:cs typeface="MS PGothic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726382640132"/>
          <c:y val="0.10394186642162688"/>
          <c:w val="0.83832278909213387"/>
          <c:h val="0.6148983175664193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税抜!$C$181</c:f>
              <c:strCache>
                <c:ptCount val="1"/>
                <c:pt idx="0">
                  <c:v>2014年度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税抜!$D$181:$O$181</c:f>
              <c:numCache>
                <c:formatCode>#,##0_);[Red]\(#,##0\)</c:formatCode>
                <c:ptCount val="12"/>
                <c:pt idx="0">
                  <c:v>1302.5641025641025</c:v>
                </c:pt>
                <c:pt idx="1">
                  <c:v>1024.7863247863249</c:v>
                </c:pt>
                <c:pt idx="2">
                  <c:v>952.991452991453</c:v>
                </c:pt>
                <c:pt idx="3">
                  <c:v>864.1025641025642</c:v>
                </c:pt>
                <c:pt idx="4">
                  <c:v>1546.1538461538462</c:v>
                </c:pt>
                <c:pt idx="5">
                  <c:v>1019.6581196581197</c:v>
                </c:pt>
                <c:pt idx="6">
                  <c:v>652.991452991453</c:v>
                </c:pt>
                <c:pt idx="7">
                  <c:v>587.17948717948718</c:v>
                </c:pt>
                <c:pt idx="8">
                  <c:v>1471.7948717948718</c:v>
                </c:pt>
                <c:pt idx="9">
                  <c:v>1304.2735042735044</c:v>
                </c:pt>
                <c:pt idx="10">
                  <c:v>1053.8461538461538</c:v>
                </c:pt>
                <c:pt idx="11">
                  <c:v>919.65811965811974</c:v>
                </c:pt>
              </c:numCache>
            </c:numRef>
          </c:val>
        </c:ser>
        <c:ser>
          <c:idx val="0"/>
          <c:order val="1"/>
          <c:tx>
            <c:strRef>
              <c:f>税抜!$C$182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税抜!$D$182:$O$182</c:f>
              <c:numCache>
                <c:formatCode>#,##0_);[Red]\(#,##0\)</c:formatCode>
                <c:ptCount val="12"/>
                <c:pt idx="0">
                  <c:v>628.20512820512829</c:v>
                </c:pt>
                <c:pt idx="1">
                  <c:v>1275.7264957264956</c:v>
                </c:pt>
                <c:pt idx="2">
                  <c:v>1047.0085470085471</c:v>
                </c:pt>
                <c:pt idx="3">
                  <c:v>991.45299145299157</c:v>
                </c:pt>
                <c:pt idx="4">
                  <c:v>1133.3333333333335</c:v>
                </c:pt>
                <c:pt idx="5">
                  <c:v>1120.5128205128206</c:v>
                </c:pt>
                <c:pt idx="6">
                  <c:v>1431.6239316239316</c:v>
                </c:pt>
                <c:pt idx="7">
                  <c:v>948.71794871794873</c:v>
                </c:pt>
                <c:pt idx="8">
                  <c:v>1190.2564102564102</c:v>
                </c:pt>
                <c:pt idx="9">
                  <c:v>1439.3162393162395</c:v>
                </c:pt>
                <c:pt idx="10">
                  <c:v>858.1196581196582</c:v>
                </c:pt>
                <c:pt idx="11">
                  <c:v>960.76923076923083</c:v>
                </c:pt>
              </c:numCache>
            </c:numRef>
          </c:val>
        </c:ser>
        <c:ser>
          <c:idx val="1"/>
          <c:order val="2"/>
          <c:tx>
            <c:strRef>
              <c:f>税抜!$C$183</c:f>
              <c:strCache>
                <c:ptCount val="1"/>
                <c:pt idx="0">
                  <c:v>2016年度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税抜!$D$183:$O$183</c:f>
              <c:numCache>
                <c:formatCode>#,##0_);[Red]\(#,##0\)</c:formatCode>
                <c:ptCount val="12"/>
                <c:pt idx="0">
                  <c:v>1579.8119658119658</c:v>
                </c:pt>
                <c:pt idx="1">
                  <c:v>1401.8888888888889</c:v>
                </c:pt>
                <c:pt idx="2">
                  <c:v>1019.6153846153848</c:v>
                </c:pt>
                <c:pt idx="3">
                  <c:v>1120.5196581196583</c:v>
                </c:pt>
                <c:pt idx="4">
                  <c:v>1269.863247863248</c:v>
                </c:pt>
                <c:pt idx="5">
                  <c:v>1321.931623931624</c:v>
                </c:pt>
                <c:pt idx="6">
                  <c:v>1152.1880341880344</c:v>
                </c:pt>
                <c:pt idx="7">
                  <c:v>1362.7179487179487</c:v>
                </c:pt>
                <c:pt idx="8">
                  <c:v>1659.4538461538461</c:v>
                </c:pt>
                <c:pt idx="9">
                  <c:v>1723.5042735042737</c:v>
                </c:pt>
                <c:pt idx="10">
                  <c:v>1162.6068376068376</c:v>
                </c:pt>
                <c:pt idx="11">
                  <c:v>1160.9940170940172</c:v>
                </c:pt>
              </c:numCache>
            </c:numRef>
          </c:val>
        </c:ser>
        <c:ser>
          <c:idx val="3"/>
          <c:order val="3"/>
          <c:tx>
            <c:strRef>
              <c:f>税抜!$C$184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 rot="0" vert="eaVert"/>
                  <a:lstStyle/>
                  <a:p>
                    <a:pPr algn="ctr">
                      <a:defRPr sz="900" b="0" i="0" u="none" strike="noStrike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計画</a:t>
                    </a:r>
                    <a:endParaRPr lang="zh-CN" altLang="zh-CN" sz="90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計画</a:t>
                    </a:r>
                    <a:endParaRPr lang="zh-CN" altLang="zh-CN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前回計画</a:t>
                    </a:r>
                    <a:endParaRPr lang="zh-CN" altLang="zh-CN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前回計画</a:t>
                    </a:r>
                    <a:endParaRPr lang="zh-CN" altLang="zh-CN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税抜!$D$184:$O$184</c:f>
              <c:numCache>
                <c:formatCode>#,##0_);[Red]\(#,##0\)</c:formatCode>
                <c:ptCount val="12"/>
                <c:pt idx="0">
                  <c:v>1211.1111111111111</c:v>
                </c:pt>
                <c:pt idx="1">
                  <c:v>1258.1196581196582</c:v>
                </c:pt>
                <c:pt idx="2">
                  <c:v>1158.1196581196582</c:v>
                </c:pt>
                <c:pt idx="3">
                  <c:v>1150.4273504273506</c:v>
                </c:pt>
                <c:pt idx="4">
                  <c:v>1229.91452991453</c:v>
                </c:pt>
                <c:pt idx="5">
                  <c:v>1415.3846153846155</c:v>
                </c:pt>
                <c:pt idx="6">
                  <c:v>1850.4273504273506</c:v>
                </c:pt>
                <c:pt idx="7">
                  <c:v>1458.1196581196582</c:v>
                </c:pt>
                <c:pt idx="8">
                  <c:v>2034.1880341880344</c:v>
                </c:pt>
                <c:pt idx="9">
                  <c:v>2333.3333333333335</c:v>
                </c:pt>
                <c:pt idx="10">
                  <c:v>1810.2564102564104</c:v>
                </c:pt>
                <c:pt idx="11">
                  <c:v>940.17094017094018</c:v>
                </c:pt>
              </c:numCache>
            </c:numRef>
          </c:val>
        </c:ser>
        <c:ser>
          <c:idx val="4"/>
          <c:order val="4"/>
          <c:tx>
            <c:strRef>
              <c:f>税抜!$C$185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zh-CN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r>
                      <a:rPr lang="en-US" altLang="en-US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r>
                      <a:rPr lang="en-US" altLang="en-US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zh-CN" sz="1000" b="0" i="0" u="none" strike="noStrike" baseline="0">
                        <a:effectLst/>
                      </a:rPr>
                      <a:t>今回計画</a:t>
                    </a:r>
                    <a:r>
                      <a:rPr lang="en-US" altLang="en-US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zh-CN" sz="1000" b="0" i="0" u="none" strike="noStrike" baseline="0">
                        <a:effectLst/>
                      </a:rPr>
                      <a:t>今回計画</a:t>
                    </a:r>
                    <a:r>
                      <a:rPr lang="en-US" altLang="en-US"/>
                      <a:t>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税抜!$D$185:$O$185</c:f>
              <c:numCache>
                <c:formatCode>#,##0_);[Red]\(#,##0\)</c:formatCode>
                <c:ptCount val="12"/>
                <c:pt idx="0">
                  <c:v>1459.1606837606839</c:v>
                </c:pt>
                <c:pt idx="1">
                  <c:v>1782.6495726495727</c:v>
                </c:pt>
                <c:pt idx="2">
                  <c:v>1486.4358974358975</c:v>
                </c:pt>
                <c:pt idx="3">
                  <c:v>1479.2931623931624</c:v>
                </c:pt>
                <c:pt idx="4">
                  <c:v>1528.7350427350427</c:v>
                </c:pt>
                <c:pt idx="5">
                  <c:v>2469.611965811966</c:v>
                </c:pt>
                <c:pt idx="6">
                  <c:v>2196.8863247863251</c:v>
                </c:pt>
                <c:pt idx="7">
                  <c:v>1938.0145299145302</c:v>
                </c:pt>
                <c:pt idx="8">
                  <c:v>2140.847008547009</c:v>
                </c:pt>
                <c:pt idx="9">
                  <c:v>2573.5393162393161</c:v>
                </c:pt>
                <c:pt idx="10">
                  <c:v>2138.4615384615386</c:v>
                </c:pt>
                <c:pt idx="11">
                  <c:v>940.17094017094018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580544"/>
        <c:axId val="99750272"/>
      </c:barChart>
      <c:lineChart>
        <c:grouping val="standard"/>
        <c:varyColors val="0"/>
        <c:ser>
          <c:idx val="5"/>
          <c:order val="5"/>
          <c:tx>
            <c:strRef>
              <c:f>税抜!$C$186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税抜!$D$186:$O$186</c:f>
              <c:numCache>
                <c:formatCode>#,##0_);[Red]\(#,##0\)</c:formatCode>
                <c:ptCount val="12"/>
                <c:pt idx="0">
                  <c:v>1211.1111111111111</c:v>
                </c:pt>
                <c:pt idx="1">
                  <c:v>1211.1111111111111</c:v>
                </c:pt>
                <c:pt idx="2">
                  <c:v>1354.7008547008547</c:v>
                </c:pt>
                <c:pt idx="3">
                  <c:v>1411.1111111111111</c:v>
                </c:pt>
                <c:pt idx="4">
                  <c:v>1400.8547008547009</c:v>
                </c:pt>
                <c:pt idx="5">
                  <c:v>1330.7692307692309</c:v>
                </c:pt>
                <c:pt idx="6">
                  <c:v>1637.6068376068376</c:v>
                </c:pt>
                <c:pt idx="7">
                  <c:v>1458.1196581196582</c:v>
                </c:pt>
                <c:pt idx="8">
                  <c:v>1580.3418803418804</c:v>
                </c:pt>
                <c:pt idx="9">
                  <c:v>1656.4102564102566</c:v>
                </c:pt>
                <c:pt idx="10">
                  <c:v>1810.2564102564104</c:v>
                </c:pt>
                <c:pt idx="11">
                  <c:v>1337.6068376068376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1808"/>
        <c:axId val="99753344"/>
      </c:lineChart>
      <c:catAx>
        <c:axId val="99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zh-CN"/>
          </a:p>
        </c:txPr>
        <c:crossAx val="99750272"/>
        <c:crosses val="autoZero"/>
        <c:auto val="1"/>
        <c:lblAlgn val="ctr"/>
        <c:lblOffset val="100"/>
        <c:noMultiLvlLbl val="0"/>
      </c:catAx>
      <c:valAx>
        <c:axId val="99750272"/>
        <c:scaling>
          <c:orientation val="minMax"/>
          <c:max val="25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  <c:crossAx val="99580544"/>
        <c:crosses val="autoZero"/>
        <c:crossBetween val="between"/>
      </c:valAx>
      <c:catAx>
        <c:axId val="997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53344"/>
        <c:crosses val="autoZero"/>
        <c:auto val="1"/>
        <c:lblAlgn val="ctr"/>
        <c:lblOffset val="100"/>
        <c:noMultiLvlLbl val="0"/>
      </c:catAx>
      <c:valAx>
        <c:axId val="99753344"/>
        <c:scaling>
          <c:orientation val="minMax"/>
          <c:max val="4000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99751808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Meiryo UI"/>
                <a:ea typeface="Meiryo UI"/>
                <a:cs typeface="Meiryo UI"/>
              </a:defRPr>
            </a:pPr>
            <a:endParaRPr lang="zh-CN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9178325468543"/>
          <c:y val="0.11902463421976091"/>
          <c:w val="0.8640404264053988"/>
          <c:h val="0.621858677017567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税抜!$C$113</c:f>
              <c:strCache>
                <c:ptCount val="1"/>
                <c:pt idx="0">
                  <c:v>2014年度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税抜!$D$113:$O$113</c:f>
              <c:numCache>
                <c:formatCode>#,##0_);[Red]\(#,##0\)</c:formatCode>
                <c:ptCount val="12"/>
                <c:pt idx="0">
                  <c:v>99357.264957264968</c:v>
                </c:pt>
                <c:pt idx="1">
                  <c:v>142517.09401709403</c:v>
                </c:pt>
                <c:pt idx="2">
                  <c:v>151176.92307692309</c:v>
                </c:pt>
                <c:pt idx="3">
                  <c:v>128222.22222222223</c:v>
                </c:pt>
                <c:pt idx="4">
                  <c:v>89798.290598290609</c:v>
                </c:pt>
                <c:pt idx="5">
                  <c:v>64138.461538461539</c:v>
                </c:pt>
                <c:pt idx="6">
                  <c:v>81493.162393162405</c:v>
                </c:pt>
                <c:pt idx="7">
                  <c:v>102713.67521367522</c:v>
                </c:pt>
                <c:pt idx="8">
                  <c:v>114140.17094017095</c:v>
                </c:pt>
                <c:pt idx="9">
                  <c:v>123656.41025641026</c:v>
                </c:pt>
                <c:pt idx="10">
                  <c:v>113222.22222222223</c:v>
                </c:pt>
                <c:pt idx="11">
                  <c:v>87433.333333333343</c:v>
                </c:pt>
              </c:numCache>
            </c:numRef>
          </c:val>
        </c:ser>
        <c:ser>
          <c:idx val="0"/>
          <c:order val="1"/>
          <c:tx>
            <c:strRef>
              <c:f>税抜!$C$115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税抜!$D$115:$O$115</c:f>
              <c:numCache>
                <c:formatCode>#,##0_);[Red]\(#,##0\)</c:formatCode>
                <c:ptCount val="12"/>
                <c:pt idx="0">
                  <c:v>104232.47863247864</c:v>
                </c:pt>
                <c:pt idx="1">
                  <c:v>106387.69230769231</c:v>
                </c:pt>
                <c:pt idx="2">
                  <c:v>117550.42735042736</c:v>
                </c:pt>
                <c:pt idx="3">
                  <c:v>104810.25641025642</c:v>
                </c:pt>
                <c:pt idx="4">
                  <c:v>111593.16239316241</c:v>
                </c:pt>
                <c:pt idx="5">
                  <c:v>105040.17094017095</c:v>
                </c:pt>
                <c:pt idx="6">
                  <c:v>79783.760683760687</c:v>
                </c:pt>
                <c:pt idx="7">
                  <c:v>74478.632478632484</c:v>
                </c:pt>
                <c:pt idx="8">
                  <c:v>70829.888888888891</c:v>
                </c:pt>
                <c:pt idx="9">
                  <c:v>77819.658119658125</c:v>
                </c:pt>
                <c:pt idx="10">
                  <c:v>82525.989743589744</c:v>
                </c:pt>
                <c:pt idx="11">
                  <c:v>68982.09401709403</c:v>
                </c:pt>
              </c:numCache>
            </c:numRef>
          </c:val>
        </c:ser>
        <c:ser>
          <c:idx val="1"/>
          <c:order val="2"/>
          <c:tx>
            <c:strRef>
              <c:f>税抜!$C$117</c:f>
              <c:strCache>
                <c:ptCount val="1"/>
                <c:pt idx="0">
                  <c:v>2016年度　実績</c:v>
                </c:pt>
              </c:strCache>
            </c:strRef>
          </c:tx>
          <c:invertIfNegative val="0"/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税抜!$D$117:$O$117</c:f>
              <c:numCache>
                <c:formatCode>#,##0_);[Red]\(#,##0\)</c:formatCode>
                <c:ptCount val="12"/>
                <c:pt idx="0">
                  <c:v>93437.111538461555</c:v>
                </c:pt>
                <c:pt idx="1">
                  <c:v>126017.09401709403</c:v>
                </c:pt>
                <c:pt idx="2">
                  <c:v>135398.88888888888</c:v>
                </c:pt>
                <c:pt idx="3">
                  <c:v>143510.37863247865</c:v>
                </c:pt>
                <c:pt idx="4">
                  <c:v>154063.43418803421</c:v>
                </c:pt>
                <c:pt idx="5">
                  <c:v>136855.24700854701</c:v>
                </c:pt>
                <c:pt idx="6">
                  <c:v>137242.10256410256</c:v>
                </c:pt>
                <c:pt idx="7">
                  <c:v>94073.758974358978</c:v>
                </c:pt>
                <c:pt idx="8">
                  <c:v>111896.10085470085</c:v>
                </c:pt>
                <c:pt idx="9">
                  <c:v>137666.10512820512</c:v>
                </c:pt>
                <c:pt idx="10">
                  <c:v>114323.66880341881</c:v>
                </c:pt>
                <c:pt idx="11">
                  <c:v>90309.401709401718</c:v>
                </c:pt>
              </c:numCache>
            </c:numRef>
          </c:val>
        </c:ser>
        <c:ser>
          <c:idx val="3"/>
          <c:order val="3"/>
          <c:tx>
            <c:strRef>
              <c:f>税抜!$C$119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ja-JP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zh-CN" sz="900" b="0" i="0" u="none" strike="noStrike" baseline="0">
                        <a:effectLst/>
                      </a:rPr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en-US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en-US"/>
                      <a:t>前回計画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en-US"/>
                      <a:t>前回計画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>
                  <a:defRPr sz="900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税抜!$D$119:$O$119</c:f>
              <c:numCache>
                <c:formatCode>#,##0_);[Red]\(#,##0\)</c:formatCode>
                <c:ptCount val="12"/>
                <c:pt idx="0">
                  <c:v>205128.20512820515</c:v>
                </c:pt>
                <c:pt idx="1">
                  <c:v>180341.88034188034</c:v>
                </c:pt>
                <c:pt idx="2">
                  <c:v>162393.16239316241</c:v>
                </c:pt>
                <c:pt idx="3">
                  <c:v>162393.16239316241</c:v>
                </c:pt>
                <c:pt idx="4">
                  <c:v>196581.19658119659</c:v>
                </c:pt>
                <c:pt idx="5">
                  <c:v>205128.20512820515</c:v>
                </c:pt>
                <c:pt idx="6">
                  <c:v>213675.21367521369</c:v>
                </c:pt>
                <c:pt idx="7">
                  <c:v>102564.10256410258</c:v>
                </c:pt>
                <c:pt idx="8">
                  <c:v>145299.14529914531</c:v>
                </c:pt>
                <c:pt idx="9">
                  <c:v>185470.08547008547</c:v>
                </c:pt>
                <c:pt idx="10">
                  <c:v>188034.18803418803</c:v>
                </c:pt>
                <c:pt idx="11">
                  <c:v>128205.12820512822</c:v>
                </c:pt>
              </c:numCache>
            </c:numRef>
          </c:val>
        </c:ser>
        <c:ser>
          <c:idx val="4"/>
          <c:order val="4"/>
          <c:tx>
            <c:strRef>
              <c:f>税抜!$C$121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zh-CN" altLang="en-US" sz="900"/>
                      <a:t>実績</a:t>
                    </a:r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zh-CN" altLang="en-US" sz="900"/>
                      <a:t>実績</a:t>
                    </a:r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 baseline="0"/>
                      <a:t>実績</a:t>
                    </a:r>
                    <a:endParaRPr lang="en-US" alt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r>
                      <a:rPr lang="en-US" altLang="en-US" sz="900"/>
                      <a:t> 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ja-JP" altLang="zh-CN" sz="900" b="0" i="0" u="none" strike="noStrike" baseline="0">
                        <a:effectLst/>
                      </a:rPr>
                      <a:t>今回計画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ja-JP" altLang="zh-CN" sz="900" b="0" i="0" u="none" strike="noStrike" baseline="0">
                        <a:effectLst/>
                      </a:rPr>
                      <a:t>今回計画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 algn="ctr">
                  <a:defRPr sz="900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税抜!$D$121:$O$121</c:f>
              <c:numCache>
                <c:formatCode>#,##0_);[Red]\(#,##0\)</c:formatCode>
                <c:ptCount val="12"/>
                <c:pt idx="0">
                  <c:v>221124.9294871795</c:v>
                </c:pt>
                <c:pt idx="1">
                  <c:v>231154.52991452991</c:v>
                </c:pt>
                <c:pt idx="2">
                  <c:v>170517.58717948719</c:v>
                </c:pt>
                <c:pt idx="3">
                  <c:v>188628.14102564103</c:v>
                </c:pt>
                <c:pt idx="4">
                  <c:v>200845.21025641027</c:v>
                </c:pt>
                <c:pt idx="5">
                  <c:v>205306.50384615385</c:v>
                </c:pt>
                <c:pt idx="6">
                  <c:v>156424.42393162395</c:v>
                </c:pt>
                <c:pt idx="7">
                  <c:v>102787.00128205128</c:v>
                </c:pt>
                <c:pt idx="8">
                  <c:v>139804.84487179489</c:v>
                </c:pt>
                <c:pt idx="9">
                  <c:v>171499.79145299149</c:v>
                </c:pt>
                <c:pt idx="10">
                  <c:v>128205.12820512822</c:v>
                </c:pt>
                <c:pt idx="11">
                  <c:v>85470.085470085469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117184"/>
        <c:axId val="127118720"/>
      </c:barChart>
      <c:lineChart>
        <c:grouping val="standard"/>
        <c:varyColors val="0"/>
        <c:ser>
          <c:idx val="5"/>
          <c:order val="5"/>
          <c:tx>
            <c:strRef>
              <c:f>税抜!$C$122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税抜!$D$122:$O$122</c:f>
              <c:numCache>
                <c:formatCode>#,##0_);[Red]\(#,##0\)</c:formatCode>
                <c:ptCount val="12"/>
                <c:pt idx="0">
                  <c:v>153846.15384615384</c:v>
                </c:pt>
                <c:pt idx="1">
                  <c:v>170940.17094017094</c:v>
                </c:pt>
                <c:pt idx="2">
                  <c:v>170940.17094017094</c:v>
                </c:pt>
                <c:pt idx="3">
                  <c:v>145299.14529914531</c:v>
                </c:pt>
                <c:pt idx="4">
                  <c:v>136752.13675213675</c:v>
                </c:pt>
                <c:pt idx="5">
                  <c:v>111111.11111111112</c:v>
                </c:pt>
                <c:pt idx="6">
                  <c:v>213675.21367521369</c:v>
                </c:pt>
                <c:pt idx="7">
                  <c:v>119658.11965811967</c:v>
                </c:pt>
                <c:pt idx="8">
                  <c:v>153846.15384615384</c:v>
                </c:pt>
                <c:pt idx="9">
                  <c:v>153846.15384615384</c:v>
                </c:pt>
                <c:pt idx="10">
                  <c:v>136752.13675213675</c:v>
                </c:pt>
                <c:pt idx="11">
                  <c:v>128205.12820512822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9184"/>
        <c:axId val="127150720"/>
      </c:lineChart>
      <c:catAx>
        <c:axId val="1271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27118720"/>
        <c:crosses val="autoZero"/>
        <c:auto val="1"/>
        <c:lblAlgn val="ctr"/>
        <c:lblOffset val="100"/>
        <c:noMultiLvlLbl val="0"/>
      </c:catAx>
      <c:valAx>
        <c:axId val="127118720"/>
        <c:scaling>
          <c:orientation val="minMax"/>
          <c:max val="30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27117184"/>
        <c:crosses val="autoZero"/>
        <c:crossBetween val="between"/>
      </c:valAx>
      <c:catAx>
        <c:axId val="1271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150720"/>
        <c:crosses val="autoZero"/>
        <c:auto val="1"/>
        <c:lblAlgn val="ctr"/>
        <c:lblOffset val="100"/>
        <c:noMultiLvlLbl val="0"/>
      </c:catAx>
      <c:valAx>
        <c:axId val="127150720"/>
        <c:scaling>
          <c:orientation val="minMax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127149184"/>
        <c:crosses val="max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Meiryo UI"/>
          <a:ea typeface="Meiryo UI"/>
          <a:cs typeface="Meiryo UI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772114821324"/>
          <c:y val="0.12209450830140485"/>
          <c:w val="0.84522729474281444"/>
          <c:h val="0.5892804510547292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税抜!$C$92</c:f>
              <c:strCache>
                <c:ptCount val="1"/>
                <c:pt idx="0">
                  <c:v>2014年度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税抜!$D$92:$O$92</c:f>
              <c:numCache>
                <c:formatCode>#,##0_);[Red]\(#,##0\)</c:formatCode>
                <c:ptCount val="12"/>
                <c:pt idx="0">
                  <c:v>81791.452991452999</c:v>
                </c:pt>
                <c:pt idx="1">
                  <c:v>83406.837606837609</c:v>
                </c:pt>
                <c:pt idx="2">
                  <c:v>81541.880341880344</c:v>
                </c:pt>
                <c:pt idx="3">
                  <c:v>81411.111111111109</c:v>
                </c:pt>
                <c:pt idx="4">
                  <c:v>80094.871794871797</c:v>
                </c:pt>
                <c:pt idx="5">
                  <c:v>77298.290598290609</c:v>
                </c:pt>
                <c:pt idx="6">
                  <c:v>73018.803418803422</c:v>
                </c:pt>
                <c:pt idx="7">
                  <c:v>59081.196581196586</c:v>
                </c:pt>
                <c:pt idx="8">
                  <c:v>61531.623931623937</c:v>
                </c:pt>
                <c:pt idx="9">
                  <c:v>70477.777777777781</c:v>
                </c:pt>
                <c:pt idx="10">
                  <c:v>67401.709401709406</c:v>
                </c:pt>
                <c:pt idx="11">
                  <c:v>50645.299145299148</c:v>
                </c:pt>
              </c:numCache>
            </c:numRef>
          </c:val>
        </c:ser>
        <c:ser>
          <c:idx val="0"/>
          <c:order val="1"/>
          <c:tx>
            <c:strRef>
              <c:f>税抜!$C$94</c:f>
              <c:strCache>
                <c:ptCount val="1"/>
                <c:pt idx="0">
                  <c:v>2015年度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税抜!$D$94:$O$94</c:f>
              <c:numCache>
                <c:formatCode>#,##0_);[Red]\(#,##0\)</c:formatCode>
                <c:ptCount val="12"/>
                <c:pt idx="0">
                  <c:v>49228.205128205132</c:v>
                </c:pt>
                <c:pt idx="1">
                  <c:v>66705.213675213687</c:v>
                </c:pt>
                <c:pt idx="2">
                  <c:v>65835.042735042734</c:v>
                </c:pt>
                <c:pt idx="3">
                  <c:v>64141.880341880344</c:v>
                </c:pt>
                <c:pt idx="4">
                  <c:v>59982.051282051289</c:v>
                </c:pt>
                <c:pt idx="5">
                  <c:v>66361.538461538468</c:v>
                </c:pt>
                <c:pt idx="6">
                  <c:v>59010.256410256414</c:v>
                </c:pt>
                <c:pt idx="7">
                  <c:v>51728.205128205132</c:v>
                </c:pt>
                <c:pt idx="8">
                  <c:v>59703.418803418805</c:v>
                </c:pt>
                <c:pt idx="9">
                  <c:v>58548.681008547021</c:v>
                </c:pt>
                <c:pt idx="10">
                  <c:v>51482.564102564102</c:v>
                </c:pt>
                <c:pt idx="11">
                  <c:v>38052.10786324786</c:v>
                </c:pt>
              </c:numCache>
            </c:numRef>
          </c:val>
        </c:ser>
        <c:ser>
          <c:idx val="1"/>
          <c:order val="2"/>
          <c:tx>
            <c:strRef>
              <c:f>税抜!$C$96</c:f>
              <c:strCache>
                <c:ptCount val="1"/>
                <c:pt idx="0">
                  <c:v>2016年度　実績</c:v>
                </c:pt>
              </c:strCache>
            </c:strRef>
          </c:tx>
          <c:invertIfNegative val="0"/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税抜!$D$96:$O$96</c:f>
              <c:numCache>
                <c:formatCode>#,##0_);[Red]\(#,##0\)</c:formatCode>
                <c:ptCount val="12"/>
                <c:pt idx="0">
                  <c:v>52707.459717948725</c:v>
                </c:pt>
                <c:pt idx="1">
                  <c:v>61724.418803418812</c:v>
                </c:pt>
                <c:pt idx="2">
                  <c:v>75450.56315384616</c:v>
                </c:pt>
                <c:pt idx="3">
                  <c:v>69418.334632478625</c:v>
                </c:pt>
                <c:pt idx="4">
                  <c:v>67772.930188034195</c:v>
                </c:pt>
                <c:pt idx="5">
                  <c:v>64180.157752136758</c:v>
                </c:pt>
                <c:pt idx="6">
                  <c:v>71228.7913076923</c:v>
                </c:pt>
                <c:pt idx="7">
                  <c:v>67748.66805128206</c:v>
                </c:pt>
                <c:pt idx="8">
                  <c:v>69603.092393162384</c:v>
                </c:pt>
                <c:pt idx="9">
                  <c:v>72174.737273504288</c:v>
                </c:pt>
                <c:pt idx="10">
                  <c:v>56414.975871794872</c:v>
                </c:pt>
                <c:pt idx="11">
                  <c:v>43548.181196581201</c:v>
                </c:pt>
              </c:numCache>
            </c:numRef>
          </c:val>
        </c:ser>
        <c:ser>
          <c:idx val="3"/>
          <c:order val="3"/>
          <c:tx>
            <c:strRef>
              <c:f>税抜!$C$98</c:f>
              <c:strCache>
                <c:ptCount val="1"/>
                <c:pt idx="0">
                  <c:v>2017年度　前回計画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 rot="0" vert="eaVert"/>
                  <a:lstStyle/>
                  <a:p>
                    <a:pPr algn="ctr">
                      <a:defRPr sz="900"/>
                    </a:pPr>
                    <a:r>
                      <a:rPr lang="zh-CN" altLang="en-US" sz="900"/>
                      <a:t>計画</a:t>
                    </a:r>
                    <a:endParaRPr lang="zh-CN" altLang="en-US"/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計画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ja-JP" altLang="zh-CN" sz="900" b="0" i="0" baseline="0">
                        <a:effectLst/>
                      </a:rPr>
                      <a:t>計画</a:t>
                    </a:r>
                    <a:endParaRPr lang="zh-CN" altLang="zh-CN">
                      <a:effectLst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前回計画</a:t>
                    </a:r>
                    <a:r>
                      <a:rPr lang="en-US" altLang="en-US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前回計画</a:t>
                    </a:r>
                    <a:endParaRPr lang="zh-CN" altLang="zh-CN" sz="90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>
                  <a:defRPr sz="900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税抜!$D$98:$O$98</c:f>
              <c:numCache>
                <c:formatCode>#,##0_);[Red]\(#,##0\)</c:formatCode>
                <c:ptCount val="12"/>
                <c:pt idx="0">
                  <c:v>61367.521367521374</c:v>
                </c:pt>
                <c:pt idx="1">
                  <c:v>76923.076923076922</c:v>
                </c:pt>
                <c:pt idx="2">
                  <c:v>80341.880341880344</c:v>
                </c:pt>
                <c:pt idx="3">
                  <c:v>71794.748717948722</c:v>
                </c:pt>
                <c:pt idx="4">
                  <c:v>76068.376068376077</c:v>
                </c:pt>
                <c:pt idx="5">
                  <c:v>78461.538461538468</c:v>
                </c:pt>
                <c:pt idx="6">
                  <c:v>85641.025641025641</c:v>
                </c:pt>
                <c:pt idx="7">
                  <c:v>81623.931623931625</c:v>
                </c:pt>
                <c:pt idx="8">
                  <c:v>80769.23076923078</c:v>
                </c:pt>
                <c:pt idx="9">
                  <c:v>80341.880341880344</c:v>
                </c:pt>
                <c:pt idx="10">
                  <c:v>66666.666666666672</c:v>
                </c:pt>
                <c:pt idx="11">
                  <c:v>35384.61538461539</c:v>
                </c:pt>
              </c:numCache>
            </c:numRef>
          </c:val>
        </c:ser>
        <c:ser>
          <c:idx val="4"/>
          <c:order val="4"/>
          <c:tx>
            <c:strRef>
              <c:f>税抜!$C$100</c:f>
              <c:strCache>
                <c:ptCount val="1"/>
                <c:pt idx="0">
                  <c:v>2017年度　実績/今回計画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zh-CN" altLang="en-US" sz="900"/>
                      <a:t>　実績</a:t>
                    </a:r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zh-CN" altLang="en-US" sz="900"/>
                      <a:t>実績</a:t>
                    </a:r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endParaRPr lang="ja-JP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r>
                      <a:rPr lang="en-US" altLang="en-US" sz="900"/>
                      <a:t> 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ja-JP" altLang="en-US" sz="900"/>
                      <a:t>実績</a:t>
                    </a:r>
                    <a:r>
                      <a:rPr lang="en-US" altLang="en-US" sz="900"/>
                      <a:t> 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ja-JP" altLang="en-US"/>
                      <a:t>実績</a:t>
                    </a:r>
                    <a:endParaRPr lang="en-US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en-US" sz="900" b="0" i="0" baseline="0">
                        <a:effectLst/>
                      </a:rPr>
                      <a:t>実績</a:t>
                    </a:r>
                    <a:endParaRPr lang="ja-JP" altLang="zh-CN" sz="900" b="0" i="0" baseline="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今回計画</a:t>
                    </a:r>
                    <a:endParaRPr lang="zh-CN" altLang="zh-CN" sz="90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 rot="0" vert="eaVert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000000"/>
                        </a:solidFill>
                        <a:latin typeface="Meiryo UI"/>
                        <a:ea typeface="Meiryo UI"/>
                        <a:cs typeface="Meiryo UI"/>
                      </a:defRPr>
                    </a:pPr>
                    <a:r>
                      <a:rPr lang="ja-JP" altLang="zh-CN" sz="900" b="0" i="0" baseline="0">
                        <a:effectLst/>
                      </a:rPr>
                      <a:t>今回計画</a:t>
                    </a:r>
                    <a:endParaRPr lang="zh-CN" altLang="zh-CN" sz="900">
                      <a:effectLst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vert="eaVert"/>
              <a:lstStyle/>
              <a:p>
                <a:pPr algn="ctr">
                  <a:defRPr sz="900"/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税込!$D$86:$O$86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税抜!$D$100:$O$100</c:f>
              <c:numCache>
                <c:formatCode>#,##0_);[Red]\(#,##0\)</c:formatCode>
                <c:ptCount val="12"/>
                <c:pt idx="0">
                  <c:v>70185.21952136753</c:v>
                </c:pt>
                <c:pt idx="1">
                  <c:v>78493.362752136745</c:v>
                </c:pt>
                <c:pt idx="2">
                  <c:v>82254.204470085475</c:v>
                </c:pt>
                <c:pt idx="3">
                  <c:v>79556.712205128191</c:v>
                </c:pt>
                <c:pt idx="4">
                  <c:v>76677.619923076927</c:v>
                </c:pt>
                <c:pt idx="5">
                  <c:v>78735.984820512822</c:v>
                </c:pt>
                <c:pt idx="6">
                  <c:v>85665.48347008547</c:v>
                </c:pt>
                <c:pt idx="7">
                  <c:v>81761.879196581212</c:v>
                </c:pt>
                <c:pt idx="8">
                  <c:v>81059.842102564115</c:v>
                </c:pt>
                <c:pt idx="9">
                  <c:v>80499.023316239312</c:v>
                </c:pt>
                <c:pt idx="10">
                  <c:v>66666.666666666672</c:v>
                </c:pt>
                <c:pt idx="11">
                  <c:v>35384.61538461539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237120"/>
        <c:axId val="127275776"/>
      </c:barChart>
      <c:lineChart>
        <c:grouping val="standard"/>
        <c:varyColors val="0"/>
        <c:ser>
          <c:idx val="5"/>
          <c:order val="5"/>
          <c:tx>
            <c:strRef>
              <c:f>税抜!$C$101</c:f>
              <c:strCache>
                <c:ptCount val="1"/>
                <c:pt idx="0">
                  <c:v>2017年度　予算</c:v>
                </c:pt>
              </c:strCache>
            </c:strRef>
          </c:tx>
          <c:spPr>
            <a:ln w="53975">
              <a:noFill/>
            </a:ln>
          </c:spPr>
          <c:marker>
            <c:symbol val="none"/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税抜!$D$101:$O$101</c:f>
              <c:numCache>
                <c:formatCode>#,##0_);[Red]\(#,##0\)</c:formatCode>
                <c:ptCount val="12"/>
                <c:pt idx="0">
                  <c:v>60512.820512820515</c:v>
                </c:pt>
                <c:pt idx="1">
                  <c:v>67264.957264957266</c:v>
                </c:pt>
                <c:pt idx="2">
                  <c:v>67863.247863247874</c:v>
                </c:pt>
                <c:pt idx="3">
                  <c:v>67863.247863247874</c:v>
                </c:pt>
                <c:pt idx="4">
                  <c:v>73931.623931623937</c:v>
                </c:pt>
                <c:pt idx="5">
                  <c:v>79487.179487179499</c:v>
                </c:pt>
                <c:pt idx="6">
                  <c:v>85683.760683760687</c:v>
                </c:pt>
                <c:pt idx="7">
                  <c:v>82564.102564102563</c:v>
                </c:pt>
                <c:pt idx="8">
                  <c:v>79829.059829059828</c:v>
                </c:pt>
                <c:pt idx="9">
                  <c:v>79606.837606837609</c:v>
                </c:pt>
                <c:pt idx="10">
                  <c:v>67051.282051282062</c:v>
                </c:pt>
                <c:pt idx="11">
                  <c:v>35085.470085470086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7312"/>
        <c:axId val="127291392"/>
      </c:lineChart>
      <c:catAx>
        <c:axId val="1272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27275776"/>
        <c:crosses val="autoZero"/>
        <c:auto val="1"/>
        <c:lblAlgn val="ctr"/>
        <c:lblOffset val="100"/>
        <c:noMultiLvlLbl val="0"/>
      </c:catAx>
      <c:valAx>
        <c:axId val="127275776"/>
        <c:scaling>
          <c:orientation val="minMax"/>
          <c:max val="180000"/>
        </c:scaling>
        <c:delete val="0"/>
        <c:axPos val="l"/>
        <c:numFmt formatCode="#,##0_);[Red]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27237120"/>
        <c:crosses val="autoZero"/>
        <c:crossBetween val="between"/>
      </c:valAx>
      <c:catAx>
        <c:axId val="1272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291392"/>
        <c:crosses val="autoZero"/>
        <c:auto val="1"/>
        <c:lblAlgn val="ctr"/>
        <c:lblOffset val="100"/>
        <c:noMultiLvlLbl val="0"/>
      </c:catAx>
      <c:valAx>
        <c:axId val="127291392"/>
        <c:scaling>
          <c:orientation val="minMax"/>
        </c:scaling>
        <c:delete val="1"/>
        <c:axPos val="r"/>
        <c:numFmt formatCode="#,##0_);[Red]\(#,##0\)" sourceLinked="1"/>
        <c:majorTickMark val="out"/>
        <c:minorTickMark val="none"/>
        <c:tickLblPos val="nextTo"/>
        <c:crossAx val="127277312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zh-CN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Meiryo UI"/>
          <a:ea typeface="Meiryo UI"/>
          <a:cs typeface="Meiryo UI"/>
        </a:defRPr>
      </a:pPr>
      <a:endParaRPr lang="zh-CN"/>
    </a:p>
  </c:txPr>
  <c:printSettings>
    <c:headerFooter/>
    <c:pageMargins b="0.74803149606299213" l="0.31496062992125984" r="0.31496062992125984" t="0.74803149606299213" header="0.31496062992125984" footer="0.31496062992125984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142394952014566E-2"/>
          <c:y val="3.216778458248274E-2"/>
          <c:w val="0.96532095478892355"/>
          <c:h val="0.87645694570590571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val>
            <c:numRef>
              <c:f>税抜!$D$101:$O$101</c:f>
              <c:numCache>
                <c:formatCode>#,##0_);[Red]\(#,##0\)</c:formatCode>
                <c:ptCount val="12"/>
                <c:pt idx="0">
                  <c:v>60512.820512820515</c:v>
                </c:pt>
                <c:pt idx="1">
                  <c:v>67264.957264957266</c:v>
                </c:pt>
                <c:pt idx="2">
                  <c:v>67863.247863247874</c:v>
                </c:pt>
                <c:pt idx="3">
                  <c:v>67863.247863247874</c:v>
                </c:pt>
                <c:pt idx="4">
                  <c:v>73931.623931623937</c:v>
                </c:pt>
                <c:pt idx="5">
                  <c:v>79487.179487179499</c:v>
                </c:pt>
                <c:pt idx="6">
                  <c:v>85683.760683760687</c:v>
                </c:pt>
                <c:pt idx="7">
                  <c:v>82564.102564102563</c:v>
                </c:pt>
                <c:pt idx="8">
                  <c:v>79829.059829059828</c:v>
                </c:pt>
                <c:pt idx="9">
                  <c:v>79606.837606837609</c:v>
                </c:pt>
                <c:pt idx="10">
                  <c:v>67051.282051282062</c:v>
                </c:pt>
                <c:pt idx="11">
                  <c:v>35085.470085470086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8560"/>
        <c:axId val="127476864"/>
      </c:lineChart>
      <c:catAx>
        <c:axId val="12729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76864"/>
        <c:crosses val="autoZero"/>
        <c:auto val="1"/>
        <c:lblAlgn val="ctr"/>
        <c:lblOffset val="100"/>
        <c:noMultiLvlLbl val="0"/>
      </c:catAx>
      <c:valAx>
        <c:axId val="127476864"/>
        <c:scaling>
          <c:orientation val="minMax"/>
          <c:max val="18000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7298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811125094345253E-2"/>
          <c:y val="4.2553191489361701E-2"/>
          <c:w val="0.97059380259413186"/>
          <c:h val="0.95727337551014213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税抜!$D$186:$O$186</c:f>
              <c:numCache>
                <c:formatCode>#,##0_);[Red]\(#,##0\)</c:formatCode>
                <c:ptCount val="12"/>
                <c:pt idx="0">
                  <c:v>1211.1111111111111</c:v>
                </c:pt>
                <c:pt idx="1">
                  <c:v>1211.1111111111111</c:v>
                </c:pt>
                <c:pt idx="2">
                  <c:v>1354.7008547008547</c:v>
                </c:pt>
                <c:pt idx="3">
                  <c:v>1411.1111111111111</c:v>
                </c:pt>
                <c:pt idx="4">
                  <c:v>1400.8547008547009</c:v>
                </c:pt>
                <c:pt idx="5">
                  <c:v>1330.7692307692309</c:v>
                </c:pt>
                <c:pt idx="6">
                  <c:v>1637.6068376068376</c:v>
                </c:pt>
                <c:pt idx="7">
                  <c:v>1458.1196581196582</c:v>
                </c:pt>
                <c:pt idx="8">
                  <c:v>1580.3418803418804</c:v>
                </c:pt>
                <c:pt idx="9">
                  <c:v>1656.4102564102566</c:v>
                </c:pt>
                <c:pt idx="10">
                  <c:v>1810.2564102564104</c:v>
                </c:pt>
                <c:pt idx="11">
                  <c:v>1337.6068376068376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2096"/>
        <c:axId val="127494016"/>
      </c:lineChart>
      <c:catAx>
        <c:axId val="127492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7494016"/>
        <c:crosses val="autoZero"/>
        <c:auto val="1"/>
        <c:lblAlgn val="ctr"/>
        <c:lblOffset val="100"/>
        <c:noMultiLvlLbl val="0"/>
      </c:catAx>
      <c:valAx>
        <c:axId val="127494016"/>
        <c:scaling>
          <c:orientation val="minMax"/>
          <c:max val="2500"/>
          <c:min val="0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127492096"/>
        <c:crosses val="autoZero"/>
        <c:crossBetween val="between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2612692926229493"/>
          <c:w val="1"/>
          <c:h val="0.76056007965075123"/>
        </c:manualLayout>
      </c:layout>
      <c:lineChart>
        <c:grouping val="standard"/>
        <c:varyColors val="0"/>
        <c:ser>
          <c:idx val="2"/>
          <c:order val="0"/>
          <c:tx>
            <c:v>2014年度粗利率</c:v>
          </c:tx>
          <c:spPr>
            <a:ln w="38100"/>
          </c:spPr>
          <c:marker>
            <c:symbol val="triangle"/>
            <c:size val="8"/>
          </c:marker>
          <c:dLbls>
            <c:dLbl>
              <c:idx val="0"/>
              <c:layout>
                <c:manualLayout>
                  <c:x val="-3.1558557754945926E-2"/>
                  <c:y val="5.5906165256313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951966611794535E-2"/>
                  <c:y val="-5.9197786998616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0185402931739609E-2"/>
                  <c:y val="5.5905729626120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1472125552946761E-2"/>
                  <c:y val="5.1032441087218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税抜!$D$91:$O$91</c:f>
              <c:numCache>
                <c:formatCode>0.0%</c:formatCode>
                <c:ptCount val="12"/>
                <c:pt idx="0">
                  <c:v>0.11899999999999999</c:v>
                </c:pt>
                <c:pt idx="1">
                  <c:v>0.13700000000000001</c:v>
                </c:pt>
                <c:pt idx="2">
                  <c:v>0.13600000000000001</c:v>
                </c:pt>
                <c:pt idx="3">
                  <c:v>0.13900000000000001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0.129</c:v>
                </c:pt>
                <c:pt idx="7">
                  <c:v>0.13400000000000001</c:v>
                </c:pt>
                <c:pt idx="8">
                  <c:v>0.128</c:v>
                </c:pt>
                <c:pt idx="9">
                  <c:v>0.124</c:v>
                </c:pt>
                <c:pt idx="10">
                  <c:v>0.123</c:v>
                </c:pt>
                <c:pt idx="11">
                  <c:v>0.126</c:v>
                </c:pt>
              </c:numCache>
            </c:numRef>
          </c:val>
          <c:smooth val="0"/>
        </c:ser>
        <c:ser>
          <c:idx val="0"/>
          <c:order val="1"/>
          <c:tx>
            <c:v>2015年度粗利率</c:v>
          </c:tx>
          <c:spPr>
            <a:ln w="38100"/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3.2455865776819096E-2"/>
                  <c:y val="-8.8520055325034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5855775494594E-2"/>
                  <c:y val="-8.3568246915193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2480842057461663E-2"/>
                  <c:y val="4.9792531120331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841519596082669E-2"/>
                  <c:y val="2.8613014212504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1472125552946761E-2"/>
                  <c:y val="5.6637297805897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1558557754945926E-2"/>
                  <c:y val="-6.6970736541749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3.1558557754945926E-2"/>
                  <c:y val="-6.697073654174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税抜!$D$93:$O$93</c:f>
              <c:numCache>
                <c:formatCode>0.0%</c:formatCode>
                <c:ptCount val="12"/>
                <c:pt idx="0">
                  <c:v>0.12951238710349494</c:v>
                </c:pt>
                <c:pt idx="1">
                  <c:v>0.12694225608013829</c:v>
                </c:pt>
                <c:pt idx="2">
                  <c:v>0.12529296701156736</c:v>
                </c:pt>
                <c:pt idx="3">
                  <c:v>0.1260903749700184</c:v>
                </c:pt>
                <c:pt idx="4">
                  <c:v>0.12079929380583936</c:v>
                </c:pt>
                <c:pt idx="5">
                  <c:v>0.12217754903854823</c:v>
                </c:pt>
                <c:pt idx="6">
                  <c:v>0.13089250021725904</c:v>
                </c:pt>
                <c:pt idx="7">
                  <c:v>0.12355788671887909</c:v>
                </c:pt>
                <c:pt idx="8">
                  <c:v>0.1216502245188925</c:v>
                </c:pt>
                <c:pt idx="9">
                  <c:v>0.11712634234041804</c:v>
                </c:pt>
                <c:pt idx="10">
                  <c:v>0.12275230810862861</c:v>
                </c:pt>
                <c:pt idx="11">
                  <c:v>0.12478726963794701</c:v>
                </c:pt>
              </c:numCache>
            </c:numRef>
          </c:val>
          <c:smooth val="0"/>
        </c:ser>
        <c:ser>
          <c:idx val="1"/>
          <c:order val="2"/>
          <c:tx>
            <c:v>2016年度粗利率</c:v>
          </c:tx>
          <c:spPr>
            <a:ln w="38100"/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3.1558557754945926E-2"/>
                  <c:y val="5.0373661798499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73524872212806E-2"/>
                  <c:y val="-6.2914583809803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558557754945926E-2"/>
                  <c:y val="-6.6971172171943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091612132417537E-2"/>
                  <c:y val="-7.40375295411725E-2"/>
                </c:manualLayout>
              </c:layout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2262492351071662E-2"/>
                  <c:y val="-5.2113251646592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9436257133383832E-2"/>
                  <c:y val="7.0102193749746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税抜!$D$95:$O$95</c:f>
              <c:numCache>
                <c:formatCode>0.0%</c:formatCode>
                <c:ptCount val="12"/>
                <c:pt idx="0">
                  <c:v>0.12639080000532538</c:v>
                </c:pt>
                <c:pt idx="1">
                  <c:v>0.11912288496598156</c:v>
                </c:pt>
                <c:pt idx="2">
                  <c:v>0.12621881983479311</c:v>
                </c:pt>
                <c:pt idx="3">
                  <c:v>0.12644844365147817</c:v>
                </c:pt>
                <c:pt idx="4">
                  <c:v>0.11588591347026904</c:v>
                </c:pt>
                <c:pt idx="5">
                  <c:v>0.12345797681477795</c:v>
                </c:pt>
                <c:pt idx="6">
                  <c:v>0.12194102330931578</c:v>
                </c:pt>
                <c:pt idx="7">
                  <c:v>0.11589251132996164</c:v>
                </c:pt>
                <c:pt idx="8">
                  <c:v>0.11427752731610362</c:v>
                </c:pt>
                <c:pt idx="9">
                  <c:v>0.11512306492643321</c:v>
                </c:pt>
                <c:pt idx="10">
                  <c:v>0.11417017344357776</c:v>
                </c:pt>
                <c:pt idx="11">
                  <c:v>0.10914605086591191</c:v>
                </c:pt>
              </c:numCache>
            </c:numRef>
          </c:val>
          <c:smooth val="0"/>
        </c:ser>
        <c:ser>
          <c:idx val="3"/>
          <c:order val="3"/>
          <c:tx>
            <c:v>2017年度粗利率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0102731509810847E-2"/>
                  <c:y val="-2.743555297428121E-2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4297390333911056E-2"/>
                  <c:y val="5.0514322836216374E-2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layout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  <a:cs typeface="Meiryo UI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  <a:cs typeface="Meiryo UI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税抜!$D$86:$O$86</c:f>
              <c:strCache>
                <c:ptCount val="12"/>
                <c:pt idx="0">
                  <c:v>3月</c:v>
                </c:pt>
                <c:pt idx="1">
                  <c:v>4月</c:v>
                </c:pt>
                <c:pt idx="2">
                  <c:v>5月</c:v>
                </c:pt>
                <c:pt idx="3">
                  <c:v>6月</c:v>
                </c:pt>
                <c:pt idx="4">
                  <c:v>7月</c:v>
                </c:pt>
                <c:pt idx="5">
                  <c:v>8月</c:v>
                </c:pt>
                <c:pt idx="6">
                  <c:v>9月</c:v>
                </c:pt>
                <c:pt idx="7">
                  <c:v>10月</c:v>
                </c:pt>
                <c:pt idx="8">
                  <c:v>11月</c:v>
                </c:pt>
                <c:pt idx="9">
                  <c:v>12月</c:v>
                </c:pt>
                <c:pt idx="10">
                  <c:v>1月</c:v>
                </c:pt>
                <c:pt idx="11">
                  <c:v>2月</c:v>
                </c:pt>
              </c:strCache>
            </c:strRef>
          </c:cat>
          <c:val>
            <c:numRef>
              <c:f>税抜!$D$99:$O$99</c:f>
              <c:numCache>
                <c:formatCode>0.0%</c:formatCode>
                <c:ptCount val="12"/>
                <c:pt idx="0">
                  <c:v>0.11270964177281903</c:v>
                </c:pt>
                <c:pt idx="1">
                  <c:v>0.11592764176345068</c:v>
                </c:pt>
                <c:pt idx="2">
                  <c:v>0.11630635071183318</c:v>
                </c:pt>
                <c:pt idx="3">
                  <c:v>0.11700885410542498</c:v>
                </c:pt>
                <c:pt idx="4">
                  <c:v>0.11845291140471766</c:v>
                </c:pt>
                <c:pt idx="5">
                  <c:v>0.11949329363264997</c:v>
                </c:pt>
                <c:pt idx="6">
                  <c:v>0.13091062696116249</c:v>
                </c:pt>
                <c:pt idx="7">
                  <c:v>0.13661623374805043</c:v>
                </c:pt>
                <c:pt idx="8">
                  <c:v>0.14173232998947244</c:v>
                </c:pt>
                <c:pt idx="9">
                  <c:v>0.14067093252582225</c:v>
                </c:pt>
                <c:pt idx="10">
                  <c:v>0.14432051282051281</c:v>
                </c:pt>
                <c:pt idx="11">
                  <c:v>0.14862318840579708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55360"/>
        <c:axId val="128656896"/>
      </c:lineChart>
      <c:catAx>
        <c:axId val="1286553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8656896"/>
        <c:crosses val="autoZero"/>
        <c:auto val="1"/>
        <c:lblAlgn val="ctr"/>
        <c:lblOffset val="100"/>
        <c:noMultiLvlLbl val="0"/>
      </c:catAx>
      <c:valAx>
        <c:axId val="128656896"/>
        <c:scaling>
          <c:orientation val="minMax"/>
          <c:max val="0.15000000000000002"/>
          <c:min val="0.1"/>
        </c:scaling>
        <c:delete val="1"/>
        <c:axPos val="l"/>
        <c:numFmt formatCode="0.0%" sourceLinked="1"/>
        <c:majorTickMark val="out"/>
        <c:minorTickMark val="none"/>
        <c:tickLblPos val="nextTo"/>
        <c:crossAx val="128655360"/>
        <c:crosses val="autoZero"/>
        <c:crossBetween val="between"/>
        <c:majorUnit val="5.000000000000001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304659265686533E-2"/>
          <c:y val="7.1918188649655306E-3"/>
          <c:w val="0.23419177134269134"/>
          <c:h val="0.16176909421592012"/>
        </c:manualLayout>
      </c:layout>
      <c:overlay val="0"/>
      <c:txPr>
        <a:bodyPr/>
        <a:lstStyle/>
        <a:p>
          <a:pPr>
            <a:defRPr lang="ja-JP" sz="675" b="0" i="0" u="none" strike="noStrike" baseline="0">
              <a:solidFill>
                <a:srgbClr val="000000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76201</xdr:rowOff>
    </xdr:from>
    <xdr:to>
      <xdr:col>15</xdr:col>
      <xdr:colOff>581025</xdr:colOff>
      <xdr:row>35</xdr:row>
      <xdr:rowOff>66675</xdr:rowOff>
    </xdr:to>
    <xdr:graphicFrame macro="">
      <xdr:nvGraphicFramePr>
        <xdr:cNvPr id="3162787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</xdr:row>
      <xdr:rowOff>152400</xdr:rowOff>
    </xdr:from>
    <xdr:to>
      <xdr:col>16</xdr:col>
      <xdr:colOff>38100</xdr:colOff>
      <xdr:row>26</xdr:row>
      <xdr:rowOff>28575</xdr:rowOff>
    </xdr:to>
    <xdr:graphicFrame macro="">
      <xdr:nvGraphicFramePr>
        <xdr:cNvPr id="3162787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</xdr:row>
      <xdr:rowOff>133350</xdr:rowOff>
    </xdr:from>
    <xdr:to>
      <xdr:col>15</xdr:col>
      <xdr:colOff>581025</xdr:colOff>
      <xdr:row>13</xdr:row>
      <xdr:rowOff>133350</xdr:rowOff>
    </xdr:to>
    <xdr:graphicFrame macro="">
      <xdr:nvGraphicFramePr>
        <xdr:cNvPr id="3162787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180976</xdr:colOff>
      <xdr:row>34</xdr:row>
      <xdr:rowOff>28575</xdr:rowOff>
    </xdr:from>
    <xdr:to>
      <xdr:col>0</xdr:col>
      <xdr:colOff>226695</xdr:colOff>
      <xdr:row>34</xdr:row>
      <xdr:rowOff>74294</xdr:rowOff>
    </xdr:to>
    <xdr:sp macro="" textlink="">
      <xdr:nvSpPr>
        <xdr:cNvPr id="4" name="等腰三角形 3"/>
        <xdr:cNvSpPr/>
      </xdr:nvSpPr>
      <xdr:spPr>
        <a:xfrm>
          <a:off x="180976" y="5857875"/>
          <a:ext cx="45719" cy="4571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0</xdr:col>
      <xdr:colOff>19050</xdr:colOff>
      <xdr:row>0</xdr:row>
      <xdr:rowOff>66675</xdr:rowOff>
    </xdr:from>
    <xdr:to>
      <xdr:col>4</xdr:col>
      <xdr:colOff>129540</xdr:colOff>
      <xdr:row>3</xdr:row>
      <xdr:rowOff>0</xdr:rowOff>
    </xdr:to>
    <xdr:sp macro="" textlink="">
      <xdr:nvSpPr>
        <xdr:cNvPr id="7" name="矩形 6"/>
        <xdr:cNvSpPr/>
      </xdr:nvSpPr>
      <xdr:spPr>
        <a:xfrm>
          <a:off x="19050" y="66675"/>
          <a:ext cx="285369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000"/>
            </a:lnSpc>
          </a:pPr>
          <a:r>
            <a:rPr lang="en-US" altLang="ja-JP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17/</a:t>
          </a:r>
          <a:r>
            <a:rPr lang="ja-JP" altLang="en-US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下　見直計画</a:t>
          </a:r>
          <a:r>
            <a:rPr lang="ja-JP" altLang="en-US" sz="9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　  </a:t>
          </a:r>
          <a:r>
            <a:rPr lang="en-US" altLang="ja-JP" sz="9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375,492</a:t>
          </a:r>
          <a:r>
            <a:rPr lang="ja-JP" altLang="en-US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9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l">
            <a:lnSpc>
              <a:spcPts val="1000"/>
            </a:lnSpc>
          </a:pPr>
          <a:r>
            <a:rPr lang="ja-JP" altLang="en-US" sz="9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       見通し　　       </a:t>
          </a:r>
          <a:r>
            <a:rPr lang="en-US" altLang="ja-JP" sz="9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325,740</a:t>
          </a:r>
          <a:r>
            <a:rPr lang="ja-JP" altLang="en-US" sz="9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</a:t>
          </a:r>
          <a:r>
            <a:rPr lang="ja-JP" altLang="en-US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元</a:t>
          </a:r>
          <a:endParaRPr lang="en-US" altLang="ja-JP" sz="9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marL="0" marR="0" indent="0" algn="l" defTabSz="91440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（前回見通し）  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362,</a:t>
          </a:r>
          <a:r>
            <a:rPr lang="en-US" altLang="zh-CN" sz="9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179</a:t>
          </a:r>
          <a:r>
            <a:rPr lang="ja-JP" altLang="zh-CN" sz="9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</a:t>
          </a:r>
          <a:r>
            <a:rPr lang="ja-JP" altLang="zh-CN" sz="9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元</a:t>
          </a:r>
          <a:endParaRPr lang="zh-CN" altLang="zh-CN" sz="900"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552450</xdr:colOff>
      <xdr:row>0</xdr:row>
      <xdr:rowOff>57150</xdr:rowOff>
    </xdr:from>
    <xdr:to>
      <xdr:col>15</xdr:col>
      <xdr:colOff>571500</xdr:colOff>
      <xdr:row>1</xdr:row>
      <xdr:rowOff>129538</xdr:rowOff>
    </xdr:to>
    <xdr:sp macro="" textlink="">
      <xdr:nvSpPr>
        <xdr:cNvPr id="8" name="矩形 7"/>
        <xdr:cNvSpPr/>
      </xdr:nvSpPr>
      <xdr:spPr bwMode="auto">
        <a:xfrm>
          <a:off x="9467850" y="57150"/>
          <a:ext cx="1390650" cy="243838"/>
        </a:xfrm>
        <a:prstGeom prst="rect">
          <a:avLst/>
        </a:prstGeom>
        <a:noFill/>
        <a:ln w="254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単位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: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(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税抜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)/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月</a:t>
          </a:r>
          <a:endParaRPr lang="zh-CN" sz="8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0.49867</cdr:x>
      <cdr:y>0.43827</cdr:y>
    </cdr:from>
    <cdr:to>
      <cdr:x>0.71867</cdr:x>
      <cdr:y>0.7193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91633" y="1386417"/>
          <a:ext cx="349248" cy="889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cdr:txBody>
    </cdr:sp>
  </cdr:relSizeAnchor>
  <cdr:relSizeAnchor xmlns:cdr="http://schemas.openxmlformats.org/drawingml/2006/chartDrawing">
    <cdr:from>
      <cdr:x>0.64533</cdr:x>
      <cdr:y>0.46437</cdr:y>
    </cdr:from>
    <cdr:to>
      <cdr:x>0.86533</cdr:x>
      <cdr:y>0.69225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1024466" y="1468967"/>
          <a:ext cx="349248" cy="7208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0.63844</cdr:x>
      <cdr:y>0.52007</cdr:y>
    </cdr:from>
    <cdr:to>
      <cdr:x>0.66579</cdr:x>
      <cdr:y>0.77795</cdr:y>
    </cdr:to>
    <cdr:sp macro="" textlink="">
      <cdr:nvSpPr>
        <cdr:cNvPr id="2" name="椭圆 1"/>
        <cdr:cNvSpPr/>
      </cdr:nvSpPr>
      <cdr:spPr bwMode="auto">
        <a:xfrm xmlns:a="http://schemas.openxmlformats.org/drawingml/2006/main" flipV="1">
          <a:off x="10683834" y="1197679"/>
          <a:ext cx="457682" cy="5938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rtlCol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954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76200</xdr:rowOff>
    </xdr:from>
    <xdr:to>
      <xdr:col>1</xdr:col>
      <xdr:colOff>200025</xdr:colOff>
      <xdr:row>2</xdr:row>
      <xdr:rowOff>180975</xdr:rowOff>
    </xdr:to>
    <xdr:sp macro="" textlink="">
      <xdr:nvSpPr>
        <xdr:cNvPr id="12749500" name="矩形 1"/>
        <xdr:cNvSpPr>
          <a:spLocks noChangeArrowheads="1"/>
        </xdr:cNvSpPr>
      </xdr:nvSpPr>
      <xdr:spPr bwMode="auto">
        <a:xfrm>
          <a:off x="1209675" y="457200"/>
          <a:ext cx="123825" cy="0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3</xdr:row>
      <xdr:rowOff>76200</xdr:rowOff>
    </xdr:from>
    <xdr:to>
      <xdr:col>1</xdr:col>
      <xdr:colOff>200025</xdr:colOff>
      <xdr:row>3</xdr:row>
      <xdr:rowOff>180975</xdr:rowOff>
    </xdr:to>
    <xdr:sp macro="" textlink="">
      <xdr:nvSpPr>
        <xdr:cNvPr id="12749501" name="矩形 2"/>
        <xdr:cNvSpPr>
          <a:spLocks noChangeArrowheads="1"/>
        </xdr:cNvSpPr>
      </xdr:nvSpPr>
      <xdr:spPr bwMode="auto">
        <a:xfrm>
          <a:off x="1209675" y="457200"/>
          <a:ext cx="123825" cy="0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85725</xdr:colOff>
      <xdr:row>17</xdr:row>
      <xdr:rowOff>57150</xdr:rowOff>
    </xdr:from>
    <xdr:to>
      <xdr:col>1</xdr:col>
      <xdr:colOff>209550</xdr:colOff>
      <xdr:row>17</xdr:row>
      <xdr:rowOff>161925</xdr:rowOff>
    </xdr:to>
    <xdr:sp macro="" textlink="">
      <xdr:nvSpPr>
        <xdr:cNvPr id="12749502" name="矩形 4"/>
        <xdr:cNvSpPr>
          <a:spLocks noChangeArrowheads="1"/>
        </xdr:cNvSpPr>
      </xdr:nvSpPr>
      <xdr:spPr bwMode="auto">
        <a:xfrm>
          <a:off x="1219200" y="2990850"/>
          <a:ext cx="123825" cy="104775"/>
        </a:xfrm>
        <a:prstGeom prst="rect">
          <a:avLst/>
        </a:prstGeom>
        <a:solidFill>
          <a:srgbClr val="8064A2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85725</xdr:colOff>
      <xdr:row>16</xdr:row>
      <xdr:rowOff>66675</xdr:rowOff>
    </xdr:from>
    <xdr:to>
      <xdr:col>1</xdr:col>
      <xdr:colOff>209550</xdr:colOff>
      <xdr:row>16</xdr:row>
      <xdr:rowOff>171450</xdr:rowOff>
    </xdr:to>
    <xdr:sp macro="" textlink="">
      <xdr:nvSpPr>
        <xdr:cNvPr id="12749503" name="矩形 5"/>
        <xdr:cNvSpPr>
          <a:spLocks noChangeArrowheads="1"/>
        </xdr:cNvSpPr>
      </xdr:nvSpPr>
      <xdr:spPr bwMode="auto">
        <a:xfrm>
          <a:off x="1219200" y="2752725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66675</xdr:colOff>
      <xdr:row>8</xdr:row>
      <xdr:rowOff>47625</xdr:rowOff>
    </xdr:from>
    <xdr:to>
      <xdr:col>1</xdr:col>
      <xdr:colOff>190500</xdr:colOff>
      <xdr:row>8</xdr:row>
      <xdr:rowOff>152400</xdr:rowOff>
    </xdr:to>
    <xdr:sp macro="" textlink="">
      <xdr:nvSpPr>
        <xdr:cNvPr id="12749504" name="矩形 7"/>
        <xdr:cNvSpPr>
          <a:spLocks noChangeArrowheads="1"/>
        </xdr:cNvSpPr>
      </xdr:nvSpPr>
      <xdr:spPr bwMode="auto">
        <a:xfrm>
          <a:off x="1200150" y="752475"/>
          <a:ext cx="123825" cy="104775"/>
        </a:xfrm>
        <a:prstGeom prst="rect">
          <a:avLst/>
        </a:prstGeom>
        <a:solidFill>
          <a:srgbClr val="558ED5">
            <a:alpha val="74901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7</xdr:row>
      <xdr:rowOff>76200</xdr:rowOff>
    </xdr:from>
    <xdr:to>
      <xdr:col>1</xdr:col>
      <xdr:colOff>200025</xdr:colOff>
      <xdr:row>7</xdr:row>
      <xdr:rowOff>180975</xdr:rowOff>
    </xdr:to>
    <xdr:sp macro="" textlink="">
      <xdr:nvSpPr>
        <xdr:cNvPr id="12749505" name="矩形 8"/>
        <xdr:cNvSpPr>
          <a:spLocks noChangeArrowheads="1"/>
        </xdr:cNvSpPr>
      </xdr:nvSpPr>
      <xdr:spPr bwMode="auto">
        <a:xfrm>
          <a:off x="1209675" y="533400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95250</xdr:colOff>
      <xdr:row>22</xdr:row>
      <xdr:rowOff>66675</xdr:rowOff>
    </xdr:from>
    <xdr:to>
      <xdr:col>1</xdr:col>
      <xdr:colOff>238125</xdr:colOff>
      <xdr:row>22</xdr:row>
      <xdr:rowOff>180975</xdr:rowOff>
    </xdr:to>
    <xdr:sp macro="" textlink="">
      <xdr:nvSpPr>
        <xdr:cNvPr id="12749506" name="等腰三角形 9"/>
        <xdr:cNvSpPr>
          <a:spLocks noChangeArrowheads="1"/>
        </xdr:cNvSpPr>
      </xdr:nvSpPr>
      <xdr:spPr bwMode="auto">
        <a:xfrm>
          <a:off x="1228725" y="4238625"/>
          <a:ext cx="142875" cy="114300"/>
        </a:xfrm>
        <a:prstGeom prst="triangle">
          <a:avLst>
            <a:gd name="adj" fmla="val 50000"/>
          </a:avLst>
        </a:prstGeom>
        <a:solidFill>
          <a:srgbClr val="7F7F7F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27</xdr:row>
      <xdr:rowOff>76200</xdr:rowOff>
    </xdr:from>
    <xdr:to>
      <xdr:col>1</xdr:col>
      <xdr:colOff>200025</xdr:colOff>
      <xdr:row>27</xdr:row>
      <xdr:rowOff>180975</xdr:rowOff>
    </xdr:to>
    <xdr:sp macro="" textlink="">
      <xdr:nvSpPr>
        <xdr:cNvPr id="12749507" name="矩形 1"/>
        <xdr:cNvSpPr>
          <a:spLocks noChangeArrowheads="1"/>
        </xdr:cNvSpPr>
      </xdr:nvSpPr>
      <xdr:spPr bwMode="auto">
        <a:xfrm>
          <a:off x="1209675" y="4943475"/>
          <a:ext cx="123825" cy="0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66675</xdr:colOff>
      <xdr:row>35</xdr:row>
      <xdr:rowOff>57150</xdr:rowOff>
    </xdr:from>
    <xdr:to>
      <xdr:col>1</xdr:col>
      <xdr:colOff>190500</xdr:colOff>
      <xdr:row>35</xdr:row>
      <xdr:rowOff>161925</xdr:rowOff>
    </xdr:to>
    <xdr:sp macro="" textlink="">
      <xdr:nvSpPr>
        <xdr:cNvPr id="12749508" name="矩形 2"/>
        <xdr:cNvSpPr>
          <a:spLocks noChangeArrowheads="1"/>
        </xdr:cNvSpPr>
      </xdr:nvSpPr>
      <xdr:spPr bwMode="auto">
        <a:xfrm>
          <a:off x="1200150" y="5991225"/>
          <a:ext cx="123825" cy="104775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85725</xdr:colOff>
      <xdr:row>41</xdr:row>
      <xdr:rowOff>66675</xdr:rowOff>
    </xdr:from>
    <xdr:to>
      <xdr:col>1</xdr:col>
      <xdr:colOff>209550</xdr:colOff>
      <xdr:row>41</xdr:row>
      <xdr:rowOff>171450</xdr:rowOff>
    </xdr:to>
    <xdr:sp macro="" textlink="">
      <xdr:nvSpPr>
        <xdr:cNvPr id="12749509" name="矩形 4"/>
        <xdr:cNvSpPr>
          <a:spLocks noChangeArrowheads="1"/>
        </xdr:cNvSpPr>
      </xdr:nvSpPr>
      <xdr:spPr bwMode="auto">
        <a:xfrm>
          <a:off x="1219200" y="7486650"/>
          <a:ext cx="123825" cy="104775"/>
        </a:xfrm>
        <a:prstGeom prst="rect">
          <a:avLst/>
        </a:prstGeom>
        <a:solidFill>
          <a:srgbClr val="8064A2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40</xdr:row>
      <xdr:rowOff>76200</xdr:rowOff>
    </xdr:from>
    <xdr:to>
      <xdr:col>1</xdr:col>
      <xdr:colOff>200025</xdr:colOff>
      <xdr:row>40</xdr:row>
      <xdr:rowOff>180975</xdr:rowOff>
    </xdr:to>
    <xdr:sp macro="" textlink="">
      <xdr:nvSpPr>
        <xdr:cNvPr id="12749510" name="矩形 5"/>
        <xdr:cNvSpPr>
          <a:spLocks noChangeArrowheads="1"/>
        </xdr:cNvSpPr>
      </xdr:nvSpPr>
      <xdr:spPr bwMode="auto">
        <a:xfrm>
          <a:off x="1209675" y="7248525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 algn="ctr">
          <a:solidFill>
            <a:srgbClr val="8064A2"/>
          </a:solidFill>
          <a:round/>
          <a:headEnd/>
          <a:tailEnd/>
        </a:ln>
      </xdr:spPr>
    </xdr:sp>
    <xdr:clientData/>
  </xdr:twoCellAnchor>
  <xdr:twoCellAnchor>
    <xdr:from>
      <xdr:col>1</xdr:col>
      <xdr:colOff>66675</xdr:colOff>
      <xdr:row>34</xdr:row>
      <xdr:rowOff>85725</xdr:rowOff>
    </xdr:from>
    <xdr:to>
      <xdr:col>1</xdr:col>
      <xdr:colOff>190500</xdr:colOff>
      <xdr:row>34</xdr:row>
      <xdr:rowOff>190500</xdr:rowOff>
    </xdr:to>
    <xdr:sp macro="" textlink="">
      <xdr:nvSpPr>
        <xdr:cNvPr id="12749511" name="矩形 8"/>
        <xdr:cNvSpPr>
          <a:spLocks noChangeArrowheads="1"/>
        </xdr:cNvSpPr>
      </xdr:nvSpPr>
      <xdr:spPr bwMode="auto">
        <a:xfrm>
          <a:off x="1200150" y="5772150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>
          <a:solidFill>
            <a:srgbClr val="C0504D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85725</xdr:colOff>
      <xdr:row>46</xdr:row>
      <xdr:rowOff>76200</xdr:rowOff>
    </xdr:from>
    <xdr:to>
      <xdr:col>1</xdr:col>
      <xdr:colOff>228600</xdr:colOff>
      <xdr:row>46</xdr:row>
      <xdr:rowOff>190500</xdr:rowOff>
    </xdr:to>
    <xdr:sp macro="" textlink="">
      <xdr:nvSpPr>
        <xdr:cNvPr id="12749512" name="等腰三角形 9"/>
        <xdr:cNvSpPr>
          <a:spLocks noChangeArrowheads="1"/>
        </xdr:cNvSpPr>
      </xdr:nvSpPr>
      <xdr:spPr bwMode="auto">
        <a:xfrm>
          <a:off x="1219200" y="8734425"/>
          <a:ext cx="142875" cy="114300"/>
        </a:xfrm>
        <a:prstGeom prst="triangle">
          <a:avLst>
            <a:gd name="adj" fmla="val 50000"/>
          </a:avLst>
        </a:prstGeom>
        <a:solidFill>
          <a:srgbClr val="7F7F7F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95250</xdr:colOff>
      <xdr:row>44</xdr:row>
      <xdr:rowOff>66675</xdr:rowOff>
    </xdr:from>
    <xdr:to>
      <xdr:col>1</xdr:col>
      <xdr:colOff>219075</xdr:colOff>
      <xdr:row>44</xdr:row>
      <xdr:rowOff>171450</xdr:rowOff>
    </xdr:to>
    <xdr:sp macro="" textlink="">
      <xdr:nvSpPr>
        <xdr:cNvPr id="12749513" name="矩形 7"/>
        <xdr:cNvSpPr>
          <a:spLocks noChangeArrowheads="1"/>
        </xdr:cNvSpPr>
      </xdr:nvSpPr>
      <xdr:spPr bwMode="auto">
        <a:xfrm>
          <a:off x="1228725" y="8229600"/>
          <a:ext cx="123825" cy="104775"/>
        </a:xfrm>
        <a:prstGeom prst="rect">
          <a:avLst/>
        </a:prstGeom>
        <a:solidFill>
          <a:srgbClr val="E46C0A">
            <a:alpha val="74901"/>
          </a:srgbClr>
        </a:solidFill>
        <a:ln w="9525">
          <a:solidFill>
            <a:srgbClr val="F79646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95250</xdr:colOff>
      <xdr:row>43</xdr:row>
      <xdr:rowOff>85725</xdr:rowOff>
    </xdr:from>
    <xdr:to>
      <xdr:col>1</xdr:col>
      <xdr:colOff>219075</xdr:colOff>
      <xdr:row>43</xdr:row>
      <xdr:rowOff>190500</xdr:rowOff>
    </xdr:to>
    <xdr:sp macro="" textlink="">
      <xdr:nvSpPr>
        <xdr:cNvPr id="12749514" name="矩形 8"/>
        <xdr:cNvSpPr>
          <a:spLocks noChangeArrowheads="1"/>
        </xdr:cNvSpPr>
      </xdr:nvSpPr>
      <xdr:spPr bwMode="auto">
        <a:xfrm>
          <a:off x="1228725" y="8001000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4"/>
          <a:srcRect/>
          <a:tile tx="0" ty="0" sx="100000" sy="100000" flip="none" algn="tl"/>
        </a:blipFill>
        <a:ln w="12700" algn="ctr">
          <a:solidFill>
            <a:srgbClr val="F79646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32</xdr:row>
      <xdr:rowOff>66675</xdr:rowOff>
    </xdr:from>
    <xdr:to>
      <xdr:col>1</xdr:col>
      <xdr:colOff>209550</xdr:colOff>
      <xdr:row>32</xdr:row>
      <xdr:rowOff>171450</xdr:rowOff>
    </xdr:to>
    <xdr:sp macro="" textlink="">
      <xdr:nvSpPr>
        <xdr:cNvPr id="12749515" name="矩形 7"/>
        <xdr:cNvSpPr>
          <a:spLocks noChangeArrowheads="1"/>
        </xdr:cNvSpPr>
      </xdr:nvSpPr>
      <xdr:spPr bwMode="auto">
        <a:xfrm>
          <a:off x="1219200" y="5257800"/>
          <a:ext cx="123825" cy="104775"/>
        </a:xfrm>
        <a:prstGeom prst="rect">
          <a:avLst/>
        </a:prstGeom>
        <a:solidFill>
          <a:srgbClr val="558ED5">
            <a:alpha val="74901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31</xdr:row>
      <xdr:rowOff>85725</xdr:rowOff>
    </xdr:from>
    <xdr:to>
      <xdr:col>1</xdr:col>
      <xdr:colOff>200025</xdr:colOff>
      <xdr:row>31</xdr:row>
      <xdr:rowOff>190500</xdr:rowOff>
    </xdr:to>
    <xdr:sp macro="" textlink="">
      <xdr:nvSpPr>
        <xdr:cNvPr id="12749516" name="矩形 8"/>
        <xdr:cNvSpPr>
          <a:spLocks noChangeArrowheads="1"/>
        </xdr:cNvSpPr>
      </xdr:nvSpPr>
      <xdr:spPr bwMode="auto">
        <a:xfrm>
          <a:off x="1209675" y="5029200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3175" algn="ctr">
          <a:solidFill>
            <a:srgbClr val="0070C0"/>
          </a:solidFill>
          <a:round/>
          <a:headEnd/>
          <a:tailEnd/>
        </a:ln>
      </xdr:spPr>
    </xdr:sp>
    <xdr:clientData/>
  </xdr:twoCellAnchor>
  <xdr:twoCellAnchor>
    <xdr:from>
      <xdr:col>1</xdr:col>
      <xdr:colOff>76200</xdr:colOff>
      <xdr:row>11</xdr:row>
      <xdr:rowOff>57150</xdr:rowOff>
    </xdr:from>
    <xdr:to>
      <xdr:col>1</xdr:col>
      <xdr:colOff>200025</xdr:colOff>
      <xdr:row>11</xdr:row>
      <xdr:rowOff>161925</xdr:rowOff>
    </xdr:to>
    <xdr:sp macro="" textlink="">
      <xdr:nvSpPr>
        <xdr:cNvPr id="12749517" name="矩形 2"/>
        <xdr:cNvSpPr>
          <a:spLocks noChangeArrowheads="1"/>
        </xdr:cNvSpPr>
      </xdr:nvSpPr>
      <xdr:spPr bwMode="auto">
        <a:xfrm>
          <a:off x="1209675" y="1504950"/>
          <a:ext cx="123825" cy="104775"/>
        </a:xfrm>
        <a:prstGeom prst="rect">
          <a:avLst/>
        </a:prstGeom>
        <a:solidFill>
          <a:srgbClr val="C0504D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10</xdr:row>
      <xdr:rowOff>66675</xdr:rowOff>
    </xdr:from>
    <xdr:to>
      <xdr:col>1</xdr:col>
      <xdr:colOff>200025</xdr:colOff>
      <xdr:row>10</xdr:row>
      <xdr:rowOff>171450</xdr:rowOff>
    </xdr:to>
    <xdr:sp macro="" textlink="">
      <xdr:nvSpPr>
        <xdr:cNvPr id="12749518" name="矩形 8"/>
        <xdr:cNvSpPr>
          <a:spLocks noChangeArrowheads="1"/>
        </xdr:cNvSpPr>
      </xdr:nvSpPr>
      <xdr:spPr bwMode="auto">
        <a:xfrm>
          <a:off x="1209675" y="1266825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>
          <a:solidFill>
            <a:srgbClr val="C0504D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66675</xdr:rowOff>
    </xdr:from>
    <xdr:to>
      <xdr:col>1</xdr:col>
      <xdr:colOff>200025</xdr:colOff>
      <xdr:row>14</xdr:row>
      <xdr:rowOff>171450</xdr:rowOff>
    </xdr:to>
    <xdr:sp macro="" textlink="">
      <xdr:nvSpPr>
        <xdr:cNvPr id="12749519" name="矩形 3"/>
        <xdr:cNvSpPr>
          <a:spLocks noChangeArrowheads="1"/>
        </xdr:cNvSpPr>
      </xdr:nvSpPr>
      <xdr:spPr bwMode="auto">
        <a:xfrm>
          <a:off x="1209675" y="2257425"/>
          <a:ext cx="123825" cy="104775"/>
        </a:xfrm>
        <a:prstGeom prst="rect">
          <a:avLst/>
        </a:prstGeom>
        <a:solidFill>
          <a:srgbClr val="9BBB59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13</xdr:row>
      <xdr:rowOff>104775</xdr:rowOff>
    </xdr:from>
    <xdr:to>
      <xdr:col>1</xdr:col>
      <xdr:colOff>200025</xdr:colOff>
      <xdr:row>13</xdr:row>
      <xdr:rowOff>209550</xdr:rowOff>
    </xdr:to>
    <xdr:sp macro="" textlink="">
      <xdr:nvSpPr>
        <xdr:cNvPr id="12749520" name="矩形 6"/>
        <xdr:cNvSpPr>
          <a:spLocks noChangeArrowheads="1"/>
        </xdr:cNvSpPr>
      </xdr:nvSpPr>
      <xdr:spPr bwMode="auto">
        <a:xfrm>
          <a:off x="1209675" y="2047875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5"/>
          <a:srcRect/>
          <a:tile tx="0" ty="0" sx="100000" sy="100000" flip="none" algn="tl"/>
        </a:blip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85725</xdr:colOff>
      <xdr:row>38</xdr:row>
      <xdr:rowOff>66675</xdr:rowOff>
    </xdr:from>
    <xdr:to>
      <xdr:col>1</xdr:col>
      <xdr:colOff>209550</xdr:colOff>
      <xdr:row>38</xdr:row>
      <xdr:rowOff>171450</xdr:rowOff>
    </xdr:to>
    <xdr:sp macro="" textlink="">
      <xdr:nvSpPr>
        <xdr:cNvPr id="12749521" name="矩形 3"/>
        <xdr:cNvSpPr>
          <a:spLocks noChangeArrowheads="1"/>
        </xdr:cNvSpPr>
      </xdr:nvSpPr>
      <xdr:spPr bwMode="auto">
        <a:xfrm>
          <a:off x="1219200" y="6743700"/>
          <a:ext cx="123825" cy="104775"/>
        </a:xfrm>
        <a:prstGeom prst="rect">
          <a:avLst/>
        </a:prstGeom>
        <a:solidFill>
          <a:srgbClr val="9BBB59"/>
        </a:solidFill>
        <a:ln>
          <a:noFill/>
        </a:ln>
        <a:extLst>
          <a:ext uri="{91240B29-F687-4F45-9708-019B960494DF}">
            <a14:hiddenLine xmlns:a14="http://schemas.microsoft.com/office/drawing/2010/main" w="25400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76200</xdr:colOff>
      <xdr:row>37</xdr:row>
      <xdr:rowOff>85725</xdr:rowOff>
    </xdr:from>
    <xdr:to>
      <xdr:col>1</xdr:col>
      <xdr:colOff>200025</xdr:colOff>
      <xdr:row>37</xdr:row>
      <xdr:rowOff>190500</xdr:rowOff>
    </xdr:to>
    <xdr:sp macro="" textlink="">
      <xdr:nvSpPr>
        <xdr:cNvPr id="12749522" name="矩形 6"/>
        <xdr:cNvSpPr>
          <a:spLocks noChangeArrowheads="1"/>
        </xdr:cNvSpPr>
      </xdr:nvSpPr>
      <xdr:spPr bwMode="auto">
        <a:xfrm>
          <a:off x="1209675" y="6515100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5"/>
          <a:srcRect/>
          <a:tile tx="0" ty="0" sx="100000" sy="100000" flip="none" algn="tl"/>
        </a:blipFill>
        <a:ln w="12700" algn="ctr">
          <a:solidFill>
            <a:srgbClr val="9BBB59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20</xdr:row>
      <xdr:rowOff>66675</xdr:rowOff>
    </xdr:from>
    <xdr:to>
      <xdr:col>1</xdr:col>
      <xdr:colOff>209550</xdr:colOff>
      <xdr:row>20</xdr:row>
      <xdr:rowOff>171450</xdr:rowOff>
    </xdr:to>
    <xdr:sp macro="" textlink="">
      <xdr:nvSpPr>
        <xdr:cNvPr id="12749523" name="矩形 7"/>
        <xdr:cNvSpPr>
          <a:spLocks noChangeArrowheads="1"/>
        </xdr:cNvSpPr>
      </xdr:nvSpPr>
      <xdr:spPr bwMode="auto">
        <a:xfrm>
          <a:off x="1219200" y="3743325"/>
          <a:ext cx="123825" cy="104775"/>
        </a:xfrm>
        <a:prstGeom prst="rect">
          <a:avLst/>
        </a:prstGeom>
        <a:solidFill>
          <a:srgbClr val="E46C0A">
            <a:alpha val="74901"/>
          </a:srgbClr>
        </a:solidFill>
        <a:ln w="9525">
          <a:solidFill>
            <a:srgbClr val="F79646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85725</xdr:colOff>
      <xdr:row>19</xdr:row>
      <xdr:rowOff>66675</xdr:rowOff>
    </xdr:from>
    <xdr:to>
      <xdr:col>1</xdr:col>
      <xdr:colOff>209550</xdr:colOff>
      <xdr:row>19</xdr:row>
      <xdr:rowOff>171450</xdr:rowOff>
    </xdr:to>
    <xdr:sp macro="" textlink="">
      <xdr:nvSpPr>
        <xdr:cNvPr id="12749524" name="矩形 8"/>
        <xdr:cNvSpPr>
          <a:spLocks noChangeArrowheads="1"/>
        </xdr:cNvSpPr>
      </xdr:nvSpPr>
      <xdr:spPr bwMode="auto">
        <a:xfrm>
          <a:off x="1219200" y="3495675"/>
          <a:ext cx="123825" cy="104775"/>
        </a:xfrm>
        <a:prstGeom prst="rect">
          <a:avLst/>
        </a:prstGeom>
        <a:blipFill dpi="0" rotWithShape="0">
          <a:blip xmlns:r="http://schemas.openxmlformats.org/officeDocument/2006/relationships" r:embed="rId4"/>
          <a:srcRect/>
          <a:tile tx="0" ty="0" sx="100000" sy="100000" flip="none" algn="tl"/>
        </a:blipFill>
        <a:ln w="12700" algn="ctr">
          <a:solidFill>
            <a:srgbClr val="F79646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11</xdr:col>
      <xdr:colOff>0</xdr:colOff>
      <xdr:row>23</xdr:row>
      <xdr:rowOff>171450</xdr:rowOff>
    </xdr:to>
    <xdr:graphicFrame macro="">
      <xdr:nvGraphicFramePr>
        <xdr:cNvPr id="413320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10</xdr:col>
      <xdr:colOff>666750</xdr:colOff>
      <xdr:row>48</xdr:row>
      <xdr:rowOff>0</xdr:rowOff>
    </xdr:to>
    <xdr:graphicFrame macro="">
      <xdr:nvGraphicFramePr>
        <xdr:cNvPr id="413320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19050</xdr:rowOff>
    </xdr:from>
    <xdr:to>
      <xdr:col>1</xdr:col>
      <xdr:colOff>238125</xdr:colOff>
      <xdr:row>28</xdr:row>
      <xdr:rowOff>9525</xdr:rowOff>
    </xdr:to>
    <xdr:sp macro="" textlink="">
      <xdr:nvSpPr>
        <xdr:cNvPr id="4" name="矩形 3"/>
        <xdr:cNvSpPr/>
      </xdr:nvSpPr>
      <xdr:spPr>
        <a:xfrm>
          <a:off x="19050" y="4476750"/>
          <a:ext cx="9048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solidFill>
                <a:schemeClr val="tx1"/>
              </a:solidFill>
            </a:rPr>
            <a:t>単位：千元</a:t>
          </a:r>
          <a:r>
            <a:rPr lang="en-US" altLang="zh-CN"/>
            <a:t>ni</a:t>
          </a:r>
          <a:r>
            <a:rPr lang="en-US" altLang="zh-CN" baseline="0"/>
            <a:t> </a:t>
          </a:r>
          <a:endParaRPr lang="zh-CN"/>
        </a:p>
      </xdr:txBody>
    </xdr:sp>
    <xdr:clientData/>
  </xdr:twoCellAnchor>
  <xdr:twoCellAnchor editAs="oneCell">
    <xdr:from>
      <xdr:col>1</xdr:col>
      <xdr:colOff>381000</xdr:colOff>
      <xdr:row>3</xdr:row>
      <xdr:rowOff>76200</xdr:rowOff>
    </xdr:from>
    <xdr:to>
      <xdr:col>3</xdr:col>
      <xdr:colOff>438150</xdr:colOff>
      <xdr:row>7</xdr:row>
      <xdr:rowOff>95250</xdr:rowOff>
    </xdr:to>
    <xdr:pic>
      <xdr:nvPicPr>
        <xdr:cNvPr id="413320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90550"/>
          <a:ext cx="1362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428625</xdr:colOff>
      <xdr:row>27</xdr:row>
      <xdr:rowOff>152400</xdr:rowOff>
    </xdr:from>
    <xdr:to>
      <xdr:col>3</xdr:col>
      <xdr:colOff>485775</xdr:colOff>
      <xdr:row>32</xdr:row>
      <xdr:rowOff>0</xdr:rowOff>
    </xdr:to>
    <xdr:pic>
      <xdr:nvPicPr>
        <xdr:cNvPr id="4133208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781550"/>
          <a:ext cx="13620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0.00142</cdr:x>
      <cdr:y>0.04883</cdr:y>
    </cdr:from>
    <cdr:to>
      <cdr:x>0.12168</cdr:x>
      <cdr:y>0.13023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582" y="200015"/>
          <a:ext cx="896908" cy="333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ja-JP" altLang="en-US" sz="1000">
              <a:solidFill>
                <a:schemeClr val="tx1"/>
              </a:solidFill>
            </a:rPr>
            <a:t>単位：千元</a:t>
          </a:r>
          <a:r>
            <a:rPr lang="en-US" altLang="zh-CN"/>
            <a:t>ni</a:t>
          </a:r>
          <a:r>
            <a:rPr lang="en-US" altLang="zh-CN" baseline="0"/>
            <a:t> </a:t>
          </a:r>
          <a:endParaRPr lang="zh-CN"/>
        </a:p>
      </cdr:txBody>
    </cdr:sp>
  </cdr:relSizeAnchor>
  <cdr:relSizeAnchor xmlns:cdr="http://schemas.openxmlformats.org/drawingml/2006/chartDrawing">
    <cdr:from>
      <cdr:x>0.12804</cdr:x>
      <cdr:y>0.08837</cdr:y>
    </cdr:from>
    <cdr:to>
      <cdr:x>0.34635</cdr:x>
      <cdr:y>0.15892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936624" y="361950"/>
          <a:ext cx="1597026" cy="288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＜</a:t>
          </a:r>
          <a:r>
            <a:rPr lang="en-US" altLang="ja-JP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13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年度実績比増加率＞</a:t>
          </a:r>
          <a:r>
            <a:rPr lang="en-US" altLang="zh-CN">
              <a:latin typeface="MS PGothic" panose="020B0600070205080204" pitchFamily="34" charset="-128"/>
              <a:ea typeface="MS PGothic" panose="020B0600070205080204" pitchFamily="34" charset="-128"/>
            </a:rPr>
            <a:t>ni</a:t>
          </a:r>
          <a:r>
            <a:rPr lang="en-US" altLang="zh-CN" baseline="0">
              <a:latin typeface="MS PGothic" panose="020B0600070205080204" pitchFamily="34" charset="-128"/>
              <a:ea typeface="MS PGothic" panose="020B0600070205080204" pitchFamily="34" charset="-128"/>
            </a:rPr>
            <a:t> </a:t>
          </a:r>
          <a:endParaRPr lang="zh-CN">
            <a:latin typeface="MS PGothic" panose="020B0600070205080204" pitchFamily="34" charset="-128"/>
            <a:ea typeface="MS PGothic" panose="020B0600070205080204" pitchFamily="34" charset="-128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0.11008</cdr:y>
    </cdr:from>
    <cdr:to>
      <cdr:x>0.35412</cdr:x>
      <cdr:y>0.18062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12825" y="450850"/>
          <a:ext cx="1628218" cy="288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＜</a:t>
          </a:r>
          <a:r>
            <a:rPr lang="en-US" altLang="ja-JP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13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年度実績比増加率＞</a:t>
          </a:r>
          <a:r>
            <a:rPr lang="en-US" altLang="zh-CN">
              <a:latin typeface="MS PGothic" panose="020B0600070205080204" pitchFamily="34" charset="-128"/>
              <a:ea typeface="MS PGothic" panose="020B0600070205080204" pitchFamily="34" charset="-128"/>
            </a:rPr>
            <a:t>ni</a:t>
          </a:r>
          <a:r>
            <a:rPr lang="en-US" altLang="zh-CN" baseline="0">
              <a:latin typeface="MS PGothic" panose="020B0600070205080204" pitchFamily="34" charset="-128"/>
              <a:ea typeface="MS PGothic" panose="020B0600070205080204" pitchFamily="34" charset="-128"/>
            </a:rPr>
            <a:t> </a:t>
          </a:r>
          <a:endParaRPr lang="zh-CN">
            <a:latin typeface="MS PGothic" panose="020B0600070205080204" pitchFamily="34" charset="-128"/>
            <a:ea typeface="MS PGothic" panose="020B0600070205080204" pitchFamily="34" charset="-128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97</xdr:row>
      <xdr:rowOff>9525</xdr:rowOff>
    </xdr:from>
    <xdr:to>
      <xdr:col>16</xdr:col>
      <xdr:colOff>24740</xdr:colOff>
      <xdr:row>127</xdr:row>
      <xdr:rowOff>161925</xdr:rowOff>
    </xdr:to>
    <xdr:graphicFrame macro="">
      <xdr:nvGraphicFramePr>
        <xdr:cNvPr id="21306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31</xdr:row>
      <xdr:rowOff>19050</xdr:rowOff>
    </xdr:from>
    <xdr:to>
      <xdr:col>15</xdr:col>
      <xdr:colOff>647700</xdr:colOff>
      <xdr:row>65</xdr:row>
      <xdr:rowOff>0</xdr:rowOff>
    </xdr:to>
    <xdr:graphicFrame macro="">
      <xdr:nvGraphicFramePr>
        <xdr:cNvPr id="21307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15</xdr:col>
      <xdr:colOff>666750</xdr:colOff>
      <xdr:row>29</xdr:row>
      <xdr:rowOff>158750</xdr:rowOff>
    </xdr:to>
    <xdr:graphicFrame macro="">
      <xdr:nvGraphicFramePr>
        <xdr:cNvPr id="213067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211666</xdr:colOff>
      <xdr:row>2</xdr:row>
      <xdr:rowOff>123825</xdr:rowOff>
    </xdr:from>
    <xdr:to>
      <xdr:col>16</xdr:col>
      <xdr:colOff>10584</xdr:colOff>
      <xdr:row>23</xdr:row>
      <xdr:rowOff>38100</xdr:rowOff>
    </xdr:to>
    <xdr:graphicFrame macro="">
      <xdr:nvGraphicFramePr>
        <xdr:cNvPr id="21307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275167</xdr:colOff>
      <xdr:row>98</xdr:row>
      <xdr:rowOff>95250</xdr:rowOff>
    </xdr:from>
    <xdr:to>
      <xdr:col>16</xdr:col>
      <xdr:colOff>21168</xdr:colOff>
      <xdr:row>119</xdr:row>
      <xdr:rowOff>95250</xdr:rowOff>
    </xdr:to>
    <xdr:graphicFrame macro="">
      <xdr:nvGraphicFramePr>
        <xdr:cNvPr id="213073" name="图表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438150</xdr:colOff>
      <xdr:row>0</xdr:row>
      <xdr:rowOff>142875</xdr:rowOff>
    </xdr:from>
    <xdr:to>
      <xdr:col>15</xdr:col>
      <xdr:colOff>695325</xdr:colOff>
      <xdr:row>14</xdr:row>
      <xdr:rowOff>38100</xdr:rowOff>
    </xdr:to>
    <xdr:graphicFrame macro="">
      <xdr:nvGraphicFramePr>
        <xdr:cNvPr id="213082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518584</xdr:colOff>
      <xdr:row>33</xdr:row>
      <xdr:rowOff>47625</xdr:rowOff>
    </xdr:from>
    <xdr:to>
      <xdr:col>15</xdr:col>
      <xdr:colOff>677333</xdr:colOff>
      <xdr:row>56</xdr:row>
      <xdr:rowOff>152400</xdr:rowOff>
    </xdr:to>
    <xdr:graphicFrame macro="">
      <xdr:nvGraphicFramePr>
        <xdr:cNvPr id="213076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114300</xdr:colOff>
      <xdr:row>129</xdr:row>
      <xdr:rowOff>0</xdr:rowOff>
    </xdr:from>
    <xdr:to>
      <xdr:col>15</xdr:col>
      <xdr:colOff>647700</xdr:colOff>
      <xdr:row>158</xdr:row>
      <xdr:rowOff>152400</xdr:rowOff>
    </xdr:to>
    <xdr:graphicFrame macro="">
      <xdr:nvGraphicFramePr>
        <xdr:cNvPr id="21307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581025</xdr:colOff>
      <xdr:row>131</xdr:row>
      <xdr:rowOff>66675</xdr:rowOff>
    </xdr:from>
    <xdr:to>
      <xdr:col>16</xdr:col>
      <xdr:colOff>66675</xdr:colOff>
      <xdr:row>151</xdr:row>
      <xdr:rowOff>28575</xdr:rowOff>
    </xdr:to>
    <xdr:graphicFrame macro="">
      <xdr:nvGraphicFramePr>
        <xdr:cNvPr id="213072" name="图表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342900</xdr:colOff>
      <xdr:row>66</xdr:row>
      <xdr:rowOff>19050</xdr:rowOff>
    </xdr:from>
    <xdr:to>
      <xdr:col>9</xdr:col>
      <xdr:colOff>657225</xdr:colOff>
      <xdr:row>87</xdr:row>
      <xdr:rowOff>123825</xdr:rowOff>
    </xdr:to>
    <xdr:graphicFrame macro="">
      <xdr:nvGraphicFramePr>
        <xdr:cNvPr id="213074" name="图表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171450</xdr:colOff>
      <xdr:row>31</xdr:row>
      <xdr:rowOff>9525</xdr:rowOff>
    </xdr:from>
    <xdr:to>
      <xdr:col>15</xdr:col>
      <xdr:colOff>609600</xdr:colOff>
      <xdr:row>44</xdr:row>
      <xdr:rowOff>152400</xdr:rowOff>
    </xdr:to>
    <xdr:graphicFrame macro="">
      <xdr:nvGraphicFramePr>
        <xdr:cNvPr id="213077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168276</xdr:colOff>
      <xdr:row>63</xdr:row>
      <xdr:rowOff>144990</xdr:rowOff>
    </xdr:from>
    <xdr:to>
      <xdr:col>1</xdr:col>
      <xdr:colOff>233076</xdr:colOff>
      <xdr:row>64</xdr:row>
      <xdr:rowOff>38340</xdr:rowOff>
    </xdr:to>
    <xdr:sp macro="" textlink="">
      <xdr:nvSpPr>
        <xdr:cNvPr id="29" name="等腰三角形 28"/>
        <xdr:cNvSpPr/>
      </xdr:nvSpPr>
      <xdr:spPr>
        <a:xfrm>
          <a:off x="311151" y="10946340"/>
          <a:ext cx="64800" cy="6480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</xdr:col>
      <xdr:colOff>229659</xdr:colOff>
      <xdr:row>94</xdr:row>
      <xdr:rowOff>60325</xdr:rowOff>
    </xdr:from>
    <xdr:to>
      <xdr:col>1</xdr:col>
      <xdr:colOff>283659</xdr:colOff>
      <xdr:row>94</xdr:row>
      <xdr:rowOff>114325</xdr:rowOff>
    </xdr:to>
    <xdr:sp macro="" textlink="">
      <xdr:nvSpPr>
        <xdr:cNvPr id="52" name="等腰三角形 51"/>
        <xdr:cNvSpPr/>
      </xdr:nvSpPr>
      <xdr:spPr>
        <a:xfrm>
          <a:off x="372534" y="16262350"/>
          <a:ext cx="54000" cy="5400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</xdr:col>
      <xdr:colOff>376767</xdr:colOff>
      <xdr:row>126</xdr:row>
      <xdr:rowOff>154517</xdr:rowOff>
    </xdr:from>
    <xdr:to>
      <xdr:col>1</xdr:col>
      <xdr:colOff>441567</xdr:colOff>
      <xdr:row>127</xdr:row>
      <xdr:rowOff>47867</xdr:rowOff>
    </xdr:to>
    <xdr:sp macro="" textlink="">
      <xdr:nvSpPr>
        <xdr:cNvPr id="88" name="等腰三角形 87"/>
        <xdr:cNvSpPr/>
      </xdr:nvSpPr>
      <xdr:spPr>
        <a:xfrm>
          <a:off x="519642" y="21671492"/>
          <a:ext cx="64800" cy="6480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</xdr:col>
      <xdr:colOff>351367</xdr:colOff>
      <xdr:row>29</xdr:row>
      <xdr:rowOff>7409</xdr:rowOff>
    </xdr:from>
    <xdr:to>
      <xdr:col>1</xdr:col>
      <xdr:colOff>423367</xdr:colOff>
      <xdr:row>29</xdr:row>
      <xdr:rowOff>79409</xdr:rowOff>
    </xdr:to>
    <xdr:sp macro="" textlink="">
      <xdr:nvSpPr>
        <xdr:cNvPr id="96" name="等腰三角形 95"/>
        <xdr:cNvSpPr/>
      </xdr:nvSpPr>
      <xdr:spPr>
        <a:xfrm>
          <a:off x="494242" y="4979459"/>
          <a:ext cx="72000" cy="7200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3</xdr:col>
      <xdr:colOff>400050</xdr:colOff>
      <xdr:row>83</xdr:row>
      <xdr:rowOff>34908</xdr:rowOff>
    </xdr:from>
    <xdr:to>
      <xdr:col>5</xdr:col>
      <xdr:colOff>476289</xdr:colOff>
      <xdr:row>83</xdr:row>
      <xdr:rowOff>38097</xdr:rowOff>
    </xdr:to>
    <xdr:cxnSp macro="">
      <xdr:nvCxnSpPr>
        <xdr:cNvPr id="31" name="直接连接符 30"/>
        <xdr:cNvCxnSpPr/>
      </xdr:nvCxnSpPr>
      <xdr:spPr>
        <a:xfrm flipV="1">
          <a:off x="1724025" y="14350983"/>
          <a:ext cx="2209839" cy="318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3226</xdr:colOff>
      <xdr:row>77</xdr:row>
      <xdr:rowOff>152383</xdr:rowOff>
    </xdr:from>
    <xdr:to>
      <xdr:col>6</xdr:col>
      <xdr:colOff>107947</xdr:colOff>
      <xdr:row>79</xdr:row>
      <xdr:rowOff>161916</xdr:rowOff>
    </xdr:to>
    <xdr:sp macro="" textlink="">
      <xdr:nvSpPr>
        <xdr:cNvPr id="32" name="线形标注 2 31"/>
        <xdr:cNvSpPr/>
      </xdr:nvSpPr>
      <xdr:spPr bwMode="auto">
        <a:xfrm>
          <a:off x="3460801" y="13439758"/>
          <a:ext cx="790521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34120"/>
            <a:gd name="adj6" fmla="val -3461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2,491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20</xdr:col>
      <xdr:colOff>552478</xdr:colOff>
      <xdr:row>40</xdr:row>
      <xdr:rowOff>101584</xdr:rowOff>
    </xdr:from>
    <xdr:to>
      <xdr:col>23</xdr:col>
      <xdr:colOff>655055</xdr:colOff>
      <xdr:row>40</xdr:row>
      <xdr:rowOff>101584</xdr:rowOff>
    </xdr:to>
    <xdr:cxnSp macro="">
      <xdr:nvCxnSpPr>
        <xdr:cNvPr id="33" name="直接连接符 32"/>
        <xdr:cNvCxnSpPr/>
      </xdr:nvCxnSpPr>
      <xdr:spPr>
        <a:xfrm>
          <a:off x="14077978" y="6959584"/>
          <a:ext cx="2159977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650827</xdr:colOff>
      <xdr:row>37</xdr:row>
      <xdr:rowOff>0</xdr:rowOff>
    </xdr:from>
    <xdr:to>
      <xdr:col>25</xdr:col>
      <xdr:colOff>69857</xdr:colOff>
      <xdr:row>39</xdr:row>
      <xdr:rowOff>9533</xdr:rowOff>
    </xdr:to>
    <xdr:sp macro="" textlink="">
      <xdr:nvSpPr>
        <xdr:cNvPr id="34" name="线形标注 2 33"/>
        <xdr:cNvSpPr/>
      </xdr:nvSpPr>
      <xdr:spPr bwMode="auto">
        <a:xfrm>
          <a:off x="16233727" y="6343650"/>
          <a:ext cx="790630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3042"/>
            <a:gd name="adj6" fmla="val -4425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76</a:t>
          </a: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</a:t>
          </a: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410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20</xdr:col>
      <xdr:colOff>552478</xdr:colOff>
      <xdr:row>32</xdr:row>
      <xdr:rowOff>101584</xdr:rowOff>
    </xdr:from>
    <xdr:to>
      <xdr:col>23</xdr:col>
      <xdr:colOff>655055</xdr:colOff>
      <xdr:row>32</xdr:row>
      <xdr:rowOff>101584</xdr:rowOff>
    </xdr:to>
    <xdr:cxnSp macro="">
      <xdr:nvCxnSpPr>
        <xdr:cNvPr id="37" name="直接连接符 36"/>
        <xdr:cNvCxnSpPr/>
      </xdr:nvCxnSpPr>
      <xdr:spPr>
        <a:xfrm>
          <a:off x="14077978" y="5587984"/>
          <a:ext cx="2159977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650827</xdr:colOff>
      <xdr:row>29</xdr:row>
      <xdr:rowOff>0</xdr:rowOff>
    </xdr:from>
    <xdr:to>
      <xdr:col>25</xdr:col>
      <xdr:colOff>69857</xdr:colOff>
      <xdr:row>31</xdr:row>
      <xdr:rowOff>9533</xdr:rowOff>
    </xdr:to>
    <xdr:sp macro="" textlink="">
      <xdr:nvSpPr>
        <xdr:cNvPr id="38" name="线形标注 2 37"/>
        <xdr:cNvSpPr/>
      </xdr:nvSpPr>
      <xdr:spPr bwMode="auto">
        <a:xfrm>
          <a:off x="16233727" y="4972050"/>
          <a:ext cx="790630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3042"/>
            <a:gd name="adj6" fmla="val -4425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76</a:t>
          </a: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</a:t>
          </a: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410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650827</xdr:colOff>
      <xdr:row>46</xdr:row>
      <xdr:rowOff>0</xdr:rowOff>
    </xdr:from>
    <xdr:to>
      <xdr:col>25</xdr:col>
      <xdr:colOff>69857</xdr:colOff>
      <xdr:row>48</xdr:row>
      <xdr:rowOff>9533</xdr:rowOff>
    </xdr:to>
    <xdr:sp macro="" textlink="">
      <xdr:nvSpPr>
        <xdr:cNvPr id="42" name="线形标注 2 41"/>
        <xdr:cNvSpPr/>
      </xdr:nvSpPr>
      <xdr:spPr bwMode="auto">
        <a:xfrm>
          <a:off x="16233727" y="7886700"/>
          <a:ext cx="790630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3042"/>
            <a:gd name="adj6" fmla="val -4425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76</a:t>
          </a: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</a:t>
          </a: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410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571500</xdr:colOff>
      <xdr:row>84</xdr:row>
      <xdr:rowOff>101583</xdr:rowOff>
    </xdr:from>
    <xdr:to>
      <xdr:col>9</xdr:col>
      <xdr:colOff>38139</xdr:colOff>
      <xdr:row>84</xdr:row>
      <xdr:rowOff>104772</xdr:rowOff>
    </xdr:to>
    <xdr:cxnSp macro="">
      <xdr:nvCxnSpPr>
        <xdr:cNvPr id="47" name="直接连接符 46"/>
        <xdr:cNvCxnSpPr/>
      </xdr:nvCxnSpPr>
      <xdr:spPr>
        <a:xfrm flipV="1">
          <a:off x="4029075" y="14589108"/>
          <a:ext cx="2209839" cy="318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184201</xdr:colOff>
      <xdr:row>78</xdr:row>
      <xdr:rowOff>104758</xdr:rowOff>
    </xdr:from>
    <xdr:to>
      <xdr:col>8</xdr:col>
      <xdr:colOff>288922</xdr:colOff>
      <xdr:row>80</xdr:row>
      <xdr:rowOff>114291</xdr:rowOff>
    </xdr:to>
    <xdr:sp macro="" textlink="">
      <xdr:nvSpPr>
        <xdr:cNvPr id="48" name="线形标注 2 47"/>
        <xdr:cNvSpPr/>
      </xdr:nvSpPr>
      <xdr:spPr bwMode="auto">
        <a:xfrm>
          <a:off x="5013376" y="13563583"/>
          <a:ext cx="790521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66551"/>
            <a:gd name="adj6" fmla="val -3461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1,490</a:t>
          </a:r>
          <a:r>
            <a:rPr lang="en-US" altLang="zh-CN" sz="1000" b="0" baseline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20</xdr:col>
      <xdr:colOff>552478</xdr:colOff>
      <xdr:row>59</xdr:row>
      <xdr:rowOff>101584</xdr:rowOff>
    </xdr:from>
    <xdr:to>
      <xdr:col>23</xdr:col>
      <xdr:colOff>655055</xdr:colOff>
      <xdr:row>59</xdr:row>
      <xdr:rowOff>101584</xdr:rowOff>
    </xdr:to>
    <xdr:cxnSp macro="">
      <xdr:nvCxnSpPr>
        <xdr:cNvPr id="49" name="直接连接符 48"/>
        <xdr:cNvCxnSpPr/>
      </xdr:nvCxnSpPr>
      <xdr:spPr>
        <a:xfrm>
          <a:off x="14077978" y="10217134"/>
          <a:ext cx="2159977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650827</xdr:colOff>
      <xdr:row>56</xdr:row>
      <xdr:rowOff>0</xdr:rowOff>
    </xdr:from>
    <xdr:to>
      <xdr:col>25</xdr:col>
      <xdr:colOff>69857</xdr:colOff>
      <xdr:row>58</xdr:row>
      <xdr:rowOff>9533</xdr:rowOff>
    </xdr:to>
    <xdr:sp macro="" textlink="">
      <xdr:nvSpPr>
        <xdr:cNvPr id="50" name="线形标注 2 49"/>
        <xdr:cNvSpPr/>
      </xdr:nvSpPr>
      <xdr:spPr bwMode="auto">
        <a:xfrm>
          <a:off x="16233727" y="9601200"/>
          <a:ext cx="790630" cy="3524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53042"/>
            <a:gd name="adj6" fmla="val -44257"/>
          </a:avLst>
        </a:prstGeom>
        <a:noFill/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目標値</a:t>
          </a:r>
          <a:endParaRPr lang="en-US" altLang="ja-JP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76</a:t>
          </a:r>
          <a:r>
            <a:rPr lang="en-US" altLang="ja-JP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</a:t>
          </a:r>
          <a:r>
            <a:rPr lang="en-US" altLang="zh-CN" sz="1000" b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410</a:t>
          </a:r>
          <a:endParaRPr lang="zh-CN" altLang="en-US" sz="1000" b="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9525</xdr:colOff>
      <xdr:row>65</xdr:row>
      <xdr:rowOff>9525</xdr:rowOff>
    </xdr:from>
    <xdr:to>
      <xdr:col>15</xdr:col>
      <xdr:colOff>676275</xdr:colOff>
      <xdr:row>95</xdr:row>
      <xdr:rowOff>76200</xdr:rowOff>
    </xdr:to>
    <xdr:graphicFrame macro="">
      <xdr:nvGraphicFramePr>
        <xdr:cNvPr id="213069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0.89991</cdr:x>
      <cdr:y>0.04137</cdr:y>
    </cdr:from>
    <cdr:to>
      <cdr:x>0.99298</cdr:x>
      <cdr:y>0.10252</cdr:y>
    </cdr:to>
    <cdr:sp macro="" textlink="">
      <cdr:nvSpPr>
        <cdr:cNvPr id="2" name="矩形 1"/>
        <cdr:cNvSpPr/>
      </cdr:nvSpPr>
      <cdr:spPr bwMode="auto">
        <a:xfrm xmlns:a="http://schemas.openxmlformats.org/drawingml/2006/main">
          <a:off x="9763126" y="219076"/>
          <a:ext cx="1009649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/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単位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: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/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月</a:t>
          </a:r>
          <a:endParaRPr lang="zh-CN" sz="8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  <cdr:relSizeAnchor xmlns:cdr="http://schemas.openxmlformats.org/drawingml/2006/chartDrawing">
    <cdr:from>
      <cdr:x>0.17727</cdr:x>
      <cdr:y>0.10174</cdr:y>
    </cdr:from>
    <cdr:to>
      <cdr:x>0.41854</cdr:x>
      <cdr:y>0.2342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923198" y="521362"/>
          <a:ext cx="2617532" cy="678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300"/>
            </a:lnSpc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17/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下　見直計画　　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1,580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　</a:t>
          </a: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見通</a:t>
          </a:r>
          <a:r>
            <a:rPr lang="en-US" altLang="ja-JP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      </a:t>
          </a: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</a:t>
          </a:r>
          <a:r>
            <a:rPr lang="en-US" altLang="ja-JP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2,026</a:t>
          </a:r>
          <a:r>
            <a:rPr lang="ja-JP" altLang="zh-CN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l">
            <a:lnSpc>
              <a:spcPts val="1300"/>
            </a:lnSpc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（前回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見通　　</a:t>
          </a:r>
          <a:r>
            <a:rPr lang="en-US" altLang="zh-CN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1,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932</a:t>
          </a:r>
          <a:r>
            <a:rPr lang="zh-CN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元）</a:t>
          </a:r>
          <a:endParaRPr lang="zh-CN" altLang="zh-CN" sz="1100"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0.22847</cdr:x>
      <cdr:y>0.10435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0" y="0"/>
          <a:ext cx="2476500" cy="571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200"/>
            </a:lnSpc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</a:t>
          </a:r>
          <a:r>
            <a:rPr lang="en-US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/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下　見直計画　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150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,997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l">
            <a:lnSpc>
              <a:spcPts val="1200"/>
            </a:lnSpc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　見通し　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　　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130,699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l">
            <a:lnSpc>
              <a:spcPts val="1200"/>
            </a:lnSpc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（前回見通　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150,121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千元）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0.92729</cdr:x>
      <cdr:y>0</cdr:y>
    </cdr:from>
    <cdr:to>
      <cdr:x>0.99649</cdr:x>
      <cdr:y>0.04785</cdr:y>
    </cdr:to>
    <cdr:sp macro="" textlink="">
      <cdr:nvSpPr>
        <cdr:cNvPr id="2" name="矩形 1"/>
        <cdr:cNvSpPr/>
      </cdr:nvSpPr>
      <cdr:spPr bwMode="auto">
        <a:xfrm xmlns:a="http://schemas.openxmlformats.org/drawingml/2006/main">
          <a:off x="10051260" y="0"/>
          <a:ext cx="750090" cy="247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l"/>
          <a:r>
            <a:rPr lang="ja-JP" altLang="en-US" sz="800">
              <a:latin typeface="MS Gothic" pitchFamily="49" charset="-128"/>
              <a:ea typeface="MS Gothic" pitchFamily="49" charset="-128"/>
            </a:rPr>
            <a:t>単位</a:t>
          </a:r>
          <a:r>
            <a:rPr lang="en-US" altLang="ja-JP" sz="800">
              <a:latin typeface="MS Gothic" pitchFamily="49" charset="-128"/>
              <a:ea typeface="MS Gothic" pitchFamily="49" charset="-128"/>
            </a:rPr>
            <a:t>:</a:t>
          </a:r>
          <a:r>
            <a:rPr lang="ja-JP" altLang="en-US" sz="800">
              <a:latin typeface="MS Gothic" pitchFamily="49" charset="-128"/>
              <a:ea typeface="MS Gothic" pitchFamily="49" charset="-128"/>
            </a:rPr>
            <a:t>千元</a:t>
          </a:r>
          <a:r>
            <a:rPr lang="en-US" altLang="ja-JP" sz="800">
              <a:latin typeface="MS Gothic" pitchFamily="49" charset="-128"/>
              <a:ea typeface="MS Gothic" pitchFamily="49" charset="-128"/>
            </a:rPr>
            <a:t>/</a:t>
          </a:r>
          <a:r>
            <a:rPr lang="ja-JP" altLang="en-US" sz="800">
              <a:latin typeface="MS Gothic" pitchFamily="49" charset="-128"/>
              <a:ea typeface="MS Gothic" pitchFamily="49" charset="-128"/>
            </a:rPr>
            <a:t>月</a:t>
          </a:r>
          <a:endParaRPr lang="zh-CN" sz="800">
            <a:latin typeface="MS Gothic" pitchFamily="49" charset="-128"/>
            <a:ea typeface="MS Gothic" pitchFamily="49" charset="-128"/>
          </a:endParaRPr>
        </a:p>
      </cdr:txBody>
    </cdr:sp>
  </cdr:relSizeAnchor>
  <cdr:relSizeAnchor xmlns:cdr="http://schemas.openxmlformats.org/drawingml/2006/chartDrawing">
    <cdr:from>
      <cdr:x>0</cdr:x>
      <cdr:y>0.01184</cdr:y>
    </cdr:from>
    <cdr:to>
      <cdr:x>0.23199</cdr:x>
      <cdr:y>0.12604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0" y="60899"/>
          <a:ext cx="2514600" cy="5873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100"/>
            </a:lnSpc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17/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下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見直計画  　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71,637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l">
            <a:lnSpc>
              <a:spcPts val="1100"/>
            </a:lnSpc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　</a:t>
          </a: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見通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　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71,840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algn="l">
            <a:lnSpc>
              <a:spcPts val="1100"/>
            </a:lnSpc>
          </a:pP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</a:t>
          </a:r>
          <a:r>
            <a:rPr lang="zh-CN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（</a:t>
          </a:r>
          <a:r>
            <a:rPr lang="ja-JP" altLang="en-US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前回見通  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71,813</a:t>
          </a: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</a:t>
          </a:r>
          <a:r>
            <a:rPr lang="ja-JP" altLang="zh-CN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元</a:t>
          </a:r>
          <a:r>
            <a:rPr lang="ja-JP" altLang="en-US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）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 xmlns:a="http://schemas.openxmlformats.org/drawingml/2006/main">
          <a:pPr marL="0" marR="0" indent="0" algn="l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</a:t>
          </a:r>
          <a:r>
            <a:rPr lang="en-US" altLang="ja-JP" sz="900" baseline="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en-US" altLang="ja-JP" sz="90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</a:t>
          </a:r>
          <a:r>
            <a:rPr lang="ja-JP" altLang="zh-CN" sz="9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+mn-ea"/>
              <a:ea typeface="+mn-ea"/>
            </a:rPr>
            <a:t>　</a:t>
          </a:r>
          <a:endParaRPr lang="zh-CN" altLang="en-US" sz="1000">
            <a:solidFill>
              <a:schemeClr val="tx1"/>
            </a:solidFill>
            <a:latin typeface="+mn-ea"/>
            <a:ea typeface="+mn-ea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0.92679</cdr:x>
      <cdr:y>0.0703</cdr:y>
    </cdr:from>
    <cdr:to>
      <cdr:x>1</cdr:x>
      <cdr:y>0.11702</cdr:y>
    </cdr:to>
    <cdr:sp macro="" textlink="">
      <cdr:nvSpPr>
        <cdr:cNvPr id="2" name="矩形 1"/>
        <cdr:cNvSpPr/>
      </cdr:nvSpPr>
      <cdr:spPr bwMode="auto">
        <a:xfrm xmlns:a="http://schemas.openxmlformats.org/drawingml/2006/main">
          <a:off x="10054721" y="336812"/>
          <a:ext cx="794254" cy="223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r>
            <a:rPr lang="ja-JP" altLang="en-US" sz="800">
              <a:latin typeface="MS Gothic" pitchFamily="49" charset="-128"/>
              <a:ea typeface="MS Gothic" pitchFamily="49" charset="-128"/>
            </a:rPr>
            <a:t>単位</a:t>
          </a:r>
          <a:r>
            <a:rPr lang="en-US" altLang="ja-JP" sz="800">
              <a:latin typeface="MS Gothic" pitchFamily="49" charset="-128"/>
              <a:ea typeface="MS Gothic" pitchFamily="49" charset="-128"/>
            </a:rPr>
            <a:t>:</a:t>
          </a:r>
          <a:r>
            <a:rPr lang="ja-JP" altLang="en-US" sz="800">
              <a:latin typeface="MS Gothic" pitchFamily="49" charset="-128"/>
              <a:ea typeface="MS Gothic" pitchFamily="49" charset="-128"/>
            </a:rPr>
            <a:t>千元</a:t>
          </a:r>
          <a:r>
            <a:rPr lang="en-US" altLang="ja-JP" sz="800">
              <a:latin typeface="MS Gothic" pitchFamily="49" charset="-128"/>
              <a:ea typeface="MS Gothic" pitchFamily="49" charset="-128"/>
            </a:rPr>
            <a:t>/</a:t>
          </a:r>
          <a:r>
            <a:rPr lang="ja-JP" altLang="en-US" sz="800">
              <a:latin typeface="MS Gothic" pitchFamily="49" charset="-128"/>
              <a:ea typeface="MS Gothic" pitchFamily="49" charset="-128"/>
            </a:rPr>
            <a:t>月</a:t>
          </a:r>
          <a:endParaRPr lang="zh-CN" sz="800">
            <a:latin typeface="MS Gothic" pitchFamily="49" charset="-128"/>
            <a:ea typeface="MS Gothic" pitchFamily="49" charset="-128"/>
          </a:endParaRPr>
        </a:p>
      </cdr:txBody>
    </cdr:sp>
  </cdr:relSizeAnchor>
  <cdr:relSizeAnchor xmlns:cdr="http://schemas.openxmlformats.org/drawingml/2006/chartDrawing">
    <cdr:from>
      <cdr:x>0.172</cdr:x>
      <cdr:y>0.10918</cdr:y>
    </cdr:from>
    <cdr:to>
      <cdr:x>0.41327</cdr:x>
      <cdr:y>0.21852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866048" y="559467"/>
          <a:ext cx="2617532" cy="5603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300"/>
            </a:lnSpc>
          </a:pPr>
          <a:r>
            <a:rPr lang="en-US" altLang="ja-JP" sz="1100">
              <a:solidFill>
                <a:schemeClr val="tx1"/>
              </a:solidFill>
              <a:latin typeface="+mn-ea"/>
              <a:ea typeface="+mn-ea"/>
            </a:rPr>
            <a:t>16/</a:t>
          </a:r>
          <a:r>
            <a:rPr lang="ja-JP" altLang="en-US" sz="1100">
              <a:solidFill>
                <a:schemeClr val="tx1"/>
              </a:solidFill>
              <a:latin typeface="+mn-ea"/>
              <a:ea typeface="+mn-ea"/>
            </a:rPr>
            <a:t>下　予算　　 　</a:t>
          </a:r>
          <a:r>
            <a:rPr lang="en-US" altLang="ja-JP" sz="11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439</a:t>
          </a:r>
          <a:r>
            <a:rPr lang="ja-JP" altLang="en-US" sz="11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千</a:t>
          </a:r>
          <a:r>
            <a:rPr lang="ja-JP" altLang="en-US" sz="1100">
              <a:solidFill>
                <a:schemeClr val="tx1"/>
              </a:solidFill>
              <a:latin typeface="+mn-ea"/>
              <a:ea typeface="+mn-ea"/>
            </a:rPr>
            <a:t>元</a:t>
          </a:r>
          <a:endParaRPr lang="en-US" altLang="ja-JP" sz="1100">
            <a:solidFill>
              <a:schemeClr val="tx1"/>
            </a:solidFill>
            <a:latin typeface="+mn-ea"/>
            <a:ea typeface="+mn-ea"/>
          </a:endParaRPr>
        </a:p>
        <a:p xmlns:a="http://schemas.openxmlformats.org/drawingml/2006/main"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tx1"/>
              </a:solidFill>
              <a:latin typeface="+mn-ea"/>
              <a:ea typeface="+mn-ea"/>
            </a:rPr>
            <a:t>　　　　</a:t>
          </a:r>
          <a:r>
            <a:rPr lang="ja-JP" altLang="en-US" sz="1100" baseline="0">
              <a:solidFill>
                <a:schemeClr val="tx1"/>
              </a:solidFill>
              <a:latin typeface="+mn-ea"/>
              <a:ea typeface="+mn-ea"/>
            </a:rPr>
            <a:t>  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lang="ja-JP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  </a:t>
          </a:r>
          <a:r>
            <a:rPr lang="en-US" altLang="ja-JP" sz="1100" baseline="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63</a:t>
          </a:r>
          <a:r>
            <a:rPr lang="ja-JP" altLang="zh-CN" sz="11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千</a:t>
          </a:r>
          <a:r>
            <a:rPr lang="ja-JP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endParaRPr lang="en-US" altLang="ja-JP" sz="1100">
            <a:solidFill>
              <a:schemeClr val="tx1"/>
            </a:solidFill>
            <a:latin typeface="+mn-ea"/>
            <a:ea typeface="+mn-ea"/>
          </a:endParaRPr>
        </a:p>
        <a:p xmlns:a="http://schemas.openxmlformats.org/drawingml/2006/main">
          <a:pPr algn="l">
            <a:lnSpc>
              <a:spcPts val="1300"/>
            </a:lnSpc>
          </a:pPr>
          <a:r>
            <a:rPr lang="ja-JP" altLang="en-US" sz="1100">
              <a:solidFill>
                <a:schemeClr val="tx1"/>
              </a:solidFill>
              <a:latin typeface="+mn-ea"/>
              <a:ea typeface="+mn-ea"/>
            </a:rPr>
            <a:t>　　　　　（前回見通し　　</a:t>
          </a:r>
          <a:r>
            <a:rPr lang="en-US" altLang="ja-JP" sz="1100" baseline="0">
              <a:solidFill>
                <a:schemeClr val="tx1"/>
              </a:solidFill>
              <a:latin typeface="+mn-ea"/>
              <a:ea typeface="+mn-ea"/>
            </a:rPr>
            <a:t>63</a:t>
          </a:r>
          <a:r>
            <a:rPr lang="ja-JP" altLang="en-US" sz="1100">
              <a:solidFill>
                <a:schemeClr val="tx1"/>
              </a:solidFill>
              <a:latin typeface="+mn-ea"/>
              <a:ea typeface="+mn-ea"/>
            </a:rPr>
            <a:t>千元）</a:t>
          </a:r>
          <a:endParaRPr lang="en-US" altLang="ja-JP" sz="1100">
            <a:solidFill>
              <a:schemeClr val="tx1"/>
            </a:solidFill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0.0398</cdr:x>
      <cdr:y>0.87051</cdr:y>
    </cdr:from>
    <cdr:to>
      <cdr:x>0.04478</cdr:x>
      <cdr:y>0.88104</cdr:y>
    </cdr:to>
    <cdr:sp macro="" textlink="">
      <cdr:nvSpPr>
        <cdr:cNvPr id="5" name="等腰三角形 4"/>
        <cdr:cNvSpPr/>
      </cdr:nvSpPr>
      <cdr:spPr>
        <a:xfrm xmlns:a="http://schemas.openxmlformats.org/drawingml/2006/main">
          <a:off x="431787" y="4460891"/>
          <a:ext cx="54028" cy="5396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0.90404</cdr:x>
      <cdr:y>0</cdr:y>
    </cdr:from>
    <cdr:to>
      <cdr:x>1</cdr:x>
      <cdr:y>0.13744</cdr:y>
    </cdr:to>
    <cdr:sp macro="" textlink="">
      <cdr:nvSpPr>
        <cdr:cNvPr id="2" name="矩形 1"/>
        <cdr:cNvSpPr/>
      </cdr:nvSpPr>
      <cdr:spPr bwMode="auto">
        <a:xfrm xmlns:a="http://schemas.openxmlformats.org/drawingml/2006/main">
          <a:off x="8524875" y="0"/>
          <a:ext cx="904875" cy="303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単位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: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/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月</a:t>
          </a:r>
          <a:endParaRPr lang="zh-CN" sz="8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0.91476</cdr:x>
      <cdr:y>0.01079</cdr:y>
    </cdr:from>
    <cdr:to>
      <cdr:x>1</cdr:x>
      <cdr:y>0.06655</cdr:y>
    </cdr:to>
    <cdr:sp macro="" textlink="">
      <cdr:nvSpPr>
        <cdr:cNvPr id="2" name="矩形 1"/>
        <cdr:cNvSpPr/>
      </cdr:nvSpPr>
      <cdr:spPr bwMode="auto">
        <a:xfrm xmlns:a="http://schemas.openxmlformats.org/drawingml/2006/main">
          <a:off x="9915525" y="57150"/>
          <a:ext cx="923925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/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単位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: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r>
            <a:rPr lang="en-US" altLang="ja-JP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/</a:t>
          </a:r>
          <a:r>
            <a:rPr lang="ja-JP" altLang="en-US" sz="8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月</a:t>
          </a:r>
          <a:endParaRPr lang="zh-CN" sz="800"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cdr:txBody>
    </cdr:sp>
  </cdr:relSizeAnchor>
  <cdr:relSizeAnchor xmlns:cdr="http://schemas.openxmlformats.org/drawingml/2006/chartDrawing">
    <cdr:from>
      <cdr:x>0.15686</cdr:x>
      <cdr:y>0.11331</cdr:y>
    </cdr:from>
    <cdr:to>
      <cdr:x>0.4007</cdr:x>
      <cdr:y>0.24523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1700276" y="600075"/>
          <a:ext cx="2643124" cy="6986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>
            <a:lnSpc>
              <a:spcPts val="1100"/>
            </a:lnSpc>
          </a:pPr>
          <a:r>
            <a:rPr lang="en-US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17/</a:t>
          </a: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上　目標値　　  </a:t>
          </a:r>
          <a:r>
            <a:rPr lang="en-US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1,990</a:t>
          </a: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</a:p>
        <a:p xmlns:a="http://schemas.openxmlformats.org/drawingml/2006/main">
          <a:pPr algn="l">
            <a:lnSpc>
              <a:spcPts val="1100"/>
            </a:lnSpc>
          </a:pP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　見通　 　　　   </a:t>
          </a:r>
          <a:r>
            <a:rPr lang="en-US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537</a:t>
          </a: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</a:p>
        <a:p xmlns:a="http://schemas.openxmlformats.org/drawingml/2006/main">
          <a:pPr algn="l">
            <a:lnSpc>
              <a:spcPts val="1100"/>
            </a:lnSpc>
          </a:pP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（前回見通　   </a:t>
          </a:r>
          <a:r>
            <a:rPr lang="en-US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239</a:t>
          </a:r>
          <a:r>
            <a:rPr lang="zh-CN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千元）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96</xdr:row>
      <xdr:rowOff>95250</xdr:rowOff>
    </xdr:from>
    <xdr:to>
      <xdr:col>19</xdr:col>
      <xdr:colOff>295275</xdr:colOff>
      <xdr:row>115</xdr:row>
      <xdr:rowOff>28575</xdr:rowOff>
    </xdr:to>
    <xdr:graphicFrame macro="">
      <xdr:nvGraphicFramePr>
        <xdr:cNvPr id="1636365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638175</xdr:colOff>
      <xdr:row>96</xdr:row>
      <xdr:rowOff>57150</xdr:rowOff>
    </xdr:from>
    <xdr:to>
      <xdr:col>28</xdr:col>
      <xdr:colOff>28575</xdr:colOff>
      <xdr:row>115</xdr:row>
      <xdr:rowOff>19050</xdr:rowOff>
    </xdr:to>
    <xdr:graphicFrame macro="">
      <xdr:nvGraphicFramePr>
        <xdr:cNvPr id="1636364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96</xdr:row>
      <xdr:rowOff>95250</xdr:rowOff>
    </xdr:from>
    <xdr:to>
      <xdr:col>7</xdr:col>
      <xdr:colOff>409575</xdr:colOff>
      <xdr:row>115</xdr:row>
      <xdr:rowOff>38100</xdr:rowOff>
    </xdr:to>
    <xdr:graphicFrame macro="">
      <xdr:nvGraphicFramePr>
        <xdr:cNvPr id="1636364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96</xdr:row>
      <xdr:rowOff>85725</xdr:rowOff>
    </xdr:from>
    <xdr:to>
      <xdr:col>17</xdr:col>
      <xdr:colOff>314325</xdr:colOff>
      <xdr:row>115</xdr:row>
      <xdr:rowOff>28575</xdr:rowOff>
    </xdr:to>
    <xdr:graphicFrame macro="">
      <xdr:nvGraphicFramePr>
        <xdr:cNvPr id="1636365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771525</xdr:colOff>
      <xdr:row>96</xdr:row>
      <xdr:rowOff>95250</xdr:rowOff>
    </xdr:from>
    <xdr:to>
      <xdr:col>13</xdr:col>
      <xdr:colOff>371475</xdr:colOff>
      <xdr:row>115</xdr:row>
      <xdr:rowOff>28575</xdr:rowOff>
    </xdr:to>
    <xdr:graphicFrame macro="">
      <xdr:nvGraphicFramePr>
        <xdr:cNvPr id="1636364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447675</xdr:colOff>
      <xdr:row>96</xdr:row>
      <xdr:rowOff>76200</xdr:rowOff>
    </xdr:from>
    <xdr:to>
      <xdr:col>9</xdr:col>
      <xdr:colOff>276225</xdr:colOff>
      <xdr:row>115</xdr:row>
      <xdr:rowOff>38100</xdr:rowOff>
    </xdr:to>
    <xdr:graphicFrame macro="">
      <xdr:nvGraphicFramePr>
        <xdr:cNvPr id="1636364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409575</xdr:colOff>
      <xdr:row>96</xdr:row>
      <xdr:rowOff>76200</xdr:rowOff>
    </xdr:from>
    <xdr:to>
      <xdr:col>29</xdr:col>
      <xdr:colOff>419100</xdr:colOff>
      <xdr:row>115</xdr:row>
      <xdr:rowOff>19050</xdr:rowOff>
    </xdr:to>
    <xdr:graphicFrame macro="">
      <xdr:nvGraphicFramePr>
        <xdr:cNvPr id="16363641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504825</xdr:colOff>
      <xdr:row>96</xdr:row>
      <xdr:rowOff>57150</xdr:rowOff>
    </xdr:from>
    <xdr:to>
      <xdr:col>21</xdr:col>
      <xdr:colOff>485775</xdr:colOff>
      <xdr:row>115</xdr:row>
      <xdr:rowOff>9525</xdr:rowOff>
    </xdr:to>
    <xdr:graphicFrame macro="">
      <xdr:nvGraphicFramePr>
        <xdr:cNvPr id="1636364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514350</xdr:colOff>
      <xdr:row>96</xdr:row>
      <xdr:rowOff>38100</xdr:rowOff>
    </xdr:from>
    <xdr:to>
      <xdr:col>23</xdr:col>
      <xdr:colOff>552450</xdr:colOff>
      <xdr:row>115</xdr:row>
      <xdr:rowOff>0</xdr:rowOff>
    </xdr:to>
    <xdr:graphicFrame macro="">
      <xdr:nvGraphicFramePr>
        <xdr:cNvPr id="1636364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561975</xdr:colOff>
      <xdr:row>96</xdr:row>
      <xdr:rowOff>85725</xdr:rowOff>
    </xdr:from>
    <xdr:to>
      <xdr:col>25</xdr:col>
      <xdr:colOff>638175</xdr:colOff>
      <xdr:row>115</xdr:row>
      <xdr:rowOff>28575</xdr:rowOff>
    </xdr:to>
    <xdr:graphicFrame macro="">
      <xdr:nvGraphicFramePr>
        <xdr:cNvPr id="1636364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114300</xdr:colOff>
      <xdr:row>96</xdr:row>
      <xdr:rowOff>66675</xdr:rowOff>
    </xdr:from>
    <xdr:to>
      <xdr:col>11</xdr:col>
      <xdr:colOff>161925</xdr:colOff>
      <xdr:row>115</xdr:row>
      <xdr:rowOff>19050</xdr:rowOff>
    </xdr:to>
    <xdr:graphicFrame macro="">
      <xdr:nvGraphicFramePr>
        <xdr:cNvPr id="16363648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57150</xdr:colOff>
      <xdr:row>96</xdr:row>
      <xdr:rowOff>85725</xdr:rowOff>
    </xdr:from>
    <xdr:to>
      <xdr:col>15</xdr:col>
      <xdr:colOff>304800</xdr:colOff>
      <xdr:row>115</xdr:row>
      <xdr:rowOff>28575</xdr:rowOff>
    </xdr:to>
    <xdr:graphicFrame macro="">
      <xdr:nvGraphicFramePr>
        <xdr:cNvPr id="1636365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44319</xdr:colOff>
      <xdr:row>90</xdr:row>
      <xdr:rowOff>77755</xdr:rowOff>
    </xdr:from>
    <xdr:to>
      <xdr:col>9</xdr:col>
      <xdr:colOff>234820</xdr:colOff>
      <xdr:row>95</xdr:row>
      <xdr:rowOff>38879</xdr:rowOff>
    </xdr:to>
    <xdr:sp macro="" textlink="">
      <xdr:nvSpPr>
        <xdr:cNvPr id="34" name="矩形 33"/>
        <xdr:cNvSpPr/>
      </xdr:nvSpPr>
      <xdr:spPr>
        <a:xfrm>
          <a:off x="569166" y="15823163"/>
          <a:ext cx="3242389" cy="83586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200"/>
            </a:lnSpc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17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下　見直計画　　　　</a:t>
          </a:r>
          <a:r>
            <a:rPr lang="en-US" altLang="ja-JP" sz="1100" baseline="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134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,889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　　　 見直</a:t>
          </a:r>
          <a:r>
            <a:rPr lang="en-US" altLang="ja-JP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</a:t>
          </a: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          </a:t>
          </a:r>
          <a:r>
            <a:rPr lang="en-US" altLang="ja-JP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113,499</a:t>
          </a:r>
          <a:r>
            <a:rPr lang="ja-JP" altLang="zh-CN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千元　　</a:t>
          </a:r>
          <a:endParaRPr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l">
            <a:lnSpc>
              <a:spcPts val="1200"/>
            </a:lnSpc>
          </a:pP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   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（前回</a:t>
          </a:r>
          <a:r>
            <a:rPr lang="ja-JP" altLang="en-US" sz="1100" baseline="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見通し</a:t>
          </a:r>
          <a:r>
            <a:rPr lang="ja-JP" altLang="zh-CN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 </a:t>
          </a:r>
          <a:r>
            <a:rPr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 124,367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千</a:t>
          </a:r>
          <a:r>
            <a:rPr lang="ja-JP" altLang="zh-CN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元</a:t>
          </a:r>
          <a:r>
            <a:rPr lang="ja-JP" altLang="en-US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）</a:t>
          </a:r>
          <a:r>
            <a:rPr lang="ja-JP" altLang="zh-CN" sz="11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</a:t>
          </a:r>
          <a:r>
            <a:rPr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</a:t>
          </a:r>
          <a:endParaRPr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582082</xdr:colOff>
      <xdr:row>112</xdr:row>
      <xdr:rowOff>158750</xdr:rowOff>
    </xdr:from>
    <xdr:to>
      <xdr:col>29</xdr:col>
      <xdr:colOff>592667</xdr:colOff>
      <xdr:row>112</xdr:row>
      <xdr:rowOff>158750</xdr:rowOff>
    </xdr:to>
    <xdr:cxnSp macro="">
      <xdr:nvCxnSpPr>
        <xdr:cNvPr id="36" name="直接连接符 35"/>
        <xdr:cNvCxnSpPr/>
      </xdr:nvCxnSpPr>
      <xdr:spPr>
        <a:xfrm>
          <a:off x="1111249" y="19124083"/>
          <a:ext cx="1709208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709084</xdr:colOff>
      <xdr:row>106</xdr:row>
      <xdr:rowOff>75408</xdr:rowOff>
    </xdr:from>
    <xdr:to>
      <xdr:col>7</xdr:col>
      <xdr:colOff>253999</xdr:colOff>
      <xdr:row>110</xdr:row>
      <xdr:rowOff>118941</xdr:rowOff>
    </xdr:to>
    <xdr:sp macro="" textlink="">
      <xdr:nvSpPr>
        <xdr:cNvPr id="40" name="矩形 39"/>
        <xdr:cNvSpPr/>
      </xdr:nvSpPr>
      <xdr:spPr>
        <a:xfrm>
          <a:off x="1862667" y="17855408"/>
          <a:ext cx="359832" cy="72086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7</xdr:col>
      <xdr:colOff>52917</xdr:colOff>
      <xdr:row>104</xdr:row>
      <xdr:rowOff>68793</xdr:rowOff>
    </xdr:from>
    <xdr:to>
      <xdr:col>7</xdr:col>
      <xdr:colOff>539750</xdr:colOff>
      <xdr:row>109</xdr:row>
      <xdr:rowOff>40887</xdr:rowOff>
    </xdr:to>
    <xdr:sp macro="" textlink="">
      <xdr:nvSpPr>
        <xdr:cNvPr id="53" name="矩形 52"/>
        <xdr:cNvSpPr/>
      </xdr:nvSpPr>
      <xdr:spPr>
        <a:xfrm>
          <a:off x="2021417" y="17510126"/>
          <a:ext cx="486833" cy="818761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zh-CN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zh-CN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績　</a:t>
          </a:r>
          <a:r>
            <a:rPr lang="ja-JP" altLang="en-US" sz="10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8</xdr:col>
      <xdr:colOff>444500</xdr:colOff>
      <xdr:row>106</xdr:row>
      <xdr:rowOff>52917</xdr:rowOff>
    </xdr:from>
    <xdr:to>
      <xdr:col>8</xdr:col>
      <xdr:colOff>793750</xdr:colOff>
      <xdr:row>110</xdr:row>
      <xdr:rowOff>96449</xdr:rowOff>
    </xdr:to>
    <xdr:sp macro="" textlink="">
      <xdr:nvSpPr>
        <xdr:cNvPr id="49" name="矩形 48"/>
        <xdr:cNvSpPr/>
      </xdr:nvSpPr>
      <xdr:spPr>
        <a:xfrm>
          <a:off x="3227917" y="18002250"/>
          <a:ext cx="349250" cy="72086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8</xdr:col>
      <xdr:colOff>635001</xdr:colOff>
      <xdr:row>106</xdr:row>
      <xdr:rowOff>126999</xdr:rowOff>
    </xdr:from>
    <xdr:to>
      <xdr:col>9</xdr:col>
      <xdr:colOff>232835</xdr:colOff>
      <xdr:row>111</xdr:row>
      <xdr:rowOff>1198</xdr:rowOff>
    </xdr:to>
    <xdr:sp macro="" textlink="">
      <xdr:nvSpPr>
        <xdr:cNvPr id="51" name="矩形 50"/>
        <xdr:cNvSpPr/>
      </xdr:nvSpPr>
      <xdr:spPr>
        <a:xfrm>
          <a:off x="3418418" y="18076332"/>
          <a:ext cx="412750" cy="72086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</a:t>
          </a:r>
          <a:endParaRPr lang="en-US" altLang="ja-JP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績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10</xdr:col>
      <xdr:colOff>243419</xdr:colOff>
      <xdr:row>106</xdr:row>
      <xdr:rowOff>84668</xdr:rowOff>
    </xdr:from>
    <xdr:to>
      <xdr:col>10</xdr:col>
      <xdr:colOff>592667</xdr:colOff>
      <xdr:row>110</xdr:row>
      <xdr:rowOff>128198</xdr:rowOff>
    </xdr:to>
    <xdr:sp macro="" textlink="">
      <xdr:nvSpPr>
        <xdr:cNvPr id="52" name="矩形 51"/>
        <xdr:cNvSpPr/>
      </xdr:nvSpPr>
      <xdr:spPr>
        <a:xfrm>
          <a:off x="4656669" y="18034001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10</xdr:col>
      <xdr:colOff>476251</xdr:colOff>
      <xdr:row>105</xdr:row>
      <xdr:rowOff>158751</xdr:rowOff>
    </xdr:from>
    <xdr:to>
      <xdr:col>11</xdr:col>
      <xdr:colOff>10582</xdr:colOff>
      <xdr:row>110</xdr:row>
      <xdr:rowOff>32948</xdr:rowOff>
    </xdr:to>
    <xdr:sp macro="" textlink="">
      <xdr:nvSpPr>
        <xdr:cNvPr id="56" name="矩形 55"/>
        <xdr:cNvSpPr/>
      </xdr:nvSpPr>
      <xdr:spPr>
        <a:xfrm>
          <a:off x="4889501" y="17938751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7</xdr:col>
      <xdr:colOff>74083</xdr:colOff>
      <xdr:row>97</xdr:row>
      <xdr:rowOff>105832</xdr:rowOff>
    </xdr:from>
    <xdr:to>
      <xdr:col>7</xdr:col>
      <xdr:colOff>486834</xdr:colOff>
      <xdr:row>100</xdr:row>
      <xdr:rowOff>148164</xdr:rowOff>
    </xdr:to>
    <xdr:sp macro="" textlink="">
      <xdr:nvSpPr>
        <xdr:cNvPr id="60" name="椭圆 59"/>
        <xdr:cNvSpPr/>
      </xdr:nvSpPr>
      <xdr:spPr bwMode="auto">
        <a:xfrm flipV="1">
          <a:off x="2042583" y="16361832"/>
          <a:ext cx="412751" cy="550332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>
              <a:latin typeface="MS Gothic" pitchFamily="49" charset="-128"/>
              <a:ea typeface="MS Gothic" pitchFamily="49" charset="-128"/>
            </a:rPr>
            <a:t>873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8</xdr:col>
      <xdr:colOff>624417</xdr:colOff>
      <xdr:row>99</xdr:row>
      <xdr:rowOff>21165</xdr:rowOff>
    </xdr:from>
    <xdr:to>
      <xdr:col>9</xdr:col>
      <xdr:colOff>211669</xdr:colOff>
      <xdr:row>102</xdr:row>
      <xdr:rowOff>63492</xdr:rowOff>
    </xdr:to>
    <xdr:sp macro="" textlink="">
      <xdr:nvSpPr>
        <xdr:cNvPr id="61" name="椭圆 60"/>
        <xdr:cNvSpPr/>
      </xdr:nvSpPr>
      <xdr:spPr bwMode="auto">
        <a:xfrm flipV="1">
          <a:off x="3407834" y="16785165"/>
          <a:ext cx="402168" cy="550327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797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14</xdr:col>
      <xdr:colOff>179915</xdr:colOff>
      <xdr:row>105</xdr:row>
      <xdr:rowOff>105834</xdr:rowOff>
    </xdr:from>
    <xdr:to>
      <xdr:col>14</xdr:col>
      <xdr:colOff>529163</xdr:colOff>
      <xdr:row>109</xdr:row>
      <xdr:rowOff>149365</xdr:rowOff>
    </xdr:to>
    <xdr:sp macro="" textlink="">
      <xdr:nvSpPr>
        <xdr:cNvPr id="45" name="矩形 44"/>
        <xdr:cNvSpPr/>
      </xdr:nvSpPr>
      <xdr:spPr>
        <a:xfrm>
          <a:off x="7471832" y="17885834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14</xdr:col>
      <xdr:colOff>412748</xdr:colOff>
      <xdr:row>105</xdr:row>
      <xdr:rowOff>84666</xdr:rowOff>
    </xdr:from>
    <xdr:to>
      <xdr:col>15</xdr:col>
      <xdr:colOff>74080</xdr:colOff>
      <xdr:row>109</xdr:row>
      <xdr:rowOff>128197</xdr:rowOff>
    </xdr:to>
    <xdr:sp macro="" textlink="">
      <xdr:nvSpPr>
        <xdr:cNvPr id="46" name="矩形 45"/>
        <xdr:cNvSpPr/>
      </xdr:nvSpPr>
      <xdr:spPr>
        <a:xfrm>
          <a:off x="7704665" y="17864666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148167</xdr:colOff>
      <xdr:row>106</xdr:row>
      <xdr:rowOff>31750</xdr:rowOff>
    </xdr:from>
    <xdr:to>
      <xdr:col>12</xdr:col>
      <xdr:colOff>497415</xdr:colOff>
      <xdr:row>110</xdr:row>
      <xdr:rowOff>75280</xdr:rowOff>
    </xdr:to>
    <xdr:sp macro="" textlink="">
      <xdr:nvSpPr>
        <xdr:cNvPr id="48" name="矩形 47"/>
        <xdr:cNvSpPr/>
      </xdr:nvSpPr>
      <xdr:spPr>
        <a:xfrm>
          <a:off x="6064250" y="17981083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12</xdr:col>
      <xdr:colOff>370416</xdr:colOff>
      <xdr:row>106</xdr:row>
      <xdr:rowOff>21168</xdr:rowOff>
    </xdr:from>
    <xdr:to>
      <xdr:col>13</xdr:col>
      <xdr:colOff>31747</xdr:colOff>
      <xdr:row>110</xdr:row>
      <xdr:rowOff>64698</xdr:rowOff>
    </xdr:to>
    <xdr:sp macro="" textlink="">
      <xdr:nvSpPr>
        <xdr:cNvPr id="50" name="矩形 49"/>
        <xdr:cNvSpPr/>
      </xdr:nvSpPr>
      <xdr:spPr>
        <a:xfrm>
          <a:off x="6286499" y="17970501"/>
          <a:ext cx="349248" cy="72086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10</xdr:col>
      <xdr:colOff>416057</xdr:colOff>
      <xdr:row>99</xdr:row>
      <xdr:rowOff>31087</xdr:rowOff>
    </xdr:from>
    <xdr:to>
      <xdr:col>11</xdr:col>
      <xdr:colOff>3310</xdr:colOff>
      <xdr:row>102</xdr:row>
      <xdr:rowOff>73414</xdr:rowOff>
    </xdr:to>
    <xdr:sp macro="" textlink="">
      <xdr:nvSpPr>
        <xdr:cNvPr id="29" name="椭圆 28"/>
        <xdr:cNvSpPr/>
      </xdr:nvSpPr>
      <xdr:spPr bwMode="auto">
        <a:xfrm flipV="1">
          <a:off x="4811448" y="16729603"/>
          <a:ext cx="400846" cy="548342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839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12</xdr:col>
      <xdr:colOff>356527</xdr:colOff>
      <xdr:row>99</xdr:row>
      <xdr:rowOff>110461</xdr:rowOff>
    </xdr:from>
    <xdr:to>
      <xdr:col>13</xdr:col>
      <xdr:colOff>72764</xdr:colOff>
      <xdr:row>102</xdr:row>
      <xdr:rowOff>152788</xdr:rowOff>
    </xdr:to>
    <xdr:sp macro="" textlink="">
      <xdr:nvSpPr>
        <xdr:cNvPr id="30" name="椭圆 29"/>
        <xdr:cNvSpPr/>
      </xdr:nvSpPr>
      <xdr:spPr bwMode="auto">
        <a:xfrm flipV="1">
          <a:off x="6250121" y="16808977"/>
          <a:ext cx="400846" cy="548342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756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14</xdr:col>
      <xdr:colOff>356526</xdr:colOff>
      <xdr:row>97</xdr:row>
      <xdr:rowOff>13804</xdr:rowOff>
    </xdr:from>
    <xdr:to>
      <xdr:col>15</xdr:col>
      <xdr:colOff>124240</xdr:colOff>
      <xdr:row>100</xdr:row>
      <xdr:rowOff>82826</xdr:rowOff>
    </xdr:to>
    <xdr:sp macro="" textlink="">
      <xdr:nvSpPr>
        <xdr:cNvPr id="31" name="椭圆 30"/>
        <xdr:cNvSpPr/>
      </xdr:nvSpPr>
      <xdr:spPr bwMode="auto">
        <a:xfrm flipV="1">
          <a:off x="7659026" y="16082065"/>
          <a:ext cx="457931" cy="565978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943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16</xdr:col>
      <xdr:colOff>405124</xdr:colOff>
      <xdr:row>97</xdr:row>
      <xdr:rowOff>13804</xdr:rowOff>
    </xdr:from>
    <xdr:to>
      <xdr:col>17</xdr:col>
      <xdr:colOff>172838</xdr:colOff>
      <xdr:row>100</xdr:row>
      <xdr:rowOff>82826</xdr:rowOff>
    </xdr:to>
    <xdr:sp macro="" textlink="">
      <xdr:nvSpPr>
        <xdr:cNvPr id="32" name="椭圆 31"/>
        <xdr:cNvSpPr/>
      </xdr:nvSpPr>
      <xdr:spPr bwMode="auto">
        <a:xfrm flipV="1">
          <a:off x="9045660" y="16983855"/>
          <a:ext cx="457790" cy="593869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954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18</xdr:col>
      <xdr:colOff>447092</xdr:colOff>
      <xdr:row>97</xdr:row>
      <xdr:rowOff>48597</xdr:rowOff>
    </xdr:from>
    <xdr:to>
      <xdr:col>19</xdr:col>
      <xdr:colOff>214806</xdr:colOff>
      <xdr:row>100</xdr:row>
      <xdr:rowOff>117619</xdr:rowOff>
    </xdr:to>
    <xdr:sp macro="" textlink="">
      <xdr:nvSpPr>
        <xdr:cNvPr id="33" name="椭圆 32"/>
        <xdr:cNvSpPr/>
      </xdr:nvSpPr>
      <xdr:spPr bwMode="auto">
        <a:xfrm flipV="1">
          <a:off x="10467781" y="17018648"/>
          <a:ext cx="457790" cy="593869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 baseline="0">
              <a:latin typeface="MS Gothic" pitchFamily="49" charset="-128"/>
              <a:ea typeface="MS Gothic" pitchFamily="49" charset="-128"/>
            </a:rPr>
            <a:t>993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18</xdr:col>
      <xdr:colOff>252704</xdr:colOff>
      <xdr:row>104</xdr:row>
      <xdr:rowOff>87474</xdr:rowOff>
    </xdr:from>
    <xdr:to>
      <xdr:col>18</xdr:col>
      <xdr:colOff>602439</xdr:colOff>
      <xdr:row>109</xdr:row>
      <xdr:rowOff>130821</xdr:rowOff>
    </xdr:to>
    <xdr:sp macro="" textlink="">
      <xdr:nvSpPr>
        <xdr:cNvPr id="35" name="矩形 34"/>
        <xdr:cNvSpPr/>
      </xdr:nvSpPr>
      <xdr:spPr>
        <a:xfrm>
          <a:off x="10273393" y="18282168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20</xdr:col>
      <xdr:colOff>155510</xdr:colOff>
      <xdr:row>103</xdr:row>
      <xdr:rowOff>58316</xdr:rowOff>
    </xdr:from>
    <xdr:to>
      <xdr:col>20</xdr:col>
      <xdr:colOff>505245</xdr:colOff>
      <xdr:row>108</xdr:row>
      <xdr:rowOff>101663</xdr:rowOff>
    </xdr:to>
    <xdr:sp macro="" textlink="">
      <xdr:nvSpPr>
        <xdr:cNvPr id="37" name="矩形 36"/>
        <xdr:cNvSpPr/>
      </xdr:nvSpPr>
      <xdr:spPr>
        <a:xfrm>
          <a:off x="11556352" y="18078061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22</xdr:col>
      <xdr:colOff>242984</xdr:colOff>
      <xdr:row>103</xdr:row>
      <xdr:rowOff>48598</xdr:rowOff>
    </xdr:from>
    <xdr:to>
      <xdr:col>22</xdr:col>
      <xdr:colOff>592719</xdr:colOff>
      <xdr:row>108</xdr:row>
      <xdr:rowOff>91945</xdr:rowOff>
    </xdr:to>
    <xdr:sp macro="" textlink="">
      <xdr:nvSpPr>
        <xdr:cNvPr id="38" name="矩形 37"/>
        <xdr:cNvSpPr/>
      </xdr:nvSpPr>
      <xdr:spPr>
        <a:xfrm>
          <a:off x="13023979" y="18068343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20</xdr:col>
      <xdr:colOff>379056</xdr:colOff>
      <xdr:row>103</xdr:row>
      <xdr:rowOff>155510</xdr:rowOff>
    </xdr:from>
    <xdr:to>
      <xdr:col>21</xdr:col>
      <xdr:colOff>38715</xdr:colOff>
      <xdr:row>108</xdr:row>
      <xdr:rowOff>25221</xdr:rowOff>
    </xdr:to>
    <xdr:sp macro="" textlink="">
      <xdr:nvSpPr>
        <xdr:cNvPr id="39" name="矩形 38"/>
        <xdr:cNvSpPr/>
      </xdr:nvSpPr>
      <xdr:spPr>
        <a:xfrm>
          <a:off x="11779898" y="18175255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22</xdr:col>
      <xdr:colOff>447092</xdr:colOff>
      <xdr:row>103</xdr:row>
      <xdr:rowOff>155511</xdr:rowOff>
    </xdr:from>
    <xdr:to>
      <xdr:col>23</xdr:col>
      <xdr:colOff>106751</xdr:colOff>
      <xdr:row>108</xdr:row>
      <xdr:rowOff>25222</xdr:rowOff>
    </xdr:to>
    <xdr:sp macro="" textlink="">
      <xdr:nvSpPr>
        <xdr:cNvPr id="41" name="矩形 40"/>
        <xdr:cNvSpPr/>
      </xdr:nvSpPr>
      <xdr:spPr>
        <a:xfrm>
          <a:off x="13228087" y="18175256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502298</xdr:colOff>
      <xdr:row>104</xdr:row>
      <xdr:rowOff>162120</xdr:rowOff>
    </xdr:from>
    <xdr:to>
      <xdr:col>19</xdr:col>
      <xdr:colOff>161957</xdr:colOff>
      <xdr:row>109</xdr:row>
      <xdr:rowOff>31831</xdr:rowOff>
    </xdr:to>
    <xdr:sp macro="" textlink="">
      <xdr:nvSpPr>
        <xdr:cNvPr id="42" name="矩形 41"/>
        <xdr:cNvSpPr/>
      </xdr:nvSpPr>
      <xdr:spPr>
        <a:xfrm>
          <a:off x="10522987" y="18356814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592883</xdr:colOff>
      <xdr:row>103</xdr:row>
      <xdr:rowOff>19439</xdr:rowOff>
    </xdr:from>
    <xdr:to>
      <xdr:col>27</xdr:col>
      <xdr:colOff>252541</xdr:colOff>
      <xdr:row>107</xdr:row>
      <xdr:rowOff>64099</xdr:rowOff>
    </xdr:to>
    <xdr:sp macro="" textlink="">
      <xdr:nvSpPr>
        <xdr:cNvPr id="43" name="矩形 42"/>
        <xdr:cNvSpPr/>
      </xdr:nvSpPr>
      <xdr:spPr>
        <a:xfrm>
          <a:off x="16134184" y="18039184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今回計画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28</xdr:col>
      <xdr:colOff>651199</xdr:colOff>
      <xdr:row>103</xdr:row>
      <xdr:rowOff>116633</xdr:rowOff>
    </xdr:from>
    <xdr:to>
      <xdr:col>29</xdr:col>
      <xdr:colOff>310857</xdr:colOff>
      <xdr:row>107</xdr:row>
      <xdr:rowOff>161293</xdr:rowOff>
    </xdr:to>
    <xdr:sp macro="" textlink="">
      <xdr:nvSpPr>
        <xdr:cNvPr id="44" name="矩形 43"/>
        <xdr:cNvSpPr/>
      </xdr:nvSpPr>
      <xdr:spPr>
        <a:xfrm>
          <a:off x="17572653" y="18136378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今回計画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24</xdr:col>
      <xdr:colOff>505408</xdr:colOff>
      <xdr:row>103</xdr:row>
      <xdr:rowOff>106914</xdr:rowOff>
    </xdr:from>
    <xdr:to>
      <xdr:col>25</xdr:col>
      <xdr:colOff>165067</xdr:colOff>
      <xdr:row>107</xdr:row>
      <xdr:rowOff>151574</xdr:rowOff>
    </xdr:to>
    <xdr:sp macro="" textlink="">
      <xdr:nvSpPr>
        <xdr:cNvPr id="47" name="矩形 46"/>
        <xdr:cNvSpPr/>
      </xdr:nvSpPr>
      <xdr:spPr>
        <a:xfrm>
          <a:off x="14666556" y="18126659"/>
          <a:ext cx="349735" cy="74445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実績　</a:t>
          </a:r>
          <a:endParaRPr lang="zh-CN" altLang="en-US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</xdr:txBody>
    </xdr:sp>
    <xdr:clientData/>
  </xdr:twoCellAnchor>
  <xdr:twoCellAnchor>
    <xdr:from>
      <xdr:col>28</xdr:col>
      <xdr:colOff>437373</xdr:colOff>
      <xdr:row>103</xdr:row>
      <xdr:rowOff>58317</xdr:rowOff>
    </xdr:from>
    <xdr:to>
      <xdr:col>29</xdr:col>
      <xdr:colOff>97031</xdr:colOff>
      <xdr:row>108</xdr:row>
      <xdr:rowOff>101664</xdr:rowOff>
    </xdr:to>
    <xdr:sp macro="" textlink="">
      <xdr:nvSpPr>
        <xdr:cNvPr id="54" name="矩形 53"/>
        <xdr:cNvSpPr/>
      </xdr:nvSpPr>
      <xdr:spPr>
        <a:xfrm>
          <a:off x="17358827" y="18078062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前</a:t>
          </a:r>
          <a:r>
            <a:rPr lang="zh-CN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回</a:t>
          </a: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26</xdr:col>
      <xdr:colOff>359618</xdr:colOff>
      <xdr:row>102</xdr:row>
      <xdr:rowOff>126353</xdr:rowOff>
    </xdr:from>
    <xdr:to>
      <xdr:col>27</xdr:col>
      <xdr:colOff>19276</xdr:colOff>
      <xdr:row>107</xdr:row>
      <xdr:rowOff>169700</xdr:rowOff>
    </xdr:to>
    <xdr:sp macro="" textlink="">
      <xdr:nvSpPr>
        <xdr:cNvPr id="55" name="矩形 54"/>
        <xdr:cNvSpPr/>
      </xdr:nvSpPr>
      <xdr:spPr>
        <a:xfrm>
          <a:off x="15900919" y="17971149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前</a:t>
          </a:r>
          <a:r>
            <a:rPr lang="zh-CN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回</a:t>
          </a: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24</xdr:col>
      <xdr:colOff>281861</xdr:colOff>
      <xdr:row>103</xdr:row>
      <xdr:rowOff>48598</xdr:rowOff>
    </xdr:from>
    <xdr:to>
      <xdr:col>24</xdr:col>
      <xdr:colOff>631596</xdr:colOff>
      <xdr:row>108</xdr:row>
      <xdr:rowOff>91945</xdr:rowOff>
    </xdr:to>
    <xdr:sp macro="" textlink="">
      <xdr:nvSpPr>
        <xdr:cNvPr id="57" name="矩形 56"/>
        <xdr:cNvSpPr/>
      </xdr:nvSpPr>
      <xdr:spPr>
        <a:xfrm>
          <a:off x="14443009" y="18068343"/>
          <a:ext cx="349735" cy="91809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計</a:t>
          </a:r>
          <a:endParaRPr lang="en-US" altLang="ja-JP" sz="1200">
            <a:solidFill>
              <a:schemeClr val="dk1"/>
            </a:solidFill>
            <a:effectLst/>
            <a:latin typeface="Meiryo UI" panose="020B0604030504040204" pitchFamily="34" charset="-128"/>
            <a:ea typeface="Meiryo UI" panose="020B0604030504040204" pitchFamily="34" charset="-128"/>
            <a:cs typeface="Meiryo UI" panose="020B0604030504040204" pitchFamily="34" charset="-128"/>
          </a:endParaRPr>
        </a:p>
        <a:p>
          <a:pPr algn="ctr">
            <a:lnSpc>
              <a:spcPts val="1100"/>
            </a:lnSpc>
          </a:pPr>
          <a:r>
            <a:rPr lang="ja-JP" altLang="en-US" sz="1200">
              <a:solidFill>
                <a:schemeClr val="dk1"/>
              </a:solidFill>
              <a:effectLst/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画</a:t>
          </a:r>
          <a:r>
            <a:rPr lang="ja-JP" altLang="zh-CN" sz="1000">
              <a:solidFill>
                <a:schemeClr val="dk1"/>
              </a:solidFill>
              <a:effectLst/>
              <a:latin typeface="MS PGothic" panose="020B0600070205080204" pitchFamily="34" charset="-128"/>
              <a:ea typeface="MS PGothic" panose="020B0600070205080204" pitchFamily="34" charset="-128"/>
              <a:cs typeface="+mn-cs"/>
            </a:rPr>
            <a:t>　</a:t>
          </a:r>
          <a:r>
            <a:rPr lang="ja-JP" altLang="en-US" sz="1000">
              <a:solidFill>
                <a:schemeClr val="tx1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　</a:t>
          </a:r>
          <a:endParaRPr lang="zh-CN" altLang="en-US" sz="1000">
            <a:solidFill>
              <a:schemeClr val="tx1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</xdr:txBody>
    </xdr:sp>
    <xdr:clientData/>
  </xdr:twoCellAnchor>
  <xdr:twoCellAnchor>
    <xdr:from>
      <xdr:col>22</xdr:col>
      <xdr:colOff>505408</xdr:colOff>
      <xdr:row>97</xdr:row>
      <xdr:rowOff>77755</xdr:rowOff>
    </xdr:from>
    <xdr:to>
      <xdr:col>23</xdr:col>
      <xdr:colOff>273122</xdr:colOff>
      <xdr:row>100</xdr:row>
      <xdr:rowOff>146777</xdr:rowOff>
    </xdr:to>
    <xdr:sp macro="" textlink="">
      <xdr:nvSpPr>
        <xdr:cNvPr id="58" name="椭圆 57"/>
        <xdr:cNvSpPr/>
      </xdr:nvSpPr>
      <xdr:spPr bwMode="auto">
        <a:xfrm flipV="1">
          <a:off x="13286403" y="17047806"/>
          <a:ext cx="457790" cy="593869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>
              <a:latin typeface="MS Gothic" pitchFamily="49" charset="-128"/>
              <a:ea typeface="MS Gothic" pitchFamily="49" charset="-128"/>
            </a:rPr>
            <a:t>798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24</xdr:col>
      <xdr:colOff>505408</xdr:colOff>
      <xdr:row>96</xdr:row>
      <xdr:rowOff>126352</xdr:rowOff>
    </xdr:from>
    <xdr:to>
      <xdr:col>25</xdr:col>
      <xdr:colOff>273122</xdr:colOff>
      <xdr:row>100</xdr:row>
      <xdr:rowOff>20425</xdr:rowOff>
    </xdr:to>
    <xdr:sp macro="" textlink="">
      <xdr:nvSpPr>
        <xdr:cNvPr id="59" name="椭圆 58"/>
        <xdr:cNvSpPr/>
      </xdr:nvSpPr>
      <xdr:spPr bwMode="auto">
        <a:xfrm flipV="1">
          <a:off x="14666556" y="16921454"/>
          <a:ext cx="457790" cy="593869"/>
        </a:xfrm>
        <a:prstGeom prst="ellipse">
          <a:avLst/>
        </a:prstGeom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1100" b="1">
              <a:latin typeface="MS Gothic" pitchFamily="49" charset="-128"/>
              <a:ea typeface="MS Gothic" pitchFamily="49" charset="-128"/>
            </a:rPr>
            <a:t>1008</a:t>
          </a:r>
          <a:r>
            <a:rPr lang="ja-JP" altLang="en-US" sz="1100" b="1">
              <a:latin typeface="MS Gothic" pitchFamily="49" charset="-128"/>
              <a:ea typeface="MS Gothic" pitchFamily="49" charset="-128"/>
            </a:rPr>
            <a:t>台</a:t>
          </a:r>
          <a:endParaRPr lang="zh-CN" altLang="en-US" sz="1100" b="1">
            <a:latin typeface="MS Gothic" pitchFamily="49" charset="-128"/>
            <a:ea typeface="MS Gothic" pitchFamily="49" charset="-128"/>
          </a:endParaRPr>
        </a:p>
      </xdr:txBody>
    </xdr:sp>
    <xdr:clientData/>
  </xdr:twoCellAnchor>
  <xdr:twoCellAnchor>
    <xdr:from>
      <xdr:col>2</xdr:col>
      <xdr:colOff>581025</xdr:colOff>
      <xdr:row>90</xdr:row>
      <xdr:rowOff>95250</xdr:rowOff>
    </xdr:from>
    <xdr:to>
      <xdr:col>29</xdr:col>
      <xdr:colOff>349898</xdr:colOff>
      <xdr:row>102</xdr:row>
      <xdr:rowOff>116633</xdr:rowOff>
    </xdr:to>
    <xdr:graphicFrame macro="">
      <xdr:nvGraphicFramePr>
        <xdr:cNvPr id="16363663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>
            <a:lumMod val="75000"/>
          </a:schemeClr>
        </a:solidFill>
        <a:ln w="19050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ctr" upright="1"/>
      <a:lstStyle>
        <a:defPPr algn="ctr">
          <a:lnSpc>
            <a:spcPts val="1100"/>
          </a:lnSpc>
          <a:defRPr sz="1100" b="1">
            <a:latin typeface="MS Gothic" pitchFamily="49" charset="-128"/>
            <a:ea typeface="MS Gothic" pitchFamily="49" charset="-128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opLeftCell="A11" zoomScaleNormal="100" workbookViewId="0">
      <selection activeCell="Q32" sqref="Q32"/>
    </sheetView>
  </sheetViews>
  <sheetFormatPr defaultRowHeight="13.5"/>
  <sheetData>
    <row r="1" spans="1:16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6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</row>
    <row r="9" spans="1:16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1:16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pans="1:16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</row>
    <row r="13" spans="1:16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</row>
    <row r="15" spans="1:16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</row>
    <row r="16" spans="1: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6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1:16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16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</row>
    <row r="30" spans="1:16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6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6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</sheetData>
  <phoneticPr fontId="3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10"/>
  <sheetViews>
    <sheetView topLeftCell="A40" workbookViewId="0">
      <selection activeCell="I19" sqref="I19"/>
    </sheetView>
  </sheetViews>
  <sheetFormatPr defaultRowHeight="13.5"/>
  <cols>
    <col min="2" max="2" width="8.125" customWidth="1"/>
    <col min="3" max="11" width="9" customWidth="1"/>
    <col min="12" max="12" width="9.625" customWidth="1"/>
    <col min="14" max="14" width="13.75" customWidth="1"/>
  </cols>
  <sheetData>
    <row r="2" spans="13:15" ht="13.5" customHeight="1">
      <c r="O2" s="45"/>
    </row>
    <row r="3" spans="13:15">
      <c r="O3" s="45"/>
    </row>
    <row r="4" spans="13:15">
      <c r="O4" s="45"/>
    </row>
    <row r="5" spans="13:15">
      <c r="O5" s="45"/>
    </row>
    <row r="6" spans="13:15">
      <c r="O6" s="45"/>
    </row>
    <row r="7" spans="13:15">
      <c r="O7" s="45"/>
    </row>
    <row r="8" spans="13:15">
      <c r="M8" s="45"/>
      <c r="N8" s="45"/>
      <c r="O8" s="45"/>
    </row>
    <row r="9" spans="13:15">
      <c r="M9" s="45"/>
      <c r="N9" s="45"/>
      <c r="O9" s="45"/>
    </row>
    <row r="10" spans="13:15">
      <c r="M10" s="45"/>
      <c r="N10" s="45"/>
      <c r="O10" s="45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view="pageBreakPreview" zoomScaleNormal="100" zoomScaleSheetLayoutView="100" workbookViewId="0">
      <selection activeCell="N19" sqref="N19"/>
    </sheetView>
  </sheetViews>
  <sheetFormatPr defaultRowHeight="13.5"/>
  <cols>
    <col min="1" max="1" width="8.125" customWidth="1"/>
    <col min="2" max="14" width="10.625" customWidth="1"/>
    <col min="15" max="15" width="3.375" customWidth="1"/>
    <col min="16" max="16" width="6" customWidth="1"/>
  </cols>
  <sheetData>
    <row r="1" spans="1:16" ht="20.25" customHeight="1">
      <c r="A1" s="145" t="s">
        <v>244</v>
      </c>
      <c r="B1" s="85"/>
      <c r="C1" s="86"/>
      <c r="D1" s="86"/>
      <c r="E1" s="85"/>
      <c r="F1" s="85"/>
      <c r="G1" s="85"/>
      <c r="H1" s="85"/>
      <c r="I1" s="85"/>
      <c r="J1" s="85"/>
      <c r="K1" s="85"/>
      <c r="L1" s="85"/>
      <c r="M1" s="85"/>
      <c r="N1" s="85"/>
      <c r="O1" s="87"/>
      <c r="P1" s="86"/>
    </row>
    <row r="2" spans="1:16" ht="15.95" customHeight="1">
      <c r="A2" s="88"/>
      <c r="B2" s="89"/>
      <c r="C2" s="90" t="s">
        <v>188</v>
      </c>
      <c r="D2" s="90" t="s">
        <v>4</v>
      </c>
      <c r="E2" s="90" t="s">
        <v>5</v>
      </c>
      <c r="F2" s="90" t="s">
        <v>6</v>
      </c>
      <c r="G2" s="90" t="s">
        <v>7</v>
      </c>
      <c r="H2" s="90" t="s">
        <v>8</v>
      </c>
      <c r="I2" s="90" t="s">
        <v>9</v>
      </c>
      <c r="J2" s="90" t="s">
        <v>10</v>
      </c>
      <c r="K2" s="90" t="s">
        <v>11</v>
      </c>
      <c r="L2" s="90" t="s">
        <v>12</v>
      </c>
      <c r="M2" s="90" t="s">
        <v>189</v>
      </c>
      <c r="N2" s="90" t="s">
        <v>190</v>
      </c>
      <c r="O2" s="91"/>
      <c r="P2" s="92" t="s">
        <v>242</v>
      </c>
    </row>
    <row r="3" spans="1:16" ht="15.95" customHeight="1">
      <c r="A3" s="93"/>
      <c r="B3" s="94" t="s">
        <v>191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  <c r="P3" s="92" t="s">
        <v>243</v>
      </c>
    </row>
    <row r="4" spans="1:16" ht="15.95" customHeight="1">
      <c r="A4" s="93"/>
      <c r="B4" s="94" t="s">
        <v>192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86"/>
      <c r="P4" s="86"/>
    </row>
    <row r="5" spans="1:16" ht="15.95" customHeight="1">
      <c r="A5" s="97" t="s">
        <v>229</v>
      </c>
      <c r="B5" s="98"/>
      <c r="C5" s="99">
        <v>0.189</v>
      </c>
      <c r="D5" s="99">
        <v>0.19400000000000001</v>
      </c>
      <c r="E5" s="99">
        <v>6.9000000000000006E-2</v>
      </c>
      <c r="F5" s="99">
        <v>0.14899999999999999</v>
      </c>
      <c r="G5" s="99">
        <v>0.109</v>
      </c>
      <c r="H5" s="99">
        <v>0.217</v>
      </c>
      <c r="I5" s="99">
        <v>8.4000000000000005E-2</v>
      </c>
      <c r="J5" s="99">
        <v>5.5E-2</v>
      </c>
      <c r="K5" s="99">
        <v>0.04</v>
      </c>
      <c r="L5" s="99">
        <v>0.114</v>
      </c>
      <c r="M5" s="99">
        <v>0.09</v>
      </c>
      <c r="N5" s="99">
        <v>0.11799999999999999</v>
      </c>
      <c r="O5" s="86"/>
      <c r="P5" s="86"/>
    </row>
    <row r="6" spans="1:16" ht="15.95" customHeight="1">
      <c r="A6" s="93"/>
      <c r="B6" s="94" t="s">
        <v>191</v>
      </c>
      <c r="C6" s="100"/>
      <c r="D6" s="100"/>
      <c r="E6" s="100"/>
      <c r="F6" s="100">
        <v>0.21099999999999999</v>
      </c>
      <c r="G6" s="100">
        <v>0.17299999999999999</v>
      </c>
      <c r="H6" s="100">
        <v>6.8000000000000005E-2</v>
      </c>
      <c r="I6" s="100">
        <v>0.113</v>
      </c>
      <c r="J6" s="100">
        <v>6.9000000000000006E-2</v>
      </c>
      <c r="K6" s="100">
        <v>0.14000000000000001</v>
      </c>
      <c r="L6" s="100">
        <v>0.19700000000000001</v>
      </c>
      <c r="M6" s="100">
        <v>0.13600000000000001</v>
      </c>
      <c r="N6" s="100">
        <v>0.14299999999999999</v>
      </c>
      <c r="O6" s="86"/>
      <c r="P6" s="86"/>
    </row>
    <row r="7" spans="1:16" ht="15.95" customHeight="1">
      <c r="A7" s="93"/>
      <c r="B7" s="94" t="s">
        <v>192</v>
      </c>
      <c r="C7" s="100"/>
      <c r="D7" s="100"/>
      <c r="E7" s="100"/>
      <c r="F7" s="100">
        <v>0.27300000000000002</v>
      </c>
      <c r="G7" s="100">
        <v>6.9000000000000006E-2</v>
      </c>
      <c r="H7" s="100">
        <v>0.18099999999999999</v>
      </c>
      <c r="I7" s="100">
        <v>0.17499999999999999</v>
      </c>
      <c r="J7" s="100">
        <v>0.11700000000000001</v>
      </c>
      <c r="K7" s="100">
        <v>0.13900000000000001</v>
      </c>
      <c r="L7" s="100">
        <v>0.17699999999999999</v>
      </c>
      <c r="M7" s="100">
        <v>0.16300000000000001</v>
      </c>
      <c r="N7" s="100">
        <v>0.161</v>
      </c>
      <c r="O7" s="86"/>
      <c r="P7" s="86"/>
    </row>
    <row r="8" spans="1:16" ht="15.95" customHeight="1">
      <c r="A8" s="97" t="s">
        <v>230</v>
      </c>
      <c r="B8" s="98"/>
      <c r="C8" s="99">
        <v>9.7000000000000003E-2</v>
      </c>
      <c r="D8" s="99">
        <v>0.127</v>
      </c>
      <c r="E8" s="99">
        <v>7.4999999999999997E-2</v>
      </c>
      <c r="F8" s="99">
        <v>0.27300000000000002</v>
      </c>
      <c r="G8" s="99">
        <v>8.2000000000000003E-2</v>
      </c>
      <c r="H8" s="99">
        <v>0.17100000000000001</v>
      </c>
      <c r="I8" s="99">
        <v>0.156</v>
      </c>
      <c r="J8" s="99">
        <v>0.112</v>
      </c>
      <c r="K8" s="99">
        <v>0.14000000000000001</v>
      </c>
      <c r="L8" s="99">
        <v>0.184</v>
      </c>
      <c r="M8" s="99">
        <v>0.15</v>
      </c>
      <c r="N8" s="99">
        <v>0.151</v>
      </c>
      <c r="O8" s="86"/>
      <c r="P8" s="86"/>
    </row>
    <row r="9" spans="1:16" ht="15.95" customHeight="1">
      <c r="A9" s="93"/>
      <c r="B9" s="94" t="s">
        <v>191</v>
      </c>
      <c r="C9" s="101">
        <v>0.13600000000000001</v>
      </c>
      <c r="D9" s="101">
        <v>0.13700000000000001</v>
      </c>
      <c r="E9" s="101">
        <v>0.11799999999999999</v>
      </c>
      <c r="F9" s="101">
        <v>8.6999999999999994E-2</v>
      </c>
      <c r="G9" s="101">
        <v>0.128</v>
      </c>
      <c r="H9" s="101">
        <v>0.1</v>
      </c>
      <c r="I9" s="101">
        <v>0.111</v>
      </c>
      <c r="J9" s="101">
        <v>9.4E-2</v>
      </c>
      <c r="K9" s="101">
        <v>9.0999999999999998E-2</v>
      </c>
      <c r="L9" s="101">
        <v>8.3000000000000004E-2</v>
      </c>
      <c r="M9" s="101">
        <v>7.5999999999999998E-2</v>
      </c>
      <c r="N9" s="101">
        <v>5.3999999999999999E-2</v>
      </c>
      <c r="O9" s="86"/>
      <c r="P9" s="86"/>
    </row>
    <row r="10" spans="1:16" ht="15.95" customHeight="1">
      <c r="A10" s="93"/>
      <c r="B10" s="94" t="s">
        <v>192</v>
      </c>
      <c r="C10" s="101">
        <v>0.13300000000000001</v>
      </c>
      <c r="D10" s="101">
        <v>0.193</v>
      </c>
      <c r="E10" s="101">
        <v>0.17799999999999999</v>
      </c>
      <c r="F10" s="101">
        <v>0.14599999999999999</v>
      </c>
      <c r="G10" s="101">
        <v>0.17799999999999999</v>
      </c>
      <c r="H10" s="101">
        <v>0.188</v>
      </c>
      <c r="I10" s="101">
        <v>0.14899999999999999</v>
      </c>
      <c r="J10" s="101">
        <v>0.115</v>
      </c>
      <c r="K10" s="101">
        <v>0.153</v>
      </c>
      <c r="L10" s="101">
        <v>0.158</v>
      </c>
      <c r="M10" s="101">
        <v>0.14299999999999999</v>
      </c>
      <c r="N10" s="101">
        <v>0.16500000000000001</v>
      </c>
      <c r="O10" s="86"/>
      <c r="P10" s="86"/>
    </row>
    <row r="11" spans="1:16" ht="15.95" customHeight="1">
      <c r="A11" s="97" t="s">
        <v>231</v>
      </c>
      <c r="B11" s="98"/>
      <c r="C11" s="102">
        <v>0.13500000000000001</v>
      </c>
      <c r="D11" s="102">
        <v>0.16300000000000001</v>
      </c>
      <c r="E11" s="102">
        <v>0.14599999999999999</v>
      </c>
      <c r="F11" s="102">
        <v>0.126</v>
      </c>
      <c r="G11" s="102">
        <v>0.151</v>
      </c>
      <c r="H11" s="102">
        <v>0.152</v>
      </c>
      <c r="I11" s="102">
        <v>0.13100000000000001</v>
      </c>
      <c r="J11" s="102">
        <v>0.106</v>
      </c>
      <c r="K11" s="102">
        <v>0.11799999999999999</v>
      </c>
      <c r="L11" s="102">
        <v>0.125</v>
      </c>
      <c r="M11" s="102">
        <v>0.11</v>
      </c>
      <c r="N11" s="102">
        <v>8.7999999999999995E-2</v>
      </c>
      <c r="O11" s="86"/>
      <c r="P11" s="86"/>
    </row>
    <row r="12" spans="1:16" ht="15.95" customHeight="1">
      <c r="A12" s="93"/>
      <c r="B12" s="94" t="s">
        <v>191</v>
      </c>
      <c r="C12" s="101">
        <v>0.11</v>
      </c>
      <c r="D12" s="101">
        <v>0.113</v>
      </c>
      <c r="E12" s="101">
        <v>0.105</v>
      </c>
      <c r="F12" s="101">
        <v>0.106</v>
      </c>
      <c r="G12" s="101">
        <v>7.5999999999999998E-2</v>
      </c>
      <c r="H12" s="101">
        <v>5.1999999999999998E-2</v>
      </c>
      <c r="I12" s="101">
        <v>3.7999999999999999E-2</v>
      </c>
      <c r="J12" s="101">
        <v>3.4000000000000002E-2</v>
      </c>
      <c r="K12" s="101">
        <v>3.5999999999999997E-2</v>
      </c>
      <c r="L12" s="101">
        <v>3.0000000000000001E-3</v>
      </c>
      <c r="M12" s="101">
        <v>6.3E-2</v>
      </c>
      <c r="N12" s="101">
        <v>8.4000000000000005E-2</v>
      </c>
      <c r="O12" s="86"/>
      <c r="P12" s="86"/>
    </row>
    <row r="13" spans="1:16" ht="15.95" customHeight="1">
      <c r="A13" s="93"/>
      <c r="B13" s="94" t="s">
        <v>192</v>
      </c>
      <c r="C13" s="101">
        <v>0.159</v>
      </c>
      <c r="D13" s="101">
        <v>0.14499999999999999</v>
      </c>
      <c r="E13" s="101">
        <v>0.13900000000000001</v>
      </c>
      <c r="F13" s="101">
        <v>9.8000000000000004E-2</v>
      </c>
      <c r="G13" s="101">
        <v>9.5000000000000001E-2</v>
      </c>
      <c r="H13" s="101">
        <v>0.14399999999999999</v>
      </c>
      <c r="I13" s="101">
        <v>0.105</v>
      </c>
      <c r="J13" s="101">
        <v>0.123</v>
      </c>
      <c r="K13" s="101">
        <v>0.11899999999999999</v>
      </c>
      <c r="L13" s="101">
        <v>9.9000000000000005E-2</v>
      </c>
      <c r="M13" s="101">
        <v>0.123</v>
      </c>
      <c r="N13" s="101">
        <v>0.111</v>
      </c>
      <c r="O13" s="86"/>
      <c r="P13" s="86"/>
    </row>
    <row r="14" spans="1:16" ht="15.95" customHeight="1">
      <c r="A14" s="97" t="s">
        <v>232</v>
      </c>
      <c r="B14" s="98"/>
      <c r="C14" s="102">
        <v>0.13400000000000001</v>
      </c>
      <c r="D14" s="102">
        <v>0.13400000000000001</v>
      </c>
      <c r="E14" s="102">
        <v>0.13</v>
      </c>
      <c r="F14" s="102">
        <v>0.10199999999999999</v>
      </c>
      <c r="G14" s="102">
        <v>8.5000000000000006E-2</v>
      </c>
      <c r="H14" s="102">
        <v>8.8999999999999996E-2</v>
      </c>
      <c r="I14" s="102">
        <v>7.4999999999999997E-2</v>
      </c>
      <c r="J14" s="102">
        <v>8.6999999999999994E-2</v>
      </c>
      <c r="K14" s="102">
        <v>8.1000000000000003E-2</v>
      </c>
      <c r="L14" s="102">
        <v>4.7E-2</v>
      </c>
      <c r="M14" s="102">
        <v>9.5000000000000001E-2</v>
      </c>
      <c r="N14" s="102">
        <v>9.8000000000000004E-2</v>
      </c>
      <c r="O14" s="86"/>
      <c r="P14" s="86"/>
    </row>
    <row r="15" spans="1:16" ht="15.95" customHeight="1">
      <c r="A15" s="93"/>
      <c r="B15" s="94" t="s">
        <v>191</v>
      </c>
      <c r="C15" s="101">
        <v>4.9000000000000002E-2</v>
      </c>
      <c r="D15" s="101">
        <v>6.8000000000000005E-2</v>
      </c>
      <c r="E15" s="101">
        <v>7.3999999999999996E-2</v>
      </c>
      <c r="F15" s="101">
        <v>7.5999999999999998E-2</v>
      </c>
      <c r="G15" s="101">
        <v>7.8E-2</v>
      </c>
      <c r="H15" s="101">
        <v>8.3000000000000004E-2</v>
      </c>
      <c r="I15" s="101">
        <v>8.8999999999999996E-2</v>
      </c>
      <c r="J15" s="101">
        <v>0.112</v>
      </c>
      <c r="K15" s="101">
        <v>0.1</v>
      </c>
      <c r="L15" s="101">
        <v>9.5000000000000001E-2</v>
      </c>
      <c r="M15" s="101">
        <v>0.10299999999999999</v>
      </c>
      <c r="N15" s="101">
        <v>9.7000000000000003E-2</v>
      </c>
      <c r="O15" s="86"/>
      <c r="P15" s="86"/>
    </row>
    <row r="16" spans="1:16" ht="15.95" customHeight="1">
      <c r="A16" s="93"/>
      <c r="B16" s="94" t="s">
        <v>192</v>
      </c>
      <c r="C16" s="101">
        <v>0.13500000000000001</v>
      </c>
      <c r="D16" s="101">
        <v>0.13800000000000001</v>
      </c>
      <c r="E16" s="101">
        <v>0.14399999999999999</v>
      </c>
      <c r="F16" s="101">
        <v>0.13700000000000001</v>
      </c>
      <c r="G16" s="101">
        <v>0.14299999999999999</v>
      </c>
      <c r="H16" s="101">
        <v>0.14000000000000001</v>
      </c>
      <c r="I16" s="101">
        <v>0.13700000000000001</v>
      </c>
      <c r="J16" s="101">
        <v>0.15</v>
      </c>
      <c r="K16" s="101">
        <v>0.14000000000000001</v>
      </c>
      <c r="L16" s="101">
        <v>0.16700000000000001</v>
      </c>
      <c r="M16" s="101">
        <v>0.11600000000000001</v>
      </c>
      <c r="N16" s="101">
        <v>0.14399999999999999</v>
      </c>
      <c r="O16" s="86"/>
      <c r="P16" s="86"/>
    </row>
    <row r="17" spans="1:16" ht="15.95" customHeight="1">
      <c r="A17" s="97" t="s">
        <v>233</v>
      </c>
      <c r="B17" s="103"/>
      <c r="C17" s="102">
        <v>8.8999999999999996E-2</v>
      </c>
      <c r="D17" s="102">
        <v>0.106</v>
      </c>
      <c r="E17" s="102">
        <v>0.111</v>
      </c>
      <c r="F17" s="102">
        <v>0.109</v>
      </c>
      <c r="G17" s="102">
        <v>0.112</v>
      </c>
      <c r="H17" s="102">
        <v>0.114</v>
      </c>
      <c r="I17" s="102">
        <v>0.112</v>
      </c>
      <c r="J17" s="102">
        <v>0.129</v>
      </c>
      <c r="K17" s="102">
        <v>0.12</v>
      </c>
      <c r="L17" s="102">
        <v>0.129</v>
      </c>
      <c r="M17" s="102">
        <v>0.11</v>
      </c>
      <c r="N17" s="102">
        <v>0.11600000000000001</v>
      </c>
      <c r="O17" s="86"/>
      <c r="P17" s="86"/>
    </row>
    <row r="18" spans="1:16" ht="15.95" customHeight="1">
      <c r="A18" s="93"/>
      <c r="B18" s="94" t="s">
        <v>191</v>
      </c>
      <c r="C18" s="101">
        <v>0.108</v>
      </c>
      <c r="D18" s="101">
        <v>0.107</v>
      </c>
      <c r="E18" s="101">
        <v>0.13</v>
      </c>
      <c r="F18" s="101">
        <v>0.126</v>
      </c>
      <c r="G18" s="101">
        <v>0.11</v>
      </c>
      <c r="H18" s="101">
        <v>0.153</v>
      </c>
      <c r="I18" s="101">
        <v>0.123</v>
      </c>
      <c r="J18" s="101">
        <v>0.115</v>
      </c>
      <c r="K18" s="101">
        <v>9.0999999999999998E-2</v>
      </c>
      <c r="L18" s="101">
        <v>9.9000000000000005E-2</v>
      </c>
      <c r="M18" s="101"/>
      <c r="N18" s="101"/>
      <c r="O18" s="86"/>
      <c r="P18" s="86"/>
    </row>
    <row r="19" spans="1:16" ht="15.95" customHeight="1">
      <c r="A19" s="93"/>
      <c r="B19" s="94" t="s">
        <v>192</v>
      </c>
      <c r="C19" s="101">
        <v>0.154</v>
      </c>
      <c r="D19" s="101">
        <v>0.152</v>
      </c>
      <c r="E19" s="101">
        <v>0.184</v>
      </c>
      <c r="F19" s="101">
        <v>0.16700000000000001</v>
      </c>
      <c r="G19" s="101">
        <v>0.16700000000000001</v>
      </c>
      <c r="H19" s="101">
        <v>0.159</v>
      </c>
      <c r="I19" s="101">
        <v>0.159</v>
      </c>
      <c r="J19" s="101">
        <v>0.13800000000000001</v>
      </c>
      <c r="K19" s="101">
        <v>0.191</v>
      </c>
      <c r="L19" s="101">
        <v>0.125</v>
      </c>
      <c r="M19" s="101"/>
      <c r="N19" s="101"/>
      <c r="O19" s="86"/>
      <c r="P19" s="86"/>
    </row>
    <row r="20" spans="1:16" ht="15.95" customHeight="1">
      <c r="A20" s="97" t="s">
        <v>246</v>
      </c>
      <c r="B20" s="103"/>
      <c r="C20" s="102">
        <v>0.13400000000000001</v>
      </c>
      <c r="D20" s="102">
        <v>0.13400000000000001</v>
      </c>
      <c r="E20" s="1238">
        <v>0.158</v>
      </c>
      <c r="F20" s="1238">
        <v>0.14899999999999999</v>
      </c>
      <c r="G20" s="1238">
        <v>0.14199999999999999</v>
      </c>
      <c r="H20" s="1238">
        <v>0.157</v>
      </c>
      <c r="I20" s="1238">
        <v>0.14399999999999999</v>
      </c>
      <c r="J20" s="1238">
        <v>0.13100000000000001</v>
      </c>
      <c r="K20" s="1238">
        <v>0.152</v>
      </c>
      <c r="L20" s="1238">
        <v>0.12</v>
      </c>
      <c r="M20" s="104"/>
      <c r="N20" s="104"/>
      <c r="O20" s="86"/>
      <c r="P20" s="86"/>
    </row>
    <row r="21" spans="1:16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</sheetData>
  <phoneticPr fontId="3" type="noConversion"/>
  <pageMargins left="0.7" right="0.7" top="0.75" bottom="0.75" header="0.3" footer="0.3"/>
  <pageSetup paperSize="9" scale="5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L1"/>
    </sheetView>
  </sheetViews>
  <sheetFormatPr defaultRowHeight="13.5"/>
  <cols>
    <col min="1" max="1" width="13.75" customWidth="1"/>
    <col min="2" max="2" width="13.375" customWidth="1"/>
    <col min="3" max="7" width="9.625" customWidth="1"/>
    <col min="8" max="8" width="9.625" style="77" customWidth="1"/>
    <col min="9" max="12" width="9.625" customWidth="1"/>
  </cols>
  <sheetData>
    <row r="1" spans="1:13">
      <c r="A1" s="82" t="s">
        <v>110</v>
      </c>
      <c r="B1" s="82" t="s">
        <v>4</v>
      </c>
      <c r="C1" s="82" t="s">
        <v>5</v>
      </c>
      <c r="D1" s="82" t="s">
        <v>6</v>
      </c>
      <c r="E1" s="82" t="s">
        <v>7</v>
      </c>
      <c r="F1" s="82" t="s">
        <v>8</v>
      </c>
      <c r="G1" s="82" t="s">
        <v>9</v>
      </c>
      <c r="H1" s="82" t="s">
        <v>10</v>
      </c>
      <c r="I1" s="82" t="s">
        <v>11</v>
      </c>
      <c r="J1" s="82" t="s">
        <v>12</v>
      </c>
      <c r="K1" s="82" t="s">
        <v>111</v>
      </c>
      <c r="L1" s="82" t="s">
        <v>112</v>
      </c>
      <c r="M1" s="48"/>
    </row>
    <row r="2" spans="1:13">
      <c r="A2" s="48"/>
      <c r="B2" s="48"/>
      <c r="C2" s="48"/>
      <c r="D2" s="48"/>
      <c r="E2" s="48"/>
      <c r="F2" s="48"/>
      <c r="G2" s="48"/>
      <c r="H2" s="76"/>
      <c r="I2" s="48"/>
      <c r="J2" s="48"/>
      <c r="K2" s="48"/>
      <c r="L2" s="48"/>
      <c r="M2" s="4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view="pageBreakPreview" zoomScale="90" zoomScaleNormal="100" zoomScaleSheetLayoutView="90" workbookViewId="0">
      <pane xSplit="3" ySplit="2" topLeftCell="D202" activePane="bottomRight" state="frozen"/>
      <selection pane="topRight" activeCell="D1" sqref="D1"/>
      <selection pane="bottomLeft" activeCell="A3" sqref="A3"/>
      <selection pane="bottomRight" activeCell="L210" sqref="L210"/>
    </sheetView>
  </sheetViews>
  <sheetFormatPr defaultColWidth="9" defaultRowHeight="15.75"/>
  <cols>
    <col min="1" max="1" width="9.125" style="84" customWidth="1"/>
    <col min="2" max="2" width="9.875" style="84" customWidth="1"/>
    <col min="3" max="3" width="23.5" style="390" customWidth="1"/>
    <col min="4" max="4" width="9.875" style="84" bestFit="1" customWidth="1"/>
    <col min="5" max="5" width="10" style="84" bestFit="1" customWidth="1"/>
    <col min="6" max="7" width="9.875" style="84" bestFit="1" customWidth="1"/>
    <col min="8" max="8" width="9.875" style="394" bestFit="1" customWidth="1"/>
    <col min="9" max="9" width="9.875" style="83" bestFit="1" customWidth="1"/>
    <col min="10" max="13" width="9.875" style="84" bestFit="1" customWidth="1"/>
    <col min="14" max="14" width="10.25" style="84" bestFit="1" customWidth="1"/>
    <col min="15" max="15" width="9.875" style="84" bestFit="1" customWidth="1"/>
    <col min="16" max="16" width="3.5" style="84" customWidth="1"/>
    <col min="17" max="17" width="8" style="84" customWidth="1"/>
    <col min="18" max="18" width="1.75" style="84" customWidth="1"/>
    <col min="19" max="16384" width="9" style="84"/>
  </cols>
  <sheetData>
    <row r="1" spans="1:18" ht="16.5">
      <c r="A1" s="105" t="s">
        <v>28</v>
      </c>
      <c r="B1" s="146"/>
      <c r="C1" s="147"/>
      <c r="D1" s="83"/>
      <c r="E1" s="83"/>
      <c r="F1" s="83"/>
      <c r="G1" s="83"/>
      <c r="H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17.25" customHeight="1">
      <c r="A2" s="148" t="s">
        <v>0</v>
      </c>
      <c r="B2" s="148" t="s">
        <v>1</v>
      </c>
      <c r="C2" s="149" t="s">
        <v>2</v>
      </c>
      <c r="D2" s="150" t="s">
        <v>3</v>
      </c>
      <c r="E2" s="150" t="s">
        <v>4</v>
      </c>
      <c r="F2" s="150" t="s">
        <v>5</v>
      </c>
      <c r="G2" s="150" t="s">
        <v>6</v>
      </c>
      <c r="H2" s="150" t="s">
        <v>7</v>
      </c>
      <c r="I2" s="151" t="s">
        <v>8</v>
      </c>
      <c r="J2" s="152" t="s">
        <v>9</v>
      </c>
      <c r="K2" s="150" t="s">
        <v>10</v>
      </c>
      <c r="L2" s="150" t="s">
        <v>11</v>
      </c>
      <c r="M2" s="150" t="s">
        <v>12</v>
      </c>
      <c r="N2" s="150" t="s">
        <v>13</v>
      </c>
      <c r="O2" s="150" t="s">
        <v>14</v>
      </c>
      <c r="P2" s="83"/>
      <c r="Q2" s="83"/>
      <c r="R2" s="83"/>
    </row>
    <row r="3" spans="1:18" ht="13.5" customHeight="1">
      <c r="A3" s="1394" t="s">
        <v>15</v>
      </c>
      <c r="B3" s="1394" t="s">
        <v>25</v>
      </c>
      <c r="C3" s="153" t="s">
        <v>49</v>
      </c>
      <c r="D3" s="154"/>
      <c r="E3" s="155"/>
      <c r="F3" s="156"/>
      <c r="G3" s="156"/>
      <c r="H3" s="157"/>
      <c r="I3" s="158"/>
      <c r="J3" s="159"/>
      <c r="K3" s="160"/>
      <c r="L3" s="160"/>
      <c r="M3" s="160"/>
      <c r="N3" s="160"/>
      <c r="O3" s="160"/>
      <c r="P3" s="83"/>
      <c r="Q3" s="83"/>
      <c r="R3" s="83"/>
    </row>
    <row r="4" spans="1:18">
      <c r="A4" s="1395"/>
      <c r="B4" s="1395"/>
      <c r="C4" s="162" t="s">
        <v>133</v>
      </c>
      <c r="D4" s="163">
        <v>92088</v>
      </c>
      <c r="E4" s="164">
        <v>109351</v>
      </c>
      <c r="F4" s="165">
        <v>118512</v>
      </c>
      <c r="G4" s="166">
        <v>90134</v>
      </c>
      <c r="H4" s="164">
        <v>68508</v>
      </c>
      <c r="I4" s="167">
        <v>101358</v>
      </c>
      <c r="J4" s="168">
        <v>94623</v>
      </c>
      <c r="K4" s="165">
        <v>69788</v>
      </c>
      <c r="L4" s="165">
        <v>97719</v>
      </c>
      <c r="M4" s="163">
        <v>129384</v>
      </c>
      <c r="N4" s="163">
        <v>94676</v>
      </c>
      <c r="O4" s="166">
        <v>67236.881999999998</v>
      </c>
      <c r="P4" s="415"/>
      <c r="Q4" s="408" t="s">
        <v>30</v>
      </c>
      <c r="R4" s="83"/>
    </row>
    <row r="5" spans="1:18">
      <c r="A5" s="1395"/>
      <c r="B5" s="1395"/>
      <c r="C5" s="153" t="s">
        <v>49</v>
      </c>
      <c r="D5" s="169"/>
      <c r="E5" s="170"/>
      <c r="F5" s="171">
        <v>0.13200000000000001</v>
      </c>
      <c r="G5" s="171">
        <v>0.11799999999999999</v>
      </c>
      <c r="H5" s="172">
        <v>0.125</v>
      </c>
      <c r="I5" s="173">
        <v>0.123</v>
      </c>
      <c r="J5" s="174">
        <v>0.122</v>
      </c>
      <c r="K5" s="175">
        <v>0.13</v>
      </c>
      <c r="L5" s="175">
        <v>0.114</v>
      </c>
      <c r="M5" s="175">
        <v>0.11</v>
      </c>
      <c r="N5" s="175">
        <v>0.11799999999999999</v>
      </c>
      <c r="O5" s="411">
        <v>0.11</v>
      </c>
      <c r="P5" s="416"/>
      <c r="Q5" s="409"/>
      <c r="R5" s="83"/>
    </row>
    <row r="6" spans="1:18">
      <c r="A6" s="1395"/>
      <c r="B6" s="1395"/>
      <c r="C6" s="162" t="s">
        <v>134</v>
      </c>
      <c r="D6" s="176">
        <v>111663</v>
      </c>
      <c r="E6" s="177">
        <v>113979</v>
      </c>
      <c r="F6" s="178">
        <v>110420</v>
      </c>
      <c r="G6" s="179">
        <v>94996</v>
      </c>
      <c r="H6" s="177">
        <v>82604</v>
      </c>
      <c r="I6" s="180">
        <v>90271</v>
      </c>
      <c r="J6" s="181">
        <v>87271</v>
      </c>
      <c r="K6" s="182">
        <v>100298</v>
      </c>
      <c r="L6" s="182">
        <v>81566</v>
      </c>
      <c r="M6" s="176">
        <v>85800</v>
      </c>
      <c r="N6" s="176">
        <v>74894</v>
      </c>
      <c r="O6" s="330">
        <v>64642</v>
      </c>
      <c r="P6" s="417"/>
      <c r="Q6" s="408" t="s">
        <v>65</v>
      </c>
      <c r="R6" s="83"/>
    </row>
    <row r="7" spans="1:18">
      <c r="A7" s="1395"/>
      <c r="B7" s="1395"/>
      <c r="C7" s="153" t="s">
        <v>50</v>
      </c>
      <c r="D7" s="183">
        <v>0.125</v>
      </c>
      <c r="E7" s="184">
        <v>0.14099999999999999</v>
      </c>
      <c r="F7" s="185">
        <v>0.13600000000000001</v>
      </c>
      <c r="G7" s="185">
        <v>0.13200000000000001</v>
      </c>
      <c r="H7" s="186">
        <v>0.13200000000000001</v>
      </c>
      <c r="I7" s="187">
        <v>0.13400000000000001</v>
      </c>
      <c r="J7" s="188">
        <v>0.13500000000000001</v>
      </c>
      <c r="K7" s="189">
        <v>0.13300000000000001</v>
      </c>
      <c r="L7" s="189">
        <v>0.129</v>
      </c>
      <c r="M7" s="189">
        <v>0.126</v>
      </c>
      <c r="N7" s="189">
        <v>0.127</v>
      </c>
      <c r="O7" s="412">
        <v>0.123</v>
      </c>
      <c r="P7" s="416"/>
      <c r="Q7" s="408"/>
      <c r="R7" s="83"/>
    </row>
    <row r="8" spans="1:18">
      <c r="A8" s="1395"/>
      <c r="B8" s="1395"/>
      <c r="C8" s="162" t="s">
        <v>136</v>
      </c>
      <c r="D8" s="177">
        <v>112764</v>
      </c>
      <c r="E8" s="190">
        <v>90353</v>
      </c>
      <c r="F8" s="191">
        <v>91349</v>
      </c>
      <c r="G8" s="191">
        <v>97574</v>
      </c>
      <c r="H8" s="192">
        <v>98436</v>
      </c>
      <c r="I8" s="193">
        <v>88274</v>
      </c>
      <c r="J8" s="194">
        <v>77895</v>
      </c>
      <c r="K8" s="195">
        <v>67673</v>
      </c>
      <c r="L8" s="195">
        <v>75895</v>
      </c>
      <c r="M8" s="195">
        <v>84331</v>
      </c>
      <c r="N8" s="195">
        <v>86942</v>
      </c>
      <c r="O8" s="268">
        <v>47103</v>
      </c>
      <c r="P8" s="418"/>
      <c r="Q8" s="408" t="s">
        <v>66</v>
      </c>
      <c r="R8" s="83"/>
    </row>
    <row r="9" spans="1:18">
      <c r="A9" s="1395"/>
      <c r="B9" s="1395"/>
      <c r="C9" s="153" t="s">
        <v>50</v>
      </c>
      <c r="D9" s="196">
        <v>0.13023351232793828</v>
      </c>
      <c r="E9" s="197">
        <v>0.1259382256130234</v>
      </c>
      <c r="F9" s="198">
        <v>0.12428343203347113</v>
      </c>
      <c r="G9" s="198">
        <v>0.12463108446800819</v>
      </c>
      <c r="H9" s="199">
        <v>0.1175703580324219</v>
      </c>
      <c r="I9" s="200">
        <v>0.12732766893622618</v>
      </c>
      <c r="J9" s="201">
        <v>0.12588895985543594</v>
      </c>
      <c r="K9" s="202">
        <v>0.12632500163881089</v>
      </c>
      <c r="L9" s="202">
        <v>0.11596811846963033</v>
      </c>
      <c r="M9" s="202">
        <v>0.12080513250866218</v>
      </c>
      <c r="N9" s="202">
        <v>0.12564449128331281</v>
      </c>
      <c r="O9" s="413">
        <v>0.12723382652319659</v>
      </c>
      <c r="P9" s="419"/>
      <c r="Q9" s="410"/>
      <c r="R9" s="83"/>
    </row>
    <row r="10" spans="1:18">
      <c r="A10" s="1395"/>
      <c r="B10" s="1395"/>
      <c r="C10" s="162" t="s">
        <v>197</v>
      </c>
      <c r="D10" s="178">
        <v>52888</v>
      </c>
      <c r="E10" s="204">
        <v>78382</v>
      </c>
      <c r="F10" s="204">
        <v>80547</v>
      </c>
      <c r="G10" s="204">
        <v>74691</v>
      </c>
      <c r="H10" s="205">
        <v>71865</v>
      </c>
      <c r="I10" s="206">
        <v>82360.375640000013</v>
      </c>
      <c r="J10" s="207">
        <v>64193</v>
      </c>
      <c r="K10" s="208">
        <v>62959.887730000002</v>
      </c>
      <c r="L10" s="208">
        <v>75287</v>
      </c>
      <c r="M10" s="208">
        <v>66988.94739999999</v>
      </c>
      <c r="N10" s="208">
        <v>68019.681639999995</v>
      </c>
      <c r="O10" s="414">
        <v>31834.126759999999</v>
      </c>
      <c r="P10" s="420"/>
      <c r="Q10" s="408" t="s">
        <v>255</v>
      </c>
      <c r="R10" s="83"/>
    </row>
    <row r="11" spans="1:18">
      <c r="A11" s="1395"/>
      <c r="B11" s="1395"/>
      <c r="C11" s="153" t="s">
        <v>50</v>
      </c>
      <c r="D11" s="185">
        <v>0.12830674285285684</v>
      </c>
      <c r="E11" s="185">
        <v>0.12247147364108067</v>
      </c>
      <c r="F11" s="185">
        <v>0.12342826606866018</v>
      </c>
      <c r="G11" s="185">
        <v>0.12277694450256374</v>
      </c>
      <c r="H11" s="185">
        <v>0.12006128996751224</v>
      </c>
      <c r="I11" s="187">
        <v>0.12044390015896596</v>
      </c>
      <c r="J11" s="396">
        <v>0.11760434278942712</v>
      </c>
      <c r="K11" s="185">
        <v>0.11811495629852085</v>
      </c>
      <c r="L11" s="185">
        <v>0.11248021986666726</v>
      </c>
      <c r="M11" s="185">
        <v>0.10962194719862123</v>
      </c>
      <c r="N11" s="185">
        <v>0.10692788929284255</v>
      </c>
      <c r="O11" s="397">
        <v>0.11492353526896069</v>
      </c>
      <c r="P11" s="203"/>
      <c r="Q11" s="209"/>
      <c r="R11" s="83"/>
    </row>
    <row r="12" spans="1:18">
      <c r="A12" s="1395"/>
      <c r="B12" s="1395"/>
      <c r="C12" s="162" t="s">
        <v>248</v>
      </c>
      <c r="D12" s="178">
        <v>64703.743839999996</v>
      </c>
      <c r="E12" s="204">
        <v>91084.986999999994</v>
      </c>
      <c r="F12" s="204">
        <v>79442.570919999984</v>
      </c>
      <c r="G12" s="204">
        <v>76894.863570000001</v>
      </c>
      <c r="H12" s="205">
        <v>80005.103049999991</v>
      </c>
      <c r="I12" s="206">
        <v>74063.31041999998</v>
      </c>
      <c r="J12" s="207">
        <v>87453.957469999994</v>
      </c>
      <c r="K12" s="208">
        <v>79399.076430000001</v>
      </c>
      <c r="L12" s="208">
        <v>81100.881970000002</v>
      </c>
      <c r="M12" s="208">
        <v>84186.014200000005</v>
      </c>
      <c r="N12" s="208">
        <v>75684.608269999997</v>
      </c>
      <c r="O12" s="208">
        <v>36011.681960000002</v>
      </c>
      <c r="P12" s="203"/>
      <c r="Q12" s="209"/>
      <c r="R12" s="83"/>
    </row>
    <row r="13" spans="1:18">
      <c r="A13" s="1395"/>
      <c r="B13" s="1395"/>
      <c r="C13" s="402" t="s">
        <v>50</v>
      </c>
      <c r="D13" s="211">
        <f>元ﾃﾞｰﾀ!F171</f>
        <v>0.11842061281337046</v>
      </c>
      <c r="E13" s="211">
        <f>元ﾃﾞｰﾀ!J171</f>
        <v>0.13031460674157302</v>
      </c>
      <c r="F13" s="211">
        <f>元ﾃﾞｰﾀ!N171</f>
        <v>0.12000990099009902</v>
      </c>
      <c r="G13" s="211">
        <f>元ﾃﾞｰﾀ!Y171</f>
        <v>0.12170516904577183</v>
      </c>
      <c r="H13" s="211">
        <f>元ﾃﾞｰﾀ!AC171</f>
        <v>0.12334841628959274</v>
      </c>
      <c r="I13" s="212">
        <f>元ﾃﾞｰﾀ!AG171</f>
        <v>0.12289293849658314</v>
      </c>
      <c r="J13" s="213">
        <f>元ﾃﾞｰﾀ!BF171</f>
        <v>0.15290601265822781</v>
      </c>
      <c r="K13" s="211">
        <f>元ﾃﾞｰﾀ!BJ171</f>
        <v>0.14344745762711864</v>
      </c>
      <c r="L13" s="211">
        <f>元ﾃﾞｰﾀ!BN171</f>
        <v>0.14315113636363638</v>
      </c>
      <c r="M13" s="211">
        <f>元ﾃﾞｰﾀ!BW171</f>
        <v>0.94367665824129821</v>
      </c>
      <c r="N13" s="211">
        <f>元ﾃﾞｰﾀ!CA171</f>
        <v>0.9736140040235266</v>
      </c>
      <c r="O13" s="211">
        <f>元ﾃﾞｰﾀ!CE171</f>
        <v>1</v>
      </c>
      <c r="P13" s="203"/>
      <c r="Q13" s="209"/>
      <c r="R13" s="83"/>
    </row>
    <row r="14" spans="1:18">
      <c r="A14" s="1395"/>
      <c r="B14" s="1395"/>
      <c r="C14" s="403" t="s">
        <v>250</v>
      </c>
      <c r="D14" s="214">
        <f>元ﾃﾞｰﾀ!F77</f>
        <v>71800</v>
      </c>
      <c r="E14" s="214">
        <f>元ﾃﾞｰﾀ!J77</f>
        <v>89000</v>
      </c>
      <c r="F14" s="214">
        <f>元ﾃﾞｰﾀ!N77</f>
        <v>101000</v>
      </c>
      <c r="G14" s="214">
        <f>元ﾃﾞｰﾀ!Y77</f>
        <v>91999.856</v>
      </c>
      <c r="H14" s="214">
        <f>元ﾃﾞｰﾀ!AC77</f>
        <v>88400</v>
      </c>
      <c r="I14" s="215">
        <f>元ﾃﾞｰﾀ!AG77</f>
        <v>87800</v>
      </c>
      <c r="J14" s="216">
        <f>元ﾃﾞｰﾀ!BF77</f>
        <v>94800</v>
      </c>
      <c r="K14" s="214">
        <f>元ﾃﾞｰﾀ!BJ77</f>
        <v>88500</v>
      </c>
      <c r="L14" s="214">
        <f>元ﾃﾞｰﾀ!BN77</f>
        <v>88000</v>
      </c>
      <c r="M14" s="214">
        <f>元ﾃﾞｰﾀ!BY77</f>
        <v>93500</v>
      </c>
      <c r="N14" s="214">
        <f>元ﾃﾞｰﾀ!CC77</f>
        <v>64300</v>
      </c>
      <c r="O14" s="214">
        <f>元ﾃﾞｰﾀ!CG77</f>
        <v>41400</v>
      </c>
      <c r="P14" s="217"/>
      <c r="Q14" s="209"/>
      <c r="R14" s="83"/>
    </row>
    <row r="15" spans="1:18">
      <c r="A15" s="1395"/>
      <c r="B15" s="1395"/>
      <c r="C15" s="405" t="s">
        <v>50</v>
      </c>
      <c r="D15" s="218">
        <f>元ﾃﾞｰﾀ!G171</f>
        <v>0.11899999999999999</v>
      </c>
      <c r="E15" s="1285">
        <f>元ﾃﾞｰﾀ!K171</f>
        <v>0.1150295995574377</v>
      </c>
      <c r="F15" s="1285">
        <f>元ﾃﾞｰﾀ!O171</f>
        <v>0.11503945695111478</v>
      </c>
      <c r="G15" s="1285">
        <f>元ﾃﾞｰﾀ!Z171</f>
        <v>0.11955190319873549</v>
      </c>
      <c r="H15" s="1285">
        <f>元ﾃﾞｰﾀ!AD171</f>
        <v>0.11785940375127947</v>
      </c>
      <c r="I15" s="1286">
        <f>元ﾃﾞｰﾀ!AH171</f>
        <v>0.12453751746548748</v>
      </c>
      <c r="J15" s="1287">
        <f>元ﾃﾞｰﾀ!BG171</f>
        <v>0.13265496760293355</v>
      </c>
      <c r="K15" s="1285">
        <f>元ﾃﾞｰﾀ!BK171</f>
        <v>0.1463763164683374</v>
      </c>
      <c r="L15" s="1285">
        <f>元ﾃﾞｰﾀ!BO171</f>
        <v>0.14115323626512444</v>
      </c>
      <c r="M15" s="1285">
        <f>元ﾃﾞｰﾀ!BX171</f>
        <v>0.15998058252427183</v>
      </c>
      <c r="N15" s="398">
        <f>元ﾃﾞｰﾀ!CB171</f>
        <v>0.16018009259259258</v>
      </c>
      <c r="O15" s="399">
        <f>元ﾃﾞｰﾀ!CF171</f>
        <v>0.15888308823529412</v>
      </c>
      <c r="P15" s="217"/>
      <c r="Q15" s="209"/>
      <c r="R15" s="83"/>
    </row>
    <row r="16" spans="1:18">
      <c r="A16" s="1395"/>
      <c r="B16" s="1395"/>
      <c r="C16" s="406" t="s">
        <v>251</v>
      </c>
      <c r="D16" s="219">
        <f>元ﾃﾞｰﾀ!G77</f>
        <v>103159.527</v>
      </c>
      <c r="E16" s="1054">
        <f>元ﾃﾞｰﾀ!K77</f>
        <v>92060.256360000014</v>
      </c>
      <c r="F16" s="1054">
        <f>元ﾃﾞｰﾀ!O77</f>
        <v>91359.676529999997</v>
      </c>
      <c r="G16" s="1054">
        <f>元ﾃﾞｰﾀ!Z77</f>
        <v>110631.53</v>
      </c>
      <c r="H16" s="1054">
        <f>元ﾃﾞｰﾀ!AD77</f>
        <v>92549.08418999998</v>
      </c>
      <c r="I16" s="1288">
        <f>元ﾃﾞｰﾀ!AH77</f>
        <v>91947.103769999987</v>
      </c>
      <c r="J16" s="1289">
        <f>元ﾃﾞｰﾀ!BG77</f>
        <v>94937.866919999986</v>
      </c>
      <c r="K16" s="1054">
        <f>元ﾃﾞｰﾀ!BK77</f>
        <v>85584.843209999992</v>
      </c>
      <c r="L16" s="1054">
        <f>元ﾃﾞｰﾀ!BO77</f>
        <v>88027.236550000001</v>
      </c>
      <c r="M16" s="1054">
        <f>元ﾃﾞｰﾀ!BZ77</f>
        <v>94623.216309999989</v>
      </c>
      <c r="N16" s="400">
        <f>元ﾃﾞｰﾀ!CD77</f>
        <v>64300</v>
      </c>
      <c r="O16" s="400">
        <f>元ﾃﾞｰﾀ!CH77</f>
        <v>41400</v>
      </c>
      <c r="P16" s="217"/>
      <c r="Q16" s="83"/>
      <c r="R16" s="83"/>
    </row>
    <row r="17" spans="1:18">
      <c r="A17" s="1393"/>
      <c r="B17" s="1393"/>
      <c r="C17" s="407" t="s">
        <v>249</v>
      </c>
      <c r="D17" s="223">
        <f>元ﾃﾞｰﾀ!E77</f>
        <v>70800</v>
      </c>
      <c r="E17" s="223">
        <f>元ﾃﾞｰﾀ!I77</f>
        <v>78700</v>
      </c>
      <c r="F17" s="223">
        <f>元ﾃﾞｰﾀ!M77</f>
        <v>79400</v>
      </c>
      <c r="G17" s="223">
        <f>元ﾃﾞｰﾀ!X77</f>
        <v>79400</v>
      </c>
      <c r="H17" s="223">
        <f>元ﾃﾞｰﾀ!AB77</f>
        <v>86500</v>
      </c>
      <c r="I17" s="224">
        <f>元ﾃﾞｰﾀ!AF77</f>
        <v>93000</v>
      </c>
      <c r="J17" s="225">
        <f>元ﾃﾞｰﾀ!BE77</f>
        <v>94800</v>
      </c>
      <c r="K17" s="223">
        <f>元ﾃﾞｰﾀ!BI77</f>
        <v>99500</v>
      </c>
      <c r="L17" s="223">
        <f>元ﾃﾞｰﾀ!BM77</f>
        <v>91300</v>
      </c>
      <c r="M17" s="223">
        <f>元ﾃﾞｰﾀ!BX77</f>
        <v>92700</v>
      </c>
      <c r="N17" s="223">
        <f>元ﾃﾞｰﾀ!CB77</f>
        <v>64800</v>
      </c>
      <c r="O17" s="223">
        <f>元ﾃﾞｰﾀ!CF77</f>
        <v>40800</v>
      </c>
      <c r="P17" s="226"/>
      <c r="Q17" s="227"/>
      <c r="R17" s="83"/>
    </row>
    <row r="18" spans="1:18">
      <c r="A18" s="1392" t="s">
        <v>20</v>
      </c>
      <c r="B18" s="1392" t="s">
        <v>25</v>
      </c>
      <c r="C18" s="153" t="s">
        <v>49</v>
      </c>
      <c r="D18" s="228"/>
      <c r="E18" s="160"/>
      <c r="F18" s="160"/>
      <c r="G18" s="161"/>
      <c r="H18" s="160"/>
      <c r="I18" s="229"/>
      <c r="J18" s="159"/>
      <c r="K18" s="160"/>
      <c r="L18" s="160"/>
      <c r="M18" s="160"/>
      <c r="N18" s="160"/>
      <c r="O18" s="160"/>
      <c r="P18" s="83"/>
      <c r="Q18" s="227"/>
      <c r="R18" s="83"/>
    </row>
    <row r="19" spans="1:18">
      <c r="A19" s="1392"/>
      <c r="B19" s="1392"/>
      <c r="C19" s="162" t="s">
        <v>133</v>
      </c>
      <c r="D19" s="165">
        <v>92669</v>
      </c>
      <c r="E19" s="164">
        <v>73415</v>
      </c>
      <c r="F19" s="165">
        <v>108696</v>
      </c>
      <c r="G19" s="166">
        <v>91288</v>
      </c>
      <c r="H19" s="164">
        <v>61749</v>
      </c>
      <c r="I19" s="167">
        <v>114923</v>
      </c>
      <c r="J19" s="168">
        <v>43493</v>
      </c>
      <c r="K19" s="165">
        <v>48184</v>
      </c>
      <c r="L19" s="165">
        <v>62442</v>
      </c>
      <c r="M19" s="165">
        <v>62806</v>
      </c>
      <c r="N19" s="165">
        <v>81137</v>
      </c>
      <c r="O19" s="165">
        <v>70833</v>
      </c>
      <c r="P19" s="83"/>
      <c r="Q19" s="83"/>
      <c r="R19" s="83"/>
    </row>
    <row r="20" spans="1:18">
      <c r="A20" s="1392"/>
      <c r="B20" s="1392"/>
      <c r="C20" s="153" t="s">
        <v>49</v>
      </c>
      <c r="D20" s="230"/>
      <c r="E20" s="172"/>
      <c r="F20" s="230">
        <v>0.13600000000000001</v>
      </c>
      <c r="G20" s="171">
        <v>0.105</v>
      </c>
      <c r="H20" s="172">
        <v>9.1999999999999998E-2</v>
      </c>
      <c r="I20" s="173">
        <v>9.6000000000000002E-2</v>
      </c>
      <c r="J20" s="174">
        <v>0.113</v>
      </c>
      <c r="K20" s="230">
        <v>0.12195098576122672</v>
      </c>
      <c r="L20" s="230">
        <v>0.1212162673943231</v>
      </c>
      <c r="M20" s="230">
        <v>0.10699656694458066</v>
      </c>
      <c r="N20" s="230">
        <v>0.12099799106930334</v>
      </c>
      <c r="O20" s="230">
        <v>0.13429059239253294</v>
      </c>
      <c r="P20" s="83"/>
      <c r="Q20" s="83"/>
      <c r="R20" s="83"/>
    </row>
    <row r="21" spans="1:18">
      <c r="A21" s="1392"/>
      <c r="B21" s="1392"/>
      <c r="C21" s="162" t="s">
        <v>134</v>
      </c>
      <c r="D21" s="182">
        <v>97795</v>
      </c>
      <c r="E21" s="177">
        <v>133947</v>
      </c>
      <c r="F21" s="178">
        <v>126971</v>
      </c>
      <c r="G21" s="179">
        <v>133173</v>
      </c>
      <c r="H21" s="177">
        <v>96030</v>
      </c>
      <c r="I21" s="180">
        <v>74949</v>
      </c>
      <c r="J21" s="181">
        <v>75364</v>
      </c>
      <c r="K21" s="182">
        <v>94952</v>
      </c>
      <c r="L21" s="182">
        <v>102979</v>
      </c>
      <c r="M21" s="182">
        <v>122340</v>
      </c>
      <c r="N21" s="182">
        <v>105031</v>
      </c>
      <c r="O21" s="182">
        <v>84049</v>
      </c>
      <c r="P21" s="83"/>
      <c r="Q21" s="83"/>
      <c r="R21" s="83"/>
    </row>
    <row r="22" spans="1:18">
      <c r="A22" s="1392"/>
      <c r="B22" s="1392"/>
      <c r="C22" s="153" t="s">
        <v>49</v>
      </c>
      <c r="D22" s="231">
        <v>0.13200000000000001</v>
      </c>
      <c r="E22" s="232">
        <v>0.13300000000000001</v>
      </c>
      <c r="F22" s="171">
        <v>0.13500000000000001</v>
      </c>
      <c r="G22" s="171">
        <v>0.13100000000000001</v>
      </c>
      <c r="H22" s="172">
        <v>0.14399999999999999</v>
      </c>
      <c r="I22" s="173">
        <v>0.17299999999999999</v>
      </c>
      <c r="J22" s="174">
        <v>0.17199999999999999</v>
      </c>
      <c r="K22" s="174">
        <v>0.16900000000000001</v>
      </c>
      <c r="L22" s="174">
        <v>0.16800000000000001</v>
      </c>
      <c r="M22" s="174">
        <v>0.183</v>
      </c>
      <c r="N22" s="174">
        <v>0.17699999999999999</v>
      </c>
      <c r="O22" s="174">
        <v>0.17599999999999999</v>
      </c>
      <c r="P22" s="83"/>
      <c r="Q22" s="83"/>
      <c r="R22" s="83"/>
    </row>
    <row r="23" spans="1:18">
      <c r="A23" s="1392"/>
      <c r="B23" s="1392"/>
      <c r="C23" s="162" t="s">
        <v>136</v>
      </c>
      <c r="D23" s="182">
        <v>121279</v>
      </c>
      <c r="E23" s="190">
        <v>182084</v>
      </c>
      <c r="F23" s="191">
        <v>180553</v>
      </c>
      <c r="G23" s="191">
        <v>143968</v>
      </c>
      <c r="H23" s="192">
        <v>96376</v>
      </c>
      <c r="I23" s="193">
        <v>71917</v>
      </c>
      <c r="J23" s="194">
        <v>96271</v>
      </c>
      <c r="K23" s="195">
        <v>129049</v>
      </c>
      <c r="L23" s="233">
        <v>149213</v>
      </c>
      <c r="M23" s="195">
        <v>146582</v>
      </c>
      <c r="N23" s="195">
        <v>127252</v>
      </c>
      <c r="O23" s="195">
        <v>102569</v>
      </c>
      <c r="P23" s="83"/>
      <c r="Q23" s="83"/>
      <c r="R23" s="83"/>
    </row>
    <row r="24" spans="1:18">
      <c r="A24" s="1392"/>
      <c r="B24" s="1392"/>
      <c r="C24" s="153" t="s">
        <v>50</v>
      </c>
      <c r="D24" s="196">
        <v>0.18071590073279031</v>
      </c>
      <c r="E24" s="196">
        <v>0.183</v>
      </c>
      <c r="F24" s="196">
        <v>0.18126600141736618</v>
      </c>
      <c r="G24" s="196">
        <v>0.18478962131837307</v>
      </c>
      <c r="H24" s="196">
        <v>0.17717690579551018</v>
      </c>
      <c r="I24" s="234">
        <v>0.18146886062775458</v>
      </c>
      <c r="J24" s="235">
        <v>0.19400000000000001</v>
      </c>
      <c r="K24" s="196">
        <v>0.19700000000000001</v>
      </c>
      <c r="L24" s="196">
        <v>0.20193998719234865</v>
      </c>
      <c r="M24" s="196">
        <v>0.19039666446177034</v>
      </c>
      <c r="N24" s="196">
        <v>0.20616629566851141</v>
      </c>
      <c r="O24" s="196">
        <v>0.19175180873836734</v>
      </c>
      <c r="P24" s="83"/>
      <c r="Q24" s="83"/>
      <c r="R24" s="83"/>
    </row>
    <row r="25" spans="1:18">
      <c r="A25" s="1392"/>
      <c r="B25" s="1392"/>
      <c r="C25" s="162" t="s">
        <v>197</v>
      </c>
      <c r="D25" s="178">
        <v>110127</v>
      </c>
      <c r="E25" s="204">
        <v>121168</v>
      </c>
      <c r="F25" s="204">
        <v>132922.6</v>
      </c>
      <c r="G25" s="204">
        <v>128340</v>
      </c>
      <c r="H25" s="205">
        <v>118402</v>
      </c>
      <c r="I25" s="206">
        <v>126833</v>
      </c>
      <c r="J25" s="207">
        <v>82449</v>
      </c>
      <c r="K25" s="208">
        <v>84026</v>
      </c>
      <c r="L25" s="236">
        <v>82422.606</v>
      </c>
      <c r="M25" s="208">
        <v>92219</v>
      </c>
      <c r="N25" s="208">
        <v>97934</v>
      </c>
      <c r="O25" s="208">
        <v>87221.486999999994</v>
      </c>
      <c r="P25" s="83"/>
      <c r="Q25" s="83"/>
      <c r="R25" s="83"/>
    </row>
    <row r="26" spans="1:18">
      <c r="A26" s="1392"/>
      <c r="B26" s="1392"/>
      <c r="C26" s="153" t="s">
        <v>50</v>
      </c>
      <c r="D26" s="185">
        <v>0.19740674246957909</v>
      </c>
      <c r="E26" s="185">
        <v>0.2030127286200902</v>
      </c>
      <c r="F26" s="185">
        <v>0.19753307276755705</v>
      </c>
      <c r="G26" s="185">
        <v>0.20118087459546294</v>
      </c>
      <c r="H26" s="185">
        <v>0.21164070007345781</v>
      </c>
      <c r="I26" s="187">
        <v>0.21813595358974996</v>
      </c>
      <c r="J26" s="396">
        <v>0.21513550884955751</v>
      </c>
      <c r="K26" s="185">
        <v>0.22842999999999999</v>
      </c>
      <c r="L26" s="185">
        <v>0.22644231862026012</v>
      </c>
      <c r="M26" s="185">
        <v>0.21514313531922113</v>
      </c>
      <c r="N26" s="185">
        <v>0.21039056477846532</v>
      </c>
      <c r="O26" s="397">
        <v>0.21299999999999999</v>
      </c>
      <c r="P26" s="83"/>
      <c r="Q26" s="83"/>
      <c r="R26" s="83"/>
    </row>
    <row r="27" spans="1:18">
      <c r="A27" s="1392"/>
      <c r="B27" s="1392"/>
      <c r="C27" s="162" t="s">
        <v>248</v>
      </c>
      <c r="D27" s="178">
        <v>116778.285</v>
      </c>
      <c r="E27" s="204">
        <v>161199.74400000001</v>
      </c>
      <c r="F27" s="204">
        <v>200845</v>
      </c>
      <c r="G27" s="204">
        <v>186661.81899999999</v>
      </c>
      <c r="H27" s="205">
        <v>171072.81899999999</v>
      </c>
      <c r="I27" s="206">
        <v>150000.48499999999</v>
      </c>
      <c r="J27" s="207">
        <v>141024</v>
      </c>
      <c r="K27" s="208">
        <v>90955.524999999994</v>
      </c>
      <c r="L27" s="208">
        <v>128335.323</v>
      </c>
      <c r="M27" s="208">
        <v>161012.345</v>
      </c>
      <c r="N27" s="208">
        <v>131814.87</v>
      </c>
      <c r="O27" s="208">
        <v>108255</v>
      </c>
      <c r="P27" s="83"/>
      <c r="Q27" s="83"/>
      <c r="R27" s="83"/>
    </row>
    <row r="28" spans="1:18">
      <c r="A28" s="1392"/>
      <c r="B28" s="1392"/>
      <c r="C28" s="402" t="s">
        <v>50</v>
      </c>
      <c r="D28" s="211">
        <f>元ﾃﾞｰﾀ!F177</f>
        <v>0.2117</v>
      </c>
      <c r="E28" s="211">
        <f>元ﾃﾞｰﾀ!J177</f>
        <v>0.22699949999999997</v>
      </c>
      <c r="F28" s="211">
        <f>元ﾃﾞｰﾀ!N177</f>
        <v>0.23864879999999997</v>
      </c>
      <c r="G28" s="211">
        <f>元ﾃﾞｰﾀ!Y177</f>
        <v>0.23975639999999998</v>
      </c>
      <c r="H28" s="211">
        <f>元ﾃﾞｰﾀ!AC177</f>
        <v>0.23400000000000001</v>
      </c>
      <c r="I28" s="212">
        <f>元ﾃﾞｰﾀ!AG177</f>
        <v>0.23599999999999999</v>
      </c>
      <c r="J28" s="213">
        <f>元ﾃﾞｰﾀ!BF177</f>
        <v>0.23600000000000004</v>
      </c>
      <c r="K28" s="211">
        <f>元ﾃﾞｰﾀ!BJ177</f>
        <v>0.22522499999999998</v>
      </c>
      <c r="L28" s="211">
        <f>元ﾃﾞｰﾀ!BN177</f>
        <v>0.23399999999999999</v>
      </c>
      <c r="M28" s="211">
        <f>元ﾃﾞｰﾀ!BY177</f>
        <v>0.22999999999999998</v>
      </c>
      <c r="N28" s="211">
        <f>元ﾃﾞｰﾀ!CC177</f>
        <v>0.22900000000000001</v>
      </c>
      <c r="O28" s="211">
        <f>元ﾃﾞｰﾀ!CG177</f>
        <v>0.22900000000000001</v>
      </c>
      <c r="P28" s="83"/>
      <c r="Q28" s="83"/>
      <c r="R28" s="83"/>
    </row>
    <row r="29" spans="1:18">
      <c r="A29" s="1392"/>
      <c r="B29" s="1392"/>
      <c r="C29" s="403" t="s">
        <v>250</v>
      </c>
      <c r="D29" s="214">
        <f>元ﾃﾞｰﾀ!F81</f>
        <v>240000</v>
      </c>
      <c r="E29" s="214">
        <f>元ﾃﾞｰﾀ!J81</f>
        <v>300000</v>
      </c>
      <c r="F29" s="214">
        <f>元ﾃﾞｰﾀ!N81</f>
        <v>300000</v>
      </c>
      <c r="G29" s="214">
        <f>元ﾃﾞｰﾀ!Y81</f>
        <v>250000</v>
      </c>
      <c r="H29" s="214">
        <f>元ﾃﾞｰﾀ!AC81</f>
        <v>200000</v>
      </c>
      <c r="I29" s="215">
        <f>元ﾃﾞｰﾀ!AG81</f>
        <v>180000</v>
      </c>
      <c r="J29" s="216">
        <f>元ﾃﾞｰﾀ!BF81</f>
        <v>180000</v>
      </c>
      <c r="K29" s="214">
        <f>元ﾃﾞｰﾀ!BJ81</f>
        <v>120000</v>
      </c>
      <c r="L29" s="214">
        <f>元ﾃﾞｰﾀ!BN81</f>
        <v>170000</v>
      </c>
      <c r="M29" s="214">
        <f>元ﾃﾞｰﾀ!BY81</f>
        <v>210000</v>
      </c>
      <c r="N29" s="214">
        <f>元ﾃﾞｰﾀ!CC81</f>
        <v>214000</v>
      </c>
      <c r="O29" s="214">
        <f>元ﾃﾞｰﾀ!CG81</f>
        <v>152500</v>
      </c>
      <c r="P29" s="83"/>
      <c r="Q29" s="83"/>
      <c r="R29" s="83"/>
    </row>
    <row r="30" spans="1:18">
      <c r="A30" s="1392"/>
      <c r="B30" s="1392"/>
      <c r="C30" s="405" t="s">
        <v>50</v>
      </c>
      <c r="D30" s="218">
        <f>元ﾃﾞｰﾀ!G177</f>
        <v>0.21596078941825081</v>
      </c>
      <c r="E30" s="1285">
        <f>元ﾃﾞｰﾀ!K177</f>
        <v>0.24116797586076205</v>
      </c>
      <c r="F30" s="1285">
        <f>元ﾃﾞｰﾀ!O177</f>
        <v>0.24182687351071722</v>
      </c>
      <c r="G30" s="1285">
        <f>元ﾃﾞｰﾀ!Z177</f>
        <v>0.23457769696998815</v>
      </c>
      <c r="H30" s="1285">
        <f>元ﾃﾞｰﾀ!AD177</f>
        <v>0.21913082236409351</v>
      </c>
      <c r="I30" s="1286">
        <f>元ﾃﾞｰﾀ!AH177</f>
        <v>0.23068959561522376</v>
      </c>
      <c r="J30" s="1287">
        <f>元ﾃﾞｰﾀ!BG177</f>
        <v>0.21696504141526873</v>
      </c>
      <c r="K30" s="1285">
        <f>元ﾃﾞｰﾀ!BK177</f>
        <v>0.23661011680697314</v>
      </c>
      <c r="L30" s="1285">
        <f>元ﾃﾞｰﾀ!BO177</f>
        <v>0.23049774210079535</v>
      </c>
      <c r="M30" s="1285">
        <f>元ﾃﾞｰﾀ!BZ177</f>
        <v>0.22238866142129632</v>
      </c>
      <c r="N30" s="398">
        <f>元ﾃﾞｰﾀ!CD177</f>
        <v>0.22900000000000001</v>
      </c>
      <c r="O30" s="399">
        <f>元ﾃﾞｰﾀ!CH177</f>
        <v>0.231075</v>
      </c>
      <c r="P30" s="83"/>
      <c r="Q30" s="83"/>
      <c r="R30" s="83"/>
    </row>
    <row r="31" spans="1:18">
      <c r="A31" s="1392"/>
      <c r="B31" s="1392"/>
      <c r="C31" s="406" t="s">
        <v>251</v>
      </c>
      <c r="D31" s="237">
        <f>元ﾃﾞｰﾀ!G81</f>
        <v>271480.777</v>
      </c>
      <c r="E31" s="1054">
        <f>元ﾃﾞｰﾀ!K81</f>
        <v>308709</v>
      </c>
      <c r="F31" s="1054">
        <f>元ﾃﾞｰﾀ!O81</f>
        <v>300435.35590000002</v>
      </c>
      <c r="G31" s="1054">
        <f>元ﾃﾞｰﾀ!Z81</f>
        <v>251402.05600000001</v>
      </c>
      <c r="H31" s="1054">
        <f>元ﾃﾞｰﾀ!AD81</f>
        <v>200913.18410000001</v>
      </c>
      <c r="I31" s="1288">
        <f>元ﾃﾞｰﾀ!AH81</f>
        <v>180038.19450000001</v>
      </c>
      <c r="J31" s="1289">
        <f>元ﾃﾞｰﾀ!BG81</f>
        <v>116268.351</v>
      </c>
      <c r="K31" s="1054">
        <f>元ﾃﾞｰﾀ!BK81</f>
        <v>117449.923</v>
      </c>
      <c r="L31" s="1054">
        <f>元ﾃﾞｰﾀ!BO81</f>
        <v>160055.639</v>
      </c>
      <c r="M31" s="1054">
        <f>元ﾃﾞｰﾀ!BZ81</f>
        <v>210210.897</v>
      </c>
      <c r="N31" s="400">
        <f>元ﾃﾞｰﾀ!CD81</f>
        <v>150000</v>
      </c>
      <c r="O31" s="400">
        <f>元ﾃﾞｰﾀ!CH81</f>
        <v>100000</v>
      </c>
      <c r="P31" s="226"/>
      <c r="Q31" s="83"/>
      <c r="R31" s="83"/>
    </row>
    <row r="32" spans="1:18">
      <c r="A32" s="1392"/>
      <c r="B32" s="1392"/>
      <c r="C32" s="407" t="s">
        <v>249</v>
      </c>
      <c r="D32" s="223">
        <f>元ﾃﾞｰﾀ!E81</f>
        <v>180000</v>
      </c>
      <c r="E32" s="223">
        <f>元ﾃﾞｰﾀ!I81</f>
        <v>200000</v>
      </c>
      <c r="F32" s="223">
        <f>元ﾃﾞｰﾀ!M81</f>
        <v>200000</v>
      </c>
      <c r="G32" s="223">
        <f>元ﾃﾞｰﾀ!X81</f>
        <v>170000</v>
      </c>
      <c r="H32" s="223">
        <f>元ﾃﾞｰﾀ!AB81</f>
        <v>160000</v>
      </c>
      <c r="I32" s="224">
        <f>元ﾃﾞｰﾀ!AF81</f>
        <v>130000</v>
      </c>
      <c r="J32" s="225">
        <f>元ﾃﾞｰﾀ!BE81</f>
        <v>180000</v>
      </c>
      <c r="K32" s="223">
        <f>元ﾃﾞｰﾀ!BI81</f>
        <v>140000</v>
      </c>
      <c r="L32" s="223">
        <f>元ﾃﾞｰﾀ!BM81</f>
        <v>170000</v>
      </c>
      <c r="M32" s="223">
        <f>元ﾃﾞｰﾀ!BX81</f>
        <v>180000</v>
      </c>
      <c r="N32" s="223">
        <f>元ﾃﾞｰﾀ!CB81</f>
        <v>160000</v>
      </c>
      <c r="O32" s="223">
        <f>元ﾃﾞｰﾀ!CF81</f>
        <v>150000</v>
      </c>
      <c r="P32" s="226"/>
      <c r="Q32" s="83"/>
      <c r="R32" s="83"/>
    </row>
    <row r="33" spans="1:18">
      <c r="A33" s="1392" t="s">
        <v>21</v>
      </c>
      <c r="B33" s="1392" t="s">
        <v>25</v>
      </c>
      <c r="C33" s="222" t="s">
        <v>150</v>
      </c>
      <c r="D33" s="238">
        <v>50756</v>
      </c>
      <c r="E33" s="238">
        <v>7332</v>
      </c>
      <c r="F33" s="165">
        <v>4614</v>
      </c>
      <c r="G33" s="166">
        <v>28561</v>
      </c>
      <c r="H33" s="238">
        <v>2767</v>
      </c>
      <c r="I33" s="239">
        <v>9991</v>
      </c>
      <c r="J33" s="240">
        <v>4007</v>
      </c>
      <c r="K33" s="238">
        <v>6550</v>
      </c>
      <c r="L33" s="238">
        <v>12505</v>
      </c>
      <c r="M33" s="238">
        <v>-663</v>
      </c>
      <c r="N33" s="238">
        <v>21553</v>
      </c>
      <c r="O33" s="238">
        <v>12332</v>
      </c>
      <c r="P33" s="83"/>
      <c r="Q33" s="241"/>
      <c r="R33" s="83"/>
    </row>
    <row r="34" spans="1:18">
      <c r="A34" s="1392"/>
      <c r="B34" s="1392"/>
      <c r="C34" s="404" t="s">
        <v>151</v>
      </c>
      <c r="D34" s="243">
        <v>27062</v>
      </c>
      <c r="E34" s="154">
        <v>32435</v>
      </c>
      <c r="F34" s="243">
        <v>35338</v>
      </c>
      <c r="G34" s="244">
        <v>44739</v>
      </c>
      <c r="H34" s="154">
        <v>30150</v>
      </c>
      <c r="I34" s="423">
        <v>28830</v>
      </c>
      <c r="J34" s="424">
        <v>59300</v>
      </c>
      <c r="K34" s="243">
        <v>55879</v>
      </c>
      <c r="L34" s="243">
        <v>86893</v>
      </c>
      <c r="M34" s="243">
        <v>36121</v>
      </c>
      <c r="N34" s="243">
        <v>56678</v>
      </c>
      <c r="O34" s="243">
        <v>49053</v>
      </c>
      <c r="P34" s="83"/>
      <c r="Q34" s="83"/>
      <c r="R34" s="83"/>
    </row>
    <row r="35" spans="1:18">
      <c r="A35" s="1392"/>
      <c r="B35" s="1392"/>
      <c r="C35" s="422" t="s">
        <v>211</v>
      </c>
      <c r="D35" s="178">
        <v>27062</v>
      </c>
      <c r="E35" s="204">
        <v>32435</v>
      </c>
      <c r="F35" s="204">
        <v>35338</v>
      </c>
      <c r="G35" s="204">
        <v>41759</v>
      </c>
      <c r="H35" s="205">
        <v>28670</v>
      </c>
      <c r="I35" s="206">
        <v>7572</v>
      </c>
      <c r="J35" s="207">
        <v>38276</v>
      </c>
      <c r="K35" s="208">
        <v>31110</v>
      </c>
      <c r="L35" s="337">
        <v>53169</v>
      </c>
      <c r="M35" s="337">
        <v>19215</v>
      </c>
      <c r="N35" s="337">
        <v>22732</v>
      </c>
      <c r="O35" s="337">
        <v>33945</v>
      </c>
      <c r="P35" s="83"/>
      <c r="Q35" s="83"/>
      <c r="R35" s="83"/>
    </row>
    <row r="36" spans="1:18">
      <c r="A36" s="1392"/>
      <c r="B36" s="1392"/>
      <c r="C36" s="421" t="s">
        <v>52</v>
      </c>
      <c r="D36" s="182"/>
      <c r="E36" s="190"/>
      <c r="F36" s="191"/>
      <c r="G36" s="191">
        <v>2980</v>
      </c>
      <c r="H36" s="192">
        <v>1480</v>
      </c>
      <c r="I36" s="193">
        <v>21258</v>
      </c>
      <c r="J36" s="194">
        <v>21024</v>
      </c>
      <c r="K36" s="195">
        <v>24769</v>
      </c>
      <c r="L36" s="250">
        <v>33724</v>
      </c>
      <c r="M36" s="250">
        <v>16906</v>
      </c>
      <c r="N36" s="250">
        <v>33946</v>
      </c>
      <c r="O36" s="250">
        <v>15108</v>
      </c>
      <c r="P36" s="83"/>
      <c r="Q36" s="83"/>
      <c r="R36" s="83"/>
    </row>
    <row r="37" spans="1:18">
      <c r="A37" s="1392"/>
      <c r="B37" s="1392"/>
      <c r="C37" s="247" t="s">
        <v>152</v>
      </c>
      <c r="D37" s="243">
        <v>72534</v>
      </c>
      <c r="E37" s="155">
        <v>79332</v>
      </c>
      <c r="F37" s="156">
        <v>58437</v>
      </c>
      <c r="G37" s="156">
        <v>61520</v>
      </c>
      <c r="H37" s="157">
        <v>95387</v>
      </c>
      <c r="I37" s="158">
        <v>62857</v>
      </c>
      <c r="J37" s="159">
        <v>65148</v>
      </c>
      <c r="K37" s="160">
        <v>45422</v>
      </c>
      <c r="L37" s="160">
        <v>79748</v>
      </c>
      <c r="M37" s="160">
        <v>96763</v>
      </c>
      <c r="N37" s="160">
        <v>110905</v>
      </c>
      <c r="O37" s="160">
        <v>60158</v>
      </c>
      <c r="P37" s="83"/>
      <c r="Q37" s="83"/>
      <c r="R37" s="83"/>
    </row>
    <row r="38" spans="1:18">
      <c r="A38" s="1392"/>
      <c r="B38" s="1392"/>
      <c r="C38" s="422" t="s">
        <v>153</v>
      </c>
      <c r="D38" s="178">
        <v>36795</v>
      </c>
      <c r="E38" s="204">
        <v>39728</v>
      </c>
      <c r="F38" s="204">
        <v>26000</v>
      </c>
      <c r="G38" s="204">
        <v>44223</v>
      </c>
      <c r="H38" s="205">
        <v>58917</v>
      </c>
      <c r="I38" s="206">
        <v>30574</v>
      </c>
      <c r="J38" s="207">
        <v>27503</v>
      </c>
      <c r="K38" s="208">
        <v>22913</v>
      </c>
      <c r="L38" s="337">
        <v>39374</v>
      </c>
      <c r="M38" s="337">
        <v>37366</v>
      </c>
      <c r="N38" s="337">
        <v>54570</v>
      </c>
      <c r="O38" s="337">
        <v>30179</v>
      </c>
      <c r="P38" s="83"/>
      <c r="Q38" s="83"/>
      <c r="R38" s="83"/>
    </row>
    <row r="39" spans="1:18">
      <c r="A39" s="1392"/>
      <c r="B39" s="1392"/>
      <c r="C39" s="421" t="s">
        <v>149</v>
      </c>
      <c r="D39" s="182">
        <v>35739</v>
      </c>
      <c r="E39" s="190">
        <v>39604</v>
      </c>
      <c r="F39" s="191">
        <v>32437</v>
      </c>
      <c r="G39" s="191">
        <v>17297</v>
      </c>
      <c r="H39" s="192">
        <v>36470</v>
      </c>
      <c r="I39" s="193">
        <v>32283</v>
      </c>
      <c r="J39" s="194">
        <v>37645</v>
      </c>
      <c r="K39" s="195">
        <v>22509</v>
      </c>
      <c r="L39" s="250">
        <v>40374</v>
      </c>
      <c r="M39" s="250">
        <v>59397</v>
      </c>
      <c r="N39" s="250">
        <v>56335</v>
      </c>
      <c r="O39" s="250">
        <v>29979</v>
      </c>
      <c r="P39" s="83"/>
      <c r="Q39" s="83"/>
      <c r="R39" s="83"/>
    </row>
    <row r="40" spans="1:18">
      <c r="A40" s="1392"/>
      <c r="B40" s="1392"/>
      <c r="C40" s="247" t="s">
        <v>197</v>
      </c>
      <c r="D40" s="243">
        <f>SUM(D41:D42)</f>
        <v>83012</v>
      </c>
      <c r="E40" s="243">
        <f t="shared" ref="E40:O40" si="0">SUM(E41:E42)</f>
        <v>69660</v>
      </c>
      <c r="F40" s="243">
        <f t="shared" si="0"/>
        <v>73726</v>
      </c>
      <c r="G40" s="243">
        <f t="shared" si="0"/>
        <v>69277</v>
      </c>
      <c r="H40" s="243">
        <f t="shared" si="0"/>
        <v>86361</v>
      </c>
      <c r="I40" s="423">
        <f t="shared" si="0"/>
        <v>71932</v>
      </c>
      <c r="J40" s="424">
        <f t="shared" si="0"/>
        <v>85516</v>
      </c>
      <c r="K40" s="243">
        <f t="shared" si="0"/>
        <v>69839</v>
      </c>
      <c r="L40" s="243">
        <f t="shared" si="0"/>
        <v>63165</v>
      </c>
      <c r="M40" s="243">
        <f t="shared" si="0"/>
        <v>71340</v>
      </c>
      <c r="N40" s="243">
        <f t="shared" si="0"/>
        <v>70874</v>
      </c>
      <c r="O40" s="243">
        <f t="shared" si="0"/>
        <v>71588</v>
      </c>
      <c r="P40" s="83"/>
      <c r="Q40" s="83"/>
      <c r="R40" s="83"/>
    </row>
    <row r="41" spans="1:18">
      <c r="A41" s="1392"/>
      <c r="B41" s="1392"/>
      <c r="C41" s="422" t="s">
        <v>199</v>
      </c>
      <c r="D41" s="178">
        <v>44669</v>
      </c>
      <c r="E41" s="204">
        <v>33522</v>
      </c>
      <c r="F41" s="204">
        <v>38621</v>
      </c>
      <c r="G41" s="204">
        <v>41689</v>
      </c>
      <c r="H41" s="205">
        <v>39753</v>
      </c>
      <c r="I41" s="206">
        <v>45644</v>
      </c>
      <c r="J41" s="207">
        <v>43495</v>
      </c>
      <c r="K41" s="208">
        <v>35493</v>
      </c>
      <c r="L41" s="208">
        <v>32238</v>
      </c>
      <c r="M41" s="208">
        <v>36959</v>
      </c>
      <c r="N41" s="208">
        <v>33298</v>
      </c>
      <c r="O41" s="208">
        <v>40980</v>
      </c>
      <c r="P41" s="203"/>
      <c r="Q41" s="209"/>
      <c r="R41" s="83"/>
    </row>
    <row r="42" spans="1:18">
      <c r="A42" s="1392"/>
      <c r="B42" s="1392"/>
      <c r="C42" s="421" t="s">
        <v>201</v>
      </c>
      <c r="D42" s="182">
        <v>38343</v>
      </c>
      <c r="E42" s="191">
        <v>36138</v>
      </c>
      <c r="F42" s="191">
        <v>35105</v>
      </c>
      <c r="G42" s="191">
        <v>27588</v>
      </c>
      <c r="H42" s="192">
        <v>46608</v>
      </c>
      <c r="I42" s="193">
        <v>26288</v>
      </c>
      <c r="J42" s="194">
        <v>42021</v>
      </c>
      <c r="K42" s="195">
        <v>34346</v>
      </c>
      <c r="L42" s="195">
        <v>30927</v>
      </c>
      <c r="M42" s="195">
        <v>34381</v>
      </c>
      <c r="N42" s="195">
        <v>37576</v>
      </c>
      <c r="O42" s="195">
        <v>30608</v>
      </c>
      <c r="P42" s="203"/>
      <c r="Q42" s="209"/>
      <c r="R42" s="83"/>
    </row>
    <row r="43" spans="1:18">
      <c r="A43" s="1392"/>
      <c r="B43" s="1392"/>
      <c r="C43" s="380" t="s">
        <v>254</v>
      </c>
      <c r="D43" s="243">
        <f>D44+D45</f>
        <v>78370</v>
      </c>
      <c r="E43" s="228">
        <f t="shared" ref="E43:O43" si="1">E44+E45</f>
        <v>75343</v>
      </c>
      <c r="F43" s="228">
        <f t="shared" si="1"/>
        <v>106479</v>
      </c>
      <c r="G43" s="228">
        <f t="shared" si="1"/>
        <v>78886</v>
      </c>
      <c r="H43" s="228">
        <f t="shared" si="1"/>
        <v>79672</v>
      </c>
      <c r="I43" s="158">
        <f t="shared" si="1"/>
        <v>70189</v>
      </c>
      <c r="J43" s="159">
        <f t="shared" si="1"/>
        <v>103482</v>
      </c>
      <c r="K43" s="228">
        <f t="shared" si="1"/>
        <v>85392</v>
      </c>
      <c r="L43" s="228">
        <f t="shared" si="1"/>
        <v>109853</v>
      </c>
      <c r="M43" s="228">
        <f t="shared" si="1"/>
        <v>116645</v>
      </c>
      <c r="N43" s="228">
        <f t="shared" si="1"/>
        <v>94487</v>
      </c>
      <c r="O43" s="228">
        <f t="shared" si="1"/>
        <v>107121.35800000001</v>
      </c>
      <c r="P43" s="203"/>
      <c r="Q43" s="209"/>
      <c r="R43" s="83"/>
    </row>
    <row r="44" spans="1:18">
      <c r="A44" s="1392"/>
      <c r="B44" s="1392"/>
      <c r="C44" s="422" t="s">
        <v>252</v>
      </c>
      <c r="D44" s="178">
        <v>38721</v>
      </c>
      <c r="E44" s="204">
        <v>49318</v>
      </c>
      <c r="F44" s="204">
        <v>39450</v>
      </c>
      <c r="G44" s="204">
        <v>47260</v>
      </c>
      <c r="H44" s="205">
        <v>40718</v>
      </c>
      <c r="I44" s="206">
        <v>34913</v>
      </c>
      <c r="J44" s="207">
        <v>40235</v>
      </c>
      <c r="K44" s="208">
        <v>46703</v>
      </c>
      <c r="L44" s="208">
        <v>39445</v>
      </c>
      <c r="M44" s="208">
        <v>69968</v>
      </c>
      <c r="N44" s="208">
        <v>55002</v>
      </c>
      <c r="O44" s="208">
        <v>53501.358</v>
      </c>
      <c r="P44" s="203"/>
      <c r="Q44" s="209"/>
      <c r="R44" s="83"/>
    </row>
    <row r="45" spans="1:18">
      <c r="A45" s="1392"/>
      <c r="B45" s="1392"/>
      <c r="C45" s="421" t="s">
        <v>253</v>
      </c>
      <c r="D45" s="178">
        <v>39649</v>
      </c>
      <c r="E45" s="204">
        <v>26025</v>
      </c>
      <c r="F45" s="204">
        <v>67029</v>
      </c>
      <c r="G45" s="204">
        <v>31626</v>
      </c>
      <c r="H45" s="205">
        <v>38954</v>
      </c>
      <c r="I45" s="206">
        <v>35276</v>
      </c>
      <c r="J45" s="207">
        <v>63247</v>
      </c>
      <c r="K45" s="208">
        <v>38689</v>
      </c>
      <c r="L45" s="208">
        <v>70408</v>
      </c>
      <c r="M45" s="208">
        <v>46677</v>
      </c>
      <c r="N45" s="208">
        <v>39485</v>
      </c>
      <c r="O45" s="208">
        <v>53620</v>
      </c>
      <c r="P45" s="203"/>
      <c r="Q45" s="209"/>
      <c r="R45" s="83"/>
    </row>
    <row r="46" spans="1:18">
      <c r="A46" s="1392"/>
      <c r="B46" s="1392"/>
      <c r="C46" s="402" t="s">
        <v>250</v>
      </c>
      <c r="D46" s="258">
        <f t="shared" ref="D46:I46" si="2">D47+D48</f>
        <v>101583</v>
      </c>
      <c r="E46" s="258">
        <f t="shared" si="2"/>
        <v>133000</v>
      </c>
      <c r="F46" s="258">
        <f t="shared" si="2"/>
        <v>140000</v>
      </c>
      <c r="G46" s="258">
        <f t="shared" si="2"/>
        <v>138000</v>
      </c>
      <c r="H46" s="258">
        <f t="shared" si="2"/>
        <v>138000</v>
      </c>
      <c r="I46" s="259">
        <f t="shared" si="2"/>
        <v>135000</v>
      </c>
      <c r="J46" s="258">
        <f t="shared" ref="J46:O46" si="3">J47+J48</f>
        <v>150000</v>
      </c>
      <c r="K46" s="258">
        <f t="shared" si="3"/>
        <v>142000</v>
      </c>
      <c r="L46" s="258">
        <f t="shared" si="3"/>
        <v>146000</v>
      </c>
      <c r="M46" s="258">
        <f t="shared" si="3"/>
        <v>169500</v>
      </c>
      <c r="N46" s="258">
        <f t="shared" si="3"/>
        <v>170000</v>
      </c>
      <c r="O46" s="258">
        <f t="shared" si="3"/>
        <v>153000</v>
      </c>
      <c r="P46" s="83"/>
      <c r="Q46" s="83"/>
      <c r="R46" s="83"/>
    </row>
    <row r="47" spans="1:18" ht="13.5" customHeight="1">
      <c r="A47" s="1392"/>
      <c r="B47" s="1392"/>
      <c r="C47" s="428" t="s">
        <v>256</v>
      </c>
      <c r="D47" s="429">
        <f>元ﾃﾞｰﾀ!F87</f>
        <v>57000</v>
      </c>
      <c r="E47" s="429">
        <f>元ﾃﾞｰﾀ!J87</f>
        <v>78000</v>
      </c>
      <c r="F47" s="429">
        <f>元ﾃﾞｰﾀ!N87</f>
        <v>85000</v>
      </c>
      <c r="G47" s="429">
        <f>元ﾃﾞｰﾀ!Y87</f>
        <v>83000</v>
      </c>
      <c r="H47" s="429">
        <f>元ﾃﾞｰﾀ!AC87</f>
        <v>83000</v>
      </c>
      <c r="I47" s="430">
        <f>元ﾃﾞｰﾀ!AG87</f>
        <v>80000</v>
      </c>
      <c r="J47" s="429">
        <f>元ﾃﾞｰﾀ!BF87</f>
        <v>93000</v>
      </c>
      <c r="K47" s="429">
        <f>元ﾃﾞｰﾀ!BJ87</f>
        <v>92000</v>
      </c>
      <c r="L47" s="429">
        <f>元ﾃﾞｰﾀ!BN87</f>
        <v>106000</v>
      </c>
      <c r="M47" s="429">
        <f>元ﾃﾞｰﾀ!BY87</f>
        <v>128500</v>
      </c>
      <c r="N47" s="429">
        <f>元ﾃﾞｰﾀ!CC87</f>
        <v>110000</v>
      </c>
      <c r="O47" s="429">
        <f>元ﾃﾞｰﾀ!CG87</f>
        <v>104000</v>
      </c>
      <c r="P47" s="83"/>
      <c r="Q47" s="83"/>
      <c r="R47" s="83"/>
    </row>
    <row r="48" spans="1:18" ht="13.5" customHeight="1">
      <c r="A48" s="1392"/>
      <c r="B48" s="1392"/>
      <c r="C48" s="426" t="s">
        <v>257</v>
      </c>
      <c r="D48" s="260">
        <f>元ﾃﾞｰﾀ!F84</f>
        <v>44583</v>
      </c>
      <c r="E48" s="260">
        <f>元ﾃﾞｰﾀ!J84</f>
        <v>55000</v>
      </c>
      <c r="F48" s="260">
        <f>元ﾃﾞｰﾀ!N84</f>
        <v>55000</v>
      </c>
      <c r="G48" s="260">
        <f>元ﾃﾞｰﾀ!Y84</f>
        <v>55000</v>
      </c>
      <c r="H48" s="260">
        <f>元ﾃﾞｰﾀ!AC84</f>
        <v>55000</v>
      </c>
      <c r="I48" s="261">
        <f>元ﾃﾞｰﾀ!AG84</f>
        <v>55000</v>
      </c>
      <c r="J48" s="260">
        <f>元ﾃﾞｰﾀ!BF84</f>
        <v>57000</v>
      </c>
      <c r="K48" s="260">
        <f>元ﾃﾞｰﾀ!BJ84</f>
        <v>50000</v>
      </c>
      <c r="L48" s="260">
        <f>元ﾃﾞｰﾀ!BN84</f>
        <v>40000</v>
      </c>
      <c r="M48" s="260">
        <f>元ﾃﾞｰﾀ!BY84</f>
        <v>41000</v>
      </c>
      <c r="N48" s="260">
        <f>元ﾃﾞｰﾀ!CC84</f>
        <v>60000</v>
      </c>
      <c r="O48" s="260">
        <f>元ﾃﾞｰﾀ!CG84</f>
        <v>49000</v>
      </c>
      <c r="P48" s="83"/>
      <c r="Q48" s="83"/>
      <c r="R48" s="83"/>
    </row>
    <row r="49" spans="1:18" ht="13.5" customHeight="1">
      <c r="A49" s="1392"/>
      <c r="B49" s="1392"/>
      <c r="C49" s="433" t="s">
        <v>251</v>
      </c>
      <c r="D49" s="263">
        <f t="shared" ref="D49:I49" si="4">D50+D51</f>
        <v>142180</v>
      </c>
      <c r="E49" s="1290">
        <f t="shared" si="4"/>
        <v>157347</v>
      </c>
      <c r="F49" s="1290">
        <f t="shared" si="4"/>
        <v>175490</v>
      </c>
      <c r="G49" s="1290">
        <f t="shared" si="4"/>
        <v>152023</v>
      </c>
      <c r="H49" s="1290">
        <f t="shared" si="4"/>
        <v>130237.1</v>
      </c>
      <c r="I49" s="1291">
        <f t="shared" si="4"/>
        <v>156060.51347999999</v>
      </c>
      <c r="J49" s="1292">
        <f t="shared" ref="J49:O49" si="5">J50+J51</f>
        <v>152224.00904999999</v>
      </c>
      <c r="K49" s="1290">
        <f t="shared" si="5"/>
        <v>134725.40400000001</v>
      </c>
      <c r="L49" s="1290">
        <f t="shared" si="5"/>
        <v>110403.694</v>
      </c>
      <c r="M49" s="1290">
        <f t="shared" si="5"/>
        <v>174412.62701999999</v>
      </c>
      <c r="N49" s="434">
        <f t="shared" si="5"/>
        <v>114000</v>
      </c>
      <c r="O49" s="434">
        <f t="shared" si="5"/>
        <v>96000</v>
      </c>
      <c r="P49" s="83"/>
      <c r="Q49" s="83"/>
      <c r="R49" s="83"/>
    </row>
    <row r="50" spans="1:18" ht="13.5" customHeight="1">
      <c r="A50" s="1392"/>
      <c r="B50" s="1392"/>
      <c r="C50" s="431" t="s">
        <v>258</v>
      </c>
      <c r="D50" s="432">
        <f>元ﾃﾞｰﾀ!G87</f>
        <v>69496</v>
      </c>
      <c r="E50" s="1293">
        <f>元ﾃﾞｰﾀ!K87</f>
        <v>107963</v>
      </c>
      <c r="F50" s="1293">
        <f>元ﾃﾞｰﾀ!O87</f>
        <v>101437</v>
      </c>
      <c r="G50" s="1293">
        <f>元ﾃﾞｰﾀ!Z87</f>
        <v>92499</v>
      </c>
      <c r="H50" s="1293">
        <f>元ﾃﾞｰﾀ!AD87</f>
        <v>75463.600000000006</v>
      </c>
      <c r="I50" s="1294">
        <f>元ﾃﾞｰﾀ!AH87</f>
        <v>105271.33048</v>
      </c>
      <c r="J50" s="1295">
        <f>元ﾃﾞｰﾀ!BG87</f>
        <v>108260.59105</v>
      </c>
      <c r="K50" s="1293">
        <f>元ﾃﾞｰﾀ!BK87</f>
        <v>81168.179000000004</v>
      </c>
      <c r="L50" s="1293">
        <f>元ﾃﾞｰﾀ!BO87</f>
        <v>68655</v>
      </c>
      <c r="M50" s="1293">
        <f>元ﾃﾞｰﾀ!BZ87</f>
        <v>146244.71101999999</v>
      </c>
      <c r="N50" s="435">
        <f>元ﾃﾞｰﾀ!CD87</f>
        <v>76000</v>
      </c>
      <c r="O50" s="435">
        <f>元ﾃﾞｰﾀ!CH87</f>
        <v>67000</v>
      </c>
      <c r="P50" s="83"/>
      <c r="Q50" s="83"/>
      <c r="R50" s="83"/>
    </row>
    <row r="51" spans="1:18" ht="13.5" customHeight="1">
      <c r="A51" s="1392"/>
      <c r="B51" s="1392"/>
      <c r="C51" s="427" t="s">
        <v>259</v>
      </c>
      <c r="D51" s="237">
        <f>元ﾃﾞｰﾀ!G84</f>
        <v>72684</v>
      </c>
      <c r="E51" s="1054">
        <f>元ﾃﾞｰﾀ!K84</f>
        <v>49384</v>
      </c>
      <c r="F51" s="1054">
        <f>元ﾃﾞｰﾀ!O84</f>
        <v>74053</v>
      </c>
      <c r="G51" s="1054">
        <f>元ﾃﾞｰﾀ!Z84</f>
        <v>59524</v>
      </c>
      <c r="H51" s="1054">
        <f>元ﾃﾞｰﾀ!AD84</f>
        <v>54773.5</v>
      </c>
      <c r="I51" s="1288">
        <f>元ﾃﾞｰﾀ!AH84</f>
        <v>50789.182999999997</v>
      </c>
      <c r="J51" s="1289">
        <f>元ﾃﾞｰﾀ!BG84</f>
        <v>43963.417999999998</v>
      </c>
      <c r="K51" s="1054">
        <f>元ﾃﾞｰﾀ!BK84</f>
        <v>53557.224999999999</v>
      </c>
      <c r="L51" s="1054">
        <f>元ﾃﾞｰﾀ!BO84</f>
        <v>41748.694000000003</v>
      </c>
      <c r="M51" s="1054">
        <f>元ﾃﾞｰﾀ!BZ84</f>
        <v>28167.916000000001</v>
      </c>
      <c r="N51" s="400">
        <f>元ﾃﾞｰﾀ!CD84</f>
        <v>38000</v>
      </c>
      <c r="O51" s="400">
        <f>元ﾃﾞｰﾀ!CH84</f>
        <v>29000</v>
      </c>
      <c r="P51" s="83"/>
      <c r="Q51" s="83"/>
      <c r="R51" s="83"/>
    </row>
    <row r="52" spans="1:18" ht="13.5" customHeight="1">
      <c r="A52" s="1392"/>
      <c r="B52" s="1392"/>
      <c r="C52" s="407" t="s">
        <v>260</v>
      </c>
      <c r="D52" s="223">
        <f t="shared" ref="D52:I52" si="6">D53+D54</f>
        <v>101583</v>
      </c>
      <c r="E52" s="223">
        <f t="shared" si="6"/>
        <v>101583</v>
      </c>
      <c r="F52" s="223">
        <f t="shared" si="6"/>
        <v>101583</v>
      </c>
      <c r="G52" s="223">
        <f t="shared" si="6"/>
        <v>112916</v>
      </c>
      <c r="H52" s="223">
        <f t="shared" si="6"/>
        <v>112916</v>
      </c>
      <c r="I52" s="224">
        <f t="shared" si="6"/>
        <v>112916</v>
      </c>
      <c r="J52" s="225">
        <f>J53+J54</f>
        <v>146115</v>
      </c>
      <c r="K52" s="223">
        <f>K53+K54</f>
        <v>146115</v>
      </c>
      <c r="L52" s="223">
        <f t="shared" ref="L52:O52" si="7">L53+L54</f>
        <v>146115</v>
      </c>
      <c r="M52" s="223">
        <f>M53+M54</f>
        <v>146325</v>
      </c>
      <c r="N52" s="223">
        <f t="shared" si="7"/>
        <v>146325</v>
      </c>
      <c r="O52" s="223">
        <f t="shared" si="7"/>
        <v>146325</v>
      </c>
      <c r="P52" s="83"/>
      <c r="Q52" s="226"/>
      <c r="R52" s="83"/>
    </row>
    <row r="53" spans="1:18">
      <c r="A53" s="1396" t="s">
        <v>58</v>
      </c>
      <c r="B53" s="1396"/>
      <c r="C53" s="265" t="s">
        <v>154</v>
      </c>
      <c r="D53" s="266">
        <f>元ﾃﾞｰﾀ!E87</f>
        <v>57000</v>
      </c>
      <c r="E53" s="266">
        <f>元ﾃﾞｰﾀ!I87</f>
        <v>57000</v>
      </c>
      <c r="F53" s="266">
        <f>元ﾃﾞｰﾀ!M87</f>
        <v>57000</v>
      </c>
      <c r="G53" s="266">
        <f>元ﾃﾞｰﾀ!X87</f>
        <v>68333</v>
      </c>
      <c r="H53" s="266">
        <f>元ﾃﾞｰﾀ!AB87</f>
        <v>68333</v>
      </c>
      <c r="I53" s="255">
        <f>元ﾃﾞｰﾀ!AF87</f>
        <v>68333</v>
      </c>
      <c r="J53" s="256">
        <f>元ﾃﾞｰﾀ!BE87</f>
        <v>90000</v>
      </c>
      <c r="K53" s="266">
        <f>元ﾃﾞｰﾀ!BI87</f>
        <v>90000</v>
      </c>
      <c r="L53" s="266">
        <f>元ﾃﾞｰﾀ!BM87</f>
        <v>90000</v>
      </c>
      <c r="M53" s="266">
        <f>元ﾃﾞｰﾀ!BX87</f>
        <v>90000</v>
      </c>
      <c r="N53" s="266">
        <f>元ﾃﾞｰﾀ!CB87</f>
        <v>90000</v>
      </c>
      <c r="O53" s="266">
        <f>元ﾃﾞｰﾀ!CF87</f>
        <v>90000</v>
      </c>
      <c r="P53" s="83"/>
      <c r="Q53" s="226"/>
      <c r="R53" s="83"/>
    </row>
    <row r="54" spans="1:18">
      <c r="A54" s="1396"/>
      <c r="B54" s="1396"/>
      <c r="C54" s="267" t="s">
        <v>155</v>
      </c>
      <c r="D54" s="266">
        <f>元ﾃﾞｰﾀ!E84</f>
        <v>44583</v>
      </c>
      <c r="E54" s="257">
        <f>元ﾃﾞｰﾀ!I84</f>
        <v>44583</v>
      </c>
      <c r="F54" s="195">
        <f>元ﾃﾞｰﾀ!M84</f>
        <v>44583</v>
      </c>
      <c r="G54" s="268">
        <f>元ﾃﾞｰﾀ!X84</f>
        <v>44583</v>
      </c>
      <c r="H54" s="257">
        <f>元ﾃﾞｰﾀ!AB84</f>
        <v>44583</v>
      </c>
      <c r="I54" s="269">
        <f>元ﾃﾞｰﾀ!AF84</f>
        <v>44583</v>
      </c>
      <c r="J54" s="270">
        <f>元ﾃﾞｰﾀ!BE84</f>
        <v>56115</v>
      </c>
      <c r="K54" s="270">
        <f>元ﾃﾞｰﾀ!BI84</f>
        <v>56115</v>
      </c>
      <c r="L54" s="270">
        <f>元ﾃﾞｰﾀ!BM84</f>
        <v>56115</v>
      </c>
      <c r="M54" s="270">
        <f>元ﾃﾞｰﾀ!BX84</f>
        <v>56325</v>
      </c>
      <c r="N54" s="270">
        <f>元ﾃﾞｰﾀ!CB84</f>
        <v>56325</v>
      </c>
      <c r="O54" s="270">
        <f>元ﾃﾞｰﾀ!CF84</f>
        <v>56325</v>
      </c>
      <c r="P54" s="83"/>
      <c r="Q54" s="226"/>
      <c r="R54" s="83"/>
    </row>
    <row r="55" spans="1:18">
      <c r="A55" s="1392" t="s">
        <v>22</v>
      </c>
      <c r="B55" s="1392" t="s">
        <v>25</v>
      </c>
      <c r="C55" s="222" t="s">
        <v>133</v>
      </c>
      <c r="D55" s="238">
        <v>3215</v>
      </c>
      <c r="E55" s="238">
        <v>5661</v>
      </c>
      <c r="F55" s="165">
        <v>14076</v>
      </c>
      <c r="G55" s="166">
        <v>27666</v>
      </c>
      <c r="H55" s="238">
        <v>25302</v>
      </c>
      <c r="I55" s="239">
        <v>2099</v>
      </c>
      <c r="J55" s="240">
        <v>2259</v>
      </c>
      <c r="K55" s="238">
        <v>7212</v>
      </c>
      <c r="L55" s="238">
        <v>7166</v>
      </c>
      <c r="M55" s="238">
        <v>1072</v>
      </c>
      <c r="N55" s="238">
        <v>4940</v>
      </c>
      <c r="O55" s="238">
        <v>20037</v>
      </c>
      <c r="P55" s="83"/>
      <c r="Q55" s="83"/>
      <c r="R55" s="83"/>
    </row>
    <row r="56" spans="1:18">
      <c r="A56" s="1392"/>
      <c r="B56" s="1392"/>
      <c r="C56" s="222" t="s">
        <v>134</v>
      </c>
      <c r="D56" s="242">
        <v>10276</v>
      </c>
      <c r="E56" s="242">
        <v>5382</v>
      </c>
      <c r="F56" s="243">
        <v>5492</v>
      </c>
      <c r="G56" s="244">
        <v>13584</v>
      </c>
      <c r="H56" s="242">
        <v>3009</v>
      </c>
      <c r="I56" s="245">
        <v>28065</v>
      </c>
      <c r="J56" s="246">
        <v>1328</v>
      </c>
      <c r="K56" s="242">
        <v>1462</v>
      </c>
      <c r="L56" s="242">
        <v>6520</v>
      </c>
      <c r="M56" s="242">
        <v>10033</v>
      </c>
      <c r="N56" s="242">
        <v>4533</v>
      </c>
      <c r="O56" s="242">
        <v>-5333</v>
      </c>
      <c r="P56" s="83"/>
      <c r="Q56" s="83"/>
      <c r="R56" s="83"/>
    </row>
    <row r="57" spans="1:18">
      <c r="A57" s="1392"/>
      <c r="B57" s="1392"/>
      <c r="C57" s="222" t="s">
        <v>137</v>
      </c>
      <c r="D57" s="242">
        <v>4026</v>
      </c>
      <c r="E57" s="252">
        <v>8582</v>
      </c>
      <c r="F57" s="253">
        <v>8088</v>
      </c>
      <c r="G57" s="253">
        <v>15769</v>
      </c>
      <c r="H57" s="254">
        <v>13170</v>
      </c>
      <c r="I57" s="255">
        <v>1558</v>
      </c>
      <c r="J57" s="256">
        <v>2105</v>
      </c>
      <c r="K57" s="257">
        <v>2228</v>
      </c>
      <c r="L57" s="257">
        <v>-382</v>
      </c>
      <c r="M57" s="257">
        <v>2270</v>
      </c>
      <c r="N57" s="257">
        <v>58</v>
      </c>
      <c r="O57" s="257">
        <v>3043</v>
      </c>
      <c r="P57" s="83"/>
      <c r="Q57" s="83"/>
      <c r="R57" s="83"/>
    </row>
    <row r="58" spans="1:18">
      <c r="A58" s="1392"/>
      <c r="B58" s="1392"/>
      <c r="C58" s="222" t="s">
        <v>156</v>
      </c>
      <c r="D58" s="242">
        <v>4280</v>
      </c>
      <c r="E58" s="252">
        <v>1371</v>
      </c>
      <c r="F58" s="253">
        <v>77</v>
      </c>
      <c r="G58" s="253">
        <v>5033.96</v>
      </c>
      <c r="H58" s="254">
        <v>3747.3</v>
      </c>
      <c r="I58" s="255">
        <v>3331</v>
      </c>
      <c r="J58" s="256">
        <v>1202</v>
      </c>
      <c r="K58" s="257">
        <v>981</v>
      </c>
      <c r="L58" s="257">
        <v>1630</v>
      </c>
      <c r="M58" s="257">
        <v>2413.7640000000001</v>
      </c>
      <c r="N58" s="257">
        <v>845.995</v>
      </c>
      <c r="O58" s="257">
        <v>842.23400000000004</v>
      </c>
      <c r="P58" s="83"/>
      <c r="Q58" s="83"/>
      <c r="R58" s="83"/>
    </row>
    <row r="59" spans="1:18">
      <c r="A59" s="1392"/>
      <c r="B59" s="1392"/>
      <c r="C59" s="222" t="s">
        <v>247</v>
      </c>
      <c r="D59" s="182">
        <v>1461</v>
      </c>
      <c r="E59" s="333">
        <v>6942.0999999999995</v>
      </c>
      <c r="F59" s="333">
        <v>3226.4849999999997</v>
      </c>
      <c r="G59" s="333">
        <v>766.63699999999994</v>
      </c>
      <c r="H59" s="333">
        <v>5863.3859999999995</v>
      </c>
      <c r="I59" s="193">
        <v>-16512.526000000002</v>
      </c>
      <c r="J59" s="194">
        <v>842</v>
      </c>
      <c r="K59" s="333">
        <v>346.18</v>
      </c>
      <c r="L59" s="333">
        <v>1832.7249999999999</v>
      </c>
      <c r="M59" s="333">
        <v>842.64700000000005</v>
      </c>
      <c r="N59" s="333">
        <v>1.6999999999999886</v>
      </c>
      <c r="O59" s="333">
        <v>-910.58399999999995</v>
      </c>
      <c r="P59" s="83"/>
      <c r="Q59" s="83"/>
      <c r="R59" s="83"/>
    </row>
    <row r="60" spans="1:18">
      <c r="A60" s="1392"/>
      <c r="B60" s="1392"/>
      <c r="C60" s="439" t="s">
        <v>250</v>
      </c>
      <c r="D60" s="271">
        <f>元ﾃﾞｰﾀ!F100</f>
        <v>0</v>
      </c>
      <c r="E60" s="271">
        <f>元ﾃﾞｰﾀ!J100</f>
        <v>0</v>
      </c>
      <c r="F60" s="271">
        <f>元ﾃﾞｰﾀ!N100</f>
        <v>244</v>
      </c>
      <c r="G60" s="271">
        <f>元ﾃﾞｰﾀ!Y100</f>
        <v>191.3</v>
      </c>
      <c r="H60" s="271">
        <f>元ﾃﾞｰﾀ!AC100</f>
        <v>99</v>
      </c>
      <c r="I60" s="272">
        <f>元ﾃﾞｰﾀ!AG100</f>
        <v>246</v>
      </c>
      <c r="J60" s="273">
        <f>元ﾃﾞｰﾀ!BF100</f>
        <v>246</v>
      </c>
      <c r="K60" s="271">
        <f>元ﾃﾞｰﾀ!BJ100</f>
        <v>99</v>
      </c>
      <c r="L60" s="271">
        <f>元ﾃﾞｰﾀ!BN100</f>
        <v>0</v>
      </c>
      <c r="M60" s="271">
        <f>元ﾃﾞｰﾀ!BY100</f>
        <v>0</v>
      </c>
      <c r="N60" s="271">
        <f>元ﾃﾞｰﾀ!CC100</f>
        <v>0</v>
      </c>
      <c r="O60" s="271">
        <f>元ﾃﾞｰﾀ!CG100</f>
        <v>0</v>
      </c>
      <c r="P60" s="226"/>
      <c r="Q60" s="83"/>
      <c r="R60" s="83"/>
    </row>
    <row r="61" spans="1:18">
      <c r="A61" s="1392"/>
      <c r="B61" s="1392"/>
      <c r="C61" s="425" t="s">
        <v>251</v>
      </c>
      <c r="D61" s="237">
        <f>元ﾃﾞｰﾀ!G100</f>
        <v>5935</v>
      </c>
      <c r="E61" s="1054">
        <f>元ﾃﾞｰﾀ!K100</f>
        <v>0</v>
      </c>
      <c r="F61" s="1054">
        <f>元ﾃﾞｰﾀ!O100</f>
        <v>5680</v>
      </c>
      <c r="G61" s="1054">
        <f>元ﾃﾞｰﾀ!Z100</f>
        <v>290.3</v>
      </c>
      <c r="H61" s="1054">
        <f>元ﾃﾞｰﾀ!AD100</f>
        <v>0</v>
      </c>
      <c r="I61" s="1288">
        <f>元ﾃﾞｰﾀ!AH100</f>
        <v>0</v>
      </c>
      <c r="J61" s="1289">
        <f>元ﾃﾞｰﾀ!BG100</f>
        <v>0</v>
      </c>
      <c r="K61" s="1054">
        <f>元ﾃﾞｰﾀ!BK100</f>
        <v>246</v>
      </c>
      <c r="L61" s="1054">
        <f>元ﾃﾞｰﾀ!BO100</f>
        <v>0</v>
      </c>
      <c r="M61" s="400">
        <f>元ﾃﾞｰﾀ!BZ100</f>
        <v>195.2</v>
      </c>
      <c r="N61" s="400">
        <f>元ﾃﾞｰﾀ!CD100</f>
        <v>0</v>
      </c>
      <c r="O61" s="400">
        <f>元ﾃﾞｰﾀ!CH100</f>
        <v>0</v>
      </c>
      <c r="P61" s="226"/>
      <c r="Q61" s="83"/>
      <c r="R61" s="83"/>
    </row>
    <row r="62" spans="1:18">
      <c r="A62" s="1392"/>
      <c r="B62" s="1392"/>
      <c r="C62" s="407" t="s">
        <v>280</v>
      </c>
      <c r="D62" s="223">
        <f>元ﾃﾞｰﾀ!E100</f>
        <v>0</v>
      </c>
      <c r="E62" s="223">
        <f>元ﾃﾞｰﾀ!I100</f>
        <v>0</v>
      </c>
      <c r="F62" s="223">
        <f>元ﾃﾞｰﾀ!M100</f>
        <v>0</v>
      </c>
      <c r="G62" s="223">
        <f>元ﾃﾞｰﾀ!X100</f>
        <v>0</v>
      </c>
      <c r="H62" s="223">
        <f>元ﾃﾞｰﾀ!AB100</f>
        <v>0</v>
      </c>
      <c r="I62" s="224">
        <f>元ﾃﾞｰﾀ!AF100</f>
        <v>0</v>
      </c>
      <c r="J62" s="225">
        <f>元ﾃﾞｰﾀ!BE100</f>
        <v>0</v>
      </c>
      <c r="K62" s="223">
        <f>元ﾃﾞｰﾀ!BI100</f>
        <v>0</v>
      </c>
      <c r="L62" s="223">
        <f>元ﾃﾞｰﾀ!BM100</f>
        <v>0</v>
      </c>
      <c r="M62" s="223">
        <f>元ﾃﾞｰﾀ!BX100</f>
        <v>0</v>
      </c>
      <c r="N62" s="223">
        <f>元ﾃﾞｰﾀ!CB100</f>
        <v>0</v>
      </c>
      <c r="O62" s="223">
        <f>元ﾃﾞｰﾀ!CF100</f>
        <v>0</v>
      </c>
      <c r="P62" s="226"/>
      <c r="Q62" s="83"/>
      <c r="R62" s="83"/>
    </row>
    <row r="63" spans="1:18">
      <c r="A63" s="1392" t="s">
        <v>240</v>
      </c>
      <c r="B63" s="1392" t="s">
        <v>25</v>
      </c>
      <c r="C63" s="222" t="s">
        <v>133</v>
      </c>
      <c r="D63" s="238">
        <v>2210</v>
      </c>
      <c r="E63" s="238">
        <v>2024</v>
      </c>
      <c r="F63" s="165">
        <v>1262</v>
      </c>
      <c r="G63" s="166">
        <v>3813</v>
      </c>
      <c r="H63" s="238">
        <v>1870</v>
      </c>
      <c r="I63" s="239">
        <v>2808</v>
      </c>
      <c r="J63" s="240">
        <v>1608</v>
      </c>
      <c r="K63" s="238">
        <v>1190</v>
      </c>
      <c r="L63" s="238">
        <v>1928</v>
      </c>
      <c r="M63" s="238">
        <v>1605</v>
      </c>
      <c r="N63" s="238">
        <v>959</v>
      </c>
      <c r="O63" s="238">
        <v>597</v>
      </c>
      <c r="P63" s="83"/>
      <c r="Q63" s="83"/>
      <c r="R63" s="83"/>
    </row>
    <row r="64" spans="1:18">
      <c r="A64" s="1392"/>
      <c r="B64" s="1392"/>
      <c r="C64" s="222" t="s">
        <v>134</v>
      </c>
      <c r="D64" s="242">
        <v>959</v>
      </c>
      <c r="E64" s="242">
        <v>915</v>
      </c>
      <c r="F64" s="243">
        <v>999</v>
      </c>
      <c r="G64" s="242">
        <v>1031</v>
      </c>
      <c r="H64" s="242">
        <v>1014</v>
      </c>
      <c r="I64" s="245">
        <v>1010</v>
      </c>
      <c r="J64" s="246">
        <v>1555</v>
      </c>
      <c r="K64" s="242">
        <v>1048</v>
      </c>
      <c r="L64" s="242">
        <v>1467</v>
      </c>
      <c r="M64" s="242">
        <v>1397</v>
      </c>
      <c r="N64" s="242">
        <v>1629</v>
      </c>
      <c r="O64" s="242">
        <v>707</v>
      </c>
      <c r="P64" s="83"/>
      <c r="Q64" s="83"/>
      <c r="R64" s="83"/>
    </row>
    <row r="65" spans="1:18">
      <c r="A65" s="1392"/>
      <c r="B65" s="1392"/>
      <c r="C65" s="222" t="s">
        <v>137</v>
      </c>
      <c r="D65" s="242">
        <v>1524</v>
      </c>
      <c r="E65" s="252">
        <v>1199</v>
      </c>
      <c r="F65" s="253">
        <v>1100</v>
      </c>
      <c r="G65" s="253">
        <v>1006</v>
      </c>
      <c r="H65" s="254">
        <v>1809</v>
      </c>
      <c r="I65" s="255">
        <v>1171</v>
      </c>
      <c r="J65" s="256">
        <v>748</v>
      </c>
      <c r="K65" s="257">
        <v>689</v>
      </c>
      <c r="L65" s="257">
        <v>1712</v>
      </c>
      <c r="M65" s="257">
        <v>1524</v>
      </c>
      <c r="N65" s="257">
        <v>1231</v>
      </c>
      <c r="O65" s="257">
        <v>830</v>
      </c>
      <c r="P65" s="83"/>
      <c r="Q65" s="83"/>
      <c r="R65" s="83"/>
    </row>
    <row r="66" spans="1:18">
      <c r="A66" s="1392"/>
      <c r="B66" s="1392"/>
      <c r="C66" s="222" t="s">
        <v>156</v>
      </c>
      <c r="D66" s="242">
        <v>755</v>
      </c>
      <c r="E66" s="252">
        <v>1423</v>
      </c>
      <c r="F66" s="253">
        <v>1199.7</v>
      </c>
      <c r="G66" s="253">
        <v>1138</v>
      </c>
      <c r="H66" s="254">
        <v>1311</v>
      </c>
      <c r="I66" s="255">
        <v>1289</v>
      </c>
      <c r="J66" s="256">
        <v>1675</v>
      </c>
      <c r="K66" s="257">
        <v>1098</v>
      </c>
      <c r="L66" s="257">
        <v>1358</v>
      </c>
      <c r="M66" s="257">
        <v>1707</v>
      </c>
      <c r="N66" s="257">
        <v>951</v>
      </c>
      <c r="O66" s="257">
        <v>1090</v>
      </c>
      <c r="P66" s="83"/>
      <c r="Q66" s="83"/>
      <c r="R66" s="83"/>
    </row>
    <row r="67" spans="1:18">
      <c r="A67" s="1392"/>
      <c r="B67" s="1392"/>
      <c r="C67" s="222" t="s">
        <v>247</v>
      </c>
      <c r="D67" s="242">
        <v>1850</v>
      </c>
      <c r="E67" s="252">
        <v>1613</v>
      </c>
      <c r="F67" s="253">
        <v>1197.4000000000001</v>
      </c>
      <c r="G67" s="253">
        <v>1289</v>
      </c>
      <c r="H67" s="254">
        <v>1485</v>
      </c>
      <c r="I67" s="255">
        <v>1537</v>
      </c>
      <c r="J67" s="256">
        <v>1358</v>
      </c>
      <c r="K67" s="257">
        <v>1574</v>
      </c>
      <c r="L67" s="257">
        <v>1896.576</v>
      </c>
      <c r="M67" s="257">
        <v>1922</v>
      </c>
      <c r="N67" s="257">
        <v>1327.3920000000001</v>
      </c>
      <c r="O67" s="257">
        <v>1344.873</v>
      </c>
      <c r="P67" s="83"/>
      <c r="Q67" s="83"/>
      <c r="R67" s="83"/>
    </row>
    <row r="68" spans="1:18">
      <c r="A68" s="1392"/>
      <c r="B68" s="1392"/>
      <c r="C68" s="439" t="s">
        <v>250</v>
      </c>
      <c r="D68" s="271">
        <f>元ﾃﾞｰﾀ!F102</f>
        <v>1417</v>
      </c>
      <c r="E68" s="271">
        <f>元ﾃﾞｰﾀ!J102</f>
        <v>1500</v>
      </c>
      <c r="F68" s="271">
        <f>元ﾃﾞｰﾀ!N102</f>
        <v>1355</v>
      </c>
      <c r="G68" s="271">
        <f>元ﾃﾞｰﾀ!Y102</f>
        <v>1346</v>
      </c>
      <c r="H68" s="271">
        <f>元ﾃﾞｰﾀ!AC102</f>
        <v>1300</v>
      </c>
      <c r="I68" s="272">
        <f>元ﾃﾞｰﾀ!AG102</f>
        <v>1656</v>
      </c>
      <c r="J68" s="273">
        <f>元ﾃﾞｰﾀ!BF102</f>
        <v>2316</v>
      </c>
      <c r="K68" s="271">
        <f>元ﾃﾞｰﾀ!BJ102</f>
        <v>1706</v>
      </c>
      <c r="L68" s="271">
        <f>元ﾃﾞｰﾀ!BN102</f>
        <v>3549</v>
      </c>
      <c r="M68" s="271">
        <f>元ﾃﾞｰﾀ!BY102</f>
        <v>1938</v>
      </c>
      <c r="N68" s="271">
        <f>元ﾃﾞｰﾀ!CC102</f>
        <v>2118</v>
      </c>
      <c r="O68" s="271">
        <f>元ﾃﾞｰﾀ!CG102</f>
        <v>1100</v>
      </c>
      <c r="P68" s="83"/>
      <c r="Q68" s="83"/>
      <c r="R68" s="83"/>
    </row>
    <row r="69" spans="1:18">
      <c r="A69" s="1392"/>
      <c r="B69" s="1392"/>
      <c r="C69" s="425" t="s">
        <v>251</v>
      </c>
      <c r="D69" s="237">
        <f>元ﾃﾞｰﾀ!G102</f>
        <v>2125.5</v>
      </c>
      <c r="E69" s="1054">
        <f>元ﾃﾞｰﾀ!K102</f>
        <v>2285.442</v>
      </c>
      <c r="F69" s="1054">
        <f>元ﾃﾞｰﾀ!O102</f>
        <v>1863.5250000000001</v>
      </c>
      <c r="G69" s="1054">
        <f>元ﾃﾞｰﾀ!Z102</f>
        <v>2075.5</v>
      </c>
      <c r="H69" s="1054">
        <f>元ﾃﾞｰﾀ!AD102</f>
        <v>2911.1689999999999</v>
      </c>
      <c r="I69" s="1288">
        <f>元ﾃﾞｰﾀ!AH102</f>
        <v>3507</v>
      </c>
      <c r="J69" s="1289">
        <f>元ﾃﾞｰﾀ!BG102</f>
        <v>3864.3609999999999</v>
      </c>
      <c r="K69" s="1054">
        <f>元ﾃﾞｰﾀ!BK102</f>
        <v>2701.203</v>
      </c>
      <c r="L69" s="1054">
        <f>元ﾃﾞｰﾀ!BO102</f>
        <v>4940</v>
      </c>
      <c r="M69" s="1054">
        <f>元ﾃﾞｰﾀ!BZ102</f>
        <v>2666.3240000000001</v>
      </c>
      <c r="N69" s="400">
        <f>元ﾃﾞｰﾀ!CD102</f>
        <v>2118</v>
      </c>
      <c r="O69" s="400">
        <f>元ﾃﾞｰﾀ!CH102</f>
        <v>1100</v>
      </c>
      <c r="P69" s="83"/>
      <c r="Q69" s="83"/>
      <c r="R69" s="83"/>
    </row>
    <row r="70" spans="1:18">
      <c r="A70" s="1392"/>
      <c r="B70" s="1392"/>
      <c r="C70" s="407" t="s">
        <v>260</v>
      </c>
      <c r="D70" s="223">
        <f>元ﾃﾞｰﾀ!E102</f>
        <v>1417</v>
      </c>
      <c r="E70" s="223">
        <f>元ﾃﾞｰﾀ!I102</f>
        <v>1417</v>
      </c>
      <c r="F70" s="223">
        <f>元ﾃﾞｰﾀ!M102</f>
        <v>1585</v>
      </c>
      <c r="G70" s="223">
        <f>元ﾃﾞｰﾀ!X102</f>
        <v>1651</v>
      </c>
      <c r="H70" s="223">
        <f>元ﾃﾞｰﾀ!AB102</f>
        <v>1639</v>
      </c>
      <c r="I70" s="224">
        <f>元ﾃﾞｰﾀ!AF102</f>
        <v>1557</v>
      </c>
      <c r="J70" s="225">
        <f>元ﾃﾞｰﾀ!BE102</f>
        <v>1916</v>
      </c>
      <c r="K70" s="223">
        <f>元ﾃﾞｰﾀ!BI102</f>
        <v>1706</v>
      </c>
      <c r="L70" s="223">
        <f>元ﾃﾞｰﾀ!BM102</f>
        <v>1849</v>
      </c>
      <c r="M70" s="223">
        <f>元ﾃﾞｰﾀ!BX102</f>
        <v>1938</v>
      </c>
      <c r="N70" s="223">
        <f>元ﾃﾞｰﾀ!CB102</f>
        <v>2118</v>
      </c>
      <c r="O70" s="223">
        <f>元ﾃﾞｰﾀ!CF102</f>
        <v>1565</v>
      </c>
      <c r="P70" s="83"/>
      <c r="Q70" s="83"/>
      <c r="R70" s="83"/>
    </row>
    <row r="71" spans="1:18">
      <c r="A71" s="1394" t="s">
        <v>184</v>
      </c>
      <c r="B71" s="1397" t="s">
        <v>185</v>
      </c>
      <c r="C71" s="222" t="s">
        <v>156</v>
      </c>
      <c r="D71" s="257">
        <v>0</v>
      </c>
      <c r="E71" s="257">
        <v>0</v>
      </c>
      <c r="F71" s="257">
        <v>0</v>
      </c>
      <c r="G71" s="257">
        <v>0</v>
      </c>
      <c r="H71" s="257">
        <v>0</v>
      </c>
      <c r="I71" s="269">
        <v>0</v>
      </c>
      <c r="J71" s="270">
        <v>0</v>
      </c>
      <c r="K71" s="257">
        <v>0</v>
      </c>
      <c r="L71" s="257">
        <v>0</v>
      </c>
      <c r="M71" s="257">
        <v>0</v>
      </c>
      <c r="N71" s="257">
        <v>0</v>
      </c>
      <c r="O71" s="257">
        <v>0</v>
      </c>
      <c r="P71" s="83"/>
      <c r="Q71" s="83"/>
      <c r="R71" s="83"/>
    </row>
    <row r="72" spans="1:18">
      <c r="A72" s="1395"/>
      <c r="B72" s="1398"/>
      <c r="C72" s="222" t="s">
        <v>247</v>
      </c>
      <c r="D72" s="257">
        <v>120</v>
      </c>
      <c r="E72" s="257">
        <v>280</v>
      </c>
      <c r="F72" s="257">
        <v>140</v>
      </c>
      <c r="G72" s="257">
        <v>0</v>
      </c>
      <c r="H72" s="257">
        <v>0</v>
      </c>
      <c r="I72" s="269">
        <v>0</v>
      </c>
      <c r="J72" s="270">
        <v>0</v>
      </c>
      <c r="K72" s="257">
        <v>20.29</v>
      </c>
      <c r="L72" s="257">
        <v>420</v>
      </c>
      <c r="M72" s="257">
        <v>0</v>
      </c>
      <c r="N72" s="257">
        <v>0</v>
      </c>
      <c r="O72" s="257">
        <v>0</v>
      </c>
      <c r="P72" s="83"/>
      <c r="Q72" s="83"/>
      <c r="R72" s="83"/>
    </row>
    <row r="73" spans="1:18">
      <c r="A73" s="1395"/>
      <c r="B73" s="1398"/>
      <c r="C73" s="439" t="s">
        <v>250</v>
      </c>
      <c r="D73" s="271">
        <f>元ﾃﾞｰﾀ!F105</f>
        <v>0</v>
      </c>
      <c r="E73" s="271">
        <f>元ﾃﾞｰﾀ!J105</f>
        <v>0</v>
      </c>
      <c r="F73" s="271">
        <f>元ﾃﾞｰﾀ!N105</f>
        <v>0</v>
      </c>
      <c r="G73" s="271">
        <f>元ﾃﾞｰﾀ!Y105</f>
        <v>0</v>
      </c>
      <c r="H73" s="271">
        <f>元ﾃﾞｰﾀ!AC105</f>
        <v>210</v>
      </c>
      <c r="I73" s="272">
        <f>元ﾃﾞｰﾀ!AG105</f>
        <v>90</v>
      </c>
      <c r="J73" s="273">
        <f>元ﾃﾞｰﾀ!BF105</f>
        <v>0</v>
      </c>
      <c r="K73" s="271">
        <f>元ﾃﾞｰﾀ!BJ105</f>
        <v>0</v>
      </c>
      <c r="L73" s="271">
        <f>元ﾃﾞｰﾀ!BN105</f>
        <v>0</v>
      </c>
      <c r="M73" s="271">
        <f>元ﾃﾞｰﾀ!BY105</f>
        <v>0</v>
      </c>
      <c r="N73" s="271">
        <f>元ﾃﾞｰﾀ!CC105</f>
        <v>0</v>
      </c>
      <c r="O73" s="271">
        <f>元ﾃﾞｰﾀ!CG105</f>
        <v>0</v>
      </c>
      <c r="P73" s="83"/>
      <c r="Q73" s="83"/>
      <c r="R73" s="83"/>
    </row>
    <row r="74" spans="1:18">
      <c r="A74" s="1395"/>
      <c r="B74" s="1398"/>
      <c r="C74" s="425" t="s">
        <v>251</v>
      </c>
      <c r="D74" s="237">
        <f>元ﾃﾞｰﾀ!G105</f>
        <v>140</v>
      </c>
      <c r="E74" s="1054">
        <f>元ﾃﾞｰﾀ!K105</f>
        <v>15</v>
      </c>
      <c r="F74" s="1054">
        <f>元ﾃﾞｰﾀ!O105</f>
        <v>0</v>
      </c>
      <c r="G74" s="1054">
        <f>元ﾃﾞｰﾀ!Z105</f>
        <v>0</v>
      </c>
      <c r="H74" s="1054">
        <f>元ﾃﾞｰﾀ!AD105</f>
        <v>210</v>
      </c>
      <c r="I74" s="1288">
        <f>元ﾃﾞｰﾀ!AH105</f>
        <v>127.38</v>
      </c>
      <c r="J74" s="1289">
        <f>元ﾃﾞｰﾀ!BG105</f>
        <v>165</v>
      </c>
      <c r="K74" s="1054">
        <f>元ﾃﾞｰﾀ!BK105</f>
        <v>0</v>
      </c>
      <c r="L74" s="1054">
        <f>元ﾃﾞｰﾀ!BO105</f>
        <v>0</v>
      </c>
      <c r="M74" s="400">
        <f>元ﾃﾞｰﾀ!BZ105</f>
        <v>152.66900000000001</v>
      </c>
      <c r="N74" s="400">
        <f>元ﾃﾞｰﾀ!CD105</f>
        <v>100</v>
      </c>
      <c r="O74" s="400">
        <f>元ﾃﾞｰﾀ!CH105</f>
        <v>0</v>
      </c>
      <c r="P74" s="83"/>
      <c r="Q74" s="83"/>
      <c r="R74" s="83"/>
    </row>
    <row r="75" spans="1:18">
      <c r="A75" s="1393"/>
      <c r="B75" s="1399"/>
      <c r="C75" s="407" t="s">
        <v>260</v>
      </c>
      <c r="D75" s="223">
        <f>元ﾃﾞｰﾀ!E105</f>
        <v>0</v>
      </c>
      <c r="E75" s="223">
        <f>元ﾃﾞｰﾀ!I105</f>
        <v>0</v>
      </c>
      <c r="F75" s="223">
        <f>元ﾃﾞｰﾀ!M105</f>
        <v>0</v>
      </c>
      <c r="G75" s="223">
        <f>元ﾃﾞｰﾀ!X105</f>
        <v>0</v>
      </c>
      <c r="H75" s="223">
        <f>元ﾃﾞｰﾀ!AB105</f>
        <v>0</v>
      </c>
      <c r="I75" s="224">
        <f>元ﾃﾞｰﾀ!AF105</f>
        <v>0</v>
      </c>
      <c r="J75" s="225">
        <f>元ﾃﾞｰﾀ!BE105</f>
        <v>0</v>
      </c>
      <c r="K75" s="223">
        <f>元ﾃﾞｰﾀ!BI105</f>
        <v>0</v>
      </c>
      <c r="L75" s="223">
        <f>元ﾃﾞｰﾀ!BM105</f>
        <v>0</v>
      </c>
      <c r="M75" s="223">
        <f>元ﾃﾞｰﾀ!BX105</f>
        <v>0</v>
      </c>
      <c r="N75" s="223">
        <f>元ﾃﾞｰﾀ!CB105</f>
        <v>0</v>
      </c>
      <c r="O75" s="223">
        <f>元ﾃﾞｰﾀ!CF105</f>
        <v>0</v>
      </c>
      <c r="P75" s="83"/>
      <c r="Q75" s="83"/>
      <c r="R75" s="83"/>
    </row>
    <row r="76" spans="1:18">
      <c r="A76" s="1392" t="s">
        <v>23</v>
      </c>
      <c r="B76" s="1392" t="s">
        <v>25</v>
      </c>
      <c r="C76" s="222" t="s">
        <v>138</v>
      </c>
      <c r="D76" s="242">
        <v>240938</v>
      </c>
      <c r="E76" s="242">
        <v>197783</v>
      </c>
      <c r="F76" s="242">
        <v>247160</v>
      </c>
      <c r="G76" s="242">
        <v>241462</v>
      </c>
      <c r="H76" s="274">
        <v>160196</v>
      </c>
      <c r="I76" s="245">
        <v>231179</v>
      </c>
      <c r="J76" s="246">
        <v>145990</v>
      </c>
      <c r="K76" s="242">
        <v>132924</v>
      </c>
      <c r="L76" s="242">
        <v>181760</v>
      </c>
      <c r="M76" s="242">
        <v>194204</v>
      </c>
      <c r="N76" s="242">
        <v>203265</v>
      </c>
      <c r="O76" s="242">
        <v>171035.88199999998</v>
      </c>
      <c r="P76" s="83"/>
      <c r="Q76" s="83"/>
      <c r="R76" s="83"/>
    </row>
    <row r="77" spans="1:18">
      <c r="A77" s="1392"/>
      <c r="B77" s="1392"/>
      <c r="C77" s="222" t="s">
        <v>139</v>
      </c>
      <c r="D77" s="242">
        <v>247755</v>
      </c>
      <c r="E77" s="242">
        <v>286658</v>
      </c>
      <c r="F77" s="242">
        <v>279220</v>
      </c>
      <c r="G77" s="242">
        <v>287523</v>
      </c>
      <c r="H77" s="274">
        <v>212807</v>
      </c>
      <c r="I77" s="245">
        <v>223125</v>
      </c>
      <c r="J77" s="246">
        <v>224818</v>
      </c>
      <c r="K77" s="242">
        <v>253639</v>
      </c>
      <c r="L77" s="242">
        <v>279425</v>
      </c>
      <c r="M77" s="242">
        <v>255691</v>
      </c>
      <c r="N77" s="242">
        <v>242765</v>
      </c>
      <c r="O77" s="242">
        <v>193118</v>
      </c>
      <c r="P77" s="83"/>
      <c r="Q77" s="83"/>
      <c r="R77" s="83"/>
    </row>
    <row r="78" spans="1:18">
      <c r="A78" s="1392"/>
      <c r="B78" s="1392"/>
      <c r="C78" s="222" t="s">
        <v>140</v>
      </c>
      <c r="D78" s="242">
        <v>312127</v>
      </c>
      <c r="E78" s="242">
        <v>361550</v>
      </c>
      <c r="F78" s="242">
        <v>339528</v>
      </c>
      <c r="G78" s="242">
        <v>319837</v>
      </c>
      <c r="H78" s="242">
        <v>305178</v>
      </c>
      <c r="I78" s="245">
        <v>225777</v>
      </c>
      <c r="J78" s="246">
        <v>242167</v>
      </c>
      <c r="K78" s="242">
        <v>245061</v>
      </c>
      <c r="L78" s="242">
        <v>306186</v>
      </c>
      <c r="M78" s="242">
        <v>331470</v>
      </c>
      <c r="N78" s="242">
        <v>326388</v>
      </c>
      <c r="O78" s="242">
        <v>213703</v>
      </c>
      <c r="P78" s="83"/>
      <c r="Q78" s="83"/>
      <c r="R78" s="83"/>
    </row>
    <row r="79" spans="1:18">
      <c r="A79" s="1392"/>
      <c r="B79" s="1392"/>
      <c r="C79" s="222" t="s">
        <v>156</v>
      </c>
      <c r="D79" s="242">
        <v>251062</v>
      </c>
      <c r="E79" s="242">
        <v>272004</v>
      </c>
      <c r="F79" s="242">
        <v>288472.3</v>
      </c>
      <c r="G79" s="242">
        <v>278479.96000000002</v>
      </c>
      <c r="H79" s="242">
        <v>281686.3</v>
      </c>
      <c r="I79" s="245">
        <v>285745.37563999998</v>
      </c>
      <c r="J79" s="246">
        <v>235035</v>
      </c>
      <c r="K79" s="242">
        <v>218903.88773000002</v>
      </c>
      <c r="L79" s="242">
        <v>223862.606</v>
      </c>
      <c r="M79" s="242">
        <v>234668.7114</v>
      </c>
      <c r="N79" s="242">
        <v>238624.67663999999</v>
      </c>
      <c r="O79" s="242">
        <v>192575.84775999998</v>
      </c>
      <c r="P79" s="83"/>
      <c r="Q79" s="83"/>
      <c r="R79" s="83"/>
    </row>
    <row r="80" spans="1:18">
      <c r="A80" s="1392"/>
      <c r="B80" s="1392"/>
      <c r="C80" s="222" t="s">
        <v>247</v>
      </c>
      <c r="D80" s="242">
        <v>263283.02883999998</v>
      </c>
      <c r="E80" s="242">
        <v>336494.02799999999</v>
      </c>
      <c r="F80" s="242">
        <v>391330.45591999998</v>
      </c>
      <c r="G80" s="242">
        <v>344498.31956999999</v>
      </c>
      <c r="H80" s="242">
        <v>338098.30804999999</v>
      </c>
      <c r="I80" s="245">
        <v>279277.26941999997</v>
      </c>
      <c r="J80" s="246">
        <v>334159.95747000002</v>
      </c>
      <c r="K80" s="242">
        <v>257687.07142999998</v>
      </c>
      <c r="L80" s="242">
        <v>323633.50597</v>
      </c>
      <c r="M80" s="242">
        <v>364678.0062</v>
      </c>
      <c r="N80" s="242">
        <v>303403.57026999997</v>
      </c>
      <c r="O80" s="242">
        <v>251822.32896000001</v>
      </c>
      <c r="P80" s="83"/>
      <c r="Q80" s="83"/>
      <c r="R80" s="83"/>
    </row>
    <row r="81" spans="1:18">
      <c r="A81" s="1392"/>
      <c r="B81" s="1392"/>
      <c r="C81" s="439" t="s">
        <v>250</v>
      </c>
      <c r="D81" s="271">
        <f>元ﾃﾞｰﾀ!F110</f>
        <v>414994</v>
      </c>
      <c r="E81" s="271">
        <f>元ﾃﾞｰﾀ!J110</f>
        <v>523685</v>
      </c>
      <c r="F81" s="271">
        <f>元ﾃﾞｰﾀ!N110</f>
        <v>545511</v>
      </c>
      <c r="G81" s="271">
        <f>元ﾃﾞｰﾀ!Y110</f>
        <v>481687.15600000002</v>
      </c>
      <c r="H81" s="271">
        <f>元ﾃﾞｰﾀ!AC110</f>
        <v>428159</v>
      </c>
      <c r="I81" s="272">
        <f>元ﾃﾞｰﾀ!AG110</f>
        <v>409292</v>
      </c>
      <c r="J81" s="273">
        <f>元ﾃﾞｰﾀ!BF110</f>
        <v>446362</v>
      </c>
      <c r="K81" s="271">
        <f>元ﾃﾞｰﾀ!BJ110</f>
        <v>371305</v>
      </c>
      <c r="L81" s="271">
        <f>元ﾃﾞｰﾀ!BN110</f>
        <v>414833</v>
      </c>
      <c r="M81" s="271">
        <f>元ﾃﾞｰﾀ!BY110</f>
        <v>481809</v>
      </c>
      <c r="N81" s="271">
        <f>元ﾃﾞｰﾀ!CC110</f>
        <v>490398</v>
      </c>
      <c r="O81" s="271">
        <f>元ﾃﾞｰﾀ!CG110</f>
        <v>373000</v>
      </c>
      <c r="P81" s="83"/>
      <c r="Q81" s="83"/>
      <c r="R81" s="83"/>
    </row>
    <row r="82" spans="1:18">
      <c r="A82" s="1392"/>
      <c r="B82" s="1392"/>
      <c r="C82" s="425" t="s">
        <v>251</v>
      </c>
      <c r="D82" s="237">
        <f>元ﾃﾞｰﾀ!G110</f>
        <v>525214.804</v>
      </c>
      <c r="E82" s="1296">
        <f>元ﾃﾞｰﾀ!K110</f>
        <v>560804.19836000004</v>
      </c>
      <c r="F82" s="1296">
        <f>元ﾃﾞｰﾀ!O110</f>
        <v>575091.05743000004</v>
      </c>
      <c r="G82" s="1296">
        <f>元ﾃﾞｰﾀ!Z110</f>
        <v>516422.386</v>
      </c>
      <c r="H82" s="1296">
        <f>元ﾃﾞｰﾀ!AD110</f>
        <v>427616.53729000001</v>
      </c>
      <c r="I82" s="1297">
        <f>元ﾃﾞｰﾀ!AH110</f>
        <v>432379.19175</v>
      </c>
      <c r="J82" s="1298">
        <f>元ﾃﾞｰﾀ!BG110</f>
        <v>368610.58796999994</v>
      </c>
      <c r="K82" s="1296">
        <f>元ﾃﾞｰﾀ!BK110</f>
        <v>348945.37320999999</v>
      </c>
      <c r="L82" s="1296">
        <f>元ﾃﾞｰﾀ!BO110</f>
        <v>376129.56955000001</v>
      </c>
      <c r="M82" s="1296">
        <f>元ﾃﾞｰﾀ!BZ110</f>
        <v>487040.93332999997</v>
      </c>
      <c r="N82" s="440">
        <f>元ﾃﾞｰﾀ!CD110</f>
        <v>353163</v>
      </c>
      <c r="O82" s="440">
        <f>元ﾃﾞｰﾀ!CH110</f>
        <v>292730</v>
      </c>
      <c r="P82" s="83"/>
      <c r="Q82" s="83"/>
      <c r="R82" s="83"/>
    </row>
    <row r="83" spans="1:18">
      <c r="A83" s="1392"/>
      <c r="B83" s="1392"/>
      <c r="C83" s="407" t="s">
        <v>260</v>
      </c>
      <c r="D83" s="223">
        <f>元ﾃﾞｰﾀ!E110</f>
        <v>353899</v>
      </c>
      <c r="E83" s="223">
        <f>元ﾃﾞｰﾀ!I110</f>
        <v>381799</v>
      </c>
      <c r="F83" s="223">
        <f>元ﾃﾞｰﾀ!M110</f>
        <v>382667</v>
      </c>
      <c r="G83" s="223">
        <f>元ﾃﾞｰﾀ!X110</f>
        <v>364117</v>
      </c>
      <c r="H83" s="223">
        <f>元ﾃﾞｰﾀ!AB110</f>
        <v>361205</v>
      </c>
      <c r="I83" s="224">
        <f>元ﾃﾞｰﾀ!AF110</f>
        <v>337623</v>
      </c>
      <c r="J83" s="225">
        <f>元ﾃﾞｰﾀ!BE110</f>
        <v>441831</v>
      </c>
      <c r="K83" s="223">
        <f>元ﾃﾞｰﾀ!BI110</f>
        <v>406321</v>
      </c>
      <c r="L83" s="223">
        <f>元ﾃﾞｰﾀ!BM110</f>
        <v>428264</v>
      </c>
      <c r="M83" s="223">
        <f>元ﾃﾞｰﾀ!BX110</f>
        <v>439963</v>
      </c>
      <c r="N83" s="223">
        <f>元ﾃﾞｰﾀ!CB110</f>
        <v>384643</v>
      </c>
      <c r="O83" s="223">
        <f>元ﾃﾞｰﾀ!CF110</f>
        <v>346290</v>
      </c>
      <c r="P83" s="83"/>
      <c r="Q83" s="83"/>
      <c r="R83" s="83"/>
    </row>
    <row r="84" spans="1:18" ht="7.5" customHeight="1">
      <c r="A84" s="275"/>
      <c r="B84" s="276"/>
      <c r="C84" s="277"/>
      <c r="D84" s="278"/>
      <c r="E84" s="279"/>
      <c r="F84" s="279"/>
      <c r="G84" s="279"/>
      <c r="H84" s="279"/>
      <c r="I84" s="280"/>
      <c r="J84" s="279"/>
      <c r="K84" s="279"/>
      <c r="L84" s="279"/>
      <c r="M84" s="279"/>
      <c r="N84" s="279"/>
      <c r="O84" s="279"/>
      <c r="P84" s="83"/>
      <c r="Q84" s="83"/>
      <c r="R84" s="83"/>
    </row>
    <row r="85" spans="1:18" ht="16.5">
      <c r="A85" s="105" t="s">
        <v>27</v>
      </c>
      <c r="B85" s="146"/>
      <c r="C85" s="147"/>
      <c r="D85" s="83"/>
      <c r="E85" s="83"/>
      <c r="F85" s="83"/>
      <c r="G85" s="83"/>
      <c r="H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 ht="22.5" customHeight="1">
      <c r="A86" s="148" t="s">
        <v>0</v>
      </c>
      <c r="B86" s="148" t="s">
        <v>1</v>
      </c>
      <c r="C86" s="149" t="s">
        <v>2</v>
      </c>
      <c r="D86" s="150" t="s">
        <v>3</v>
      </c>
      <c r="E86" s="150" t="s">
        <v>4</v>
      </c>
      <c r="F86" s="150" t="s">
        <v>5</v>
      </c>
      <c r="G86" s="150" t="s">
        <v>6</v>
      </c>
      <c r="H86" s="150" t="s">
        <v>7</v>
      </c>
      <c r="I86" s="151" t="s">
        <v>29</v>
      </c>
      <c r="J86" s="152" t="s">
        <v>9</v>
      </c>
      <c r="K86" s="150" t="s">
        <v>10</v>
      </c>
      <c r="L86" s="150" t="s">
        <v>11</v>
      </c>
      <c r="M86" s="150" t="s">
        <v>12</v>
      </c>
      <c r="N86" s="150" t="s">
        <v>13</v>
      </c>
      <c r="O86" s="150" t="s">
        <v>14</v>
      </c>
      <c r="P86" s="83"/>
      <c r="Q86" s="83"/>
      <c r="R86" s="83"/>
    </row>
    <row r="87" spans="1:18" ht="13.5" customHeight="1">
      <c r="A87" s="1392" t="s">
        <v>15</v>
      </c>
      <c r="B87" s="1392" t="s">
        <v>16</v>
      </c>
      <c r="C87" s="153" t="s">
        <v>49</v>
      </c>
      <c r="D87" s="281">
        <v>0.13</v>
      </c>
      <c r="E87" s="281">
        <v>0.13600000000000001</v>
      </c>
      <c r="F87" s="281">
        <v>0.125</v>
      </c>
      <c r="G87" s="281">
        <v>0.127</v>
      </c>
      <c r="H87" s="183">
        <v>0.126</v>
      </c>
      <c r="I87" s="282">
        <v>0.123</v>
      </c>
      <c r="J87" s="283">
        <v>0.125</v>
      </c>
      <c r="K87" s="183">
        <v>0.125</v>
      </c>
      <c r="L87" s="183">
        <v>0.121</v>
      </c>
      <c r="M87" s="183">
        <v>0.11700000000000001</v>
      </c>
      <c r="N87" s="183">
        <v>0.11</v>
      </c>
      <c r="O87" s="183">
        <v>0.10100000000000001</v>
      </c>
      <c r="P87" s="83"/>
      <c r="Q87" s="83"/>
      <c r="R87" s="83"/>
    </row>
    <row r="88" spans="1:18">
      <c r="A88" s="1392"/>
      <c r="B88" s="1392"/>
      <c r="C88" s="162" t="s">
        <v>133</v>
      </c>
      <c r="D88" s="165">
        <v>96708</v>
      </c>
      <c r="E88" s="165">
        <v>101244</v>
      </c>
      <c r="F88" s="165">
        <v>111836</v>
      </c>
      <c r="G88" s="166">
        <v>103401</v>
      </c>
      <c r="H88" s="164">
        <v>74436</v>
      </c>
      <c r="I88" s="284">
        <v>93003</v>
      </c>
      <c r="J88" s="168">
        <v>80087</v>
      </c>
      <c r="K88" s="163">
        <v>84790</v>
      </c>
      <c r="L88" s="163">
        <v>87357</v>
      </c>
      <c r="M88" s="163">
        <v>97969</v>
      </c>
      <c r="N88" s="163">
        <v>101772</v>
      </c>
      <c r="O88" s="436">
        <v>88619</v>
      </c>
      <c r="P88" s="415"/>
      <c r="Q88" s="408" t="s">
        <v>30</v>
      </c>
      <c r="R88" s="83"/>
    </row>
    <row r="89" spans="1:18">
      <c r="A89" s="1392"/>
      <c r="B89" s="1392"/>
      <c r="C89" s="153" t="s">
        <v>49</v>
      </c>
      <c r="D89" s="281">
        <v>0.124</v>
      </c>
      <c r="E89" s="281">
        <v>0.13100000000000001</v>
      </c>
      <c r="F89" s="281">
        <v>0.123</v>
      </c>
      <c r="G89" s="281">
        <v>0.13200000000000001</v>
      </c>
      <c r="H89" s="183">
        <v>0.124</v>
      </c>
      <c r="I89" s="282">
        <v>0.124</v>
      </c>
      <c r="J89" s="283">
        <v>0.122</v>
      </c>
      <c r="K89" s="183">
        <v>0.12395004750916248</v>
      </c>
      <c r="L89" s="183">
        <v>0.11679483016171981</v>
      </c>
      <c r="M89" s="183">
        <v>0.11892553047709151</v>
      </c>
      <c r="N89" s="183">
        <v>0.11181799852140599</v>
      </c>
      <c r="O89" s="437">
        <v>0.11157749655431649</v>
      </c>
      <c r="P89" s="416"/>
      <c r="Q89" s="409"/>
      <c r="R89" s="83"/>
    </row>
    <row r="90" spans="1:18">
      <c r="A90" s="1392"/>
      <c r="B90" s="1392"/>
      <c r="C90" s="162" t="s">
        <v>134</v>
      </c>
      <c r="D90" s="182">
        <v>92885</v>
      </c>
      <c r="E90" s="182">
        <v>95455</v>
      </c>
      <c r="F90" s="178">
        <v>120671</v>
      </c>
      <c r="G90" s="179">
        <v>96181</v>
      </c>
      <c r="H90" s="177">
        <v>85158</v>
      </c>
      <c r="I90" s="285">
        <v>97710</v>
      </c>
      <c r="J90" s="181">
        <v>90886</v>
      </c>
      <c r="K90" s="176">
        <v>95771</v>
      </c>
      <c r="L90" s="176">
        <v>92382</v>
      </c>
      <c r="M90" s="176">
        <v>96187</v>
      </c>
      <c r="N90" s="176">
        <v>74395</v>
      </c>
      <c r="O90" s="438">
        <v>71829</v>
      </c>
      <c r="P90" s="417"/>
      <c r="Q90" s="408" t="s">
        <v>65</v>
      </c>
      <c r="R90" s="83"/>
    </row>
    <row r="91" spans="1:18">
      <c r="A91" s="1392"/>
      <c r="B91" s="1392"/>
      <c r="C91" s="153" t="s">
        <v>49</v>
      </c>
      <c r="D91" s="281">
        <v>0.11899999999999999</v>
      </c>
      <c r="E91" s="281">
        <v>0.13700000000000001</v>
      </c>
      <c r="F91" s="281">
        <v>0.13600000000000001</v>
      </c>
      <c r="G91" s="281">
        <v>0.13900000000000001</v>
      </c>
      <c r="H91" s="183">
        <v>0.13</v>
      </c>
      <c r="I91" s="282">
        <v>0.13100000000000001</v>
      </c>
      <c r="J91" s="283">
        <v>0.129</v>
      </c>
      <c r="K91" s="183">
        <v>0.13400000000000001</v>
      </c>
      <c r="L91" s="183">
        <v>0.128</v>
      </c>
      <c r="M91" s="183">
        <v>0.124</v>
      </c>
      <c r="N91" s="183">
        <v>0.123</v>
      </c>
      <c r="O91" s="437">
        <v>0.126</v>
      </c>
      <c r="P91" s="416"/>
      <c r="Q91" s="408"/>
      <c r="R91" s="83"/>
    </row>
    <row r="92" spans="1:18">
      <c r="A92" s="1392"/>
      <c r="B92" s="1392"/>
      <c r="C92" s="162" t="s">
        <v>141</v>
      </c>
      <c r="D92" s="182">
        <v>95696</v>
      </c>
      <c r="E92" s="191">
        <v>97586</v>
      </c>
      <c r="F92" s="191">
        <v>95404</v>
      </c>
      <c r="G92" s="191">
        <v>95251</v>
      </c>
      <c r="H92" s="192">
        <v>93711</v>
      </c>
      <c r="I92" s="286">
        <v>90439</v>
      </c>
      <c r="J92" s="194">
        <v>85432</v>
      </c>
      <c r="K92" s="195">
        <v>69125</v>
      </c>
      <c r="L92" s="195">
        <v>71992</v>
      </c>
      <c r="M92" s="195">
        <v>82459</v>
      </c>
      <c r="N92" s="195">
        <v>78860</v>
      </c>
      <c r="O92" s="268">
        <v>59255</v>
      </c>
      <c r="P92" s="418"/>
      <c r="Q92" s="408" t="s">
        <v>66</v>
      </c>
      <c r="R92" s="83"/>
    </row>
    <row r="93" spans="1:18">
      <c r="A93" s="1392"/>
      <c r="B93" s="1392"/>
      <c r="C93" s="153" t="s">
        <v>49</v>
      </c>
      <c r="D93" s="183">
        <v>0.12951238710349494</v>
      </c>
      <c r="E93" s="183">
        <v>0.12694225608013829</v>
      </c>
      <c r="F93" s="183">
        <v>0.12529296701156736</v>
      </c>
      <c r="G93" s="183">
        <v>0.1260903749700184</v>
      </c>
      <c r="H93" s="183">
        <v>0.12079929380583936</v>
      </c>
      <c r="I93" s="282">
        <v>0.12217754903854823</v>
      </c>
      <c r="J93" s="283">
        <v>0.13089250021725904</v>
      </c>
      <c r="K93" s="183">
        <v>0.12355788671887909</v>
      </c>
      <c r="L93" s="183">
        <v>0.1216502245188925</v>
      </c>
      <c r="M93" s="183">
        <v>0.11712634234041804</v>
      </c>
      <c r="N93" s="183">
        <v>0.12275230810862861</v>
      </c>
      <c r="O93" s="183">
        <v>0.12478726963794701</v>
      </c>
      <c r="P93" s="419"/>
      <c r="Q93" s="410"/>
      <c r="R93" s="83"/>
    </row>
    <row r="94" spans="1:18">
      <c r="A94" s="1392"/>
      <c r="B94" s="1392"/>
      <c r="C94" s="162" t="s">
        <v>156</v>
      </c>
      <c r="D94" s="182">
        <v>57597</v>
      </c>
      <c r="E94" s="191">
        <v>78045.100000000006</v>
      </c>
      <c r="F94" s="191">
        <v>77027</v>
      </c>
      <c r="G94" s="191">
        <v>75046</v>
      </c>
      <c r="H94" s="192">
        <v>70179</v>
      </c>
      <c r="I94" s="286">
        <v>77643</v>
      </c>
      <c r="J94" s="194">
        <v>69042</v>
      </c>
      <c r="K94" s="195">
        <v>60522</v>
      </c>
      <c r="L94" s="195">
        <v>69853</v>
      </c>
      <c r="M94" s="195">
        <v>68501.956780000008</v>
      </c>
      <c r="N94" s="195">
        <v>60234.6</v>
      </c>
      <c r="O94" s="195">
        <v>44520.966199999995</v>
      </c>
      <c r="P94" s="420"/>
      <c r="Q94" s="408" t="s">
        <v>255</v>
      </c>
      <c r="R94" s="83"/>
    </row>
    <row r="95" spans="1:18">
      <c r="A95" s="1392"/>
      <c r="B95" s="1392"/>
      <c r="C95" s="153" t="s">
        <v>50</v>
      </c>
      <c r="D95" s="196">
        <v>0.12639080000532538</v>
      </c>
      <c r="E95" s="196">
        <v>0.11912288496598156</v>
      </c>
      <c r="F95" s="196">
        <v>0.12621881983479311</v>
      </c>
      <c r="G95" s="196">
        <v>0.12644844365147817</v>
      </c>
      <c r="H95" s="196">
        <v>0.11588591347026904</v>
      </c>
      <c r="I95" s="234">
        <v>0.12345797681477795</v>
      </c>
      <c r="J95" s="235">
        <v>0.12194102330931578</v>
      </c>
      <c r="K95" s="196">
        <v>0.11589251132996164</v>
      </c>
      <c r="L95" s="196">
        <v>0.11427752731610362</v>
      </c>
      <c r="M95" s="196">
        <v>0.11512306492643321</v>
      </c>
      <c r="N95" s="196">
        <v>0.11417017344357776</v>
      </c>
      <c r="O95" s="183">
        <v>0.10914605086591191</v>
      </c>
      <c r="P95" s="48"/>
      <c r="Q95" s="441"/>
      <c r="R95" s="83"/>
    </row>
    <row r="96" spans="1:18">
      <c r="A96" s="1392"/>
      <c r="B96" s="1392"/>
      <c r="C96" s="162" t="s">
        <v>248</v>
      </c>
      <c r="D96" s="178">
        <v>61667.727870000002</v>
      </c>
      <c r="E96" s="204">
        <v>72217.570000000007</v>
      </c>
      <c r="F96" s="204">
        <v>88277.158890000006</v>
      </c>
      <c r="G96" s="204">
        <v>81219.451519999988</v>
      </c>
      <c r="H96" s="205">
        <v>79294.328320000001</v>
      </c>
      <c r="I96" s="287">
        <v>75090.784570000003</v>
      </c>
      <c r="J96" s="207">
        <v>83337.685829999988</v>
      </c>
      <c r="K96" s="208">
        <v>79265.941619999998</v>
      </c>
      <c r="L96" s="208">
        <v>81435.618099999992</v>
      </c>
      <c r="M96" s="208">
        <v>84444.442610000013</v>
      </c>
      <c r="N96" s="208">
        <v>66005.521769999992</v>
      </c>
      <c r="O96" s="195">
        <v>50951.372000000003</v>
      </c>
      <c r="P96" s="48"/>
      <c r="Q96" s="441"/>
      <c r="R96" s="83"/>
    </row>
    <row r="97" spans="1:18">
      <c r="A97" s="1392"/>
      <c r="B97" s="1392"/>
      <c r="C97" s="402" t="s">
        <v>50</v>
      </c>
      <c r="D97" s="211">
        <f>元ﾃﾞｰﾀ!F215</f>
        <v>0.11788857938718662</v>
      </c>
      <c r="E97" s="211">
        <f>元ﾃﾞｰﾀ!J215</f>
        <v>0.11791111111111115</v>
      </c>
      <c r="F97" s="211">
        <f>元ﾃﾞｰﾀ!N215</f>
        <v>0.11884042553191491</v>
      </c>
      <c r="G97" s="211">
        <f>元ﾃﾞｰﾀ!Z215</f>
        <v>0.11700885410542498</v>
      </c>
      <c r="H97" s="211">
        <f>元ﾃﾞｰﾀ!AC215</f>
        <v>0.12410112359550564</v>
      </c>
      <c r="I97" s="212">
        <f>元ﾃﾞｰﾀ!AG215</f>
        <v>0.12368464052287581</v>
      </c>
      <c r="J97" s="213">
        <f>元ﾃﾞｰﾀ!BF215</f>
        <v>0.13733488023952095</v>
      </c>
      <c r="K97" s="211">
        <f>元ﾃﾞｰﾀ!BJ215</f>
        <v>0.14269099476439789</v>
      </c>
      <c r="L97" s="211">
        <f>元ﾃﾞｰﾀ!BN215</f>
        <v>0.14113544973544973</v>
      </c>
      <c r="M97" s="211">
        <f>元ﾃﾞｰﾀ!BY215</f>
        <v>0.14269148936170215</v>
      </c>
      <c r="N97" s="211">
        <f>元ﾃﾞｰﾀ!CC215</f>
        <v>0.14432051282051281</v>
      </c>
      <c r="O97" s="211">
        <f>元ﾃﾞｰﾀ!CG215</f>
        <v>0.14862318840579708</v>
      </c>
      <c r="P97" s="203"/>
      <c r="Q97" s="209"/>
      <c r="R97" s="83"/>
    </row>
    <row r="98" spans="1:18">
      <c r="A98" s="1392"/>
      <c r="B98" s="1392"/>
      <c r="C98" s="403" t="s">
        <v>250</v>
      </c>
      <c r="D98" s="214">
        <f>元ﾃﾞｰﾀ!F122</f>
        <v>71800</v>
      </c>
      <c r="E98" s="214">
        <f>元ﾃﾞｰﾀ!J122</f>
        <v>90000</v>
      </c>
      <c r="F98" s="214">
        <f>元ﾃﾞｰﾀ!N122</f>
        <v>94000</v>
      </c>
      <c r="G98" s="214">
        <f>元ﾃﾞｰﾀ!Y122</f>
        <v>83999.856</v>
      </c>
      <c r="H98" s="214">
        <f>元ﾃﾞｰﾀ!AC122</f>
        <v>89000</v>
      </c>
      <c r="I98" s="215">
        <f>元ﾃﾞｰﾀ!AG122</f>
        <v>91800</v>
      </c>
      <c r="J98" s="216">
        <f>元ﾃﾞｰﾀ!BF122</f>
        <v>100200</v>
      </c>
      <c r="K98" s="214">
        <f>元ﾃﾞｰﾀ!BJ122</f>
        <v>95500</v>
      </c>
      <c r="L98" s="214">
        <f>元ﾃﾞｰﾀ!BN122</f>
        <v>94500</v>
      </c>
      <c r="M98" s="214">
        <f>元ﾃﾞｰﾀ!BY122</f>
        <v>94000</v>
      </c>
      <c r="N98" s="214">
        <f>元ﾃﾞｰﾀ!CC122</f>
        <v>78000</v>
      </c>
      <c r="O98" s="214">
        <f>元ﾃﾞｰﾀ!CG122</f>
        <v>41400</v>
      </c>
      <c r="P98" s="203"/>
      <c r="Q98" s="209"/>
      <c r="R98" s="83"/>
    </row>
    <row r="99" spans="1:18">
      <c r="A99" s="1392"/>
      <c r="B99" s="1392"/>
      <c r="C99" s="405" t="s">
        <v>50</v>
      </c>
      <c r="D99" s="218">
        <f>元ﾃﾞｰﾀ!G215</f>
        <v>0.11270964177281903</v>
      </c>
      <c r="E99" s="1285">
        <f>元ﾃﾞｰﾀ!K215</f>
        <v>0.11592764176345068</v>
      </c>
      <c r="F99" s="1285">
        <f>元ﾃﾞｰﾀ!O215</f>
        <v>0.11630635071183318</v>
      </c>
      <c r="G99" s="1285">
        <f>元ﾃﾞｰﾀ!Z215</f>
        <v>0.11700885410542498</v>
      </c>
      <c r="H99" s="1285">
        <f>元ﾃﾞｰﾀ!AD215</f>
        <v>0.11845291140471766</v>
      </c>
      <c r="I99" s="1286">
        <f>元ﾃﾞｰﾀ!AH215</f>
        <v>0.11949329363264997</v>
      </c>
      <c r="J99" s="1287">
        <f>元ﾃﾞｰﾀ!BG215</f>
        <v>0.13091062696116249</v>
      </c>
      <c r="K99" s="1285">
        <f>元ﾃﾞｰﾀ!BK215</f>
        <v>0.13661623374805043</v>
      </c>
      <c r="L99" s="1285">
        <f>元ﾃﾞｰﾀ!BO215</f>
        <v>0.14173232998947244</v>
      </c>
      <c r="M99" s="1285">
        <f>元ﾃﾞｰﾀ!BZ215</f>
        <v>0.14067093252582225</v>
      </c>
      <c r="N99" s="398">
        <f>元ﾃﾞｰﾀ!CD215</f>
        <v>0.14432051282051281</v>
      </c>
      <c r="O99" s="399">
        <f>元ﾃﾞｰﾀ!CH215</f>
        <v>0.14862318840579708</v>
      </c>
      <c r="P99" s="203"/>
      <c r="Q99" s="209"/>
      <c r="R99" s="83"/>
    </row>
    <row r="100" spans="1:18">
      <c r="A100" s="1392"/>
      <c r="B100" s="1392"/>
      <c r="C100" s="406" t="s">
        <v>251</v>
      </c>
      <c r="D100" s="237">
        <f>元ﾃﾞｰﾀ!G122</f>
        <v>82116.706839999999</v>
      </c>
      <c r="E100" s="1054">
        <f>元ﾃﾞｰﾀ!K122</f>
        <v>91837.234419999993</v>
      </c>
      <c r="F100" s="1054">
        <f>元ﾃﾞｰﾀ!O122</f>
        <v>96237.41923</v>
      </c>
      <c r="G100" s="1054">
        <f>元ﾃﾞｰﾀ!Z122</f>
        <v>93081.353279999981</v>
      </c>
      <c r="H100" s="1054">
        <f>元ﾃﾞｰﾀ!AD122</f>
        <v>89712.815309999991</v>
      </c>
      <c r="I100" s="1288">
        <f>元ﾃﾞｰﾀ!AH122</f>
        <v>92121.102239999993</v>
      </c>
      <c r="J100" s="1289">
        <f>元ﾃﾞｰﾀ!BG122</f>
        <v>100228.61566</v>
      </c>
      <c r="K100" s="1054">
        <f>元ﾃﾞｰﾀ!BK122</f>
        <v>95661.398660000006</v>
      </c>
      <c r="L100" s="1054">
        <f>元ﾃﾞｰﾀ!BO122</f>
        <v>94840.015260000015</v>
      </c>
      <c r="M100" s="1054">
        <f>元ﾃﾞｰﾀ!BZ122</f>
        <v>94183.857279999997</v>
      </c>
      <c r="N100" s="400">
        <f>元ﾃﾞｰﾀ!CD122</f>
        <v>78000</v>
      </c>
      <c r="O100" s="400">
        <f>元ﾃﾞｰﾀ!CH122</f>
        <v>41400</v>
      </c>
      <c r="P100" s="83"/>
      <c r="Q100" s="83"/>
      <c r="R100" s="83"/>
    </row>
    <row r="101" spans="1:18">
      <c r="A101" s="1392"/>
      <c r="B101" s="1392"/>
      <c r="C101" s="407" t="s">
        <v>249</v>
      </c>
      <c r="D101" s="223">
        <f>元ﾃﾞｰﾀ!E122</f>
        <v>70800</v>
      </c>
      <c r="E101" s="223">
        <f>元ﾃﾞｰﾀ!I122</f>
        <v>78700</v>
      </c>
      <c r="F101" s="223">
        <f>元ﾃﾞｰﾀ!M122</f>
        <v>79400</v>
      </c>
      <c r="G101" s="223">
        <f>元ﾃﾞｰﾀ!X122</f>
        <v>79400</v>
      </c>
      <c r="H101" s="223">
        <f>元ﾃﾞｰﾀ!AB122</f>
        <v>86500</v>
      </c>
      <c r="I101" s="224">
        <f>元ﾃﾞｰﾀ!AF122</f>
        <v>93000</v>
      </c>
      <c r="J101" s="225">
        <f>元ﾃﾞｰﾀ!BE122</f>
        <v>100250</v>
      </c>
      <c r="K101" s="223">
        <f>元ﾃﾞｰﾀ!BI122</f>
        <v>96600</v>
      </c>
      <c r="L101" s="223">
        <f>元ﾃﾞｰﾀ!BM122</f>
        <v>93400</v>
      </c>
      <c r="M101" s="223">
        <f>元ﾃﾞｰﾀ!BX122</f>
        <v>93140</v>
      </c>
      <c r="N101" s="223">
        <f>元ﾃﾞｰﾀ!CB122</f>
        <v>78450</v>
      </c>
      <c r="O101" s="223">
        <f>元ﾃﾞｰﾀ!CF122</f>
        <v>41050</v>
      </c>
      <c r="P101" s="83"/>
      <c r="Q101" s="227"/>
      <c r="R101" s="83"/>
    </row>
    <row r="102" spans="1:18">
      <c r="A102" s="1392"/>
      <c r="B102" s="1392" t="s">
        <v>19</v>
      </c>
      <c r="C102" s="288" t="s">
        <v>56</v>
      </c>
      <c r="D102" s="289">
        <v>1.07</v>
      </c>
      <c r="E102" s="289">
        <v>1.01</v>
      </c>
      <c r="F102" s="290">
        <v>1.07</v>
      </c>
      <c r="G102" s="291">
        <v>0.94</v>
      </c>
      <c r="H102" s="289">
        <v>0.64</v>
      </c>
      <c r="I102" s="292">
        <v>1.1299999999999999</v>
      </c>
      <c r="J102" s="293">
        <v>0.75</v>
      </c>
      <c r="K102" s="289">
        <v>1.04</v>
      </c>
      <c r="L102" s="289">
        <v>0.84</v>
      </c>
      <c r="M102" s="289">
        <v>1.03</v>
      </c>
      <c r="N102" s="289">
        <v>1.05</v>
      </c>
      <c r="O102" s="289">
        <v>1</v>
      </c>
      <c r="P102" s="83"/>
      <c r="Q102" s="83"/>
      <c r="R102" s="83"/>
    </row>
    <row r="103" spans="1:18">
      <c r="A103" s="1392"/>
      <c r="B103" s="1392"/>
      <c r="C103" s="288" t="s">
        <v>57</v>
      </c>
      <c r="D103" s="289">
        <v>1.0416386309603911</v>
      </c>
      <c r="E103" s="289">
        <v>0.84</v>
      </c>
      <c r="F103" s="294">
        <v>0.88</v>
      </c>
      <c r="G103" s="295">
        <v>0.84</v>
      </c>
      <c r="H103" s="289">
        <v>0.95</v>
      </c>
      <c r="I103" s="292">
        <v>1.01</v>
      </c>
      <c r="J103" s="293">
        <v>0.85</v>
      </c>
      <c r="K103" s="289">
        <v>0.91</v>
      </c>
      <c r="L103" s="289">
        <v>0.85</v>
      </c>
      <c r="M103" s="296">
        <v>1.03</v>
      </c>
      <c r="N103" s="289">
        <v>1.03</v>
      </c>
      <c r="O103" s="289">
        <v>0.98</v>
      </c>
      <c r="P103" s="83"/>
      <c r="Q103" s="83"/>
      <c r="R103" s="83"/>
    </row>
    <row r="104" spans="1:18">
      <c r="A104" s="1392"/>
      <c r="B104" s="1392"/>
      <c r="C104" s="288" t="s">
        <v>142</v>
      </c>
      <c r="D104" s="289">
        <v>0.83723534558180224</v>
      </c>
      <c r="E104" s="297">
        <v>0.86892953181486299</v>
      </c>
      <c r="F104" s="298">
        <v>0.91558541266794624</v>
      </c>
      <c r="G104" s="298">
        <v>1.0209110396570205</v>
      </c>
      <c r="H104" s="299">
        <v>0.93711</v>
      </c>
      <c r="I104" s="300">
        <v>0.90439000000000003</v>
      </c>
      <c r="J104" s="301">
        <v>0.7698171693233733</v>
      </c>
      <c r="K104" s="302">
        <v>0.7949057037718491</v>
      </c>
      <c r="L104" s="302">
        <v>0.84527415756721846</v>
      </c>
      <c r="M104" s="302">
        <v>0.99276426679508789</v>
      </c>
      <c r="N104" s="302">
        <v>1.0162371134020618</v>
      </c>
      <c r="O104" s="302">
        <v>0.86251819505094618</v>
      </c>
      <c r="P104" s="83"/>
      <c r="Q104" s="83"/>
      <c r="R104" s="83"/>
    </row>
    <row r="105" spans="1:18">
      <c r="A105" s="1392"/>
      <c r="B105" s="1392"/>
      <c r="C105" s="288" t="s">
        <v>178</v>
      </c>
      <c r="D105" s="289">
        <v>0.61338658146964853</v>
      </c>
      <c r="E105" s="297">
        <v>1.0419906542056077</v>
      </c>
      <c r="F105" s="297">
        <v>0.9224790419161677</v>
      </c>
      <c r="G105" s="297">
        <v>0.89767942583732052</v>
      </c>
      <c r="H105" s="297">
        <v>0.86427339901477829</v>
      </c>
      <c r="I105" s="303">
        <v>1.0665247252747252</v>
      </c>
      <c r="J105" s="304">
        <v>0.85766459627329195</v>
      </c>
      <c r="K105" s="297">
        <v>0.77671971252566741</v>
      </c>
      <c r="L105" s="297">
        <v>0.9701805555555556</v>
      </c>
      <c r="M105" s="297">
        <v>0.96210613455056193</v>
      </c>
      <c r="N105" s="297">
        <v>0.99070065789473682</v>
      </c>
      <c r="O105" s="289">
        <v>0.92945649686847587</v>
      </c>
      <c r="P105" s="83"/>
      <c r="Q105" s="83"/>
      <c r="R105" s="83"/>
    </row>
    <row r="106" spans="1:18">
      <c r="A106" s="1392"/>
      <c r="B106" s="1392"/>
      <c r="C106" s="288" t="s">
        <v>202</v>
      </c>
      <c r="D106" s="289">
        <v>1.0053428084447342</v>
      </c>
      <c r="E106" s="297">
        <v>1.0859784962406016</v>
      </c>
      <c r="F106" s="297">
        <v>1.0391660846380224</v>
      </c>
      <c r="G106" s="297">
        <v>1.0002455726265789</v>
      </c>
      <c r="H106" s="297">
        <v>1.0037298065976368</v>
      </c>
      <c r="I106" s="303">
        <v>1.0147448610791563</v>
      </c>
      <c r="J106" s="304">
        <v>1.0417210728749999</v>
      </c>
      <c r="K106" s="297">
        <v>1.0033663496202532</v>
      </c>
      <c r="L106" s="297">
        <v>1.0308306088607595</v>
      </c>
      <c r="M106" s="297">
        <v>1.0635320227959699</v>
      </c>
      <c r="N106" s="297">
        <v>1.0820577339344262</v>
      </c>
      <c r="O106" s="289">
        <v>1.0293206464646465</v>
      </c>
      <c r="P106" s="83"/>
      <c r="Q106" s="83"/>
      <c r="R106" s="83"/>
    </row>
    <row r="107" spans="1:18">
      <c r="A107" s="1392"/>
      <c r="B107" s="1392"/>
      <c r="C107" s="442" t="s">
        <v>261</v>
      </c>
      <c r="D107" s="305">
        <f>D100/D98</f>
        <v>1.1436867247910862</v>
      </c>
      <c r="E107" s="1299">
        <f t="shared" ref="E107:O107" si="8">E100/E98</f>
        <v>1.0204137157777777</v>
      </c>
      <c r="F107" s="1299">
        <f t="shared" si="8"/>
        <v>1.0238023322340426</v>
      </c>
      <c r="G107" s="1299">
        <f t="shared" si="8"/>
        <v>1.1081132481941396</v>
      </c>
      <c r="H107" s="1299">
        <f t="shared" si="8"/>
        <v>1.0080091607865167</v>
      </c>
      <c r="I107" s="1300">
        <f t="shared" si="8"/>
        <v>1.0034978457516339</v>
      </c>
      <c r="J107" s="1301">
        <f t="shared" si="8"/>
        <v>1.0002855854291417</v>
      </c>
      <c r="K107" s="1299">
        <f t="shared" si="8"/>
        <v>1.0016900383246075</v>
      </c>
      <c r="L107" s="1299">
        <f t="shared" si="8"/>
        <v>1.0035980450793653</v>
      </c>
      <c r="M107" s="1299">
        <f t="shared" si="8"/>
        <v>1.0019559285106383</v>
      </c>
      <c r="N107" s="443">
        <f t="shared" si="8"/>
        <v>1</v>
      </c>
      <c r="O107" s="443">
        <f t="shared" si="8"/>
        <v>1</v>
      </c>
      <c r="P107" s="83"/>
      <c r="Q107" s="83"/>
      <c r="R107" s="83"/>
    </row>
    <row r="108" spans="1:18">
      <c r="A108" s="1392" t="s">
        <v>20</v>
      </c>
      <c r="B108" s="1392" t="s">
        <v>16</v>
      </c>
      <c r="C108" s="153" t="s">
        <v>49</v>
      </c>
      <c r="D108" s="306">
        <v>0.111</v>
      </c>
      <c r="E108" s="307">
        <v>0.104</v>
      </c>
      <c r="F108" s="308">
        <v>9.6000000000000002E-2</v>
      </c>
      <c r="G108" s="308">
        <v>0.108</v>
      </c>
      <c r="H108" s="309">
        <v>0.125</v>
      </c>
      <c r="I108" s="310">
        <v>0.09</v>
      </c>
      <c r="J108" s="311">
        <v>0.11700000000000001</v>
      </c>
      <c r="K108" s="312">
        <v>0.14000000000000001</v>
      </c>
      <c r="L108" s="312">
        <v>0.14399999999999999</v>
      </c>
      <c r="M108" s="312">
        <v>0.13100000000000001</v>
      </c>
      <c r="N108" s="312">
        <v>0.126</v>
      </c>
      <c r="O108" s="312">
        <v>0.122</v>
      </c>
      <c r="P108" s="83"/>
      <c r="Q108" s="83"/>
      <c r="R108" s="83"/>
    </row>
    <row r="109" spans="1:18">
      <c r="A109" s="1392"/>
      <c r="B109" s="1392"/>
      <c r="C109" s="162" t="s">
        <v>133</v>
      </c>
      <c r="D109" s="165">
        <v>91019</v>
      </c>
      <c r="E109" s="165">
        <v>61412</v>
      </c>
      <c r="F109" s="165">
        <v>98658</v>
      </c>
      <c r="G109" s="166">
        <v>98676</v>
      </c>
      <c r="H109" s="164">
        <v>82849</v>
      </c>
      <c r="I109" s="284">
        <v>103599</v>
      </c>
      <c r="J109" s="168">
        <v>47597</v>
      </c>
      <c r="K109" s="165">
        <v>57164</v>
      </c>
      <c r="L109" s="165">
        <v>64088</v>
      </c>
      <c r="M109" s="165">
        <v>73759</v>
      </c>
      <c r="N109" s="165">
        <v>83227</v>
      </c>
      <c r="O109" s="165">
        <v>66100</v>
      </c>
      <c r="P109" s="83"/>
      <c r="Q109" s="83"/>
      <c r="R109" s="83"/>
    </row>
    <row r="110" spans="1:18">
      <c r="A110" s="1392"/>
      <c r="B110" s="1392"/>
      <c r="C110" s="153" t="s">
        <v>49</v>
      </c>
      <c r="D110" s="306">
        <v>0.13</v>
      </c>
      <c r="E110" s="307">
        <v>0.13100000000000001</v>
      </c>
      <c r="F110" s="308">
        <v>0.14099999999999999</v>
      </c>
      <c r="G110" s="308">
        <v>0.13900000000000001</v>
      </c>
      <c r="H110" s="309">
        <v>0.13700000000000001</v>
      </c>
      <c r="I110" s="310">
        <v>0.11799999999999999</v>
      </c>
      <c r="J110" s="311">
        <v>0.13600000000000001</v>
      </c>
      <c r="K110" s="312">
        <v>0.13303888028117752</v>
      </c>
      <c r="L110" s="312">
        <v>0.13826860280011427</v>
      </c>
      <c r="M110" s="312">
        <v>0.13721968600378576</v>
      </c>
      <c r="N110" s="312">
        <v>0.13862913772559504</v>
      </c>
      <c r="O110" s="312">
        <v>0.14945310575400317</v>
      </c>
      <c r="P110" s="83"/>
      <c r="Q110" s="83"/>
      <c r="R110" s="83"/>
    </row>
    <row r="111" spans="1:18">
      <c r="A111" s="1392"/>
      <c r="B111" s="1392"/>
      <c r="C111" s="162" t="s">
        <v>134</v>
      </c>
      <c r="D111" s="182">
        <v>88384</v>
      </c>
      <c r="E111" s="182">
        <v>100805</v>
      </c>
      <c r="F111" s="178">
        <v>139206</v>
      </c>
      <c r="G111" s="179">
        <v>136647</v>
      </c>
      <c r="H111" s="177">
        <v>115396</v>
      </c>
      <c r="I111" s="285">
        <v>91585</v>
      </c>
      <c r="J111" s="181">
        <v>76590</v>
      </c>
      <c r="K111" s="182">
        <v>96167</v>
      </c>
      <c r="L111" s="182">
        <v>97996</v>
      </c>
      <c r="M111" s="182">
        <v>116753</v>
      </c>
      <c r="N111" s="182">
        <v>103227</v>
      </c>
      <c r="O111" s="182">
        <v>85245</v>
      </c>
      <c r="P111" s="83"/>
      <c r="Q111" s="83"/>
      <c r="R111" s="83"/>
    </row>
    <row r="112" spans="1:18">
      <c r="A112" s="1392"/>
      <c r="B112" s="1392"/>
      <c r="C112" s="153" t="s">
        <v>49</v>
      </c>
      <c r="D112" s="313">
        <v>0.14000000000000001</v>
      </c>
      <c r="E112" s="313">
        <v>0.14599999999999999</v>
      </c>
      <c r="F112" s="313">
        <v>0.151</v>
      </c>
      <c r="G112" s="313">
        <v>0.14399999999999999</v>
      </c>
      <c r="H112" s="314">
        <v>0.154</v>
      </c>
      <c r="I112" s="315">
        <v>0.156</v>
      </c>
      <c r="J112" s="313">
        <v>0.16300000000000001</v>
      </c>
      <c r="K112" s="313">
        <v>0.16500000000000001</v>
      </c>
      <c r="L112" s="313">
        <v>0.16</v>
      </c>
      <c r="M112" s="313">
        <v>0.18</v>
      </c>
      <c r="N112" s="313">
        <v>0.17399999999999999</v>
      </c>
      <c r="O112" s="316">
        <v>0.18099999999999999</v>
      </c>
      <c r="P112" s="83"/>
      <c r="Q112" s="83"/>
      <c r="R112" s="83"/>
    </row>
    <row r="113" spans="1:18">
      <c r="A113" s="1392"/>
      <c r="B113" s="1392"/>
      <c r="C113" s="162" t="s">
        <v>136</v>
      </c>
      <c r="D113" s="182">
        <v>116248</v>
      </c>
      <c r="E113" s="191">
        <v>166745</v>
      </c>
      <c r="F113" s="191">
        <v>176877</v>
      </c>
      <c r="G113" s="191">
        <v>150020</v>
      </c>
      <c r="H113" s="192">
        <v>105064</v>
      </c>
      <c r="I113" s="286">
        <v>75042</v>
      </c>
      <c r="J113" s="194">
        <v>95347</v>
      </c>
      <c r="K113" s="195">
        <v>120175</v>
      </c>
      <c r="L113" s="195">
        <v>133544</v>
      </c>
      <c r="M113" s="195">
        <v>144678</v>
      </c>
      <c r="N113" s="195">
        <v>132470</v>
      </c>
      <c r="O113" s="195">
        <v>102297</v>
      </c>
      <c r="P113" s="83"/>
      <c r="Q113" s="83"/>
      <c r="R113" s="83"/>
    </row>
    <row r="114" spans="1:18">
      <c r="A114" s="1392"/>
      <c r="B114" s="1392"/>
      <c r="C114" s="153" t="s">
        <v>49</v>
      </c>
      <c r="D114" s="183">
        <v>0.18269205720283388</v>
      </c>
      <c r="E114" s="183">
        <v>0.1818417117846676</v>
      </c>
      <c r="F114" s="183">
        <v>0.18291674873122282</v>
      </c>
      <c r="G114" s="183">
        <v>0.18149921779691422</v>
      </c>
      <c r="H114" s="183">
        <v>0.17787598541711347</v>
      </c>
      <c r="I114" s="282">
        <v>0.18183675655223477</v>
      </c>
      <c r="J114" s="283">
        <v>0.18912619580704254</v>
      </c>
      <c r="K114" s="183">
        <v>0.2023582677300895</v>
      </c>
      <c r="L114" s="183">
        <v>0.19999035080921584</v>
      </c>
      <c r="M114" s="183">
        <v>0.19422512712934792</v>
      </c>
      <c r="N114" s="183">
        <v>0.19912417955916045</v>
      </c>
      <c r="O114" s="183">
        <v>0.20343538859149002</v>
      </c>
      <c r="P114" s="83"/>
      <c r="Q114" s="83"/>
      <c r="R114" s="83"/>
    </row>
    <row r="115" spans="1:18">
      <c r="A115" s="1392"/>
      <c r="B115" s="1392"/>
      <c r="C115" s="162" t="s">
        <v>156</v>
      </c>
      <c r="D115" s="182">
        <v>121952</v>
      </c>
      <c r="E115" s="191">
        <v>124473.60000000001</v>
      </c>
      <c r="F115" s="191">
        <v>137534</v>
      </c>
      <c r="G115" s="191">
        <v>122628</v>
      </c>
      <c r="H115" s="192">
        <v>130564</v>
      </c>
      <c r="I115" s="286">
        <v>122897</v>
      </c>
      <c r="J115" s="194">
        <v>93347</v>
      </c>
      <c r="K115" s="195">
        <v>87140</v>
      </c>
      <c r="L115" s="195">
        <v>82870.97</v>
      </c>
      <c r="M115" s="195">
        <v>91049</v>
      </c>
      <c r="N115" s="195">
        <v>96555.407999999996</v>
      </c>
      <c r="O115" s="195">
        <v>80709.05</v>
      </c>
      <c r="P115" s="83"/>
      <c r="Q115" s="83"/>
      <c r="R115" s="83"/>
    </row>
    <row r="116" spans="1:18">
      <c r="A116" s="1392"/>
      <c r="B116" s="1392"/>
      <c r="C116" s="153" t="s">
        <v>50</v>
      </c>
      <c r="D116" s="196">
        <v>0.19441020533391254</v>
      </c>
      <c r="E116" s="196">
        <v>0.20185440046267975</v>
      </c>
      <c r="F116" s="196">
        <v>0.201557779564907</v>
      </c>
      <c r="G116" s="196">
        <v>0.19740035717241641</v>
      </c>
      <c r="H116" s="196">
        <v>0.20447011022454961</v>
      </c>
      <c r="I116" s="234">
        <v>0.214692831429245</v>
      </c>
      <c r="J116" s="235">
        <v>0.21423295234410472</v>
      </c>
      <c r="K116" s="196">
        <v>0.22164909718940487</v>
      </c>
      <c r="L116" s="196">
        <v>0.22396599969593325</v>
      </c>
      <c r="M116" s="196">
        <v>0.21821055685438503</v>
      </c>
      <c r="N116" s="196">
        <v>0.21478730447518357</v>
      </c>
      <c r="O116" s="196">
        <v>0.2080275518161685</v>
      </c>
      <c r="P116" s="83"/>
      <c r="Q116" s="83"/>
      <c r="R116" s="83"/>
    </row>
    <row r="117" spans="1:18">
      <c r="A117" s="1392"/>
      <c r="B117" s="1392"/>
      <c r="C117" s="162" t="s">
        <v>248</v>
      </c>
      <c r="D117" s="178">
        <v>109321.42050000001</v>
      </c>
      <c r="E117" s="204">
        <v>147440</v>
      </c>
      <c r="F117" s="204">
        <v>158416.69999999998</v>
      </c>
      <c r="G117" s="204">
        <v>167907.14300000001</v>
      </c>
      <c r="H117" s="205">
        <v>180254.21800000002</v>
      </c>
      <c r="I117" s="287">
        <v>160120.639</v>
      </c>
      <c r="J117" s="207">
        <v>160563.9</v>
      </c>
      <c r="K117" s="208">
        <v>110066.298</v>
      </c>
      <c r="L117" s="208">
        <v>130918.43799999999</v>
      </c>
      <c r="M117" s="208">
        <v>161069.34299999999</v>
      </c>
      <c r="N117" s="208">
        <v>133758.6925</v>
      </c>
      <c r="O117" s="208">
        <v>105662</v>
      </c>
      <c r="P117" s="83"/>
      <c r="Q117" s="83"/>
      <c r="R117" s="83"/>
    </row>
    <row r="118" spans="1:18">
      <c r="A118" s="1392"/>
      <c r="B118" s="1392"/>
      <c r="C118" s="402" t="s">
        <v>50</v>
      </c>
      <c r="D118" s="211">
        <f>元ﾃﾞｰﾀ!F227</f>
        <v>0.2117</v>
      </c>
      <c r="E118" s="211">
        <f>元ﾃﾞｰﾀ!J227</f>
        <v>0.22732345971563986</v>
      </c>
      <c r="F118" s="211">
        <f>元ﾃﾞｰﾀ!N227</f>
        <v>0.23932500000000001</v>
      </c>
      <c r="G118" s="211">
        <f>元ﾃﾞｰﾀ!Y227</f>
        <v>0.23519999999999999</v>
      </c>
      <c r="H118" s="211">
        <f>元ﾃﾞｰﾀ!AC227</f>
        <v>0.22579999999999997</v>
      </c>
      <c r="I118" s="212">
        <f>元ﾃﾞｰﾀ!AG227</f>
        <v>0.23619999999999999</v>
      </c>
      <c r="J118" s="213">
        <f>元ﾃﾞｰﾀ!BF227</f>
        <v>0.2356588</v>
      </c>
      <c r="K118" s="211">
        <f>元ﾃﾞｰﾀ!BJ227</f>
        <v>0.22191999999999998</v>
      </c>
      <c r="L118" s="211">
        <f>元ﾃﾞｰﾀ!BN227</f>
        <v>0.23412000000000005</v>
      </c>
      <c r="M118" s="211">
        <f>元ﾃﾞｰﾀ!BY227</f>
        <v>0.23036000000000004</v>
      </c>
      <c r="N118" s="211">
        <f>元ﾃﾞｰﾀ!CC227</f>
        <v>0.22939999999999999</v>
      </c>
      <c r="O118" s="211">
        <f>元ﾃﾞｰﾀ!CG227</f>
        <v>0.22939999999999997</v>
      </c>
      <c r="P118" s="83"/>
      <c r="Q118" s="83"/>
      <c r="R118" s="83"/>
    </row>
    <row r="119" spans="1:18">
      <c r="A119" s="1392"/>
      <c r="B119" s="1392"/>
      <c r="C119" s="403" t="s">
        <v>250</v>
      </c>
      <c r="D119" s="214">
        <f>元ﾃﾞｰﾀ!F129</f>
        <v>240000</v>
      </c>
      <c r="E119" s="214">
        <f>元ﾃﾞｰﾀ!J129</f>
        <v>211000</v>
      </c>
      <c r="F119" s="214">
        <f>元ﾃﾞｰﾀ!N129</f>
        <v>190000</v>
      </c>
      <c r="G119" s="214">
        <f>元ﾃﾞｰﾀ!Y129</f>
        <v>190000</v>
      </c>
      <c r="H119" s="214">
        <f>元ﾃﾞｰﾀ!AC129</f>
        <v>230000</v>
      </c>
      <c r="I119" s="215">
        <f>元ﾃﾞｰﾀ!AG129</f>
        <v>240000</v>
      </c>
      <c r="J119" s="216">
        <f>元ﾃﾞｰﾀ!BF129</f>
        <v>250000</v>
      </c>
      <c r="K119" s="214">
        <f>元ﾃﾞｰﾀ!BJ129</f>
        <v>120000</v>
      </c>
      <c r="L119" s="214">
        <f>元ﾃﾞｰﾀ!BN129</f>
        <v>170000</v>
      </c>
      <c r="M119" s="214">
        <f>元ﾃﾞｰﾀ!BY129</f>
        <v>217000</v>
      </c>
      <c r="N119" s="214">
        <f>元ﾃﾞｰﾀ!CC129</f>
        <v>220000</v>
      </c>
      <c r="O119" s="214">
        <f>元ﾃﾞｰﾀ!CG129</f>
        <v>150000</v>
      </c>
      <c r="P119" s="226"/>
      <c r="Q119" s="83"/>
      <c r="R119" s="83"/>
    </row>
    <row r="120" spans="1:18">
      <c r="A120" s="1392"/>
      <c r="B120" s="1392"/>
      <c r="C120" s="405" t="s">
        <v>50</v>
      </c>
      <c r="D120" s="218">
        <f>元ﾃﾞｰﾀ!G227</f>
        <v>0.21529366205070974</v>
      </c>
      <c r="E120" s="1285">
        <f>元ﾃﾞｰﾀ!K227</f>
        <v>0.2375169903816719</v>
      </c>
      <c r="F120" s="1285">
        <f>元ﾃﾞｰﾀ!O227</f>
        <v>0.23370910440778958</v>
      </c>
      <c r="G120" s="1285">
        <f>元ﾃﾞｰﾀ!Z227</f>
        <v>0.22538581036693092</v>
      </c>
      <c r="H120" s="1285">
        <f>元ﾃﾞｰﾀ!AD227</f>
        <v>0.23625309113554119</v>
      </c>
      <c r="I120" s="1286">
        <f>元ﾃﾞｰﾀ!AH227</f>
        <v>0.23964217931872256</v>
      </c>
      <c r="J120" s="1287">
        <f>元ﾃﾞｰﾀ!BG227</f>
        <v>0.23709886997066337</v>
      </c>
      <c r="K120" s="1285">
        <f>元ﾃﾞｰﾀ!BK227</f>
        <v>0.23145129601279946</v>
      </c>
      <c r="L120" s="1285">
        <f>元ﾃﾞｰﾀ!BO227</f>
        <v>0.22855253184753091</v>
      </c>
      <c r="M120" s="1285">
        <f>元ﾃﾞｰﾀ!BZ227</f>
        <v>0.223557719721829</v>
      </c>
      <c r="N120" s="398">
        <f>元ﾃﾞｰﾀ!CD227</f>
        <v>0.22939999999999997</v>
      </c>
      <c r="O120" s="399">
        <f>元ﾃﾞｰﾀ!CH227</f>
        <v>0.23050000000000004</v>
      </c>
      <c r="P120" s="83"/>
      <c r="Q120" s="83"/>
      <c r="R120" s="83"/>
    </row>
    <row r="121" spans="1:18">
      <c r="A121" s="1392"/>
      <c r="B121" s="1392"/>
      <c r="C121" s="406" t="s">
        <v>251</v>
      </c>
      <c r="D121" s="237">
        <f>元ﾃﾞｰﾀ!G129</f>
        <v>258716.16750000001</v>
      </c>
      <c r="E121" s="1054">
        <f>元ﾃﾞｰﾀ!K129</f>
        <v>270450.8</v>
      </c>
      <c r="F121" s="1054">
        <f>元ﾃﾞｰﾀ!O129</f>
        <v>199505.57700000002</v>
      </c>
      <c r="G121" s="1054">
        <f>元ﾃﾞｰﾀ!Z129</f>
        <v>220694.92499999999</v>
      </c>
      <c r="H121" s="1054">
        <f>元ﾃﾞｰﾀ!AD129</f>
        <v>234901.14600000001</v>
      </c>
      <c r="I121" s="1288">
        <f>元ﾃﾞｰﾀ!AH129</f>
        <v>240208.60949999999</v>
      </c>
      <c r="J121" s="1289">
        <f>元ﾃﾞｰﾀ!BG129</f>
        <v>183016.576</v>
      </c>
      <c r="K121" s="1054">
        <f>元ﾃﾞｰﾀ!BK129</f>
        <v>120260.79149999999</v>
      </c>
      <c r="L121" s="1054">
        <f>元ﾃﾞｰﾀ!BO129</f>
        <v>163571.6685</v>
      </c>
      <c r="M121" s="1054">
        <f>元ﾃﾞｰﾀ!BZ129</f>
        <v>200654.75600000002</v>
      </c>
      <c r="N121" s="400">
        <f>元ﾃﾞｰﾀ!CD129</f>
        <v>150000</v>
      </c>
      <c r="O121" s="400">
        <f>元ﾃﾞｰﾀ!CH129</f>
        <v>100000</v>
      </c>
      <c r="P121" s="226"/>
      <c r="Q121" s="83"/>
      <c r="R121" s="83"/>
    </row>
    <row r="122" spans="1:18">
      <c r="A122" s="1392"/>
      <c r="B122" s="1392"/>
      <c r="C122" s="407" t="s">
        <v>249</v>
      </c>
      <c r="D122" s="223">
        <f>元ﾃﾞｰﾀ!E129</f>
        <v>180000</v>
      </c>
      <c r="E122" s="223">
        <f>元ﾃﾞｰﾀ!I129</f>
        <v>200000</v>
      </c>
      <c r="F122" s="223">
        <f>元ﾃﾞｰﾀ!M129</f>
        <v>200000</v>
      </c>
      <c r="G122" s="223">
        <f>元ﾃﾞｰﾀ!X129</f>
        <v>170000</v>
      </c>
      <c r="H122" s="223">
        <f>元ﾃﾞｰﾀ!AB129</f>
        <v>160000</v>
      </c>
      <c r="I122" s="224">
        <f>元ﾃﾞｰﾀ!AF129</f>
        <v>130000</v>
      </c>
      <c r="J122" s="225">
        <f>元ﾃﾞｰﾀ!BE129</f>
        <v>250000</v>
      </c>
      <c r="K122" s="223">
        <f>元ﾃﾞｰﾀ!BI129</f>
        <v>140000</v>
      </c>
      <c r="L122" s="223">
        <f>元ﾃﾞｰﾀ!BM129</f>
        <v>180000</v>
      </c>
      <c r="M122" s="223">
        <f>元ﾃﾞｰﾀ!BX129</f>
        <v>180000</v>
      </c>
      <c r="N122" s="223">
        <f>元ﾃﾞｰﾀ!CB129</f>
        <v>160000</v>
      </c>
      <c r="O122" s="223">
        <f>元ﾃﾞｰﾀ!CF129</f>
        <v>150000</v>
      </c>
      <c r="P122" s="226"/>
      <c r="Q122" s="83"/>
      <c r="R122" s="83"/>
    </row>
    <row r="123" spans="1:18">
      <c r="A123" s="1392"/>
      <c r="B123" s="1392" t="s">
        <v>19</v>
      </c>
      <c r="C123" s="288" t="s">
        <v>56</v>
      </c>
      <c r="D123" s="289">
        <v>1.3</v>
      </c>
      <c r="E123" s="289">
        <v>0.85</v>
      </c>
      <c r="F123" s="290">
        <v>1.1299999999999999</v>
      </c>
      <c r="G123" s="291">
        <v>0.99</v>
      </c>
      <c r="H123" s="289">
        <v>0.83</v>
      </c>
      <c r="I123" s="292">
        <v>1.38</v>
      </c>
      <c r="J123" s="293">
        <v>0.55000000000000004</v>
      </c>
      <c r="K123" s="289">
        <v>0.88</v>
      </c>
      <c r="L123" s="289">
        <v>0.85</v>
      </c>
      <c r="M123" s="289">
        <v>1.05</v>
      </c>
      <c r="N123" s="289">
        <v>1.1100000000000001</v>
      </c>
      <c r="O123" s="289">
        <v>1.02</v>
      </c>
      <c r="P123" s="83"/>
      <c r="Q123" s="83"/>
      <c r="R123" s="83"/>
    </row>
    <row r="124" spans="1:18">
      <c r="A124" s="1392"/>
      <c r="B124" s="1392"/>
      <c r="C124" s="288" t="s">
        <v>57</v>
      </c>
      <c r="D124" s="289">
        <v>1.1000000000000001</v>
      </c>
      <c r="E124" s="289">
        <v>1.01</v>
      </c>
      <c r="F124" s="294">
        <v>1.1100000000000001</v>
      </c>
      <c r="G124" s="295">
        <v>1.05</v>
      </c>
      <c r="H124" s="289">
        <v>1.1000000000000001</v>
      </c>
      <c r="I124" s="292">
        <v>1.02</v>
      </c>
      <c r="J124" s="293">
        <v>0.89</v>
      </c>
      <c r="K124" s="289">
        <v>1.19</v>
      </c>
      <c r="L124" s="289">
        <v>1.03</v>
      </c>
      <c r="M124" s="296">
        <v>1.02</v>
      </c>
      <c r="N124" s="289">
        <v>1.1499999999999999</v>
      </c>
      <c r="O124" s="289">
        <v>1.07</v>
      </c>
      <c r="P124" s="83"/>
      <c r="Q124" s="83"/>
      <c r="R124" s="83"/>
    </row>
    <row r="125" spans="1:18">
      <c r="A125" s="1392"/>
      <c r="B125" s="1392"/>
      <c r="C125" s="288" t="s">
        <v>143</v>
      </c>
      <c r="D125" s="289">
        <v>1.16248</v>
      </c>
      <c r="E125" s="297">
        <v>1.33396</v>
      </c>
      <c r="F125" s="298">
        <v>1.0107257142857142</v>
      </c>
      <c r="G125" s="298">
        <v>1.0001333333333333</v>
      </c>
      <c r="H125" s="299">
        <v>1.0006095238095238</v>
      </c>
      <c r="I125" s="300">
        <v>1.0005599999999999</v>
      </c>
      <c r="J125" s="301">
        <v>1.0036526315789474</v>
      </c>
      <c r="K125" s="302">
        <v>1.0014583333333333</v>
      </c>
      <c r="L125" s="302">
        <v>0.95388571428571434</v>
      </c>
      <c r="M125" s="302">
        <v>0.93340645161290325</v>
      </c>
      <c r="N125" s="302">
        <v>0.98125925925925928</v>
      </c>
      <c r="O125" s="302">
        <v>1.0309495495132324</v>
      </c>
      <c r="P125" s="83"/>
      <c r="Q125" s="83"/>
      <c r="R125" s="83"/>
    </row>
    <row r="126" spans="1:18">
      <c r="A126" s="1392"/>
      <c r="B126" s="1392"/>
      <c r="C126" s="288" t="s">
        <v>145</v>
      </c>
      <c r="D126" s="289">
        <v>0.81301333333333337</v>
      </c>
      <c r="E126" s="297">
        <v>0.82982400000000001</v>
      </c>
      <c r="F126" s="298">
        <v>0.90482894736842101</v>
      </c>
      <c r="G126" s="298">
        <v>0.81752000000000002</v>
      </c>
      <c r="H126" s="349">
        <v>1.0043384615384616</v>
      </c>
      <c r="I126" s="300">
        <v>1.0241416666666667</v>
      </c>
      <c r="J126" s="317">
        <v>0.93347000000000002</v>
      </c>
      <c r="K126" s="318">
        <v>0.79218181818181821</v>
      </c>
      <c r="L126" s="318">
        <v>0.92078855555555561</v>
      </c>
      <c r="M126" s="318">
        <v>1.0005384615384616</v>
      </c>
      <c r="N126" s="318">
        <v>0.96555407999999998</v>
      </c>
      <c r="O126" s="302">
        <v>0.89996710526315793</v>
      </c>
      <c r="P126" s="83"/>
      <c r="Q126" s="83"/>
      <c r="R126" s="83"/>
    </row>
    <row r="127" spans="1:18">
      <c r="A127" s="1392"/>
      <c r="B127" s="1392"/>
      <c r="C127" s="288" t="s">
        <v>203</v>
      </c>
      <c r="D127" s="289">
        <v>1.2146824500000002</v>
      </c>
      <c r="E127" s="297">
        <v>1.1341538461538461</v>
      </c>
      <c r="F127" s="298">
        <v>1.0561113333333332</v>
      </c>
      <c r="G127" s="298">
        <v>1.0364638456790125</v>
      </c>
      <c r="H127" s="349">
        <v>1.0014123222222224</v>
      </c>
      <c r="I127" s="300">
        <v>1.0007539937500001</v>
      </c>
      <c r="J127" s="317">
        <v>1.1027740384615383</v>
      </c>
      <c r="K127" s="318">
        <v>1.0219711977715877</v>
      </c>
      <c r="L127" s="318">
        <v>1.0204087139516758</v>
      </c>
      <c r="M127" s="318">
        <v>1.1108230551724136</v>
      </c>
      <c r="N127" s="318">
        <v>1.0289130192307692</v>
      </c>
      <c r="O127" s="302">
        <v>1.0063047619047618</v>
      </c>
      <c r="P127" s="83"/>
      <c r="Q127" s="83"/>
      <c r="R127" s="83"/>
    </row>
    <row r="128" spans="1:18">
      <c r="A128" s="1392"/>
      <c r="B128" s="1392"/>
      <c r="C128" s="442" t="s">
        <v>262</v>
      </c>
      <c r="D128" s="305">
        <f>D121/D119</f>
        <v>1.07798403125</v>
      </c>
      <c r="E128" s="1302">
        <f t="shared" ref="E128:O128" si="9">E121/E119</f>
        <v>1.2817573459715639</v>
      </c>
      <c r="F128" s="1302">
        <f t="shared" si="9"/>
        <v>1.0500293526315791</v>
      </c>
      <c r="G128" s="1302">
        <f t="shared" si="9"/>
        <v>1.1615522368421052</v>
      </c>
      <c r="H128" s="1302">
        <f t="shared" si="9"/>
        <v>1.0213093304347827</v>
      </c>
      <c r="I128" s="1300">
        <f t="shared" si="9"/>
        <v>1.00086920625</v>
      </c>
      <c r="J128" s="1303">
        <f>J121/J119</f>
        <v>0.73206630400000006</v>
      </c>
      <c r="K128" s="1302">
        <f t="shared" si="9"/>
        <v>1.0021732624999999</v>
      </c>
      <c r="L128" s="1302">
        <f t="shared" si="9"/>
        <v>0.96218628529411765</v>
      </c>
      <c r="M128" s="1302">
        <f t="shared" si="9"/>
        <v>0.92467629493087566</v>
      </c>
      <c r="N128" s="444">
        <f t="shared" si="9"/>
        <v>0.68181818181818177</v>
      </c>
      <c r="O128" s="443">
        <f t="shared" si="9"/>
        <v>0.66666666666666663</v>
      </c>
      <c r="P128" s="83"/>
      <c r="Q128" s="83"/>
      <c r="R128" s="83"/>
    </row>
    <row r="129" spans="1:18">
      <c r="A129" s="1392" t="s">
        <v>26</v>
      </c>
      <c r="B129" s="1394" t="s">
        <v>16</v>
      </c>
      <c r="C129" s="319" t="s">
        <v>49</v>
      </c>
      <c r="D129" s="320">
        <v>0.189</v>
      </c>
      <c r="E129" s="321">
        <v>0.19400000000000001</v>
      </c>
      <c r="F129" s="321">
        <v>6.9000000000000006E-2</v>
      </c>
      <c r="G129" s="321">
        <v>0.14899999999999999</v>
      </c>
      <c r="H129" s="320">
        <v>0.109</v>
      </c>
      <c r="I129" s="322">
        <v>0.217</v>
      </c>
      <c r="J129" s="323">
        <v>8.4000000000000005E-2</v>
      </c>
      <c r="K129" s="321">
        <v>5.5E-2</v>
      </c>
      <c r="L129" s="321">
        <v>0.04</v>
      </c>
      <c r="M129" s="321">
        <v>0.114</v>
      </c>
      <c r="N129" s="321">
        <v>0.09</v>
      </c>
      <c r="O129" s="320">
        <v>0.11799999999999999</v>
      </c>
      <c r="P129" s="83"/>
      <c r="Q129" s="83"/>
      <c r="R129" s="83"/>
    </row>
    <row r="130" spans="1:18">
      <c r="A130" s="1392"/>
      <c r="B130" s="1395"/>
      <c r="C130" s="162" t="s">
        <v>133</v>
      </c>
      <c r="D130" s="165">
        <v>33887</v>
      </c>
      <c r="E130" s="165">
        <v>46976</v>
      </c>
      <c r="F130" s="165">
        <v>2765</v>
      </c>
      <c r="G130" s="166">
        <v>3452</v>
      </c>
      <c r="H130" s="164">
        <v>7722</v>
      </c>
      <c r="I130" s="284">
        <v>22716</v>
      </c>
      <c r="J130" s="168">
        <v>8305</v>
      </c>
      <c r="K130" s="165">
        <v>11611</v>
      </c>
      <c r="L130" s="165">
        <v>11671</v>
      </c>
      <c r="M130" s="165">
        <v>12465</v>
      </c>
      <c r="N130" s="165">
        <v>10210</v>
      </c>
      <c r="O130" s="165">
        <v>12753</v>
      </c>
      <c r="P130" s="83"/>
      <c r="Q130" s="324"/>
      <c r="R130" s="83"/>
    </row>
    <row r="131" spans="1:18">
      <c r="A131" s="1392"/>
      <c r="B131" s="1395"/>
      <c r="C131" s="247" t="s">
        <v>49</v>
      </c>
      <c r="D131" s="320">
        <v>9.7000000000000003E-2</v>
      </c>
      <c r="E131" s="320">
        <v>0.127</v>
      </c>
      <c r="F131" s="320">
        <v>7.4999999999999997E-2</v>
      </c>
      <c r="G131" s="321">
        <v>0.27300000000000002</v>
      </c>
      <c r="H131" s="320">
        <v>8.2000000000000003E-2</v>
      </c>
      <c r="I131" s="322">
        <v>0.17100000000000001</v>
      </c>
      <c r="J131" s="325">
        <v>0.156</v>
      </c>
      <c r="K131" s="320">
        <v>0.112</v>
      </c>
      <c r="L131" s="320">
        <v>0.14000000000000001</v>
      </c>
      <c r="M131" s="320">
        <v>0.184</v>
      </c>
      <c r="N131" s="320">
        <v>0.15</v>
      </c>
      <c r="O131" s="320">
        <v>0.151</v>
      </c>
      <c r="P131" s="83"/>
      <c r="Q131" s="324"/>
      <c r="R131" s="83"/>
    </row>
    <row r="132" spans="1:18">
      <c r="A132" s="1392"/>
      <c r="B132" s="1395"/>
      <c r="C132" s="326" t="s">
        <v>148</v>
      </c>
      <c r="D132" s="182">
        <v>5383</v>
      </c>
      <c r="E132" s="182">
        <v>7868</v>
      </c>
      <c r="F132" s="178">
        <v>13840</v>
      </c>
      <c r="G132" s="179">
        <v>30478</v>
      </c>
      <c r="H132" s="177">
        <v>25607</v>
      </c>
      <c r="I132" s="285">
        <v>43500</v>
      </c>
      <c r="J132" s="181">
        <v>27634</v>
      </c>
      <c r="K132" s="182">
        <v>30298</v>
      </c>
      <c r="L132" s="182">
        <v>56766</v>
      </c>
      <c r="M132" s="182">
        <v>64239</v>
      </c>
      <c r="N132" s="182">
        <v>52488</v>
      </c>
      <c r="O132" s="182">
        <v>38346</v>
      </c>
      <c r="P132" s="327"/>
      <c r="Q132" s="327"/>
      <c r="R132" s="83"/>
    </row>
    <row r="133" spans="1:18">
      <c r="A133" s="1392"/>
      <c r="B133" s="1395"/>
      <c r="C133" s="210" t="s">
        <v>194</v>
      </c>
      <c r="D133" s="243">
        <v>5383</v>
      </c>
      <c r="E133" s="244">
        <v>7868</v>
      </c>
      <c r="F133" s="244">
        <v>13840</v>
      </c>
      <c r="G133" s="244">
        <v>30045</v>
      </c>
      <c r="H133" s="154">
        <v>22321</v>
      </c>
      <c r="I133" s="328">
        <v>39659</v>
      </c>
      <c r="J133" s="329">
        <v>19237</v>
      </c>
      <c r="K133" s="244">
        <v>27175</v>
      </c>
      <c r="L133" s="244">
        <v>30624</v>
      </c>
      <c r="M133" s="244">
        <v>42540</v>
      </c>
      <c r="N133" s="244">
        <v>27052</v>
      </c>
      <c r="O133" s="243">
        <v>16957</v>
      </c>
      <c r="P133" s="327"/>
      <c r="Q133" s="327"/>
      <c r="R133" s="83"/>
    </row>
    <row r="134" spans="1:18">
      <c r="A134" s="1392"/>
      <c r="B134" s="1395"/>
      <c r="C134" s="249" t="s">
        <v>196</v>
      </c>
      <c r="D134" s="182"/>
      <c r="E134" s="330"/>
      <c r="F134" s="179"/>
      <c r="G134" s="179">
        <v>433</v>
      </c>
      <c r="H134" s="182">
        <v>3286</v>
      </c>
      <c r="I134" s="285">
        <v>3841</v>
      </c>
      <c r="J134" s="331">
        <v>8397</v>
      </c>
      <c r="K134" s="330">
        <v>3123</v>
      </c>
      <c r="L134" s="330">
        <v>26142</v>
      </c>
      <c r="M134" s="330">
        <v>21699</v>
      </c>
      <c r="N134" s="330">
        <v>25436</v>
      </c>
      <c r="O134" s="182">
        <v>21389</v>
      </c>
      <c r="P134" s="327"/>
      <c r="Q134" s="327"/>
      <c r="R134" s="83"/>
    </row>
    <row r="135" spans="1:18">
      <c r="A135" s="1392"/>
      <c r="B135" s="1395"/>
      <c r="C135" s="247" t="s">
        <v>49</v>
      </c>
      <c r="D135" s="320">
        <v>0.13500000000000001</v>
      </c>
      <c r="E135" s="320">
        <v>0.16300000000000001</v>
      </c>
      <c r="F135" s="320">
        <v>0.14599999999999999</v>
      </c>
      <c r="G135" s="321">
        <v>0.126</v>
      </c>
      <c r="H135" s="320">
        <v>0.151</v>
      </c>
      <c r="I135" s="322">
        <v>0.152</v>
      </c>
      <c r="J135" s="325">
        <v>0.13100000000000001</v>
      </c>
      <c r="K135" s="320">
        <v>0.106</v>
      </c>
      <c r="L135" s="320">
        <v>0.11799999999999999</v>
      </c>
      <c r="M135" s="320">
        <v>0.125</v>
      </c>
      <c r="N135" s="320">
        <v>0.11</v>
      </c>
      <c r="O135" s="320">
        <v>8.7999999999999995E-2</v>
      </c>
      <c r="P135" s="83"/>
      <c r="Q135" s="324"/>
      <c r="R135" s="83"/>
    </row>
    <row r="136" spans="1:18">
      <c r="A136" s="1392"/>
      <c r="B136" s="1395"/>
      <c r="C136" s="210" t="s">
        <v>136</v>
      </c>
      <c r="D136" s="182">
        <f t="shared" ref="D136:O136" si="10">D137+D138</f>
        <v>48278</v>
      </c>
      <c r="E136" s="191">
        <f t="shared" si="10"/>
        <v>67554</v>
      </c>
      <c r="F136" s="191">
        <f t="shared" si="10"/>
        <v>63272</v>
      </c>
      <c r="G136" s="191">
        <f t="shared" si="10"/>
        <v>77667</v>
      </c>
      <c r="H136" s="191">
        <f t="shared" si="10"/>
        <v>68205</v>
      </c>
      <c r="I136" s="193">
        <f t="shared" si="10"/>
        <v>71722</v>
      </c>
      <c r="J136" s="332">
        <f t="shared" si="10"/>
        <v>50286</v>
      </c>
      <c r="K136" s="191">
        <f t="shared" si="10"/>
        <v>74092</v>
      </c>
      <c r="L136" s="191">
        <f t="shared" si="10"/>
        <v>81239</v>
      </c>
      <c r="M136" s="191">
        <f t="shared" si="10"/>
        <v>73074</v>
      </c>
      <c r="N136" s="191">
        <f t="shared" si="10"/>
        <v>78137</v>
      </c>
      <c r="O136" s="333">
        <f t="shared" si="10"/>
        <v>67025</v>
      </c>
      <c r="P136" s="83"/>
      <c r="Q136" s="83"/>
      <c r="R136" s="83"/>
    </row>
    <row r="137" spans="1:18">
      <c r="A137" s="1392"/>
      <c r="B137" s="1395"/>
      <c r="C137" s="326" t="s">
        <v>193</v>
      </c>
      <c r="D137" s="243">
        <v>21036</v>
      </c>
      <c r="E137" s="156">
        <v>31902</v>
      </c>
      <c r="F137" s="156">
        <v>29680</v>
      </c>
      <c r="G137" s="156">
        <v>48788</v>
      </c>
      <c r="H137" s="157">
        <v>31950</v>
      </c>
      <c r="I137" s="334">
        <v>42645</v>
      </c>
      <c r="J137" s="159">
        <v>24933</v>
      </c>
      <c r="K137" s="160">
        <v>42508</v>
      </c>
      <c r="L137" s="248">
        <v>35886</v>
      </c>
      <c r="M137" s="248">
        <v>40450</v>
      </c>
      <c r="N137" s="248">
        <v>38821</v>
      </c>
      <c r="O137" s="248">
        <v>20132</v>
      </c>
      <c r="P137" s="83"/>
      <c r="Q137" s="83"/>
      <c r="R137" s="83"/>
    </row>
    <row r="138" spans="1:18">
      <c r="A138" s="1392"/>
      <c r="B138" s="1395"/>
      <c r="C138" s="249" t="s">
        <v>195</v>
      </c>
      <c r="D138" s="182">
        <v>27242</v>
      </c>
      <c r="E138" s="191">
        <v>35652</v>
      </c>
      <c r="F138" s="191">
        <v>33592</v>
      </c>
      <c r="G138" s="191">
        <v>28879</v>
      </c>
      <c r="H138" s="192">
        <v>36255</v>
      </c>
      <c r="I138" s="286">
        <v>29077</v>
      </c>
      <c r="J138" s="194">
        <v>25353</v>
      </c>
      <c r="K138" s="195">
        <v>31584</v>
      </c>
      <c r="L138" s="250">
        <v>45353</v>
      </c>
      <c r="M138" s="250">
        <v>32624</v>
      </c>
      <c r="N138" s="250">
        <v>39316</v>
      </c>
      <c r="O138" s="250">
        <v>46893</v>
      </c>
      <c r="P138" s="83"/>
      <c r="Q138" s="83"/>
      <c r="R138" s="83"/>
    </row>
    <row r="139" spans="1:18">
      <c r="A139" s="1392"/>
      <c r="B139" s="1395"/>
      <c r="C139" s="247" t="s">
        <v>49</v>
      </c>
      <c r="D139" s="196">
        <v>0.13380051283616715</v>
      </c>
      <c r="E139" s="196">
        <v>0.13367363047939798</v>
      </c>
      <c r="F139" s="196">
        <v>0.12988865777560257</v>
      </c>
      <c r="G139" s="196">
        <v>0.10182596872875595</v>
      </c>
      <c r="H139" s="196">
        <v>8.4728434504792324E-2</v>
      </c>
      <c r="I139" s="234">
        <v>8.9227826269665467E-2</v>
      </c>
      <c r="J139" s="235">
        <v>7.5055020296375993E-2</v>
      </c>
      <c r="K139" s="196">
        <v>8.7307725102319225E-2</v>
      </c>
      <c r="L139" s="196">
        <v>8.0556045510059779E-2</v>
      </c>
      <c r="M139" s="196">
        <v>4.7036176003628936E-2</v>
      </c>
      <c r="N139" s="196">
        <v>9.4709780085044201E-2</v>
      </c>
      <c r="O139" s="196">
        <v>9.7780557505759952E-2</v>
      </c>
      <c r="P139" s="83"/>
      <c r="Q139" s="83"/>
      <c r="R139" s="83"/>
    </row>
    <row r="140" spans="1:18">
      <c r="A140" s="1392"/>
      <c r="B140" s="1395"/>
      <c r="C140" s="210" t="s">
        <v>156</v>
      </c>
      <c r="D140" s="178">
        <f t="shared" ref="D140:O140" si="11">D141+D142</f>
        <v>65518</v>
      </c>
      <c r="E140" s="178">
        <f t="shared" si="11"/>
        <v>85513.5</v>
      </c>
      <c r="F140" s="178">
        <f t="shared" si="11"/>
        <v>98076</v>
      </c>
      <c r="G140" s="178">
        <f t="shared" si="11"/>
        <v>66195</v>
      </c>
      <c r="H140" s="178">
        <f t="shared" si="11"/>
        <v>72303</v>
      </c>
      <c r="I140" s="335">
        <f t="shared" si="11"/>
        <v>114223</v>
      </c>
      <c r="J140" s="336">
        <f t="shared" si="11"/>
        <v>61341</v>
      </c>
      <c r="K140" s="178">
        <f t="shared" si="11"/>
        <v>70368</v>
      </c>
      <c r="L140" s="178">
        <f t="shared" si="11"/>
        <v>77785</v>
      </c>
      <c r="M140" s="178">
        <f t="shared" si="11"/>
        <v>88180</v>
      </c>
      <c r="N140" s="178">
        <f t="shared" si="11"/>
        <v>76666</v>
      </c>
      <c r="O140" s="178">
        <f t="shared" si="11"/>
        <v>60677.4</v>
      </c>
      <c r="P140" s="83"/>
      <c r="Q140" s="83"/>
      <c r="R140" s="83"/>
    </row>
    <row r="141" spans="1:18">
      <c r="A141" s="1392"/>
      <c r="B141" s="1395"/>
      <c r="C141" s="326" t="s">
        <v>193</v>
      </c>
      <c r="D141" s="178">
        <v>32231</v>
      </c>
      <c r="E141" s="204">
        <v>55385.5</v>
      </c>
      <c r="F141" s="204">
        <v>71680</v>
      </c>
      <c r="G141" s="204">
        <v>34748</v>
      </c>
      <c r="H141" s="205">
        <v>32912</v>
      </c>
      <c r="I141" s="287">
        <v>46359</v>
      </c>
      <c r="J141" s="207">
        <v>33960</v>
      </c>
      <c r="K141" s="208">
        <v>41800</v>
      </c>
      <c r="L141" s="337">
        <v>41978</v>
      </c>
      <c r="M141" s="337">
        <v>40592</v>
      </c>
      <c r="N141" s="337">
        <v>40688</v>
      </c>
      <c r="O141" s="337">
        <v>31082.400000000001</v>
      </c>
      <c r="P141" s="83"/>
      <c r="Q141" s="83"/>
      <c r="R141" s="83"/>
    </row>
    <row r="142" spans="1:18">
      <c r="A142" s="1392"/>
      <c r="B142" s="1395"/>
      <c r="C142" s="249" t="s">
        <v>195</v>
      </c>
      <c r="D142" s="182">
        <v>33287</v>
      </c>
      <c r="E142" s="191">
        <v>30128</v>
      </c>
      <c r="F142" s="191">
        <v>26396</v>
      </c>
      <c r="G142" s="191">
        <v>31447</v>
      </c>
      <c r="H142" s="192">
        <v>39391</v>
      </c>
      <c r="I142" s="286">
        <v>67864</v>
      </c>
      <c r="J142" s="194">
        <v>27381</v>
      </c>
      <c r="K142" s="195">
        <v>28568</v>
      </c>
      <c r="L142" s="250">
        <v>35807</v>
      </c>
      <c r="M142" s="250">
        <v>47588</v>
      </c>
      <c r="N142" s="250">
        <v>35978</v>
      </c>
      <c r="O142" s="250">
        <v>29595</v>
      </c>
      <c r="P142" s="83"/>
      <c r="Q142" s="83"/>
      <c r="R142" s="83"/>
    </row>
    <row r="143" spans="1:18">
      <c r="A143" s="1392"/>
      <c r="B143" s="1395"/>
      <c r="C143" s="247" t="s">
        <v>49</v>
      </c>
      <c r="D143" s="196">
        <v>8.8692321092606788E-2</v>
      </c>
      <c r="E143" s="196">
        <v>0.10602620567703905</v>
      </c>
      <c r="F143" s="196">
        <v>0.11086769663593937</v>
      </c>
      <c r="G143" s="196">
        <v>0.10859253145011874</v>
      </c>
      <c r="H143" s="196">
        <v>0.11185506171174209</v>
      </c>
      <c r="I143" s="234">
        <v>0.11429831384372349</v>
      </c>
      <c r="J143" s="235">
        <v>0.11175819348036199</v>
      </c>
      <c r="K143" s="196">
        <v>0.12911308450747214</v>
      </c>
      <c r="L143" s="196">
        <v>0.119595928972705</v>
      </c>
      <c r="M143" s="196">
        <v>0.1293465856646584</v>
      </c>
      <c r="N143" s="196">
        <v>0.10970077909905689</v>
      </c>
      <c r="O143" s="196">
        <v>0.11586485262909689</v>
      </c>
      <c r="P143" s="83"/>
      <c r="Q143" s="83"/>
      <c r="R143" s="83"/>
    </row>
    <row r="144" spans="1:18">
      <c r="A144" s="1392"/>
      <c r="B144" s="1395"/>
      <c r="C144" s="210" t="s">
        <v>263</v>
      </c>
      <c r="D144" s="178">
        <f>D145+ D146</f>
        <v>86106</v>
      </c>
      <c r="E144" s="178">
        <f t="shared" ref="E144:O144" si="12">E145+ E146</f>
        <v>83246</v>
      </c>
      <c r="F144" s="178">
        <f t="shared" si="12"/>
        <v>73462.8</v>
      </c>
      <c r="G144" s="178">
        <f t="shared" si="12"/>
        <v>85310.306000000011</v>
      </c>
      <c r="H144" s="178">
        <f t="shared" si="12"/>
        <v>88961</v>
      </c>
      <c r="I144" s="179">
        <f t="shared" si="12"/>
        <v>83049.399999999994</v>
      </c>
      <c r="J144" s="1329">
        <f t="shared" si="12"/>
        <v>102429</v>
      </c>
      <c r="K144" s="178">
        <f t="shared" si="12"/>
        <v>80304</v>
      </c>
      <c r="L144" s="178">
        <f t="shared" si="12"/>
        <v>88915.154999999999</v>
      </c>
      <c r="M144" s="178">
        <f t="shared" si="12"/>
        <v>119174</v>
      </c>
      <c r="N144" s="178">
        <f t="shared" si="12"/>
        <v>85355</v>
      </c>
      <c r="O144" s="178">
        <f t="shared" si="12"/>
        <v>89061</v>
      </c>
      <c r="P144" s="83"/>
      <c r="Q144" s="83"/>
      <c r="R144" s="83"/>
    </row>
    <row r="145" spans="1:18">
      <c r="A145" s="1392"/>
      <c r="B145" s="1395"/>
      <c r="C145" s="326" t="s">
        <v>113</v>
      </c>
      <c r="D145" s="178">
        <v>40042</v>
      </c>
      <c r="E145" s="204">
        <v>44836</v>
      </c>
      <c r="F145" s="204">
        <v>38316.300000000003</v>
      </c>
      <c r="G145" s="204">
        <v>46116.495000000003</v>
      </c>
      <c r="H145" s="205">
        <v>46653</v>
      </c>
      <c r="I145" s="287">
        <v>46141.4</v>
      </c>
      <c r="J145" s="207">
        <v>48011</v>
      </c>
      <c r="K145" s="208">
        <v>36396</v>
      </c>
      <c r="L145" s="337">
        <v>44076.154999999999</v>
      </c>
      <c r="M145" s="337">
        <v>57029</v>
      </c>
      <c r="N145" s="337">
        <v>44465</v>
      </c>
      <c r="O145" s="337">
        <v>36292</v>
      </c>
      <c r="P145" s="83"/>
      <c r="Q145" s="83"/>
      <c r="R145" s="83"/>
    </row>
    <row r="146" spans="1:18">
      <c r="A146" s="1392"/>
      <c r="B146" s="1395"/>
      <c r="C146" s="249" t="s">
        <v>114</v>
      </c>
      <c r="D146" s="178">
        <v>46064</v>
      </c>
      <c r="E146" s="204">
        <v>38410</v>
      </c>
      <c r="F146" s="204">
        <v>35146.5</v>
      </c>
      <c r="G146" s="204">
        <v>39193.811000000002</v>
      </c>
      <c r="H146" s="205">
        <v>42308</v>
      </c>
      <c r="I146" s="287">
        <v>36908</v>
      </c>
      <c r="J146" s="207">
        <v>54418</v>
      </c>
      <c r="K146" s="208">
        <v>43908</v>
      </c>
      <c r="L146" s="337">
        <v>44839</v>
      </c>
      <c r="M146" s="337">
        <v>62145</v>
      </c>
      <c r="N146" s="337">
        <v>40890</v>
      </c>
      <c r="O146" s="337">
        <v>52769</v>
      </c>
      <c r="P146" s="83"/>
      <c r="Q146" s="83"/>
      <c r="R146" s="83"/>
    </row>
    <row r="147" spans="1:18">
      <c r="A147" s="1392"/>
      <c r="B147" s="1395"/>
      <c r="C147" s="402" t="s">
        <v>49</v>
      </c>
      <c r="D147" s="452">
        <f>元ﾃﾞｰﾀ!F235</f>
        <v>0.11375</v>
      </c>
      <c r="E147" s="452">
        <f>元ﾃﾞｰﾀ!J235</f>
        <v>0.12285</v>
      </c>
      <c r="F147" s="452">
        <f>元ﾃﾞｰﾀ!N235</f>
        <v>0.12285</v>
      </c>
      <c r="G147" s="452">
        <f>元ﾃﾞｰﾀ!Y235</f>
        <v>0.141375</v>
      </c>
      <c r="H147" s="452">
        <f>元ﾃﾞｰﾀ!AC235</f>
        <v>0.13499999999999998</v>
      </c>
      <c r="I147" s="453">
        <f>元ﾃﾞｰﾀ!AG235</f>
        <v>0.14429999999999998</v>
      </c>
      <c r="J147" s="454">
        <f>元ﾃﾞｰﾀ!BF235</f>
        <v>0.14727272727272725</v>
      </c>
      <c r="K147" s="452">
        <f>元ﾃﾞｰﾀ!BJ235</f>
        <v>0.14911764705882352</v>
      </c>
      <c r="L147" s="452">
        <f>元ﾃﾞｰﾀ!BN235</f>
        <v>0.13950978260869562</v>
      </c>
      <c r="M147" s="452">
        <f>元ﾃﾞｰﾀ!BY235</f>
        <v>0.13366956521739129</v>
      </c>
      <c r="N147" s="452">
        <f>元ﾃﾞｰﾀ!CC235</f>
        <v>0.14256784741144413</v>
      </c>
      <c r="O147" s="452">
        <f>元ﾃﾞｰﾀ!CG235</f>
        <v>0.13989314079422382</v>
      </c>
      <c r="P147" s="83"/>
      <c r="Q147" s="324"/>
      <c r="R147" s="83"/>
    </row>
    <row r="148" spans="1:18">
      <c r="A148" s="1392"/>
      <c r="B148" s="1395"/>
      <c r="C148" s="451" t="s">
        <v>264</v>
      </c>
      <c r="D148" s="339">
        <f t="shared" ref="D148:I148" si="13">SUM(D149:D150)</f>
        <v>90000</v>
      </c>
      <c r="E148" s="339">
        <f t="shared" si="13"/>
        <v>100000</v>
      </c>
      <c r="F148" s="339">
        <f t="shared" si="13"/>
        <v>120000</v>
      </c>
      <c r="G148" s="339">
        <f t="shared" si="13"/>
        <v>120000</v>
      </c>
      <c r="H148" s="339">
        <f t="shared" si="13"/>
        <v>130000</v>
      </c>
      <c r="I148" s="261">
        <f t="shared" si="13"/>
        <v>150000</v>
      </c>
      <c r="J148" s="260">
        <f t="shared" ref="J148:O148" si="14">SUM(J149:J150)</f>
        <v>143000</v>
      </c>
      <c r="K148" s="339">
        <f t="shared" si="14"/>
        <v>153000</v>
      </c>
      <c r="L148" s="339">
        <f t="shared" si="14"/>
        <v>138000</v>
      </c>
      <c r="M148" s="339">
        <f t="shared" si="14"/>
        <v>149500</v>
      </c>
      <c r="N148" s="339">
        <f t="shared" si="14"/>
        <v>183500</v>
      </c>
      <c r="O148" s="339">
        <f t="shared" si="14"/>
        <v>138500</v>
      </c>
      <c r="P148" s="83"/>
      <c r="Q148" s="83"/>
      <c r="R148" s="83"/>
    </row>
    <row r="149" spans="1:18">
      <c r="A149" s="1392"/>
      <c r="B149" s="1395"/>
      <c r="C149" s="451" t="s">
        <v>113</v>
      </c>
      <c r="D149" s="340">
        <f>元ﾃﾞｰﾀ!F135</f>
        <v>45000</v>
      </c>
      <c r="E149" s="340">
        <f>元ﾃﾞｰﾀ!J135</f>
        <v>50000</v>
      </c>
      <c r="F149" s="340">
        <f>元ﾃﾞｰﾀ!N135</f>
        <v>65000</v>
      </c>
      <c r="G149" s="340">
        <f>元ﾃﾞｰﾀ!Y135</f>
        <v>70000</v>
      </c>
      <c r="H149" s="340">
        <f>元ﾃﾞｰﾀ!AC135</f>
        <v>70000</v>
      </c>
      <c r="I149" s="341">
        <f>元ﾃﾞｰﾀ!AG135</f>
        <v>85000</v>
      </c>
      <c r="J149" s="340">
        <f>元ﾃﾞｰﾀ!BF135</f>
        <v>87000</v>
      </c>
      <c r="K149" s="340">
        <f>元ﾃﾞｰﾀ!BJ135</f>
        <v>102000</v>
      </c>
      <c r="L149" s="340">
        <f>元ﾃﾞｰﾀ!BN135</f>
        <v>92000</v>
      </c>
      <c r="M149" s="340">
        <f>元ﾃﾞｰﾀ!BY135</f>
        <v>100500</v>
      </c>
      <c r="N149" s="340">
        <f>元ﾃﾞｰﾀ!CC135</f>
        <v>135000</v>
      </c>
      <c r="O149" s="340">
        <f>元ﾃﾞｰﾀ!CG135</f>
        <v>92500</v>
      </c>
      <c r="P149" s="83"/>
      <c r="Q149" s="83"/>
      <c r="R149" s="83"/>
    </row>
    <row r="150" spans="1:18">
      <c r="A150" s="1392"/>
      <c r="B150" s="1395"/>
      <c r="C150" s="403" t="s">
        <v>114</v>
      </c>
      <c r="D150" s="342">
        <f>元ﾃﾞｰﾀ!F132</f>
        <v>45000</v>
      </c>
      <c r="E150" s="342">
        <f>元ﾃﾞｰﾀ!J132</f>
        <v>50000</v>
      </c>
      <c r="F150" s="342">
        <f>元ﾃﾞｰﾀ!N132</f>
        <v>55000</v>
      </c>
      <c r="G150" s="342">
        <f>元ﾃﾞｰﾀ!Y132</f>
        <v>50000</v>
      </c>
      <c r="H150" s="342">
        <f>元ﾃﾞｰﾀ!AC132</f>
        <v>60000</v>
      </c>
      <c r="I150" s="343">
        <f>元ﾃﾞｰﾀ!AG132</f>
        <v>65000</v>
      </c>
      <c r="J150" s="342">
        <f>元ﾃﾞｰﾀ!BF132</f>
        <v>56000</v>
      </c>
      <c r="K150" s="342">
        <f>元ﾃﾞｰﾀ!BJ132</f>
        <v>51000</v>
      </c>
      <c r="L150" s="342">
        <f>元ﾃﾞｰﾀ!BN132</f>
        <v>46000</v>
      </c>
      <c r="M150" s="342">
        <f>元ﾃﾞｰﾀ!BY132</f>
        <v>49000</v>
      </c>
      <c r="N150" s="342">
        <f>元ﾃﾞｰﾀ!CC132</f>
        <v>48500</v>
      </c>
      <c r="O150" s="342">
        <f>元ﾃﾞｰﾀ!CG132</f>
        <v>46000</v>
      </c>
      <c r="P150" s="83"/>
      <c r="Q150" s="83"/>
      <c r="R150" s="83"/>
    </row>
    <row r="151" spans="1:18" ht="15.75" hidden="1" customHeight="1">
      <c r="A151" s="1392"/>
      <c r="B151" s="1395"/>
      <c r="C151" s="251" t="s">
        <v>53</v>
      </c>
      <c r="D151" s="182"/>
      <c r="E151" s="191"/>
      <c r="F151" s="191"/>
      <c r="G151" s="191"/>
      <c r="H151" s="344"/>
      <c r="I151" s="286"/>
      <c r="J151" s="194"/>
      <c r="K151" s="194"/>
      <c r="L151" s="194"/>
      <c r="M151" s="194"/>
      <c r="N151" s="194"/>
      <c r="O151" s="194"/>
      <c r="P151" s="83"/>
      <c r="Q151" s="83"/>
      <c r="R151" s="83"/>
    </row>
    <row r="152" spans="1:18" ht="15.75" hidden="1" customHeight="1">
      <c r="A152" s="1392"/>
      <c r="B152" s="1395"/>
      <c r="C152" s="251" t="s">
        <v>54</v>
      </c>
      <c r="D152" s="182"/>
      <c r="E152" s="191"/>
      <c r="F152" s="191"/>
      <c r="G152" s="191"/>
      <c r="H152" s="344"/>
      <c r="I152" s="286"/>
      <c r="J152" s="194"/>
      <c r="K152" s="194"/>
      <c r="L152" s="194"/>
      <c r="M152" s="194"/>
      <c r="N152" s="194"/>
      <c r="O152" s="194"/>
      <c r="P152" s="83"/>
      <c r="Q152" s="83"/>
      <c r="R152" s="83"/>
    </row>
    <row r="153" spans="1:18" ht="15.75" hidden="1" customHeight="1">
      <c r="A153" s="1392"/>
      <c r="B153" s="1395"/>
      <c r="C153" s="251" t="s">
        <v>55</v>
      </c>
      <c r="D153" s="182"/>
      <c r="E153" s="191"/>
      <c r="F153" s="191"/>
      <c r="G153" s="191"/>
      <c r="H153" s="344"/>
      <c r="I153" s="286"/>
      <c r="J153" s="194"/>
      <c r="K153" s="194"/>
      <c r="L153" s="194"/>
      <c r="M153" s="194"/>
      <c r="N153" s="194"/>
      <c r="O153" s="194"/>
      <c r="P153" s="83"/>
      <c r="Q153" s="83"/>
      <c r="R153" s="83"/>
    </row>
    <row r="154" spans="1:18">
      <c r="A154" s="1392"/>
      <c r="B154" s="1395"/>
      <c r="C154" s="405" t="s">
        <v>49</v>
      </c>
      <c r="D154" s="448">
        <f>元ﾃﾞｰﾀ!G235</f>
        <v>0.13370477470310679</v>
      </c>
      <c r="E154" s="1304">
        <f>元ﾃﾞｰﾀ!K235</f>
        <v>0.13440187705459686</v>
      </c>
      <c r="F154" s="1304">
        <f>元ﾃﾞｰﾀ!O235</f>
        <v>0.1584162626941549</v>
      </c>
      <c r="G154" s="1304">
        <f>元ﾃﾞｰﾀ!Z235</f>
        <v>0.1485270286519029</v>
      </c>
      <c r="H154" s="1304">
        <f>元ﾃﾞｰﾀ!AD235</f>
        <v>0.1422580452947422</v>
      </c>
      <c r="I154" s="1305">
        <f>元ﾃﾞｰﾀ!AH235</f>
        <v>0.15675926014831645</v>
      </c>
      <c r="J154" s="1306">
        <f>元ﾃﾞｰﾀ!BG235</f>
        <v>0.14429364174822051</v>
      </c>
      <c r="K154" s="1304">
        <f>元ﾃﾞｰﾀ!BK235</f>
        <v>0.13051248916107003</v>
      </c>
      <c r="L154" s="1304">
        <f>元ﾃﾞｰﾀ!BO235</f>
        <v>0.152208055860244</v>
      </c>
      <c r="M154" s="1304">
        <f>元ﾃﾞｰﾀ!BZ235</f>
        <v>0.11954197020164907</v>
      </c>
      <c r="N154" s="450">
        <f>元ﾃﾞｰﾀ!CD235</f>
        <v>0.13129007633587786</v>
      </c>
      <c r="O154" s="450">
        <f>元ﾃﾞｰﾀ!CH235</f>
        <v>0.13753723404255319</v>
      </c>
      <c r="P154" s="83"/>
      <c r="Q154" s="83"/>
      <c r="R154" s="83"/>
    </row>
    <row r="155" spans="1:18">
      <c r="A155" s="1392"/>
      <c r="B155" s="1395"/>
      <c r="C155" s="445" t="s">
        <v>265</v>
      </c>
      <c r="D155" s="220">
        <f t="shared" ref="D155:I155" si="15">SUM(D156:D157)</f>
        <v>143186.84896999999</v>
      </c>
      <c r="E155" s="1054">
        <f t="shared" si="15"/>
        <v>119549</v>
      </c>
      <c r="F155" s="1054">
        <f t="shared" si="15"/>
        <v>120877.6</v>
      </c>
      <c r="G155" s="1054">
        <f t="shared" si="15"/>
        <v>116421.068</v>
      </c>
      <c r="H155" s="1054">
        <f>SUM(H156:H157)</f>
        <v>142206.53611320001</v>
      </c>
      <c r="I155" s="1288">
        <f t="shared" si="15"/>
        <v>138669.36802220001</v>
      </c>
      <c r="J155" s="1289">
        <f t="shared" ref="J155:O155" si="16">SUM(J156:J157)</f>
        <v>143738.549</v>
      </c>
      <c r="K155" s="1054">
        <f>SUM(K156:K157)</f>
        <v>139695.54945809999</v>
      </c>
      <c r="L155" s="1054">
        <f t="shared" si="16"/>
        <v>118309.877996</v>
      </c>
      <c r="M155" s="1054">
        <f t="shared" si="16"/>
        <v>170203.24331009999</v>
      </c>
      <c r="N155" s="400">
        <f t="shared" si="16"/>
        <v>131000</v>
      </c>
      <c r="O155" s="400">
        <f t="shared" si="16"/>
        <v>94000</v>
      </c>
      <c r="P155" s="83"/>
      <c r="Q155" s="83"/>
      <c r="R155" s="83"/>
    </row>
    <row r="156" spans="1:18">
      <c r="A156" s="1392"/>
      <c r="B156" s="1395"/>
      <c r="C156" s="446" t="s">
        <v>113</v>
      </c>
      <c r="D156" s="264">
        <f>元ﾃﾞｰﾀ!G135</f>
        <v>79733.686000000002</v>
      </c>
      <c r="E156" s="1292">
        <f>元ﾃﾞｰﾀ!K135</f>
        <v>72446</v>
      </c>
      <c r="F156" s="1290">
        <f>元ﾃﾞｰﾀ!O135</f>
        <v>63930.600000000006</v>
      </c>
      <c r="G156" s="1290">
        <f>元ﾃﾞｰﾀ!Z135</f>
        <v>63891.345999999998</v>
      </c>
      <c r="H156" s="1290">
        <f>元ﾃﾞｰﾀ!AD135</f>
        <v>80513.3520594</v>
      </c>
      <c r="I156" s="1291">
        <f>元ﾃﾞｰﾀ!AH135</f>
        <v>80711.164999999994</v>
      </c>
      <c r="J156" s="1292">
        <f>元ﾃﾞｰﾀ!BG135</f>
        <v>86371.423999999999</v>
      </c>
      <c r="K156" s="1290">
        <f>元ﾃﾞｰﾀ!BK135</f>
        <v>93248.229975900002</v>
      </c>
      <c r="L156" s="1290">
        <f>元ﾃﾞｰﾀ!BO135</f>
        <v>72175.25606</v>
      </c>
      <c r="M156" s="1290">
        <f>元ﾃﾞｰﾀ!BZ135</f>
        <v>131322.3792309</v>
      </c>
      <c r="N156" s="434">
        <f>元ﾃﾞｰﾀ!CD135</f>
        <v>88000</v>
      </c>
      <c r="O156" s="434">
        <f>元ﾃﾞｰﾀ!CH135</f>
        <v>55000</v>
      </c>
      <c r="P156" s="83"/>
      <c r="Q156" s="83"/>
      <c r="R156" s="83"/>
    </row>
    <row r="157" spans="1:18">
      <c r="A157" s="1392"/>
      <c r="B157" s="1395"/>
      <c r="C157" s="447" t="s">
        <v>114</v>
      </c>
      <c r="D157" s="221">
        <f>元ﾃﾞｰﾀ!G132</f>
        <v>63453.162969999998</v>
      </c>
      <c r="E157" s="1289">
        <f>元ﾃﾞｰﾀ!K132</f>
        <v>47103</v>
      </c>
      <c r="F157" s="1054">
        <f>元ﾃﾞｰﾀ!O132</f>
        <v>56947</v>
      </c>
      <c r="G157" s="1054">
        <f>元ﾃﾞｰﾀ!Z132</f>
        <v>52529.722000000002</v>
      </c>
      <c r="H157" s="1054">
        <f>元ﾃﾞｰﾀ!AD132</f>
        <v>61693.184053800003</v>
      </c>
      <c r="I157" s="1288">
        <f>元ﾃﾞｰﾀ!AH132</f>
        <v>57958.203022200003</v>
      </c>
      <c r="J157" s="1289">
        <f>元ﾃﾞｰﾀ!BG132</f>
        <v>57367.125</v>
      </c>
      <c r="K157" s="1054">
        <f>元ﾃﾞｰﾀ!BK132</f>
        <v>46447.3194822</v>
      </c>
      <c r="L157" s="1054">
        <f>元ﾃﾞｰﾀ!BO132</f>
        <v>46134.621936000003</v>
      </c>
      <c r="M157" s="1054">
        <f>元ﾃﾞｰﾀ!BZ132</f>
        <v>38880.864079200001</v>
      </c>
      <c r="N157" s="400">
        <f>元ﾃﾞｰﾀ!CD132</f>
        <v>43000</v>
      </c>
      <c r="O157" s="400">
        <f>元ﾃﾞｰﾀ!CH132</f>
        <v>39000</v>
      </c>
      <c r="P157" s="83"/>
      <c r="Q157" s="83"/>
      <c r="R157" s="83"/>
    </row>
    <row r="158" spans="1:18">
      <c r="A158" s="1392"/>
      <c r="B158" s="1393"/>
      <c r="C158" s="407" t="s">
        <v>266</v>
      </c>
      <c r="D158" s="345">
        <f>元ﾃﾞｰﾀ!E141</f>
        <v>96083</v>
      </c>
      <c r="E158" s="346">
        <f>元ﾃﾞｰﾀ!I141</f>
        <v>96083</v>
      </c>
      <c r="F158" s="346">
        <f>元ﾃﾞｰﾀ!M141</f>
        <v>96083</v>
      </c>
      <c r="G158" s="346">
        <f>元ﾃﾞｰﾀ!X141</f>
        <v>118416</v>
      </c>
      <c r="H158" s="346">
        <f>元ﾃﾞｰﾀ!AB141</f>
        <v>118416</v>
      </c>
      <c r="I158" s="347">
        <f>元ﾃﾞｰﾀ!AF141</f>
        <v>118416</v>
      </c>
      <c r="J158" s="348">
        <f>元ﾃﾞｰﾀ!BE141</f>
        <v>153315</v>
      </c>
      <c r="K158" s="348">
        <f>元ﾃﾞｰﾀ!BI141</f>
        <v>153315</v>
      </c>
      <c r="L158" s="348">
        <f>元ﾃﾞｰﾀ!BM141</f>
        <v>153315</v>
      </c>
      <c r="M158" s="348">
        <f>元ﾃﾞｰﾀ!BX141</f>
        <v>162325</v>
      </c>
      <c r="N158" s="348">
        <f>元ﾃﾞｰﾀ!CB141</f>
        <v>162325</v>
      </c>
      <c r="O158" s="348">
        <f>元ﾃﾞｰﾀ!CF141</f>
        <v>162325</v>
      </c>
      <c r="P158" s="83"/>
      <c r="Q158" s="83"/>
      <c r="R158" s="83"/>
    </row>
    <row r="159" spans="1:18">
      <c r="A159" s="1392"/>
      <c r="B159" s="1394" t="s">
        <v>19</v>
      </c>
      <c r="C159" s="288" t="s">
        <v>17</v>
      </c>
      <c r="D159" s="289">
        <v>1.07</v>
      </c>
      <c r="E159" s="289">
        <v>0.76</v>
      </c>
      <c r="F159" s="290">
        <v>0.28999999999999998</v>
      </c>
      <c r="G159" s="291">
        <v>0.69</v>
      </c>
      <c r="H159" s="289">
        <v>0.56000000000000005</v>
      </c>
      <c r="I159" s="292">
        <v>1.1000000000000001</v>
      </c>
      <c r="J159" s="293">
        <v>0.64</v>
      </c>
      <c r="K159" s="289">
        <v>0.66</v>
      </c>
      <c r="L159" s="289">
        <v>1.35</v>
      </c>
      <c r="M159" s="289">
        <v>0.71</v>
      </c>
      <c r="N159" s="289">
        <v>1.1299999999999999</v>
      </c>
      <c r="O159" s="289">
        <v>0.99</v>
      </c>
      <c r="P159" s="83"/>
      <c r="Q159" s="83"/>
      <c r="R159" s="83"/>
    </row>
    <row r="160" spans="1:18">
      <c r="A160" s="1392"/>
      <c r="B160" s="1395"/>
      <c r="C160" s="288" t="s">
        <v>18</v>
      </c>
      <c r="D160" s="289">
        <v>0.25</v>
      </c>
      <c r="E160" s="289">
        <v>0.76</v>
      </c>
      <c r="F160" s="294">
        <v>0.65</v>
      </c>
      <c r="G160" s="295">
        <v>1</v>
      </c>
      <c r="H160" s="289">
        <v>0.77</v>
      </c>
      <c r="I160" s="292">
        <v>1.01</v>
      </c>
      <c r="J160" s="293">
        <v>0.85</v>
      </c>
      <c r="K160" s="289">
        <v>0.94</v>
      </c>
      <c r="L160" s="289">
        <v>0.82</v>
      </c>
      <c r="M160" s="289">
        <v>1.01</v>
      </c>
      <c r="N160" s="289">
        <v>0.99</v>
      </c>
      <c r="O160" s="289">
        <v>0.93</v>
      </c>
      <c r="P160" s="83"/>
      <c r="Q160" s="83"/>
      <c r="R160" s="83"/>
    </row>
    <row r="161" spans="1:18">
      <c r="A161" s="1392"/>
      <c r="B161" s="1395"/>
      <c r="C161" s="288" t="s">
        <v>142</v>
      </c>
      <c r="D161" s="289">
        <v>1.0271914893617022</v>
      </c>
      <c r="E161" s="297">
        <v>1.0392923076923077</v>
      </c>
      <c r="F161" s="298">
        <v>1.020516129032258</v>
      </c>
      <c r="G161" s="298">
        <v>1.0787083333333334</v>
      </c>
      <c r="H161" s="349">
        <v>1.0179850746268657</v>
      </c>
      <c r="I161" s="300">
        <v>1.0031048951048951</v>
      </c>
      <c r="J161" s="301">
        <v>0.89796428571428566</v>
      </c>
      <c r="K161" s="302">
        <v>1.0584571428571428</v>
      </c>
      <c r="L161" s="302">
        <v>1.1605571428571428</v>
      </c>
      <c r="M161" s="302">
        <v>1.0149166666666667</v>
      </c>
      <c r="N161" s="302">
        <v>1.0147662337662338</v>
      </c>
      <c r="O161" s="302">
        <v>1.0003731343283582</v>
      </c>
      <c r="P161" s="83"/>
      <c r="Q161" s="83"/>
      <c r="R161" s="83"/>
    </row>
    <row r="162" spans="1:18">
      <c r="A162" s="1392"/>
      <c r="B162" s="1395"/>
      <c r="C162" s="288" t="s">
        <v>144</v>
      </c>
      <c r="D162" s="289">
        <v>0.93597142857142857</v>
      </c>
      <c r="E162" s="297">
        <v>1.2216214285714286</v>
      </c>
      <c r="F162" s="298">
        <v>1.1538352941176471</v>
      </c>
      <c r="G162" s="298">
        <v>1.0183846153846154</v>
      </c>
      <c r="H162" s="298">
        <v>1.0328999999999999</v>
      </c>
      <c r="I162" s="300">
        <v>1.2023473684210526</v>
      </c>
      <c r="J162" s="317">
        <v>0.90207352941176466</v>
      </c>
      <c r="K162" s="318">
        <v>1.0348235294117647</v>
      </c>
      <c r="L162" s="318">
        <v>1.1112142857142857</v>
      </c>
      <c r="M162" s="318">
        <v>0.97977777777777775</v>
      </c>
      <c r="N162" s="318">
        <v>0.99566233766233769</v>
      </c>
      <c r="O162" s="302">
        <v>1.1897529411764707</v>
      </c>
      <c r="P162" s="83"/>
      <c r="Q162" s="83"/>
      <c r="R162" s="83"/>
    </row>
    <row r="163" spans="1:18">
      <c r="A163" s="1392"/>
      <c r="B163" s="1395"/>
      <c r="C163" s="288" t="s">
        <v>203</v>
      </c>
      <c r="D163" s="289">
        <v>1.4351</v>
      </c>
      <c r="E163" s="297">
        <v>1.1892285714285715</v>
      </c>
      <c r="F163" s="298">
        <v>1.0063397260273974</v>
      </c>
      <c r="G163" s="298">
        <v>1.2187186571428572</v>
      </c>
      <c r="H163" s="298">
        <v>1.140525641025641</v>
      </c>
      <c r="I163" s="300">
        <v>1.0647358974358974</v>
      </c>
      <c r="J163" s="317">
        <v>1.2803625000000001</v>
      </c>
      <c r="K163" s="318">
        <v>1.0038</v>
      </c>
      <c r="L163" s="318">
        <v>1.0585137499999999</v>
      </c>
      <c r="M163" s="318">
        <v>1.3857441860465116</v>
      </c>
      <c r="N163" s="318">
        <v>1.255220588235294</v>
      </c>
      <c r="O163" s="302">
        <v>1.1566363636363637</v>
      </c>
      <c r="P163" s="83"/>
      <c r="Q163" s="83"/>
      <c r="R163" s="83"/>
    </row>
    <row r="164" spans="1:18">
      <c r="A164" s="1392"/>
      <c r="B164" s="1393"/>
      <c r="C164" s="442" t="s">
        <v>262</v>
      </c>
      <c r="D164" s="305">
        <f>D155/D148</f>
        <v>1.5909649885555555</v>
      </c>
      <c r="E164" s="1302">
        <f t="shared" ref="E164:O164" si="17">E155/E148</f>
        <v>1.1954899999999999</v>
      </c>
      <c r="F164" s="1302">
        <f t="shared" si="17"/>
        <v>1.0073133333333333</v>
      </c>
      <c r="G164" s="1302">
        <f t="shared" si="17"/>
        <v>0.97017556666666671</v>
      </c>
      <c r="H164" s="1302">
        <f t="shared" si="17"/>
        <v>1.0938964316400002</v>
      </c>
      <c r="I164" s="1300">
        <f t="shared" si="17"/>
        <v>0.92446245348133338</v>
      </c>
      <c r="J164" s="1303">
        <f>J155/J148</f>
        <v>1.0051646783216783</v>
      </c>
      <c r="K164" s="1302">
        <f t="shared" si="17"/>
        <v>0.91304280691568629</v>
      </c>
      <c r="L164" s="1302">
        <f t="shared" si="17"/>
        <v>0.85731795649275355</v>
      </c>
      <c r="M164" s="1302">
        <f t="shared" si="17"/>
        <v>1.1384832328434782</v>
      </c>
      <c r="N164" s="444">
        <f t="shared" si="17"/>
        <v>0.71389645776566757</v>
      </c>
      <c r="O164" s="443">
        <f t="shared" si="17"/>
        <v>0.67870036101083031</v>
      </c>
      <c r="P164" s="83"/>
      <c r="Q164" s="83"/>
      <c r="R164" s="83"/>
    </row>
    <row r="165" spans="1:18">
      <c r="A165" s="1401" t="s">
        <v>22</v>
      </c>
      <c r="B165" s="1393" t="s">
        <v>16</v>
      </c>
      <c r="C165" s="222" t="s">
        <v>133</v>
      </c>
      <c r="D165" s="238">
        <v>3564</v>
      </c>
      <c r="E165" s="238">
        <v>3794</v>
      </c>
      <c r="F165" s="165">
        <v>17032</v>
      </c>
      <c r="G165" s="166">
        <v>8495</v>
      </c>
      <c r="H165" s="238">
        <v>5878</v>
      </c>
      <c r="I165" s="350">
        <v>6115</v>
      </c>
      <c r="J165" s="240">
        <v>2791</v>
      </c>
      <c r="K165" s="238">
        <v>5008</v>
      </c>
      <c r="L165" s="238">
        <v>13194</v>
      </c>
      <c r="M165" s="238">
        <v>3375</v>
      </c>
      <c r="N165" s="238">
        <v>417</v>
      </c>
      <c r="O165" s="238">
        <v>26470</v>
      </c>
      <c r="P165" s="83"/>
      <c r="Q165" s="83"/>
      <c r="R165" s="83"/>
    </row>
    <row r="166" spans="1:18">
      <c r="A166" s="1401"/>
      <c r="B166" s="1392"/>
      <c r="C166" s="222" t="s">
        <v>134</v>
      </c>
      <c r="D166" s="242">
        <v>4268</v>
      </c>
      <c r="E166" s="242">
        <v>6358</v>
      </c>
      <c r="F166" s="243">
        <v>5818</v>
      </c>
      <c r="G166" s="244">
        <v>6106</v>
      </c>
      <c r="H166" s="242">
        <v>2287</v>
      </c>
      <c r="I166" s="351">
        <v>11326</v>
      </c>
      <c r="J166" s="246">
        <v>901</v>
      </c>
      <c r="K166" s="242">
        <v>31</v>
      </c>
      <c r="L166" s="242">
        <v>2030</v>
      </c>
      <c r="M166" s="242">
        <v>18194</v>
      </c>
      <c r="N166" s="242">
        <v>1651</v>
      </c>
      <c r="O166" s="242">
        <v>6115</v>
      </c>
      <c r="P166" s="83"/>
      <c r="Q166" s="83"/>
      <c r="R166" s="83"/>
    </row>
    <row r="167" spans="1:18">
      <c r="A167" s="1401"/>
      <c r="B167" s="1392"/>
      <c r="C167" s="222" t="s">
        <v>146</v>
      </c>
      <c r="D167" s="242">
        <v>2963</v>
      </c>
      <c r="E167" s="253">
        <v>3123</v>
      </c>
      <c r="F167" s="253">
        <v>616</v>
      </c>
      <c r="G167" s="253">
        <v>874</v>
      </c>
      <c r="H167" s="254">
        <v>2435</v>
      </c>
      <c r="I167" s="352">
        <v>5010</v>
      </c>
      <c r="J167" s="256">
        <v>3085</v>
      </c>
      <c r="K167" s="257">
        <v>4056</v>
      </c>
      <c r="L167" s="257">
        <v>9211</v>
      </c>
      <c r="M167" s="257">
        <v>8941</v>
      </c>
      <c r="N167" s="257">
        <v>13876</v>
      </c>
      <c r="O167" s="257">
        <v>7564</v>
      </c>
      <c r="P167" s="83"/>
      <c r="Q167" s="83"/>
      <c r="R167" s="83"/>
    </row>
    <row r="168" spans="1:18">
      <c r="A168" s="1401"/>
      <c r="B168" s="1392"/>
      <c r="C168" s="222" t="s">
        <v>156</v>
      </c>
      <c r="D168" s="330">
        <v>10161</v>
      </c>
      <c r="E168" s="191">
        <v>1604</v>
      </c>
      <c r="F168" s="191">
        <v>2502</v>
      </c>
      <c r="G168" s="191">
        <v>4140</v>
      </c>
      <c r="H168" s="192">
        <v>1385</v>
      </c>
      <c r="I168" s="286">
        <v>2616</v>
      </c>
      <c r="J168" s="194">
        <v>1658</v>
      </c>
      <c r="K168" s="250">
        <v>1418</v>
      </c>
      <c r="L168" s="250">
        <v>2427.46</v>
      </c>
      <c r="M168" s="250">
        <v>3063.7</v>
      </c>
      <c r="N168" s="250">
        <v>467.01499999999999</v>
      </c>
      <c r="O168" s="250">
        <v>2609</v>
      </c>
      <c r="P168" s="83"/>
      <c r="Q168" s="83"/>
      <c r="R168" s="83"/>
    </row>
    <row r="169" spans="1:18">
      <c r="A169" s="1401"/>
      <c r="B169" s="1392"/>
      <c r="C169" s="222" t="s">
        <v>247</v>
      </c>
      <c r="D169" s="330">
        <v>1090.78</v>
      </c>
      <c r="E169" s="191">
        <v>729.39499999999998</v>
      </c>
      <c r="F169" s="191">
        <v>766.8</v>
      </c>
      <c r="G169" s="191">
        <v>7039</v>
      </c>
      <c r="H169" s="192">
        <v>503.5</v>
      </c>
      <c r="I169" s="286">
        <v>5044.6000000000004</v>
      </c>
      <c r="J169" s="194">
        <v>1522.5260000000001</v>
      </c>
      <c r="K169" s="250">
        <v>3062.3799999999997</v>
      </c>
      <c r="L169" s="250">
        <v>2720.145</v>
      </c>
      <c r="M169" s="250">
        <v>1050.1099999999999</v>
      </c>
      <c r="N169" s="250">
        <v>3726.8330000000001</v>
      </c>
      <c r="O169" s="250">
        <v>1897.433</v>
      </c>
      <c r="P169" s="83"/>
      <c r="Q169" s="83"/>
      <c r="R169" s="83"/>
    </row>
    <row r="170" spans="1:18">
      <c r="A170" s="1401"/>
      <c r="B170" s="1392"/>
      <c r="C170" s="439" t="s">
        <v>267</v>
      </c>
      <c r="D170" s="353">
        <f>元ﾃﾞｰﾀ!F148</f>
        <v>217</v>
      </c>
      <c r="E170" s="339">
        <f>元ﾃﾞｰﾀ!J148</f>
        <v>0</v>
      </c>
      <c r="F170" s="339">
        <f>元ﾃﾞｰﾀ!N148</f>
        <v>682.4</v>
      </c>
      <c r="G170" s="339">
        <f>元ﾃﾞｰﾀ!Y148</f>
        <v>5231.3</v>
      </c>
      <c r="H170" s="339">
        <f>元ﾃﾞｰﾀ!AC148</f>
        <v>5639.5</v>
      </c>
      <c r="I170" s="354">
        <f>元ﾃﾞｰﾀ!AG148</f>
        <v>5167.8</v>
      </c>
      <c r="J170" s="260">
        <f>元ﾃﾞｰﾀ!BF148</f>
        <v>5167.8</v>
      </c>
      <c r="K170" s="260">
        <f>元ﾃﾞｰﾀ!BJ148</f>
        <v>99</v>
      </c>
      <c r="L170" s="260">
        <f>元ﾃﾞｰﾀ!BN148</f>
        <v>0</v>
      </c>
      <c r="M170" s="260">
        <f>元ﾃﾞｰﾀ!BY148</f>
        <v>459.30399999999997</v>
      </c>
      <c r="N170" s="260">
        <f>元ﾃﾞｰﾀ!CC148</f>
        <v>0</v>
      </c>
      <c r="O170" s="260">
        <f>元ﾃﾞｰﾀ!CG148</f>
        <v>9442.5</v>
      </c>
      <c r="P170" s="83"/>
      <c r="Q170" s="83"/>
      <c r="R170" s="83"/>
    </row>
    <row r="171" spans="1:18">
      <c r="A171" s="1401"/>
      <c r="B171" s="1392"/>
      <c r="C171" s="425" t="s">
        <v>265</v>
      </c>
      <c r="D171" s="355">
        <f>元ﾃﾞｰﾀ!G148</f>
        <v>1679.74</v>
      </c>
      <c r="E171" s="1054">
        <f>元ﾃﾞｰﾀ!K148</f>
        <v>1881.5139999999999</v>
      </c>
      <c r="F171" s="1054">
        <f>元ﾃﾞｰﾀ!O148</f>
        <v>682.4</v>
      </c>
      <c r="G171" s="1054">
        <f>元ﾃﾞｰﾀ!Z148</f>
        <v>6488.08</v>
      </c>
      <c r="H171" s="1054">
        <f>元ﾃﾞｰﾀ!AD148</f>
        <v>5540.5</v>
      </c>
      <c r="I171" s="1307">
        <f>元ﾃﾞｰﾀ!AH148</f>
        <v>0</v>
      </c>
      <c r="J171" s="1289">
        <f>元ﾃﾞｰﾀ!BG148</f>
        <v>0</v>
      </c>
      <c r="K171" s="1289">
        <f>元ﾃﾞｰﾀ!BK148</f>
        <v>246</v>
      </c>
      <c r="L171" s="1289">
        <f>元ﾃﾞｰﾀ!BO148</f>
        <v>0</v>
      </c>
      <c r="M171" s="1289">
        <f>元ﾃﾞｰﾀ!BZ148</f>
        <v>195.21600000000001</v>
      </c>
      <c r="N171" s="401">
        <f>元ﾃﾞｰﾀ!CD148</f>
        <v>5439.3040000000001</v>
      </c>
      <c r="O171" s="401">
        <f>元ﾃﾞｰﾀ!CH148</f>
        <v>9997.5</v>
      </c>
      <c r="P171" s="83"/>
      <c r="Q171" s="83"/>
      <c r="R171" s="83"/>
    </row>
    <row r="172" spans="1:18">
      <c r="A172" s="1401"/>
      <c r="B172" s="1392"/>
      <c r="C172" s="407" t="s">
        <v>268</v>
      </c>
      <c r="D172" s="345">
        <f>元ﾃﾞｰﾀ!E148</f>
        <v>2914</v>
      </c>
      <c r="E172" s="346">
        <f>元ﾃﾞｰﾀ!I148</f>
        <v>2914</v>
      </c>
      <c r="F172" s="346">
        <f>元ﾃﾞｰﾀ!M148</f>
        <v>2914</v>
      </c>
      <c r="G172" s="346">
        <f>元ﾃﾞｰﾀ!X148</f>
        <v>1743</v>
      </c>
      <c r="H172" s="346">
        <f>元ﾃﾞｰﾀ!AB148</f>
        <v>1743</v>
      </c>
      <c r="I172" s="347">
        <f>元ﾃﾞｰﾀ!AF148</f>
        <v>1743</v>
      </c>
      <c r="J172" s="348">
        <f>元ﾃﾞｰﾀ!BE148</f>
        <v>0</v>
      </c>
      <c r="K172" s="348">
        <f>元ﾃﾞｰﾀ!BI148</f>
        <v>0</v>
      </c>
      <c r="L172" s="348">
        <f>元ﾃﾞｰﾀ!BM148</f>
        <v>19009</v>
      </c>
      <c r="M172" s="348">
        <f>元ﾃﾞｰﾀ!BX148</f>
        <v>0</v>
      </c>
      <c r="N172" s="348">
        <f>元ﾃﾞｰﾀ!CB148</f>
        <v>4526</v>
      </c>
      <c r="O172" s="348">
        <f>元ﾃﾞｰﾀ!CF148</f>
        <v>0</v>
      </c>
      <c r="P172" s="83"/>
      <c r="Q172" s="83"/>
      <c r="R172" s="83"/>
    </row>
    <row r="173" spans="1:18">
      <c r="A173" s="1401"/>
      <c r="B173" s="1392" t="s">
        <v>19</v>
      </c>
      <c r="C173" s="288" t="s">
        <v>56</v>
      </c>
      <c r="D173" s="289">
        <v>0.41</v>
      </c>
      <c r="E173" s="289">
        <v>0.26</v>
      </c>
      <c r="F173" s="290">
        <v>0.89</v>
      </c>
      <c r="G173" s="291">
        <v>0.67</v>
      </c>
      <c r="H173" s="289">
        <v>0.49</v>
      </c>
      <c r="I173" s="292">
        <v>0.99</v>
      </c>
      <c r="J173" s="293">
        <v>1.1200000000000001</v>
      </c>
      <c r="K173" s="289">
        <v>1.1399999999999999</v>
      </c>
      <c r="L173" s="289">
        <v>0.99</v>
      </c>
      <c r="M173" s="289">
        <v>0.96</v>
      </c>
      <c r="N173" s="289">
        <v>1.04</v>
      </c>
      <c r="O173" s="289">
        <v>0.92</v>
      </c>
      <c r="P173" s="83"/>
      <c r="Q173" s="83"/>
      <c r="R173" s="83"/>
    </row>
    <row r="174" spans="1:18">
      <c r="A174" s="1401"/>
      <c r="B174" s="1392"/>
      <c r="C174" s="288" t="s">
        <v>57</v>
      </c>
      <c r="D174" s="289">
        <v>1.1200000000000001</v>
      </c>
      <c r="E174" s="289">
        <v>0.95</v>
      </c>
      <c r="F174" s="294">
        <v>0.97</v>
      </c>
      <c r="G174" s="295">
        <v>1</v>
      </c>
      <c r="H174" s="289">
        <v>0.31</v>
      </c>
      <c r="I174" s="292">
        <v>1</v>
      </c>
      <c r="J174" s="293">
        <v>0.94</v>
      </c>
      <c r="K174" s="289">
        <v>1</v>
      </c>
      <c r="L174" s="289">
        <v>1.03</v>
      </c>
      <c r="M174" s="289">
        <v>1.02</v>
      </c>
      <c r="N174" s="289">
        <v>0.52</v>
      </c>
      <c r="O174" s="289">
        <v>1.51</v>
      </c>
      <c r="P174" s="83"/>
      <c r="Q174" s="83"/>
      <c r="R174" s="83"/>
    </row>
    <row r="175" spans="1:18">
      <c r="A175" s="1401"/>
      <c r="B175" s="1392"/>
      <c r="C175" s="288" t="s">
        <v>142</v>
      </c>
      <c r="D175" s="289">
        <v>0.80516304347826084</v>
      </c>
      <c r="E175" s="297">
        <v>0.80843903701786179</v>
      </c>
      <c r="F175" s="298">
        <v>3.0338849487785657E-2</v>
      </c>
      <c r="G175" s="298">
        <v>0.71639344262295079</v>
      </c>
      <c r="H175" s="299">
        <v>0.24992302165657396</v>
      </c>
      <c r="I175" s="300">
        <v>0.28467526564009321</v>
      </c>
      <c r="J175" s="356">
        <v>0.52376910016977929</v>
      </c>
      <c r="K175" s="302">
        <v>0.47239692522711391</v>
      </c>
      <c r="L175" s="302">
        <v>0.4405069344811095</v>
      </c>
      <c r="M175" s="302">
        <v>0.54122276029055694</v>
      </c>
      <c r="N175" s="302">
        <v>0.82693682955899883</v>
      </c>
      <c r="O175" s="302">
        <v>0.61949221949221944</v>
      </c>
      <c r="P175" s="83"/>
      <c r="Q175" s="83"/>
      <c r="R175" s="83"/>
    </row>
    <row r="176" spans="1:18">
      <c r="A176" s="1401"/>
      <c r="B176" s="1392"/>
      <c r="C176" s="288" t="s">
        <v>144</v>
      </c>
      <c r="D176" s="289">
        <v>1.1164707175035711</v>
      </c>
      <c r="E176" s="297">
        <v>1.0113493064312737</v>
      </c>
      <c r="F176" s="298">
        <v>0.77461300309597525</v>
      </c>
      <c r="G176" s="298">
        <v>0.84541556054727385</v>
      </c>
      <c r="H176" s="298">
        <v>0.40771268766558727</v>
      </c>
      <c r="I176" s="300">
        <v>1.0818858560794045</v>
      </c>
      <c r="J176" s="357">
        <v>0.70076077768385459</v>
      </c>
      <c r="K176" s="318">
        <v>0.57109256693623733</v>
      </c>
      <c r="L176" s="318">
        <v>1.8473820395738205</v>
      </c>
      <c r="M176" s="318">
        <v>0.78255427841634728</v>
      </c>
      <c r="N176" s="318">
        <v>0.46701500000000001</v>
      </c>
      <c r="O176" s="302">
        <v>0.96791666048347602</v>
      </c>
      <c r="P176" s="83"/>
      <c r="Q176" s="83"/>
      <c r="R176" s="83"/>
    </row>
    <row r="177" spans="1:18">
      <c r="A177" s="1401"/>
      <c r="B177" s="1392"/>
      <c r="C177" s="288" t="s">
        <v>203</v>
      </c>
      <c r="D177" s="289">
        <v>1.0032005886139981</v>
      </c>
      <c r="E177" s="297">
        <v>6.1813135593220334</v>
      </c>
      <c r="F177" s="298">
        <v>1.0196808510638298</v>
      </c>
      <c r="G177" s="298">
        <v>1.201604643222943</v>
      </c>
      <c r="H177" s="298">
        <v>1.3044041450777202</v>
      </c>
      <c r="I177" s="300">
        <v>1.1128612397970439</v>
      </c>
      <c r="J177" s="357">
        <v>3.9443678756476688</v>
      </c>
      <c r="K177" s="318">
        <v>27.014643613267463</v>
      </c>
      <c r="L177" s="318">
        <v>1.0222266065388952</v>
      </c>
      <c r="M177" s="318">
        <v>0.8022230710466004</v>
      </c>
      <c r="N177" s="318">
        <v>1.0274937898216485</v>
      </c>
      <c r="O177" s="302">
        <v>1.4275268493614459</v>
      </c>
      <c r="P177" s="83"/>
      <c r="Q177" s="83"/>
      <c r="R177" s="83"/>
    </row>
    <row r="178" spans="1:18">
      <c r="A178" s="1402"/>
      <c r="B178" s="1392"/>
      <c r="C178" s="442" t="s">
        <v>262</v>
      </c>
      <c r="D178" s="305">
        <f t="shared" ref="D178:N178" si="18">D171/D170</f>
        <v>7.7407373271889401</v>
      </c>
      <c r="E178" s="1302" t="e">
        <f t="shared" si="18"/>
        <v>#DIV/0!</v>
      </c>
      <c r="F178" s="1302">
        <f t="shared" si="18"/>
        <v>1</v>
      </c>
      <c r="G178" s="1302">
        <f t="shared" si="18"/>
        <v>1.2402423871695372</v>
      </c>
      <c r="H178" s="1302">
        <f t="shared" si="18"/>
        <v>0.98244525223867363</v>
      </c>
      <c r="I178" s="1300">
        <f t="shared" si="18"/>
        <v>0</v>
      </c>
      <c r="J178" s="1303">
        <f t="shared" si="18"/>
        <v>0</v>
      </c>
      <c r="K178" s="1302">
        <f>K171/K170</f>
        <v>2.4848484848484849</v>
      </c>
      <c r="L178" s="1302" t="e">
        <f>L171/L170</f>
        <v>#DIV/0!</v>
      </c>
      <c r="M178" s="1302">
        <f t="shared" si="18"/>
        <v>0.42502569104558208</v>
      </c>
      <c r="N178" s="444" t="e">
        <f t="shared" si="18"/>
        <v>#DIV/0!</v>
      </c>
      <c r="O178" s="443">
        <f>O171/O170</f>
        <v>1.0587768069896744</v>
      </c>
      <c r="P178" s="83"/>
      <c r="Q178" s="83"/>
      <c r="R178" s="83"/>
    </row>
    <row r="179" spans="1:18">
      <c r="A179" s="1392" t="s">
        <v>240</v>
      </c>
      <c r="B179" s="1392" t="s">
        <v>16</v>
      </c>
      <c r="C179" s="222" t="s">
        <v>133</v>
      </c>
      <c r="D179" s="238">
        <v>2210</v>
      </c>
      <c r="E179" s="238">
        <v>2024</v>
      </c>
      <c r="F179" s="165">
        <v>1262</v>
      </c>
      <c r="G179" s="166">
        <v>3813</v>
      </c>
      <c r="H179" s="238">
        <v>1870</v>
      </c>
      <c r="I179" s="350">
        <v>2808</v>
      </c>
      <c r="J179" s="240">
        <v>1608</v>
      </c>
      <c r="K179" s="238">
        <v>1190</v>
      </c>
      <c r="L179" s="238">
        <v>1928</v>
      </c>
      <c r="M179" s="238">
        <v>1605</v>
      </c>
      <c r="N179" s="238">
        <v>959</v>
      </c>
      <c r="O179" s="238">
        <v>597</v>
      </c>
      <c r="P179" s="83"/>
      <c r="Q179" s="83"/>
      <c r="R179" s="83"/>
    </row>
    <row r="180" spans="1:18">
      <c r="A180" s="1392"/>
      <c r="B180" s="1392"/>
      <c r="C180" s="222" t="s">
        <v>134</v>
      </c>
      <c r="D180" s="242">
        <v>958</v>
      </c>
      <c r="E180" s="242">
        <v>915</v>
      </c>
      <c r="F180" s="243">
        <v>1003</v>
      </c>
      <c r="G180" s="242">
        <v>1031</v>
      </c>
      <c r="H180" s="242">
        <v>1014</v>
      </c>
      <c r="I180" s="351">
        <v>1010</v>
      </c>
      <c r="J180" s="246">
        <v>1562</v>
      </c>
      <c r="K180" s="242">
        <v>1048</v>
      </c>
      <c r="L180" s="242">
        <v>1678</v>
      </c>
      <c r="M180" s="242">
        <v>1397</v>
      </c>
      <c r="N180" s="242">
        <v>1676</v>
      </c>
      <c r="O180" s="242">
        <v>1115</v>
      </c>
      <c r="P180" s="83"/>
      <c r="Q180" s="83"/>
      <c r="R180" s="83"/>
    </row>
    <row r="181" spans="1:18">
      <c r="A181" s="1392"/>
      <c r="B181" s="1392"/>
      <c r="C181" s="222" t="s">
        <v>136</v>
      </c>
      <c r="D181" s="242">
        <v>1524</v>
      </c>
      <c r="E181" s="253">
        <v>1199</v>
      </c>
      <c r="F181" s="253">
        <v>1115</v>
      </c>
      <c r="G181" s="253">
        <v>1011</v>
      </c>
      <c r="H181" s="266">
        <v>1809</v>
      </c>
      <c r="I181" s="352">
        <v>1193</v>
      </c>
      <c r="J181" s="256">
        <v>764</v>
      </c>
      <c r="K181" s="257">
        <v>687</v>
      </c>
      <c r="L181" s="257">
        <v>1722</v>
      </c>
      <c r="M181" s="257">
        <v>1526</v>
      </c>
      <c r="N181" s="257">
        <v>1233</v>
      </c>
      <c r="O181" s="257">
        <v>1076</v>
      </c>
      <c r="P181" s="83"/>
      <c r="Q181" s="83"/>
      <c r="R181" s="83"/>
    </row>
    <row r="182" spans="1:18">
      <c r="A182" s="1392"/>
      <c r="B182" s="1392"/>
      <c r="C182" s="222" t="s">
        <v>156</v>
      </c>
      <c r="D182" s="330">
        <v>735</v>
      </c>
      <c r="E182" s="191">
        <v>1492.6</v>
      </c>
      <c r="F182" s="191">
        <v>1225</v>
      </c>
      <c r="G182" s="191">
        <v>1160</v>
      </c>
      <c r="H182" s="333">
        <v>1326</v>
      </c>
      <c r="I182" s="286">
        <v>1311</v>
      </c>
      <c r="J182" s="194">
        <v>1675</v>
      </c>
      <c r="K182" s="250">
        <v>1110</v>
      </c>
      <c r="L182" s="250">
        <v>1392.6</v>
      </c>
      <c r="M182" s="250">
        <v>1684</v>
      </c>
      <c r="N182" s="250">
        <v>1004</v>
      </c>
      <c r="O182" s="250">
        <v>1089</v>
      </c>
      <c r="P182" s="83"/>
      <c r="Q182" s="83"/>
      <c r="R182" s="83"/>
    </row>
    <row r="183" spans="1:18">
      <c r="A183" s="1392"/>
      <c r="B183" s="1392"/>
      <c r="C183" s="222" t="s">
        <v>247</v>
      </c>
      <c r="D183" s="330">
        <v>1832</v>
      </c>
      <c r="E183" s="191">
        <v>1625</v>
      </c>
      <c r="F183" s="191">
        <v>1175.4000000000001</v>
      </c>
      <c r="G183" s="191">
        <v>1300.4780000000001</v>
      </c>
      <c r="H183" s="333">
        <v>1460</v>
      </c>
      <c r="I183" s="286">
        <v>1537.3</v>
      </c>
      <c r="J183" s="194">
        <v>1338.7</v>
      </c>
      <c r="K183" s="250">
        <v>1578</v>
      </c>
      <c r="L183" s="250">
        <v>1893.5909999999999</v>
      </c>
      <c r="M183" s="250">
        <v>1958</v>
      </c>
      <c r="N183" s="250">
        <v>1354.4</v>
      </c>
      <c r="O183" s="250">
        <v>1341.9829999999999</v>
      </c>
      <c r="P183" s="83"/>
      <c r="Q183" s="83"/>
      <c r="R183" s="83"/>
    </row>
    <row r="184" spans="1:18">
      <c r="A184" s="1392"/>
      <c r="B184" s="1392"/>
      <c r="C184" s="439" t="s">
        <v>267</v>
      </c>
      <c r="D184" s="353">
        <f>元ﾃﾞｰﾀ!F150</f>
        <v>1417</v>
      </c>
      <c r="E184" s="339">
        <f>元ﾃﾞｰﾀ!J150</f>
        <v>1472</v>
      </c>
      <c r="F184" s="339">
        <f>元ﾃﾞｰﾀ!N150</f>
        <v>1355</v>
      </c>
      <c r="G184" s="339">
        <f>元ﾃﾞｰﾀ!Y150</f>
        <v>1346</v>
      </c>
      <c r="H184" s="339">
        <f>元ﾃﾞｰﾀ!AC150</f>
        <v>1439</v>
      </c>
      <c r="I184" s="354">
        <f>元ﾃﾞｰﾀ!AG150</f>
        <v>1656</v>
      </c>
      <c r="J184" s="260">
        <f>元ﾃﾞｰﾀ!BF150</f>
        <v>2165</v>
      </c>
      <c r="K184" s="260">
        <f>元ﾃﾞｰﾀ!BJ150</f>
        <v>1706</v>
      </c>
      <c r="L184" s="260">
        <f>元ﾃﾞｰﾀ!BN150</f>
        <v>2380</v>
      </c>
      <c r="M184" s="260">
        <f>元ﾃﾞｰﾀ!BY150</f>
        <v>2730</v>
      </c>
      <c r="N184" s="260">
        <f>元ﾃﾞｰﾀ!CC150</f>
        <v>2118</v>
      </c>
      <c r="O184" s="260">
        <f>元ﾃﾞｰﾀ!CG150</f>
        <v>1100</v>
      </c>
      <c r="P184" s="83"/>
      <c r="Q184" s="83"/>
      <c r="R184" s="83"/>
    </row>
    <row r="185" spans="1:18">
      <c r="A185" s="1392"/>
      <c r="B185" s="1392"/>
      <c r="C185" s="425" t="s">
        <v>265</v>
      </c>
      <c r="D185" s="355">
        <f>元ﾃﾞｰﾀ!G150</f>
        <v>1695.518</v>
      </c>
      <c r="E185" s="1054">
        <f>元ﾃﾞｰﾀ!K150</f>
        <v>2074</v>
      </c>
      <c r="F185" s="1054">
        <f>元ﾃﾞｰﾀ!O150</f>
        <v>1729.77</v>
      </c>
      <c r="G185" s="1054">
        <f>元ﾃﾞｰﾀ!Z150</f>
        <v>1693.3330000000001</v>
      </c>
      <c r="H185" s="1054">
        <f>元ﾃﾞｰﾀ!AD150</f>
        <v>1781.6</v>
      </c>
      <c r="I185" s="1307">
        <f>元ﾃﾞｰﾀ!AH150</f>
        <v>2855.5160000000001</v>
      </c>
      <c r="J185" s="1289">
        <f>元ﾃﾞｰﾀ!BG150</f>
        <v>2570.357</v>
      </c>
      <c r="K185" s="1289">
        <f>元ﾃﾞｰﾀ!BK150</f>
        <v>2255.777</v>
      </c>
      <c r="L185" s="1289">
        <f>元ﾃﾞｰﾀ!BO150</f>
        <v>2481.3910000000001</v>
      </c>
      <c r="M185" s="1289">
        <f>元ﾃﾞｰﾀ!BZ150</f>
        <v>2982.9609999999998</v>
      </c>
      <c r="N185" s="401">
        <f>元ﾃﾞｰﾀ!CD150</f>
        <v>2502</v>
      </c>
      <c r="O185" s="401">
        <f>元ﾃﾞｰﾀ!CH150</f>
        <v>1100</v>
      </c>
      <c r="P185" s="83"/>
      <c r="Q185" s="83"/>
      <c r="R185" s="83"/>
    </row>
    <row r="186" spans="1:18">
      <c r="A186" s="1392"/>
      <c r="B186" s="1392"/>
      <c r="C186" s="407" t="s">
        <v>268</v>
      </c>
      <c r="D186" s="345">
        <f>元ﾃﾞｰﾀ!E150</f>
        <v>1417</v>
      </c>
      <c r="E186" s="346">
        <f>元ﾃﾞｰﾀ!I150</f>
        <v>1417</v>
      </c>
      <c r="F186" s="346">
        <f>元ﾃﾞｰﾀ!M150</f>
        <v>1585</v>
      </c>
      <c r="G186" s="346">
        <f>元ﾃﾞｰﾀ!X150</f>
        <v>1651</v>
      </c>
      <c r="H186" s="346">
        <f>元ﾃﾞｰﾀ!AB150</f>
        <v>1639</v>
      </c>
      <c r="I186" s="347">
        <f>元ﾃﾞｰﾀ!AF150</f>
        <v>1557</v>
      </c>
      <c r="J186" s="348">
        <f>元ﾃﾞｰﾀ!BE150</f>
        <v>1916</v>
      </c>
      <c r="K186" s="348">
        <f>元ﾃﾞｰﾀ!BI150</f>
        <v>1706</v>
      </c>
      <c r="L186" s="348">
        <f>元ﾃﾞｰﾀ!BM150</f>
        <v>1849</v>
      </c>
      <c r="M186" s="348">
        <f>元ﾃﾞｰﾀ!BX150</f>
        <v>1938</v>
      </c>
      <c r="N186" s="348">
        <f>元ﾃﾞｰﾀ!CB150</f>
        <v>2118</v>
      </c>
      <c r="O186" s="348">
        <f>元ﾃﾞｰﾀ!CF150</f>
        <v>1565</v>
      </c>
      <c r="P186" s="83"/>
      <c r="Q186" s="83"/>
      <c r="R186" s="83"/>
    </row>
    <row r="187" spans="1:18">
      <c r="A187" s="1392"/>
      <c r="B187" s="1392" t="s">
        <v>19</v>
      </c>
      <c r="C187" s="288" t="s">
        <v>56</v>
      </c>
      <c r="D187" s="289">
        <v>0.96</v>
      </c>
      <c r="E187" s="289">
        <v>0.88</v>
      </c>
      <c r="F187" s="290">
        <v>0.55000000000000004</v>
      </c>
      <c r="G187" s="291">
        <v>1.65</v>
      </c>
      <c r="H187" s="289">
        <v>0.81</v>
      </c>
      <c r="I187" s="292">
        <v>1.22</v>
      </c>
      <c r="J187" s="293">
        <v>0.7</v>
      </c>
      <c r="K187" s="289">
        <v>0.52</v>
      </c>
      <c r="L187" s="289">
        <v>0.83</v>
      </c>
      <c r="M187" s="289">
        <v>0.69</v>
      </c>
      <c r="N187" s="289">
        <v>0.42</v>
      </c>
      <c r="O187" s="289">
        <v>0.26</v>
      </c>
      <c r="P187" s="83"/>
      <c r="Q187" s="83"/>
      <c r="R187" s="83"/>
    </row>
    <row r="188" spans="1:18">
      <c r="A188" s="1392"/>
      <c r="B188" s="1392"/>
      <c r="C188" s="288" t="s">
        <v>57</v>
      </c>
      <c r="D188" s="289">
        <v>0.35</v>
      </c>
      <c r="E188" s="289">
        <v>0.34</v>
      </c>
      <c r="F188" s="294">
        <v>1</v>
      </c>
      <c r="G188" s="295">
        <v>0.79</v>
      </c>
      <c r="H188" s="289">
        <v>0.92</v>
      </c>
      <c r="I188" s="292">
        <v>0.92</v>
      </c>
      <c r="J188" s="293">
        <v>1.42</v>
      </c>
      <c r="K188" s="289">
        <v>0.95</v>
      </c>
      <c r="L188" s="289">
        <v>1.53</v>
      </c>
      <c r="M188" s="289">
        <v>1.4</v>
      </c>
      <c r="N188" s="289">
        <v>1.68</v>
      </c>
      <c r="O188" s="289">
        <v>0.55000000000000004</v>
      </c>
      <c r="P188" s="83"/>
      <c r="Q188" s="83"/>
      <c r="R188" s="83"/>
    </row>
    <row r="189" spans="1:18">
      <c r="A189" s="1392"/>
      <c r="B189" s="1392"/>
      <c r="C189" s="288" t="s">
        <v>147</v>
      </c>
      <c r="D189" s="289">
        <v>1.0885714285714285</v>
      </c>
      <c r="E189" s="297">
        <v>1.0407986111111112</v>
      </c>
      <c r="F189" s="298">
        <v>0.89200000000000002</v>
      </c>
      <c r="G189" s="298">
        <v>0.81074578989574975</v>
      </c>
      <c r="H189" s="349">
        <v>1.41328125</v>
      </c>
      <c r="I189" s="300">
        <v>0.73869969040247674</v>
      </c>
      <c r="J189" s="356">
        <v>0.53055555555555556</v>
      </c>
      <c r="K189" s="302">
        <v>0.75744211686879825</v>
      </c>
      <c r="L189" s="302">
        <v>1.9391891891891893</v>
      </c>
      <c r="M189" s="302">
        <v>1.2306451612903226</v>
      </c>
      <c r="N189" s="302">
        <v>1.4873341375150784</v>
      </c>
      <c r="O189" s="302">
        <v>1.2439306358381503</v>
      </c>
      <c r="P189" s="83"/>
      <c r="Q189" s="83"/>
      <c r="R189" s="83"/>
    </row>
    <row r="190" spans="1:18">
      <c r="A190" s="1392"/>
      <c r="B190" s="1392"/>
      <c r="C190" s="288" t="s">
        <v>144</v>
      </c>
      <c r="D190" s="289">
        <v>0.69694670965294903</v>
      </c>
      <c r="E190" s="297">
        <v>1.1239457831325301</v>
      </c>
      <c r="F190" s="298">
        <v>1.0425531914893618</v>
      </c>
      <c r="G190" s="298">
        <v>0.932475884244373</v>
      </c>
      <c r="H190" s="298">
        <v>1.0319066147859923</v>
      </c>
      <c r="I190" s="464">
        <v>1.0084615384615385</v>
      </c>
      <c r="J190" s="357">
        <v>1.3004658385093169</v>
      </c>
      <c r="K190" s="318">
        <v>0.9668989547038328</v>
      </c>
      <c r="L190" s="318">
        <v>1.2512129380053907</v>
      </c>
      <c r="M190" s="318">
        <v>1.4393162393162393</v>
      </c>
      <c r="N190" s="318">
        <v>1.0141414141414142</v>
      </c>
      <c r="O190" s="302">
        <v>1.2235955056179775</v>
      </c>
      <c r="P190" s="83"/>
      <c r="Q190" s="83"/>
      <c r="R190" s="83"/>
    </row>
    <row r="191" spans="1:18">
      <c r="A191" s="1392"/>
      <c r="B191" s="1392"/>
      <c r="C191" s="288" t="s">
        <v>203</v>
      </c>
      <c r="D191" s="289">
        <v>2.0630630630630629</v>
      </c>
      <c r="E191" s="297">
        <v>1.2755102040816326</v>
      </c>
      <c r="F191" s="298">
        <v>0.88243243243243252</v>
      </c>
      <c r="G191" s="298">
        <v>0.94856163384390957</v>
      </c>
      <c r="H191" s="298">
        <v>1.0863095238095237</v>
      </c>
      <c r="I191" s="464">
        <v>1.1472388059701493</v>
      </c>
      <c r="J191" s="357">
        <v>0.94943262411347518</v>
      </c>
      <c r="K191" s="318">
        <v>1.3160967472894078</v>
      </c>
      <c r="L191" s="318">
        <v>1.1761434782608695</v>
      </c>
      <c r="M191" s="318">
        <v>1.1551622418879055</v>
      </c>
      <c r="N191" s="318">
        <v>1.2391582799634036</v>
      </c>
      <c r="O191" s="302">
        <v>1.3920985477178422</v>
      </c>
      <c r="P191" s="83"/>
      <c r="Q191" s="83"/>
      <c r="R191" s="83"/>
    </row>
    <row r="192" spans="1:18">
      <c r="A192" s="1392"/>
      <c r="B192" s="1392"/>
      <c r="C192" s="442" t="s">
        <v>262</v>
      </c>
      <c r="D192" s="305">
        <f t="shared" ref="D192:I192" si="19">D185/D184</f>
        <v>1.1965546930134086</v>
      </c>
      <c r="E192" s="1302">
        <f t="shared" si="19"/>
        <v>1.4089673913043479</v>
      </c>
      <c r="F192" s="1302">
        <f t="shared" si="19"/>
        <v>1.2765830258302584</v>
      </c>
      <c r="G192" s="1302">
        <f t="shared" si="19"/>
        <v>1.2580482912332838</v>
      </c>
      <c r="H192" s="1302">
        <f t="shared" si="19"/>
        <v>1.2380820013898539</v>
      </c>
      <c r="I192" s="1300">
        <f t="shared" si="19"/>
        <v>1.7243454106280194</v>
      </c>
      <c r="J192" s="1303">
        <f t="shared" ref="J192:O192" si="20">J185/J184</f>
        <v>1.187231870669746</v>
      </c>
      <c r="K192" s="1302">
        <f t="shared" si="20"/>
        <v>1.3222608440797186</v>
      </c>
      <c r="L192" s="1302">
        <f t="shared" si="20"/>
        <v>1.0426012605042017</v>
      </c>
      <c r="M192" s="1302">
        <f t="shared" si="20"/>
        <v>1.0926597069597068</v>
      </c>
      <c r="N192" s="444">
        <f t="shared" si="20"/>
        <v>1.1813031161473089</v>
      </c>
      <c r="O192" s="443">
        <f t="shared" si="20"/>
        <v>1</v>
      </c>
      <c r="P192" s="83"/>
      <c r="Q192" s="83"/>
      <c r="R192" s="83"/>
    </row>
    <row r="193" spans="1:18">
      <c r="A193" s="1392" t="s">
        <v>184</v>
      </c>
      <c r="B193" s="1400" t="s">
        <v>187</v>
      </c>
      <c r="C193" s="288" t="s">
        <v>156</v>
      </c>
      <c r="D193" s="358">
        <v>0</v>
      </c>
      <c r="E193" s="358">
        <v>0</v>
      </c>
      <c r="F193" s="358">
        <v>220</v>
      </c>
      <c r="G193" s="358">
        <v>0</v>
      </c>
      <c r="H193" s="358">
        <v>0</v>
      </c>
      <c r="I193" s="359">
        <v>0</v>
      </c>
      <c r="J193" s="360">
        <v>0</v>
      </c>
      <c r="K193" s="358">
        <v>220</v>
      </c>
      <c r="L193" s="358">
        <v>220</v>
      </c>
      <c r="M193" s="358">
        <v>0</v>
      </c>
      <c r="N193" s="358">
        <v>0</v>
      </c>
      <c r="O193" s="358">
        <v>0</v>
      </c>
      <c r="P193" s="83"/>
      <c r="Q193" s="83"/>
      <c r="R193" s="83"/>
    </row>
    <row r="194" spans="1:18">
      <c r="A194" s="1392"/>
      <c r="B194" s="1400"/>
      <c r="C194" s="262" t="s">
        <v>263</v>
      </c>
      <c r="D194" s="330">
        <v>120</v>
      </c>
      <c r="E194" s="333">
        <v>280</v>
      </c>
      <c r="F194" s="333">
        <v>0</v>
      </c>
      <c r="G194" s="333">
        <v>140</v>
      </c>
      <c r="H194" s="333">
        <v>0</v>
      </c>
      <c r="I194" s="286">
        <v>0</v>
      </c>
      <c r="J194" s="194">
        <v>0</v>
      </c>
      <c r="K194" s="194">
        <v>0</v>
      </c>
      <c r="L194" s="194">
        <v>440</v>
      </c>
      <c r="M194" s="194">
        <v>0</v>
      </c>
      <c r="N194" s="194">
        <v>0</v>
      </c>
      <c r="O194" s="333">
        <v>0</v>
      </c>
      <c r="P194" s="83"/>
      <c r="Q194" s="83"/>
      <c r="R194" s="83"/>
    </row>
    <row r="195" spans="1:18">
      <c r="A195" s="1392"/>
      <c r="B195" s="1400"/>
      <c r="C195" s="439" t="s">
        <v>267</v>
      </c>
      <c r="D195" s="353">
        <f>元ﾃﾞｰﾀ!F153</f>
        <v>0</v>
      </c>
      <c r="E195" s="339">
        <f>元ﾃﾞｰﾀ!J153</f>
        <v>0</v>
      </c>
      <c r="F195" s="339">
        <f>元ﾃﾞｰﾀ!N153</f>
        <v>0</v>
      </c>
      <c r="G195" s="339">
        <f>元ﾃﾞｰﾀ!Y153</f>
        <v>0</v>
      </c>
      <c r="H195" s="339">
        <f>元ﾃﾞｰﾀ!AC153</f>
        <v>210</v>
      </c>
      <c r="I195" s="354">
        <f>元ﾃﾞｰﾀ!AG153</f>
        <v>0</v>
      </c>
      <c r="J195" s="260">
        <f>元ﾃﾞｰﾀ!BF153</f>
        <v>0</v>
      </c>
      <c r="K195" s="260">
        <f>元ﾃﾞｰﾀ!BJ153</f>
        <v>255</v>
      </c>
      <c r="L195" s="260">
        <f>元ﾃﾞｰﾀ!BN153</f>
        <v>0</v>
      </c>
      <c r="M195" s="260">
        <f>元ﾃﾞｰﾀ!BY153</f>
        <v>0</v>
      </c>
      <c r="N195" s="260">
        <f>元ﾃﾞｰﾀ!CC153</f>
        <v>0</v>
      </c>
      <c r="O195" s="339">
        <f>元ﾃﾞｰﾀ!CG153</f>
        <v>0</v>
      </c>
      <c r="P195" s="83"/>
      <c r="Q195" s="83"/>
      <c r="R195" s="83"/>
    </row>
    <row r="196" spans="1:18">
      <c r="A196" s="1392"/>
      <c r="B196" s="1400"/>
      <c r="C196" s="425" t="s">
        <v>265</v>
      </c>
      <c r="D196" s="355">
        <f>元ﾃﾞｰﾀ!G153</f>
        <v>140</v>
      </c>
      <c r="E196" s="1054">
        <f>元ﾃﾞｰﾀ!K153</f>
        <v>0</v>
      </c>
      <c r="F196" s="1054">
        <f>元ﾃﾞｰﾀ!O153</f>
        <v>15</v>
      </c>
      <c r="G196" s="1054">
        <f>元ﾃﾞｰﾀ!Z153</f>
        <v>0</v>
      </c>
      <c r="H196" s="1054">
        <f>元ﾃﾞｰﾀ!AD153</f>
        <v>210</v>
      </c>
      <c r="I196" s="1307">
        <f>元ﾃﾞｰﾀ!AH153</f>
        <v>0</v>
      </c>
      <c r="J196" s="1289">
        <f>元ﾃﾞｰﾀ!BG153</f>
        <v>37.380000000000003</v>
      </c>
      <c r="K196" s="1289">
        <f>元ﾃﾞｰﾀ!BK153</f>
        <v>90</v>
      </c>
      <c r="L196" s="1289">
        <f>元ﾃﾞｰﾀ!BO153</f>
        <v>0</v>
      </c>
      <c r="M196" s="1289">
        <f>元ﾃﾞｰﾀ!BZ153</f>
        <v>152.66900000000001</v>
      </c>
      <c r="N196" s="401">
        <f>元ﾃﾞｰﾀ!CD153</f>
        <v>100</v>
      </c>
      <c r="O196" s="400">
        <f>元ﾃﾞｰﾀ!CH153</f>
        <v>0</v>
      </c>
      <c r="P196" s="83"/>
      <c r="Q196" s="83"/>
      <c r="R196" s="83"/>
    </row>
    <row r="197" spans="1:18">
      <c r="A197" s="1392"/>
      <c r="B197" s="1400"/>
      <c r="C197" s="407" t="s">
        <v>268</v>
      </c>
      <c r="D197" s="345">
        <f>元ﾃﾞｰﾀ!E153</f>
        <v>0</v>
      </c>
      <c r="E197" s="346">
        <f>元ﾃﾞｰﾀ!I153</f>
        <v>0</v>
      </c>
      <c r="F197" s="346">
        <f>元ﾃﾞｰﾀ!M153</f>
        <v>0</v>
      </c>
      <c r="G197" s="346">
        <f>元ﾃﾞｰﾀ!X153</f>
        <v>0</v>
      </c>
      <c r="H197" s="346">
        <f>元ﾃﾞｰﾀ!AB153</f>
        <v>0</v>
      </c>
      <c r="I197" s="347">
        <f>元ﾃﾞｰﾀ!AF153</f>
        <v>0</v>
      </c>
      <c r="J197" s="348">
        <f>元ﾃﾞｰﾀ!BE153</f>
        <v>0</v>
      </c>
      <c r="K197" s="348">
        <f>元ﾃﾞｰﾀ!BI153</f>
        <v>0</v>
      </c>
      <c r="L197" s="348">
        <f>元ﾃﾞｰﾀ!BM153</f>
        <v>0</v>
      </c>
      <c r="M197" s="348">
        <f>元ﾃﾞｰﾀ!BX153</f>
        <v>0</v>
      </c>
      <c r="N197" s="348">
        <f>元ﾃﾞｰﾀ!CB153</f>
        <v>0</v>
      </c>
      <c r="O197" s="346">
        <f>元ﾃﾞｰﾀ!CF153</f>
        <v>0</v>
      </c>
      <c r="P197" s="83"/>
      <c r="Q197" s="83"/>
      <c r="R197" s="83"/>
    </row>
    <row r="198" spans="1:18">
      <c r="A198" s="1392" t="s">
        <v>412</v>
      </c>
      <c r="B198" s="1392" t="s">
        <v>186</v>
      </c>
      <c r="C198" s="319" t="s">
        <v>183</v>
      </c>
      <c r="D198" s="230">
        <v>0.13700000000000001</v>
      </c>
      <c r="E198" s="171">
        <v>0.14199999999999999</v>
      </c>
      <c r="F198" s="171">
        <v>0.11700000000000001</v>
      </c>
      <c r="G198" s="361">
        <v>0.106</v>
      </c>
      <c r="H198" s="361">
        <v>0.124</v>
      </c>
      <c r="I198" s="362">
        <v>0.122</v>
      </c>
      <c r="J198" s="363">
        <v>0.12</v>
      </c>
      <c r="K198" s="361">
        <v>0.124</v>
      </c>
      <c r="L198" s="361">
        <v>0.124</v>
      </c>
      <c r="M198" s="361">
        <v>0.124</v>
      </c>
      <c r="N198" s="361">
        <v>0.11799999999999999</v>
      </c>
      <c r="O198" s="230">
        <v>0.105</v>
      </c>
      <c r="P198" s="83"/>
      <c r="Q198" s="83"/>
      <c r="R198" s="83"/>
    </row>
    <row r="199" spans="1:18">
      <c r="A199" s="1392"/>
      <c r="B199" s="1392"/>
      <c r="C199" s="162" t="s">
        <v>172</v>
      </c>
      <c r="D199" s="165">
        <f t="shared" ref="D199:O199" si="21">D88+D109+D130+D165+D179</f>
        <v>227388</v>
      </c>
      <c r="E199" s="165">
        <f t="shared" si="21"/>
        <v>215450</v>
      </c>
      <c r="F199" s="165">
        <f t="shared" si="21"/>
        <v>231553</v>
      </c>
      <c r="G199" s="166">
        <f t="shared" si="21"/>
        <v>217837</v>
      </c>
      <c r="H199" s="164">
        <f t="shared" si="21"/>
        <v>172755</v>
      </c>
      <c r="I199" s="284">
        <f t="shared" si="21"/>
        <v>228241</v>
      </c>
      <c r="J199" s="168">
        <f t="shared" si="21"/>
        <v>140388</v>
      </c>
      <c r="K199" s="165">
        <f t="shared" si="21"/>
        <v>159763</v>
      </c>
      <c r="L199" s="165">
        <f t="shared" si="21"/>
        <v>178238</v>
      </c>
      <c r="M199" s="165">
        <f t="shared" si="21"/>
        <v>189173</v>
      </c>
      <c r="N199" s="165">
        <f t="shared" si="21"/>
        <v>196585</v>
      </c>
      <c r="O199" s="165">
        <f t="shared" si="21"/>
        <v>194539</v>
      </c>
      <c r="P199" s="83"/>
      <c r="Q199" s="83"/>
      <c r="R199" s="83"/>
    </row>
    <row r="200" spans="1:18">
      <c r="A200" s="1392"/>
      <c r="B200" s="1392"/>
      <c r="C200" s="247" t="s">
        <v>183</v>
      </c>
      <c r="D200" s="230">
        <v>0.128</v>
      </c>
      <c r="E200" s="230">
        <v>0.13300000000000001</v>
      </c>
      <c r="F200" s="230">
        <v>0.129</v>
      </c>
      <c r="G200" s="171">
        <v>0.151</v>
      </c>
      <c r="H200" s="172">
        <v>0.127</v>
      </c>
      <c r="I200" s="364">
        <v>0.13300000000000001</v>
      </c>
      <c r="J200" s="174">
        <v>0.13500000000000001</v>
      </c>
      <c r="K200" s="230">
        <v>0.12847654658218211</v>
      </c>
      <c r="L200" s="230">
        <v>0.13427491110296111</v>
      </c>
      <c r="M200" s="230">
        <v>0.15139390774000067</v>
      </c>
      <c r="N200" s="230">
        <v>0.13512009664277727</v>
      </c>
      <c r="O200" s="230">
        <v>0.13877764618800886</v>
      </c>
      <c r="P200" s="83"/>
      <c r="Q200" s="83"/>
      <c r="R200" s="83"/>
    </row>
    <row r="201" spans="1:18">
      <c r="A201" s="1392"/>
      <c r="B201" s="1392"/>
      <c r="C201" s="249" t="s">
        <v>173</v>
      </c>
      <c r="D201" s="182">
        <f t="shared" ref="D201:O201" si="22">D90+D111+D132+D166+D180</f>
        <v>191878</v>
      </c>
      <c r="E201" s="182">
        <f t="shared" si="22"/>
        <v>211401</v>
      </c>
      <c r="F201" s="178">
        <f t="shared" si="22"/>
        <v>280538</v>
      </c>
      <c r="G201" s="179">
        <f t="shared" si="22"/>
        <v>270443</v>
      </c>
      <c r="H201" s="177">
        <f t="shared" si="22"/>
        <v>229462</v>
      </c>
      <c r="I201" s="365">
        <f t="shared" si="22"/>
        <v>245131</v>
      </c>
      <c r="J201" s="181">
        <f t="shared" si="22"/>
        <v>197573</v>
      </c>
      <c r="K201" s="182">
        <f t="shared" si="22"/>
        <v>223315</v>
      </c>
      <c r="L201" s="182">
        <f t="shared" si="22"/>
        <v>250852</v>
      </c>
      <c r="M201" s="182">
        <f t="shared" si="22"/>
        <v>296770</v>
      </c>
      <c r="N201" s="182">
        <f t="shared" si="22"/>
        <v>233437</v>
      </c>
      <c r="O201" s="182">
        <f t="shared" si="22"/>
        <v>202650</v>
      </c>
      <c r="P201" s="83"/>
      <c r="Q201" s="83"/>
      <c r="R201" s="83"/>
    </row>
    <row r="202" spans="1:18">
      <c r="A202" s="1392"/>
      <c r="B202" s="1392"/>
      <c r="C202" s="247" t="s">
        <v>183</v>
      </c>
      <c r="D202" s="231">
        <v>0.1339111628240823</v>
      </c>
      <c r="E202" s="366">
        <v>0.14842243993933477</v>
      </c>
      <c r="F202" s="366">
        <v>0.14792542276208157</v>
      </c>
      <c r="G202" s="366">
        <v>0.13930542854972186</v>
      </c>
      <c r="H202" s="169">
        <v>0.14724768395651333</v>
      </c>
      <c r="I202" s="367">
        <v>0.14723099180585622</v>
      </c>
      <c r="J202" s="368">
        <v>0.14599999999999999</v>
      </c>
      <c r="K202" s="368">
        <v>0.13900000000000001</v>
      </c>
      <c r="L202" s="368">
        <v>0.14000000000000001</v>
      </c>
      <c r="M202" s="368">
        <v>0.15466320338099254</v>
      </c>
      <c r="N202" s="368">
        <v>0.14199999999999999</v>
      </c>
      <c r="O202" s="231">
        <v>0.14000000000000001</v>
      </c>
      <c r="P202" s="83"/>
      <c r="Q202" s="83"/>
      <c r="R202" s="83"/>
    </row>
    <row r="203" spans="1:18">
      <c r="A203" s="1392"/>
      <c r="B203" s="1392"/>
      <c r="C203" s="249" t="s">
        <v>174</v>
      </c>
      <c r="D203" s="182">
        <f t="shared" ref="D203:O203" si="23">D92+D113+D136+D167+D181</f>
        <v>264709</v>
      </c>
      <c r="E203" s="191">
        <f t="shared" si="23"/>
        <v>336207</v>
      </c>
      <c r="F203" s="191">
        <f t="shared" si="23"/>
        <v>337284</v>
      </c>
      <c r="G203" s="191">
        <f t="shared" si="23"/>
        <v>324823</v>
      </c>
      <c r="H203" s="333">
        <f t="shared" si="23"/>
        <v>271224</v>
      </c>
      <c r="I203" s="193">
        <f t="shared" si="23"/>
        <v>243406</v>
      </c>
      <c r="J203" s="194">
        <f t="shared" si="23"/>
        <v>234914</v>
      </c>
      <c r="K203" s="194">
        <f t="shared" si="23"/>
        <v>268135</v>
      </c>
      <c r="L203" s="194">
        <f t="shared" si="23"/>
        <v>297708</v>
      </c>
      <c r="M203" s="194">
        <f t="shared" si="23"/>
        <v>310678</v>
      </c>
      <c r="N203" s="194">
        <f t="shared" si="23"/>
        <v>304576</v>
      </c>
      <c r="O203" s="333">
        <f t="shared" si="23"/>
        <v>237217</v>
      </c>
      <c r="P203" s="83"/>
      <c r="Q203" s="83"/>
      <c r="R203" s="83"/>
    </row>
    <row r="204" spans="1:18">
      <c r="A204" s="1392"/>
      <c r="B204" s="1392"/>
      <c r="C204" s="247" t="s">
        <v>50</v>
      </c>
      <c r="D204" s="231">
        <v>0.15684958990166548</v>
      </c>
      <c r="E204" s="231">
        <v>0.15166470498968151</v>
      </c>
      <c r="F204" s="231">
        <v>0.15273685053571878</v>
      </c>
      <c r="G204" s="231">
        <v>0.14441397174265982</v>
      </c>
      <c r="H204" s="231">
        <v>0.13983371881765466</v>
      </c>
      <c r="I204" s="369">
        <v>0.13577512099532457</v>
      </c>
      <c r="J204" s="368">
        <v>0.14382214187251996</v>
      </c>
      <c r="K204" s="231">
        <v>0.14573357612624446</v>
      </c>
      <c r="L204" s="231">
        <v>0.13812662148088273</v>
      </c>
      <c r="M204" s="231">
        <v>0.12526063397986237</v>
      </c>
      <c r="N204" s="231">
        <v>0.14723120072057441</v>
      </c>
      <c r="O204" s="231">
        <v>0.1547356270501547</v>
      </c>
      <c r="P204" s="83"/>
      <c r="Q204" s="83"/>
      <c r="R204" s="83"/>
    </row>
    <row r="205" spans="1:18">
      <c r="A205" s="1392"/>
      <c r="B205" s="1392"/>
      <c r="C205" s="249" t="s">
        <v>156</v>
      </c>
      <c r="D205" s="330">
        <v>255963</v>
      </c>
      <c r="E205" s="191">
        <v>291128.80000000005</v>
      </c>
      <c r="F205" s="191">
        <v>316584</v>
      </c>
      <c r="G205" s="191">
        <v>269170</v>
      </c>
      <c r="H205" s="191">
        <v>275757</v>
      </c>
      <c r="I205" s="193">
        <v>318690</v>
      </c>
      <c r="J205" s="194">
        <v>227063</v>
      </c>
      <c r="K205" s="194">
        <v>220778</v>
      </c>
      <c r="L205" s="194">
        <v>234549.03</v>
      </c>
      <c r="M205" s="194">
        <v>252478.65678000002</v>
      </c>
      <c r="N205" s="194">
        <v>234927.02300000002</v>
      </c>
      <c r="O205" s="333">
        <v>189605.41620000001</v>
      </c>
      <c r="P205" s="83"/>
      <c r="Q205" s="83"/>
      <c r="R205" s="83"/>
    </row>
    <row r="206" spans="1:18">
      <c r="A206" s="1392"/>
      <c r="B206" s="1392"/>
      <c r="C206" s="247" t="s">
        <v>50</v>
      </c>
      <c r="D206" s="231">
        <v>0.14556752681930621</v>
      </c>
      <c r="E206" s="231">
        <v>0.15777432216329748</v>
      </c>
      <c r="F206" s="231">
        <v>0.16227605473136528</v>
      </c>
      <c r="G206" s="231">
        <v>0.15718392570546691</v>
      </c>
      <c r="H206" s="231">
        <v>0.16282048492490231</v>
      </c>
      <c r="I206" s="369">
        <v>0.16718321631691702</v>
      </c>
      <c r="J206" s="368">
        <v>0.16358658716510985</v>
      </c>
      <c r="K206" s="231">
        <v>0.1659031640531779</v>
      </c>
      <c r="L206" s="231">
        <v>0.16527860712134007</v>
      </c>
      <c r="M206" s="231">
        <v>0.16557834572061009</v>
      </c>
      <c r="N206" s="231">
        <v>0.16178933161250944</v>
      </c>
      <c r="O206" s="231">
        <v>0.1555851833177187</v>
      </c>
      <c r="P206" s="83"/>
      <c r="Q206" s="83"/>
      <c r="R206" s="83"/>
    </row>
    <row r="207" spans="1:18">
      <c r="A207" s="1392"/>
      <c r="B207" s="1392"/>
      <c r="C207" s="249" t="s">
        <v>247</v>
      </c>
      <c r="D207" s="330">
        <v>260137.92837000001</v>
      </c>
      <c r="E207" s="191">
        <v>305540.96500000003</v>
      </c>
      <c r="F207" s="191">
        <v>322098.85888999997</v>
      </c>
      <c r="G207" s="191">
        <v>342944.57552000001</v>
      </c>
      <c r="H207" s="191">
        <v>350473.04632000002</v>
      </c>
      <c r="I207" s="193">
        <v>324842.72356999991</v>
      </c>
      <c r="J207" s="194">
        <v>349191.81183000002</v>
      </c>
      <c r="K207" s="194">
        <v>274276.61962000001</v>
      </c>
      <c r="L207" s="194">
        <v>306322.94709999999</v>
      </c>
      <c r="M207" s="194">
        <v>367765.89561000001</v>
      </c>
      <c r="N207" s="194">
        <v>290200.44727</v>
      </c>
      <c r="O207" s="333">
        <v>248913.788</v>
      </c>
      <c r="P207" s="83"/>
      <c r="Q207" s="83"/>
      <c r="R207" s="83"/>
    </row>
    <row r="208" spans="1:18">
      <c r="A208" s="1392"/>
      <c r="B208" s="1392"/>
      <c r="C208" s="402" t="s">
        <v>50</v>
      </c>
      <c r="D208" s="371">
        <f>元ﾃﾞｰﾀ!F249</f>
        <v>0.17458667340878559</v>
      </c>
      <c r="E208" s="372">
        <f>元ﾃﾞｰﾀ!J249</f>
        <v>0.178079195571369</v>
      </c>
      <c r="F208" s="372">
        <f>元ﾃﾞｰﾀ!N249</f>
        <v>0.17802280233200521</v>
      </c>
      <c r="G208" s="372">
        <f>元ﾃﾞｰﾀ!Y249</f>
        <v>0.1830604026321318</v>
      </c>
      <c r="H208" s="372">
        <f>元ﾃﾞｰﾀ!AC249</f>
        <v>0.17669102429505837</v>
      </c>
      <c r="I208" s="373">
        <f>元ﾃﾞｰﾀ!AG249</f>
        <v>0.18571204152909934</v>
      </c>
      <c r="J208" s="374">
        <f>元ﾃﾞｰﾀ!BF249</f>
        <v>0.18962681560428238</v>
      </c>
      <c r="K208" s="375">
        <f>元ﾃﾞｰﾀ!BJ249</f>
        <v>0.17184002302597806</v>
      </c>
      <c r="L208" s="375">
        <f>元ﾃﾞｰﾀ!BN249</f>
        <v>0.18259970803205289</v>
      </c>
      <c r="M208" s="375">
        <f>元ﾃﾞｰﾀ!BY249</f>
        <v>0.18242334066568147</v>
      </c>
      <c r="N208" s="375">
        <f>元ﾃﾞｰﾀ!CC249</f>
        <v>0.18220123276820102</v>
      </c>
      <c r="O208" s="375">
        <f>元ﾃﾞｰﾀ!CG249</f>
        <v>0.17783494527940855</v>
      </c>
      <c r="P208" s="83"/>
      <c r="Q208" s="83"/>
      <c r="R208" s="83"/>
    </row>
    <row r="209" spans="1:18">
      <c r="A209" s="1392"/>
      <c r="B209" s="1392"/>
      <c r="C209" s="403" t="s">
        <v>250</v>
      </c>
      <c r="D209" s="353">
        <f>元ﾃﾞｰﾀ!F158</f>
        <v>403434</v>
      </c>
      <c r="E209" s="353">
        <f>元ﾃﾞｰﾀ!J158</f>
        <v>402472</v>
      </c>
      <c r="F209" s="353">
        <f>元ﾃﾞｰﾀ!N158</f>
        <v>406551.4</v>
      </c>
      <c r="G209" s="353">
        <f>元ﾃﾞｰﾀ!Y158</f>
        <v>401415.15600000002</v>
      </c>
      <c r="H209" s="353">
        <f>元ﾃﾞｰﾀ!AC158</f>
        <v>456438.5</v>
      </c>
      <c r="I209" s="376">
        <f>元ﾃﾞｰﾀ!AG158</f>
        <v>490123.8</v>
      </c>
      <c r="J209" s="377">
        <f>元ﾃﾞｰﾀ!BF158</f>
        <v>506332.8</v>
      </c>
      <c r="K209" s="353">
        <f>元ﾃﾞｰﾀ!BJ158</f>
        <v>389560</v>
      </c>
      <c r="L209" s="353">
        <f>元ﾃﾞｰﾀ!BN158</f>
        <v>408949</v>
      </c>
      <c r="M209" s="353">
        <f>元ﾃﾞｰﾀ!BY158</f>
        <v>469150.304</v>
      </c>
      <c r="N209" s="353">
        <f>元ﾃﾞｰﾀ!CC158</f>
        <v>513803</v>
      </c>
      <c r="O209" s="378">
        <f>元ﾃﾞｰﾀ!CG158</f>
        <v>375498.5</v>
      </c>
      <c r="P209" s="83"/>
      <c r="Q209" s="83"/>
      <c r="R209" s="83"/>
    </row>
    <row r="210" spans="1:18">
      <c r="A210" s="1392"/>
      <c r="B210" s="1392"/>
      <c r="C210" s="405" t="s">
        <v>50</v>
      </c>
      <c r="D210" s="379">
        <f>元ﾃﾞｰﾀ!G249</f>
        <v>0.17504920868215323</v>
      </c>
      <c r="E210" s="1308">
        <f>元ﾃﾞｰﾀ!K249</f>
        <v>0.19028500484976943</v>
      </c>
      <c r="F210" s="1308">
        <f>元ﾃﾞｰﾀ!O249</f>
        <v>0.18644752636944689</v>
      </c>
      <c r="G210" s="1308">
        <f>元ﾃﾞｰﾀ!Z249</f>
        <v>0.18109851411569924</v>
      </c>
      <c r="H210" s="1308">
        <f>元ﾃﾞｰﾀ!AD249</f>
        <v>0.18270739830943158</v>
      </c>
      <c r="I210" s="1309">
        <f>元ﾃﾞｰﾀ!AH249</f>
        <v>0.1940615837521685</v>
      </c>
      <c r="J210" s="1310">
        <f>元ﾃﾞｰﾀ!BG249</f>
        <v>0.18436816445427195</v>
      </c>
      <c r="K210" s="1311">
        <f>元ﾃﾞｰﾀ!BK249</f>
        <v>0.1684193953793432</v>
      </c>
      <c r="L210" s="1311">
        <f>元ﾃﾞｰﾀ!BO249</f>
        <v>0.18664798963496518</v>
      </c>
      <c r="M210" s="1311">
        <f>元ﾃﾞｰﾀ!BZ249</f>
        <v>0.17027470171854192</v>
      </c>
      <c r="N210" s="458">
        <f>元ﾃﾞｰﾀ!CD249</f>
        <v>0.17769886558040224</v>
      </c>
      <c r="O210" s="458">
        <f>元ﾃﾞｰﾀ!CH249</f>
        <v>0.17450914570256368</v>
      </c>
      <c r="P210" s="83"/>
      <c r="Q210" s="83"/>
      <c r="R210" s="83"/>
    </row>
    <row r="211" spans="1:18">
      <c r="A211" s="1392"/>
      <c r="B211" s="1392"/>
      <c r="C211" s="406" t="s">
        <v>251</v>
      </c>
      <c r="D211" s="355">
        <f>元ﾃﾞｰﾀ!G158</f>
        <v>487534.98130999994</v>
      </c>
      <c r="E211" s="1055">
        <f>元ﾃﾞｰﾀ!K158</f>
        <v>485792.54842000001</v>
      </c>
      <c r="F211" s="1055">
        <f>元ﾃﾞｰﾀ!O158</f>
        <v>419336.36623000004</v>
      </c>
      <c r="G211" s="1055">
        <f>元ﾃﾞｰﾀ!Z158</f>
        <v>438555.15927999996</v>
      </c>
      <c r="H211" s="1055">
        <f>元ﾃﾞｰﾀ!AD158-1</f>
        <v>475624.59742319997</v>
      </c>
      <c r="I211" s="1297">
        <f>元ﾃﾞｰﾀ!AH158</f>
        <v>474738.59576220001</v>
      </c>
      <c r="J211" s="1312">
        <f>元ﾃﾞｰﾀ!BG158</f>
        <v>430297.47766000003</v>
      </c>
      <c r="K211" s="1055">
        <f>元ﾃﾞｰﾀ!BK158</f>
        <v>360599.51661809999</v>
      </c>
      <c r="L211" s="1055">
        <f>元ﾃﾞｰﾀ!BO158</f>
        <v>392869.95275599998</v>
      </c>
      <c r="M211" s="1055">
        <f>元ﾃﾞｰﾀ!BZ158</f>
        <v>471952.70259010006</v>
      </c>
      <c r="N211" s="459">
        <f>元ﾃﾞｰﾀ!CD158</f>
        <v>376325.304</v>
      </c>
      <c r="O211" s="440">
        <f>元ﾃﾞｰﾀ!CH158</f>
        <v>254343.5</v>
      </c>
      <c r="P211" s="83"/>
      <c r="Q211" s="83"/>
      <c r="R211" s="83"/>
    </row>
    <row r="212" spans="1:18">
      <c r="A212" s="1392"/>
      <c r="B212" s="1392"/>
      <c r="C212" s="457" t="s">
        <v>49</v>
      </c>
      <c r="D212" s="381">
        <f>元ﾃﾞｰﾀ!E249</f>
        <v>0.17423454076432027</v>
      </c>
      <c r="E212" s="381">
        <f>元ﾃﾞｰﾀ!I249</f>
        <v>0.17576275210095113</v>
      </c>
      <c r="F212" s="381">
        <f>元ﾃﾞｰﾀ!M249</f>
        <v>0.17557652730918832</v>
      </c>
      <c r="G212" s="381">
        <f>元ﾃﾞｰﾀ!X249</f>
        <v>0.17642928904079247</v>
      </c>
      <c r="H212" s="381">
        <f>元ﾃﾞｰﾀ!AB249</f>
        <v>0.17428796328271617</v>
      </c>
      <c r="I212" s="382">
        <f>元ﾃﾞｰﾀ!AF249</f>
        <v>0.16856884889318802</v>
      </c>
      <c r="J212" s="383">
        <f>元ﾃﾞｰﾀ!BE249</f>
        <v>0.19119941245616404</v>
      </c>
      <c r="K212" s="384">
        <f>元ﾃﾞｰﾀ!BI249</f>
        <v>0.18376234410807041</v>
      </c>
      <c r="L212" s="384">
        <f>元ﾃﾞｰﾀ!BM249</f>
        <v>0.18038152657783454</v>
      </c>
      <c r="M212" s="384">
        <f>元ﾃﾞｰﾀ!BX249</f>
        <v>0.18537187091232965</v>
      </c>
      <c r="N212" s="384">
        <f>元ﾃﾞｰﾀ!CB249</f>
        <v>0.18252728080714975</v>
      </c>
      <c r="O212" s="384">
        <f>元ﾃﾞｰﾀ!CF249</f>
        <v>0.18494852096888842</v>
      </c>
      <c r="P212" s="83"/>
      <c r="Q212" s="83"/>
      <c r="R212" s="83"/>
    </row>
    <row r="213" spans="1:18">
      <c r="A213" s="1392"/>
      <c r="B213" s="1392"/>
      <c r="C213" s="456" t="s">
        <v>249</v>
      </c>
      <c r="D213" s="385">
        <f>元ﾃﾞｰﾀ!E158</f>
        <v>351214</v>
      </c>
      <c r="E213" s="385">
        <f>元ﾃﾞｰﾀ!I158</f>
        <v>379114</v>
      </c>
      <c r="F213" s="385">
        <f>元ﾃﾞｰﾀ!M158</f>
        <v>379982</v>
      </c>
      <c r="G213" s="385">
        <f>元ﾃﾞｰﾀ!X158</f>
        <v>371872</v>
      </c>
      <c r="H213" s="385">
        <f>元ﾃﾞｰﾀ!AB158</f>
        <v>368960</v>
      </c>
      <c r="I213" s="386">
        <f>元ﾃﾞｰﾀ!AF158</f>
        <v>345378</v>
      </c>
      <c r="J213" s="387">
        <f>元ﾃﾞｰﾀ!BE158</f>
        <v>511281</v>
      </c>
      <c r="K213" s="385">
        <f>元ﾃﾞｰﾀ!BI158</f>
        <v>410621</v>
      </c>
      <c r="L213" s="385">
        <f>元ﾃﾞｰﾀ!BM158</f>
        <v>466573</v>
      </c>
      <c r="M213" s="385">
        <f>元ﾃﾞｰﾀ!BX158</f>
        <v>456403</v>
      </c>
      <c r="N213" s="385">
        <f>元ﾃﾞｰﾀ!CB158</f>
        <v>425299</v>
      </c>
      <c r="O213" s="388">
        <f>元ﾃﾞｰﾀ!CF158</f>
        <v>365780</v>
      </c>
      <c r="P213" s="83"/>
      <c r="Q213" s="83"/>
      <c r="R213" s="83"/>
    </row>
    <row r="214" spans="1:18">
      <c r="A214" s="1392"/>
      <c r="B214" s="1392" t="s">
        <v>24</v>
      </c>
      <c r="C214" s="288" t="s">
        <v>175</v>
      </c>
      <c r="D214" s="289">
        <v>1.1200000000000001</v>
      </c>
      <c r="E214" s="289">
        <v>0.86</v>
      </c>
      <c r="F214" s="290">
        <v>1.04</v>
      </c>
      <c r="G214" s="291">
        <v>0.95</v>
      </c>
      <c r="H214" s="289">
        <v>0.71</v>
      </c>
      <c r="I214" s="389">
        <v>1.23</v>
      </c>
      <c r="J214" s="293">
        <v>0.83</v>
      </c>
      <c r="K214" s="289">
        <v>0.93</v>
      </c>
      <c r="L214" s="289">
        <v>0.88</v>
      </c>
      <c r="M214" s="289">
        <v>0.89</v>
      </c>
      <c r="N214" s="289">
        <v>1.07</v>
      </c>
      <c r="O214" s="289">
        <v>0.98</v>
      </c>
      <c r="P214" s="83"/>
      <c r="Q214" s="83"/>
      <c r="R214" s="83"/>
    </row>
    <row r="215" spans="1:18">
      <c r="A215" s="1392"/>
      <c r="B215" s="1392"/>
      <c r="C215" s="288" t="s">
        <v>176</v>
      </c>
      <c r="D215" s="289">
        <v>0.97</v>
      </c>
      <c r="E215" s="289">
        <v>0.91</v>
      </c>
      <c r="F215" s="294">
        <v>0.96</v>
      </c>
      <c r="G215" s="295">
        <v>0.96</v>
      </c>
      <c r="H215" s="289">
        <v>0.97</v>
      </c>
      <c r="I215" s="292">
        <v>1.01</v>
      </c>
      <c r="J215" s="293">
        <v>0.87</v>
      </c>
      <c r="K215" s="289">
        <v>1.01</v>
      </c>
      <c r="L215" s="289">
        <v>0.91</v>
      </c>
      <c r="M215" s="289">
        <v>1.02</v>
      </c>
      <c r="N215" s="289">
        <v>1.06</v>
      </c>
      <c r="O215" s="289">
        <v>1.01</v>
      </c>
      <c r="P215" s="83"/>
      <c r="Q215" s="83"/>
      <c r="R215" s="83"/>
    </row>
    <row r="216" spans="1:18">
      <c r="A216" s="1392"/>
      <c r="B216" s="1392"/>
      <c r="C216" s="288" t="s">
        <v>177</v>
      </c>
      <c r="D216" s="289">
        <v>0.99372700653202195</v>
      </c>
      <c r="E216" s="297">
        <v>1.0939896720367304</v>
      </c>
      <c r="F216" s="298">
        <v>0.92978988515633187</v>
      </c>
      <c r="G216" s="298">
        <v>1.0222049489091063</v>
      </c>
      <c r="H216" s="349">
        <v>0.95831434194394094</v>
      </c>
      <c r="I216" s="300">
        <v>0.91604507101620536</v>
      </c>
      <c r="J216" s="356">
        <v>0.87229073139576763</v>
      </c>
      <c r="K216" s="302">
        <v>0.93605233668350485</v>
      </c>
      <c r="L216" s="302">
        <v>0.93923676838040437</v>
      </c>
      <c r="M216" s="302">
        <v>0.94770910865718994</v>
      </c>
      <c r="N216" s="302">
        <v>0.99142928755342452</v>
      </c>
      <c r="O216" s="302">
        <v>0.95651630436974044</v>
      </c>
      <c r="P216" s="83"/>
      <c r="Q216" s="83"/>
      <c r="R216" s="83"/>
    </row>
    <row r="217" spans="1:18">
      <c r="A217" s="1392"/>
      <c r="B217" s="1392"/>
      <c r="C217" s="288" t="s">
        <v>144</v>
      </c>
      <c r="D217" s="289">
        <v>0.78826825689926827</v>
      </c>
      <c r="E217" s="297">
        <v>0.97539082131106913</v>
      </c>
      <c r="F217" s="298">
        <v>0.97241411085343943</v>
      </c>
      <c r="G217" s="298">
        <v>0.8832746496204974</v>
      </c>
      <c r="H217" s="349">
        <v>0.96458328960899953</v>
      </c>
      <c r="I217" s="300">
        <v>1.0932086526389451</v>
      </c>
      <c r="J217" s="357">
        <v>0.89892475672422945</v>
      </c>
      <c r="K217" s="318">
        <v>0.84917567903130176</v>
      </c>
      <c r="L217" s="318">
        <v>0.99898644303134332</v>
      </c>
      <c r="M217" s="318">
        <v>0.98069006323557983</v>
      </c>
      <c r="N217" s="318">
        <v>0.9791073726765025</v>
      </c>
      <c r="O217" s="302">
        <v>0.98513986092467076</v>
      </c>
      <c r="P217" s="83"/>
      <c r="Q217" s="83"/>
      <c r="R217" s="83"/>
    </row>
    <row r="218" spans="1:18">
      <c r="A218" s="1392"/>
      <c r="B218" s="1392"/>
      <c r="C218" s="288" t="s">
        <v>203</v>
      </c>
      <c r="D218" s="289">
        <v>1.2172171499653981</v>
      </c>
      <c r="E218" s="297">
        <v>1.1387525157279585</v>
      </c>
      <c r="F218" s="298">
        <v>1.0379772066036337</v>
      </c>
      <c r="G218" s="298">
        <v>1.0693341885377321</v>
      </c>
      <c r="H218" s="349">
        <v>1.0346688595112097</v>
      </c>
      <c r="I218" s="300">
        <v>1.0199794663675663</v>
      </c>
      <c r="J218" s="357">
        <v>1.1349335399251161</v>
      </c>
      <c r="K218" s="318">
        <v>1.0233730251097375</v>
      </c>
      <c r="L218" s="318">
        <v>1.0348363645269938</v>
      </c>
      <c r="M218" s="318">
        <v>1.1727565383253984</v>
      </c>
      <c r="N218" s="318">
        <v>1.100410762266101</v>
      </c>
      <c r="O218" s="302">
        <v>1.0646751685544285</v>
      </c>
      <c r="P218" s="83"/>
      <c r="Q218" s="83"/>
      <c r="R218" s="83"/>
    </row>
    <row r="219" spans="1:18">
      <c r="A219" s="1392"/>
      <c r="B219" s="1392"/>
      <c r="C219" s="442" t="s">
        <v>269</v>
      </c>
      <c r="D219" s="305">
        <f>D211/D209</f>
        <v>1.2084628001358337</v>
      </c>
      <c r="E219" s="1302">
        <f t="shared" ref="E219:O219" si="24">E211/E209</f>
        <v>1.2070219752429983</v>
      </c>
      <c r="F219" s="1302">
        <f t="shared" si="24"/>
        <v>1.0314473550699863</v>
      </c>
      <c r="G219" s="1302">
        <f t="shared" si="24"/>
        <v>1.0925226731598543</v>
      </c>
      <c r="H219" s="1302">
        <f t="shared" si="24"/>
        <v>1.0420343538575294</v>
      </c>
      <c r="I219" s="1300">
        <f t="shared" si="24"/>
        <v>0.96860955489653844</v>
      </c>
      <c r="J219" s="1303">
        <f t="shared" si="24"/>
        <v>0.849831331606406</v>
      </c>
      <c r="K219" s="1302">
        <f>K211/K209</f>
        <v>0.92565847781625421</v>
      </c>
      <c r="L219" s="1302">
        <f t="shared" si="24"/>
        <v>0.96068202332320163</v>
      </c>
      <c r="M219" s="1302">
        <f>M211/M209</f>
        <v>1.0059733491936522</v>
      </c>
      <c r="N219" s="444">
        <f t="shared" si="24"/>
        <v>0.73243111464899968</v>
      </c>
      <c r="O219" s="443">
        <f t="shared" si="24"/>
        <v>0.67734891084784621</v>
      </c>
      <c r="P219" s="83"/>
      <c r="Q219" s="83"/>
      <c r="R219" s="83"/>
    </row>
    <row r="220" spans="1:18">
      <c r="D220" s="391"/>
      <c r="E220" s="391"/>
      <c r="F220" s="391"/>
      <c r="G220" s="391"/>
      <c r="H220" s="392"/>
      <c r="I220" s="393"/>
      <c r="J220" s="391"/>
      <c r="K220" s="391"/>
      <c r="L220" s="391"/>
      <c r="M220" s="391"/>
      <c r="N220" s="391"/>
      <c r="O220" s="391"/>
    </row>
    <row r="221" spans="1:18">
      <c r="D221" s="391"/>
      <c r="E221" s="391"/>
      <c r="F221" s="391"/>
      <c r="G221" s="391"/>
      <c r="H221" s="392"/>
      <c r="I221" s="393"/>
      <c r="J221" s="391"/>
      <c r="K221" s="391"/>
      <c r="L221" s="391"/>
      <c r="M221" s="391"/>
      <c r="N221" s="391"/>
      <c r="O221" s="391"/>
    </row>
    <row r="225" spans="5:5">
      <c r="E225" s="395"/>
    </row>
  </sheetData>
  <mergeCells count="35">
    <mergeCell ref="B71:B75"/>
    <mergeCell ref="B102:B107"/>
    <mergeCell ref="B87:B101"/>
    <mergeCell ref="A87:A107"/>
    <mergeCell ref="A193:A197"/>
    <mergeCell ref="B193:B197"/>
    <mergeCell ref="A129:A164"/>
    <mergeCell ref="B129:B158"/>
    <mergeCell ref="A76:A83"/>
    <mergeCell ref="B76:B83"/>
    <mergeCell ref="A71:A75"/>
    <mergeCell ref="B108:B122"/>
    <mergeCell ref="A165:A178"/>
    <mergeCell ref="B159:B164"/>
    <mergeCell ref="B123:B128"/>
    <mergeCell ref="B187:B192"/>
    <mergeCell ref="A3:A17"/>
    <mergeCell ref="B3:B17"/>
    <mergeCell ref="B18:B32"/>
    <mergeCell ref="B63:B70"/>
    <mergeCell ref="A53:B54"/>
    <mergeCell ref="A63:A70"/>
    <mergeCell ref="A55:A62"/>
    <mergeCell ref="B55:B62"/>
    <mergeCell ref="B33:B52"/>
    <mergeCell ref="A18:A32"/>
    <mergeCell ref="A33:A52"/>
    <mergeCell ref="B214:B219"/>
    <mergeCell ref="A108:A128"/>
    <mergeCell ref="B179:B186"/>
    <mergeCell ref="B198:B213"/>
    <mergeCell ref="A198:A219"/>
    <mergeCell ref="B165:B172"/>
    <mergeCell ref="A179:A192"/>
    <mergeCell ref="B173:B178"/>
  </mergeCells>
  <phoneticPr fontId="11" type="noConversion"/>
  <pageMargins left="0.7" right="0.7" top="0.75" bottom="0.75" header="0.3" footer="0.3"/>
  <pageSetup paperSize="9" scale="48" orientation="portrait" horizontalDpi="300" verticalDpi="300" r:id="rId1"/>
  <rowBreaks count="2" manualBreakCount="2">
    <brk id="84" max="16383" man="1"/>
    <brk id="192" max="17" man="1"/>
  </rowBreaks>
  <ignoredErrors>
    <ignoredError sqref="I15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5"/>
  <sheetViews>
    <sheetView view="pageBreakPreview" zoomScale="90" zoomScaleNormal="100" zoomScaleSheetLayoutView="90" workbookViewId="0">
      <pane xSplit="3" ySplit="2" topLeftCell="D205" activePane="bottomRight" state="frozen"/>
      <selection pane="topRight" activeCell="D1" sqref="D1"/>
      <selection pane="bottomLeft" activeCell="A3" sqref="A3"/>
      <selection pane="bottomRight" activeCell="M210" sqref="M210"/>
    </sheetView>
  </sheetViews>
  <sheetFormatPr defaultColWidth="9" defaultRowHeight="15.75"/>
  <cols>
    <col min="1" max="1" width="8.875" style="84" customWidth="1"/>
    <col min="2" max="2" width="9.125" style="84" customWidth="1"/>
    <col min="3" max="3" width="20" style="390" customWidth="1"/>
    <col min="4" max="4" width="9.875" style="84" bestFit="1" customWidth="1"/>
    <col min="5" max="5" width="10" style="84" bestFit="1" customWidth="1"/>
    <col min="6" max="6" width="11.625" style="84" bestFit="1" customWidth="1"/>
    <col min="7" max="8" width="9.875" style="84" bestFit="1" customWidth="1"/>
    <col min="9" max="9" width="9.875" style="83" bestFit="1" customWidth="1"/>
    <col min="10" max="13" width="9.875" style="84" bestFit="1" customWidth="1"/>
    <col min="14" max="14" width="10.25" style="84" bestFit="1" customWidth="1"/>
    <col min="15" max="15" width="9.875" style="84" bestFit="1" customWidth="1"/>
    <col min="16" max="16" width="2.625" style="84" customWidth="1"/>
    <col min="17" max="17" width="8" style="84" customWidth="1"/>
    <col min="18" max="18" width="1.75" style="84" customWidth="1"/>
    <col min="19" max="19" width="9.75" style="84" bestFit="1" customWidth="1"/>
    <col min="20" max="16384" width="9" style="84"/>
  </cols>
  <sheetData>
    <row r="1" spans="1:18" ht="16.5">
      <c r="A1" s="105" t="s">
        <v>125</v>
      </c>
      <c r="B1" s="146"/>
      <c r="C1" s="147"/>
      <c r="D1" s="83"/>
      <c r="E1" s="83"/>
      <c r="F1" s="83"/>
      <c r="G1" s="83"/>
      <c r="H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20.25" customHeight="1">
      <c r="A2" s="148" t="s">
        <v>0</v>
      </c>
      <c r="B2" s="148" t="s">
        <v>1</v>
      </c>
      <c r="C2" s="149" t="s">
        <v>2</v>
      </c>
      <c r="D2" s="150" t="s">
        <v>3</v>
      </c>
      <c r="E2" s="150" t="s">
        <v>4</v>
      </c>
      <c r="F2" s="150" t="s">
        <v>5</v>
      </c>
      <c r="G2" s="150" t="s">
        <v>6</v>
      </c>
      <c r="H2" s="150" t="s">
        <v>7</v>
      </c>
      <c r="I2" s="1053" t="s">
        <v>413</v>
      </c>
      <c r="J2" s="152" t="s">
        <v>9</v>
      </c>
      <c r="K2" s="150" t="s">
        <v>10</v>
      </c>
      <c r="L2" s="150" t="s">
        <v>11</v>
      </c>
      <c r="M2" s="150" t="s">
        <v>12</v>
      </c>
      <c r="N2" s="150" t="s">
        <v>13</v>
      </c>
      <c r="O2" s="150" t="s">
        <v>14</v>
      </c>
      <c r="P2" s="48"/>
      <c r="Q2" s="48"/>
      <c r="R2" s="83"/>
    </row>
    <row r="3" spans="1:18" ht="13.5" customHeight="1">
      <c r="A3" s="1394" t="s">
        <v>15</v>
      </c>
      <c r="B3" s="1394" t="s">
        <v>25</v>
      </c>
      <c r="C3" s="153" t="s">
        <v>49</v>
      </c>
      <c r="D3" s="169">
        <f>税込!D3</f>
        <v>0</v>
      </c>
      <c r="E3" s="170">
        <f>税込!E3</f>
        <v>0</v>
      </c>
      <c r="F3" s="171">
        <f>税込!F3</f>
        <v>0</v>
      </c>
      <c r="G3" s="171">
        <f>税込!G3</f>
        <v>0</v>
      </c>
      <c r="H3" s="230">
        <f>税込!H3</f>
        <v>0</v>
      </c>
      <c r="I3" s="173">
        <f>税込!I3</f>
        <v>0</v>
      </c>
      <c r="J3" s="174">
        <f>税込!J3</f>
        <v>0</v>
      </c>
      <c r="K3" s="175">
        <f>税込!K3</f>
        <v>0</v>
      </c>
      <c r="L3" s="175">
        <f>税込!L3</f>
        <v>0</v>
      </c>
      <c r="M3" s="175">
        <f>税込!M3</f>
        <v>0</v>
      </c>
      <c r="N3" s="175">
        <f>税込!N3</f>
        <v>0</v>
      </c>
      <c r="O3" s="175">
        <f>税込!O3</f>
        <v>0</v>
      </c>
      <c r="P3" s="48"/>
      <c r="Q3" s="48"/>
      <c r="R3" s="83"/>
    </row>
    <row r="4" spans="1:18">
      <c r="A4" s="1395"/>
      <c r="B4" s="1395"/>
      <c r="C4" s="162" t="s">
        <v>133</v>
      </c>
      <c r="D4" s="163">
        <f>税込!D4/1.17</f>
        <v>78707.692307692312</v>
      </c>
      <c r="E4" s="163">
        <f>税込!E4/1.17</f>
        <v>93462.393162393171</v>
      </c>
      <c r="F4" s="163">
        <f>税込!F4/1.17</f>
        <v>101292.3076923077</v>
      </c>
      <c r="G4" s="163">
        <f>税込!G4/1.17</f>
        <v>77037.606837606843</v>
      </c>
      <c r="H4" s="163">
        <f>税込!H4/1.17</f>
        <v>58553.846153846156</v>
      </c>
      <c r="I4" s="460">
        <f>税込!I4/1.17</f>
        <v>86630.769230769234</v>
      </c>
      <c r="J4" s="461">
        <f>税込!J4/1.17</f>
        <v>80874.358974358984</v>
      </c>
      <c r="K4" s="165">
        <f>税込!K4/1.17</f>
        <v>59647.86324786325</v>
      </c>
      <c r="L4" s="163">
        <f>税込!L4/1.17</f>
        <v>83520.512820512828</v>
      </c>
      <c r="M4" s="163">
        <f>税込!M4/1.17</f>
        <v>110584.61538461539</v>
      </c>
      <c r="N4" s="163">
        <f>税込!N4/1.17</f>
        <v>80919.658119658125</v>
      </c>
      <c r="O4" s="163">
        <f>税込!O4/1.17</f>
        <v>57467.420512820514</v>
      </c>
      <c r="P4" s="481"/>
      <c r="Q4" s="408" t="s">
        <v>30</v>
      </c>
      <c r="R4" s="83"/>
    </row>
    <row r="5" spans="1:18">
      <c r="A5" s="1395"/>
      <c r="B5" s="1395"/>
      <c r="C5" s="153" t="s">
        <v>49</v>
      </c>
      <c r="D5" s="169">
        <f>税込!D5</f>
        <v>0</v>
      </c>
      <c r="E5" s="170">
        <f>税込!E5</f>
        <v>0</v>
      </c>
      <c r="F5" s="171">
        <f>税込!F5</f>
        <v>0.13200000000000001</v>
      </c>
      <c r="G5" s="171">
        <f>税込!G5</f>
        <v>0.11799999999999999</v>
      </c>
      <c r="H5" s="230">
        <f>税込!H5</f>
        <v>0.125</v>
      </c>
      <c r="I5" s="173">
        <f>税込!I5</f>
        <v>0.123</v>
      </c>
      <c r="J5" s="174">
        <f>税込!J5</f>
        <v>0.122</v>
      </c>
      <c r="K5" s="175">
        <f>税込!K5</f>
        <v>0.13</v>
      </c>
      <c r="L5" s="175">
        <f>税込!L5</f>
        <v>0.114</v>
      </c>
      <c r="M5" s="175">
        <f>税込!M5</f>
        <v>0.11</v>
      </c>
      <c r="N5" s="175">
        <f>税込!N5</f>
        <v>0.11799999999999999</v>
      </c>
      <c r="O5" s="175">
        <f>税込!O5</f>
        <v>0.11</v>
      </c>
      <c r="P5" s="482"/>
      <c r="Q5" s="409"/>
      <c r="R5" s="83"/>
    </row>
    <row r="6" spans="1:18">
      <c r="A6" s="1395"/>
      <c r="B6" s="1395"/>
      <c r="C6" s="162" t="s">
        <v>134</v>
      </c>
      <c r="D6" s="176">
        <f>税込!D6/1.17</f>
        <v>95438.461538461546</v>
      </c>
      <c r="E6" s="177">
        <f>税込!E6/1.17</f>
        <v>97417.948717948719</v>
      </c>
      <c r="F6" s="178">
        <f>税込!F6/1.17</f>
        <v>94376.068376068375</v>
      </c>
      <c r="G6" s="179">
        <f>税込!G6/1.17</f>
        <v>81193.162393162405</v>
      </c>
      <c r="H6" s="182">
        <f>税込!H6/1.17</f>
        <v>70601.709401709406</v>
      </c>
      <c r="I6" s="180">
        <f>税込!I6/1.17</f>
        <v>77154.700854700859</v>
      </c>
      <c r="J6" s="181">
        <f>税込!J6/1.17</f>
        <v>74590.598290598296</v>
      </c>
      <c r="K6" s="182">
        <f>税込!K6/1.17</f>
        <v>85724.786324786328</v>
      </c>
      <c r="L6" s="176">
        <f>税込!L6/1.17</f>
        <v>69714.529914529921</v>
      </c>
      <c r="M6" s="176">
        <f>税込!M6/1.17</f>
        <v>73333.333333333343</v>
      </c>
      <c r="N6" s="176">
        <f>税込!N6/1.17</f>
        <v>64011.965811965812</v>
      </c>
      <c r="O6" s="176">
        <f>税込!O6/1.17</f>
        <v>55249.572649572656</v>
      </c>
      <c r="P6" s="483"/>
      <c r="Q6" s="408" t="s">
        <v>65</v>
      </c>
      <c r="R6" s="83"/>
    </row>
    <row r="7" spans="1:18">
      <c r="A7" s="1395"/>
      <c r="B7" s="1395"/>
      <c r="C7" s="153" t="s">
        <v>49</v>
      </c>
      <c r="D7" s="183">
        <f>税込!D7</f>
        <v>0.125</v>
      </c>
      <c r="E7" s="184">
        <f>税込!E7</f>
        <v>0.14099999999999999</v>
      </c>
      <c r="F7" s="185">
        <f>税込!F7</f>
        <v>0.13600000000000001</v>
      </c>
      <c r="G7" s="185">
        <f>税込!G7</f>
        <v>0.13200000000000001</v>
      </c>
      <c r="H7" s="397">
        <f>税込!H7</f>
        <v>0.13200000000000001</v>
      </c>
      <c r="I7" s="187">
        <f>税込!I7</f>
        <v>0.13400000000000001</v>
      </c>
      <c r="J7" s="188">
        <f>税込!J7</f>
        <v>0.13500000000000001</v>
      </c>
      <c r="K7" s="189">
        <f>税込!K7</f>
        <v>0.13300000000000001</v>
      </c>
      <c r="L7" s="189">
        <f>税込!L7</f>
        <v>0.129</v>
      </c>
      <c r="M7" s="189">
        <f>税込!M7</f>
        <v>0.126</v>
      </c>
      <c r="N7" s="189">
        <f>税込!N7</f>
        <v>0.127</v>
      </c>
      <c r="O7" s="189">
        <f>税込!O7</f>
        <v>0.123</v>
      </c>
      <c r="P7" s="482"/>
      <c r="Q7" s="408"/>
      <c r="R7" s="83"/>
    </row>
    <row r="8" spans="1:18">
      <c r="A8" s="1395"/>
      <c r="B8" s="1395"/>
      <c r="C8" s="162" t="s">
        <v>135</v>
      </c>
      <c r="D8" s="176">
        <f>税込!D8/1.17</f>
        <v>96379.487179487187</v>
      </c>
      <c r="E8" s="177">
        <f>税込!E8/1.17</f>
        <v>77224.786324786328</v>
      </c>
      <c r="F8" s="178">
        <f>税込!F8/1.17</f>
        <v>78076.068376068375</v>
      </c>
      <c r="G8" s="179">
        <f>税込!G8/1.17</f>
        <v>83396.581196581203</v>
      </c>
      <c r="H8" s="182">
        <f>税込!H8/1.17</f>
        <v>84133.333333333343</v>
      </c>
      <c r="I8" s="180">
        <f>税込!I8/1.17</f>
        <v>75447.86324786325</v>
      </c>
      <c r="J8" s="181">
        <f>税込!J8/1.17</f>
        <v>66576.923076923078</v>
      </c>
      <c r="K8" s="182">
        <f>税込!K8/1.17</f>
        <v>57840.170940170945</v>
      </c>
      <c r="L8" s="176">
        <f>税込!L8/1.17</f>
        <v>64867.521367521374</v>
      </c>
      <c r="M8" s="176">
        <f>税込!M8/1.17</f>
        <v>72077.777777777781</v>
      </c>
      <c r="N8" s="176">
        <f>税込!N8/1.17</f>
        <v>74309.401709401718</v>
      </c>
      <c r="O8" s="176">
        <f>税込!O8/1.17</f>
        <v>40258.974358974359</v>
      </c>
      <c r="P8" s="484"/>
      <c r="Q8" s="408" t="s">
        <v>66</v>
      </c>
      <c r="R8" s="83"/>
    </row>
    <row r="9" spans="1:18">
      <c r="A9" s="1395"/>
      <c r="B9" s="1395"/>
      <c r="C9" s="153" t="s">
        <v>49</v>
      </c>
      <c r="D9" s="183">
        <f>税込!D9</f>
        <v>0.13023351232793828</v>
      </c>
      <c r="E9" s="184">
        <f>税込!E9</f>
        <v>0.1259382256130234</v>
      </c>
      <c r="F9" s="185">
        <f>税込!F9</f>
        <v>0.12428343203347113</v>
      </c>
      <c r="G9" s="185">
        <f>税込!G9</f>
        <v>0.12463108446800819</v>
      </c>
      <c r="H9" s="397">
        <f>税込!H9</f>
        <v>0.1175703580324219</v>
      </c>
      <c r="I9" s="187">
        <f>税込!I9</f>
        <v>0.12732766893622618</v>
      </c>
      <c r="J9" s="188">
        <f>税込!J9</f>
        <v>0.12588895985543594</v>
      </c>
      <c r="K9" s="189">
        <f>税込!K9</f>
        <v>0.12632500163881089</v>
      </c>
      <c r="L9" s="189">
        <f>税込!L9</f>
        <v>0.11596811846963033</v>
      </c>
      <c r="M9" s="189">
        <f>税込!M9</f>
        <v>0.12080513250866218</v>
      </c>
      <c r="N9" s="189">
        <f>税込!N9</f>
        <v>0.12564449128331281</v>
      </c>
      <c r="O9" s="189">
        <f>税込!O9</f>
        <v>0.12723382652319659</v>
      </c>
      <c r="P9" s="485"/>
      <c r="Q9" s="410"/>
      <c r="R9" s="83"/>
    </row>
    <row r="10" spans="1:18">
      <c r="A10" s="1395"/>
      <c r="B10" s="1395"/>
      <c r="C10" s="162" t="s">
        <v>156</v>
      </c>
      <c r="D10" s="176">
        <f>税込!D10/1.17</f>
        <v>45203.418803418805</v>
      </c>
      <c r="E10" s="177">
        <f>税込!E10/1.17</f>
        <v>66993.162393162391</v>
      </c>
      <c r="F10" s="178">
        <f>税込!F10/1.17</f>
        <v>68843.58974358975</v>
      </c>
      <c r="G10" s="179">
        <f>税込!G10/1.17</f>
        <v>63838.461538461539</v>
      </c>
      <c r="H10" s="182">
        <f>税込!H10/1.17</f>
        <v>61423.076923076929</v>
      </c>
      <c r="I10" s="180">
        <f>税込!I10/1.17</f>
        <v>70393.483452991466</v>
      </c>
      <c r="J10" s="181">
        <f>税込!J10/1.17</f>
        <v>54865.811965811969</v>
      </c>
      <c r="K10" s="182">
        <f>税込!K10/1.17</f>
        <v>53811.869854700861</v>
      </c>
      <c r="L10" s="176">
        <f>税込!L10/1.17</f>
        <v>64347.86324786325</v>
      </c>
      <c r="M10" s="176">
        <f>税込!M10/1.17</f>
        <v>57255.510598290595</v>
      </c>
      <c r="N10" s="176">
        <f>税込!N10/1.17</f>
        <v>58136.480034188033</v>
      </c>
      <c r="O10" s="176">
        <f>税込!O10/1.17</f>
        <v>27208.655350427351</v>
      </c>
      <c r="P10" s="486"/>
      <c r="Q10" s="408" t="s">
        <v>129</v>
      </c>
      <c r="R10" s="83"/>
    </row>
    <row r="11" spans="1:18">
      <c r="A11" s="1395"/>
      <c r="B11" s="1395"/>
      <c r="C11" s="153" t="s">
        <v>49</v>
      </c>
      <c r="D11" s="183">
        <f>税込!D11</f>
        <v>0.12830674285285684</v>
      </c>
      <c r="E11" s="184">
        <f>税込!E11</f>
        <v>0.12247147364108067</v>
      </c>
      <c r="F11" s="185">
        <f>税込!F11</f>
        <v>0.12342826606866018</v>
      </c>
      <c r="G11" s="185">
        <f>税込!G11</f>
        <v>0.12277694450256374</v>
      </c>
      <c r="H11" s="397">
        <f>税込!H11</f>
        <v>0.12006128996751224</v>
      </c>
      <c r="I11" s="187">
        <f>税込!I11</f>
        <v>0.12044390015896596</v>
      </c>
      <c r="J11" s="188">
        <f>税込!J11</f>
        <v>0.11760434278942712</v>
      </c>
      <c r="K11" s="189">
        <f>税込!K11</f>
        <v>0.11811495629852085</v>
      </c>
      <c r="L11" s="189">
        <f>税込!L11</f>
        <v>0.11248021986666726</v>
      </c>
      <c r="M11" s="189">
        <f>税込!M11</f>
        <v>0.10962194719862123</v>
      </c>
      <c r="N11" s="189">
        <f>税込!N11</f>
        <v>0.10692788929284255</v>
      </c>
      <c r="O11" s="189">
        <f>税込!O11</f>
        <v>0.11492353526896069</v>
      </c>
      <c r="P11" s="203"/>
      <c r="Q11" s="209"/>
      <c r="R11" s="83"/>
    </row>
    <row r="12" spans="1:18">
      <c r="A12" s="1395"/>
      <c r="B12" s="1395"/>
      <c r="C12" s="162" t="s">
        <v>270</v>
      </c>
      <c r="D12" s="176">
        <f>税込!D12/1.17</f>
        <v>55302.345162393161</v>
      </c>
      <c r="E12" s="177">
        <f>税込!E12/1.17</f>
        <v>77850.416239316241</v>
      </c>
      <c r="F12" s="178">
        <f>税込!F12/1.17</f>
        <v>67899.633264957258</v>
      </c>
      <c r="G12" s="179">
        <f>税込!G12/1.17</f>
        <v>65722.105615384615</v>
      </c>
      <c r="H12" s="182">
        <f>税込!H12/1.17</f>
        <v>68380.429957264947</v>
      </c>
      <c r="I12" s="180">
        <f>税込!I12/1.17</f>
        <v>63301.974717948702</v>
      </c>
      <c r="J12" s="181">
        <f>税込!J12/1.17</f>
        <v>74746.972196581191</v>
      </c>
      <c r="K12" s="182">
        <f>税込!K12/1.17</f>
        <v>67862.458487179494</v>
      </c>
      <c r="L12" s="176">
        <f>税込!L12/1.17</f>
        <v>69316.993136752149</v>
      </c>
      <c r="M12" s="176">
        <f>税込!M12/1.17</f>
        <v>71953.858290598306</v>
      </c>
      <c r="N12" s="176">
        <f>税込!N12/1.17</f>
        <v>64687.699376068376</v>
      </c>
      <c r="O12" s="176">
        <f>税込!O12/1.17</f>
        <v>30779.215350427352</v>
      </c>
      <c r="P12" s="203"/>
      <c r="Q12" s="209"/>
      <c r="R12" s="83"/>
    </row>
    <row r="13" spans="1:18">
      <c r="A13" s="1395"/>
      <c r="B13" s="1395"/>
      <c r="C13" s="1193" t="s">
        <v>49</v>
      </c>
      <c r="D13" s="1194">
        <f>税込!D13</f>
        <v>0.11842061281337046</v>
      </c>
      <c r="E13" s="1194">
        <f>税込!E13</f>
        <v>0.13031460674157302</v>
      </c>
      <c r="F13" s="1194">
        <f>税込!F13</f>
        <v>0.12000990099009902</v>
      </c>
      <c r="G13" s="1194">
        <f>税込!G13</f>
        <v>0.12170516904577183</v>
      </c>
      <c r="H13" s="1194">
        <f>税込!H13</f>
        <v>0.12334841628959274</v>
      </c>
      <c r="I13" s="1195">
        <f>税込!I13</f>
        <v>0.12289293849658314</v>
      </c>
      <c r="J13" s="1196">
        <f>税込!J13</f>
        <v>0.15290601265822781</v>
      </c>
      <c r="K13" s="1197">
        <f>税込!K13</f>
        <v>0.14344745762711864</v>
      </c>
      <c r="L13" s="1197">
        <f>税込!L13</f>
        <v>0.14315113636363638</v>
      </c>
      <c r="M13" s="1197">
        <f>税込!M13</f>
        <v>0.94367665824129821</v>
      </c>
      <c r="N13" s="1197">
        <f>税込!N13</f>
        <v>0.9736140040235266</v>
      </c>
      <c r="O13" s="1194">
        <f>税込!O13</f>
        <v>1</v>
      </c>
      <c r="P13" s="203"/>
      <c r="Q13" s="209"/>
      <c r="R13" s="83"/>
    </row>
    <row r="14" spans="1:18">
      <c r="A14" s="1395"/>
      <c r="B14" s="1395"/>
      <c r="C14" s="1198" t="s">
        <v>271</v>
      </c>
      <c r="D14" s="1199">
        <f>税込!D14/1.17</f>
        <v>61367.521367521374</v>
      </c>
      <c r="E14" s="1199">
        <f>税込!E14/1.17</f>
        <v>76068.376068376077</v>
      </c>
      <c r="F14" s="1199">
        <f>税込!F14/1.17</f>
        <v>86324.786324786328</v>
      </c>
      <c r="G14" s="1199">
        <f>税込!G14/1.17</f>
        <v>78632.355555555565</v>
      </c>
      <c r="H14" s="1199">
        <f>税込!H14/1.17</f>
        <v>75555.555555555562</v>
      </c>
      <c r="I14" s="1200">
        <f>税込!I14/1.17</f>
        <v>75042.735042735047</v>
      </c>
      <c r="J14" s="1201">
        <f>税込!J14/1.17</f>
        <v>81025.641025641031</v>
      </c>
      <c r="K14" s="1199">
        <f>税込!K14/1.17</f>
        <v>75641.025641025641</v>
      </c>
      <c r="L14" s="1199">
        <f>税込!L14/1.17</f>
        <v>75213.675213675218</v>
      </c>
      <c r="M14" s="1199">
        <f>税込!M14/1.17</f>
        <v>79914.529914529921</v>
      </c>
      <c r="N14" s="1199">
        <f>税込!N14/1.17</f>
        <v>54957.264957264961</v>
      </c>
      <c r="O14" s="1199">
        <f>税込!O14/1.17</f>
        <v>35384.61538461539</v>
      </c>
      <c r="P14" s="203"/>
      <c r="Q14" s="209"/>
      <c r="R14" s="83"/>
    </row>
    <row r="15" spans="1:18">
      <c r="A15" s="1395"/>
      <c r="B15" s="1395"/>
      <c r="C15" s="405" t="s">
        <v>49</v>
      </c>
      <c r="D15" s="218">
        <f>税込!D15</f>
        <v>0.11899999999999999</v>
      </c>
      <c r="E15" s="1285">
        <f>税込!E15</f>
        <v>0.1150295995574377</v>
      </c>
      <c r="F15" s="1285">
        <f>税込!F15</f>
        <v>0.11503945695111478</v>
      </c>
      <c r="G15" s="1285">
        <f>税込!G15</f>
        <v>0.11955190319873549</v>
      </c>
      <c r="H15" s="1285">
        <f>税込!H15</f>
        <v>0.11785940375127947</v>
      </c>
      <c r="I15" s="1286">
        <f>税込!I15</f>
        <v>0.12453751746548748</v>
      </c>
      <c r="J15" s="1313">
        <f>税込!J15</f>
        <v>0.13265496760293355</v>
      </c>
      <c r="K15" s="1285">
        <f>税込!K15</f>
        <v>0.1463763164683374</v>
      </c>
      <c r="L15" s="1285">
        <f>税込!L15</f>
        <v>0.14115323626512444</v>
      </c>
      <c r="M15" s="1285">
        <f>税込!M15</f>
        <v>0.15998058252427183</v>
      </c>
      <c r="N15" s="398">
        <f>税込!N15</f>
        <v>0.16018009259259258</v>
      </c>
      <c r="O15" s="399">
        <f>税込!O15</f>
        <v>0.15888308823529412</v>
      </c>
      <c r="P15" s="203"/>
      <c r="Q15" s="209"/>
      <c r="R15" s="83"/>
    </row>
    <row r="16" spans="1:18">
      <c r="A16" s="1395"/>
      <c r="B16" s="1395"/>
      <c r="C16" s="406" t="s">
        <v>272</v>
      </c>
      <c r="D16" s="219">
        <f>税込!D16/1.17</f>
        <v>88170.535897435911</v>
      </c>
      <c r="E16" s="1054">
        <f>税込!E16/1.17</f>
        <v>78683.979794871819</v>
      </c>
      <c r="F16" s="1054">
        <f>税込!F16/1.17</f>
        <v>78085.193615384618</v>
      </c>
      <c r="G16" s="1054">
        <f>税込!G16/1.17</f>
        <v>94556.86324786325</v>
      </c>
      <c r="H16" s="1054">
        <f>税込!H16/1.17</f>
        <v>79101.781358974345</v>
      </c>
      <c r="I16" s="1288">
        <f>税込!I16/1.17</f>
        <v>78587.268179487175</v>
      </c>
      <c r="J16" s="1289">
        <f>税込!J16/1.17</f>
        <v>81143.475999999995</v>
      </c>
      <c r="K16" s="1314">
        <f>税込!K16/1.17</f>
        <v>73149.438641025641</v>
      </c>
      <c r="L16" s="1376">
        <f>税込!L16/1.17</f>
        <v>75236.954316239324</v>
      </c>
      <c r="M16" s="1376">
        <f>税込!M16/1.17</f>
        <v>80874.543854700853</v>
      </c>
      <c r="N16" s="487">
        <f>税込!N16/1.17</f>
        <v>54957.264957264961</v>
      </c>
      <c r="O16" s="487">
        <f>税込!O16/1.17</f>
        <v>35384.61538461539</v>
      </c>
      <c r="P16" s="83"/>
      <c r="Q16" s="226"/>
      <c r="R16" s="83"/>
    </row>
    <row r="17" spans="1:18">
      <c r="A17" s="1393"/>
      <c r="B17" s="1393"/>
      <c r="C17" s="407" t="s">
        <v>273</v>
      </c>
      <c r="D17" s="223">
        <f>税込!D17/1.17</f>
        <v>60512.820512820515</v>
      </c>
      <c r="E17" s="223">
        <f>税込!E17/1.17</f>
        <v>67264.957264957266</v>
      </c>
      <c r="F17" s="223">
        <f>税込!F17/1.17</f>
        <v>67863.247863247874</v>
      </c>
      <c r="G17" s="223">
        <f>税込!G17/1.17</f>
        <v>67863.247863247874</v>
      </c>
      <c r="H17" s="223">
        <f>税込!H17/1.17</f>
        <v>73931.623931623937</v>
      </c>
      <c r="I17" s="224">
        <f>税込!I17/1.17</f>
        <v>79487.179487179499</v>
      </c>
      <c r="J17" s="225">
        <f>税込!J17/1.17</f>
        <v>81025.641025641031</v>
      </c>
      <c r="K17" s="223">
        <f>税込!K17/1.17</f>
        <v>85042.735042735047</v>
      </c>
      <c r="L17" s="223">
        <f>税込!L17/1.17</f>
        <v>78034.188034188046</v>
      </c>
      <c r="M17" s="223">
        <f>税込!M17/1.17</f>
        <v>79230.769230769234</v>
      </c>
      <c r="N17" s="223">
        <f>税込!N17/1.17</f>
        <v>55384.61538461539</v>
      </c>
      <c r="O17" s="223">
        <f>税込!O17/1.17</f>
        <v>34871.794871794875</v>
      </c>
      <c r="P17" s="83"/>
      <c r="Q17" s="462"/>
      <c r="R17" s="83"/>
    </row>
    <row r="18" spans="1:18">
      <c r="A18" s="1392" t="s">
        <v>20</v>
      </c>
      <c r="B18" s="1392" t="s">
        <v>25</v>
      </c>
      <c r="C18" s="153" t="s">
        <v>49</v>
      </c>
      <c r="D18" s="397">
        <f>税込!D18</f>
        <v>0</v>
      </c>
      <c r="E18" s="397">
        <f>税込!E18</f>
        <v>0</v>
      </c>
      <c r="F18" s="397">
        <f>税込!F18</f>
        <v>0</v>
      </c>
      <c r="G18" s="185">
        <f>税込!G18</f>
        <v>0</v>
      </c>
      <c r="H18" s="397">
        <f>税込!H18</f>
        <v>0</v>
      </c>
      <c r="I18" s="187">
        <f>税込!I18</f>
        <v>0</v>
      </c>
      <c r="J18" s="188">
        <f>税込!J18</f>
        <v>0</v>
      </c>
      <c r="K18" s="397">
        <f>税込!K18</f>
        <v>0</v>
      </c>
      <c r="L18" s="397">
        <f>税込!L18</f>
        <v>0</v>
      </c>
      <c r="M18" s="397">
        <f>税込!M18</f>
        <v>0</v>
      </c>
      <c r="N18" s="397">
        <f>税込!N18</f>
        <v>0</v>
      </c>
      <c r="O18" s="175">
        <f>税込!O18</f>
        <v>0</v>
      </c>
      <c r="P18" s="83"/>
      <c r="Q18" s="227"/>
      <c r="R18" s="83"/>
    </row>
    <row r="19" spans="1:18">
      <c r="A19" s="1392"/>
      <c r="B19" s="1392"/>
      <c r="C19" s="162" t="s">
        <v>133</v>
      </c>
      <c r="D19" s="165">
        <f>税込!D19/1.17</f>
        <v>79204.273504273515</v>
      </c>
      <c r="E19" s="164">
        <f>税込!E19/1.17</f>
        <v>62747.86324786325</v>
      </c>
      <c r="F19" s="165">
        <f>税込!F19/1.17</f>
        <v>92902.564102564109</v>
      </c>
      <c r="G19" s="166">
        <f>税込!G19/1.17</f>
        <v>78023.931623931625</v>
      </c>
      <c r="H19" s="165">
        <f>税込!H19/1.17</f>
        <v>52776.923076923078</v>
      </c>
      <c r="I19" s="167">
        <f>税込!I19/1.17</f>
        <v>98224.786324786328</v>
      </c>
      <c r="J19" s="168">
        <f>税込!J19/1.17</f>
        <v>37173.504273504273</v>
      </c>
      <c r="K19" s="165">
        <f>税込!K19/1.17</f>
        <v>41182.905982905984</v>
      </c>
      <c r="L19" s="165">
        <f>税込!L19/1.17</f>
        <v>53369.230769230773</v>
      </c>
      <c r="M19" s="165">
        <f>税込!M19/1.17</f>
        <v>53680.341880341883</v>
      </c>
      <c r="N19" s="165">
        <f>税込!N19/1.17</f>
        <v>69347.86324786325</v>
      </c>
      <c r="O19" s="165">
        <f>税込!O19/1.17</f>
        <v>60541.025641025648</v>
      </c>
      <c r="P19" s="83"/>
      <c r="Q19" s="83"/>
      <c r="R19" s="83"/>
    </row>
    <row r="20" spans="1:18">
      <c r="A20" s="1392"/>
      <c r="B20" s="1392"/>
      <c r="C20" s="153" t="s">
        <v>49</v>
      </c>
      <c r="D20" s="397">
        <f>税込!D20</f>
        <v>0</v>
      </c>
      <c r="E20" s="397">
        <f>税込!E20</f>
        <v>0</v>
      </c>
      <c r="F20" s="397">
        <f>税込!F20</f>
        <v>0.13600000000000001</v>
      </c>
      <c r="G20" s="185">
        <f>税込!G20</f>
        <v>0.105</v>
      </c>
      <c r="H20" s="397">
        <f>税込!H20</f>
        <v>9.1999999999999998E-2</v>
      </c>
      <c r="I20" s="187">
        <f>税込!I20</f>
        <v>9.6000000000000002E-2</v>
      </c>
      <c r="J20" s="188">
        <f>税込!J20</f>
        <v>0.113</v>
      </c>
      <c r="K20" s="397">
        <f>税込!K20</f>
        <v>0.12195098576122672</v>
      </c>
      <c r="L20" s="397">
        <f>税込!L20</f>
        <v>0.1212162673943231</v>
      </c>
      <c r="M20" s="397">
        <f>税込!M20</f>
        <v>0.10699656694458066</v>
      </c>
      <c r="N20" s="397">
        <f>税込!N20</f>
        <v>0.12099799106930334</v>
      </c>
      <c r="O20" s="230">
        <f>税込!O20</f>
        <v>0.13429059239253294</v>
      </c>
      <c r="P20" s="83"/>
      <c r="Q20" s="83"/>
      <c r="R20" s="83"/>
    </row>
    <row r="21" spans="1:18">
      <c r="A21" s="1392"/>
      <c r="B21" s="1392"/>
      <c r="C21" s="162" t="s">
        <v>134</v>
      </c>
      <c r="D21" s="182">
        <f>税込!D21/1.17</f>
        <v>83585.470085470093</v>
      </c>
      <c r="E21" s="177">
        <f>税込!E21/1.17</f>
        <v>114484.61538461539</v>
      </c>
      <c r="F21" s="178">
        <f>税込!F21/1.17</f>
        <v>108522.22222222223</v>
      </c>
      <c r="G21" s="179">
        <f>税込!G21/1.17</f>
        <v>113823.07692307694</v>
      </c>
      <c r="H21" s="182">
        <f>税込!H21/1.17</f>
        <v>82076.923076923078</v>
      </c>
      <c r="I21" s="180">
        <f>税込!I21/1.17</f>
        <v>64058.974358974359</v>
      </c>
      <c r="J21" s="181">
        <f>税込!J21/1.17</f>
        <v>64413.675213675218</v>
      </c>
      <c r="K21" s="182">
        <f>税込!K21/1.17</f>
        <v>81155.555555555562</v>
      </c>
      <c r="L21" s="182">
        <f>税込!L21/1.17</f>
        <v>88016.239316239327</v>
      </c>
      <c r="M21" s="182">
        <f>税込!M21/1.17</f>
        <v>104564.10256410258</v>
      </c>
      <c r="N21" s="182">
        <f>税込!N21/1.17</f>
        <v>89770.085470085469</v>
      </c>
      <c r="O21" s="182">
        <f>税込!O21/1.17</f>
        <v>71836.75213675214</v>
      </c>
      <c r="P21" s="83"/>
      <c r="Q21" s="83"/>
      <c r="R21" s="83"/>
    </row>
    <row r="22" spans="1:18">
      <c r="A22" s="1392"/>
      <c r="B22" s="1392"/>
      <c r="C22" s="153" t="s">
        <v>49</v>
      </c>
      <c r="D22" s="397">
        <f>税込!D22</f>
        <v>0.13200000000000001</v>
      </c>
      <c r="E22" s="185">
        <f>税込!E22</f>
        <v>0.13300000000000001</v>
      </c>
      <c r="F22" s="185">
        <f>税込!F22</f>
        <v>0.13500000000000001</v>
      </c>
      <c r="G22" s="185">
        <f>税込!G22</f>
        <v>0.13100000000000001</v>
      </c>
      <c r="H22" s="397">
        <f>税込!H22</f>
        <v>0.14399999999999999</v>
      </c>
      <c r="I22" s="187">
        <f>税込!I22</f>
        <v>0.17299999999999999</v>
      </c>
      <c r="J22" s="188">
        <f>税込!J22</f>
        <v>0.17199999999999999</v>
      </c>
      <c r="K22" s="188">
        <f>税込!K22</f>
        <v>0.16900000000000001</v>
      </c>
      <c r="L22" s="188">
        <f>税込!L22</f>
        <v>0.16800000000000001</v>
      </c>
      <c r="M22" s="188">
        <f>税込!M22</f>
        <v>0.183</v>
      </c>
      <c r="N22" s="188">
        <f>税込!N22</f>
        <v>0.17699999999999999</v>
      </c>
      <c r="O22" s="188">
        <f>税込!O22</f>
        <v>0.17599999999999999</v>
      </c>
      <c r="P22" s="83"/>
      <c r="Q22" s="83"/>
      <c r="R22" s="83"/>
    </row>
    <row r="23" spans="1:18">
      <c r="A23" s="1392"/>
      <c r="B23" s="1392"/>
      <c r="C23" s="162" t="s">
        <v>135</v>
      </c>
      <c r="D23" s="182">
        <f>税込!D23/1.17</f>
        <v>103657.26495726497</v>
      </c>
      <c r="E23" s="190">
        <f>税込!E23/1.17</f>
        <v>155627.35042735044</v>
      </c>
      <c r="F23" s="191">
        <f>税込!F23/1.17</f>
        <v>154318.80341880344</v>
      </c>
      <c r="G23" s="191">
        <f>税込!G23/1.17</f>
        <v>123049.57264957266</v>
      </c>
      <c r="H23" s="333">
        <f>税込!H23/1.17</f>
        <v>82372.649572649578</v>
      </c>
      <c r="I23" s="193">
        <f>税込!I23/1.17</f>
        <v>61467.521367521374</v>
      </c>
      <c r="J23" s="194">
        <f>税込!J23/1.17</f>
        <v>82282.905982905984</v>
      </c>
      <c r="K23" s="195">
        <f>税込!K23/1.17</f>
        <v>110298.29059829061</v>
      </c>
      <c r="L23" s="233">
        <f>税込!L23/1.17</f>
        <v>127532.47863247864</v>
      </c>
      <c r="M23" s="195">
        <f>税込!M23/1.17</f>
        <v>125283.76068376069</v>
      </c>
      <c r="N23" s="195">
        <f>税込!N23/1.17</f>
        <v>108762.39316239317</v>
      </c>
      <c r="O23" s="195">
        <f>税込!O23/1.17</f>
        <v>87665.811965811969</v>
      </c>
      <c r="P23" s="83"/>
      <c r="Q23" s="83"/>
      <c r="R23" s="83"/>
    </row>
    <row r="24" spans="1:18">
      <c r="A24" s="1392"/>
      <c r="B24" s="1392"/>
      <c r="C24" s="153" t="s">
        <v>49</v>
      </c>
      <c r="D24" s="397">
        <f>税込!D24</f>
        <v>0.18071590073279031</v>
      </c>
      <c r="E24" s="185">
        <f>税込!E24</f>
        <v>0.183</v>
      </c>
      <c r="F24" s="185">
        <f>税込!F24</f>
        <v>0.18126600141736618</v>
      </c>
      <c r="G24" s="185">
        <f>税込!G24</f>
        <v>0.18478962131837307</v>
      </c>
      <c r="H24" s="397">
        <f>税込!H24</f>
        <v>0.17717690579551018</v>
      </c>
      <c r="I24" s="187">
        <f>税込!I24</f>
        <v>0.18146886062775458</v>
      </c>
      <c r="J24" s="188">
        <f>税込!J24</f>
        <v>0.19400000000000001</v>
      </c>
      <c r="K24" s="188">
        <f>税込!K24</f>
        <v>0.19700000000000001</v>
      </c>
      <c r="L24" s="188">
        <f>税込!L24</f>
        <v>0.20193998719234865</v>
      </c>
      <c r="M24" s="188">
        <f>税込!M24</f>
        <v>0.19039666446177034</v>
      </c>
      <c r="N24" s="188">
        <f>税込!N24</f>
        <v>0.20616629566851141</v>
      </c>
      <c r="O24" s="188">
        <f>税込!O24</f>
        <v>0.19175180873836734</v>
      </c>
      <c r="P24" s="203"/>
      <c r="Q24" s="209"/>
      <c r="R24" s="83"/>
    </row>
    <row r="25" spans="1:18">
      <c r="A25" s="1392"/>
      <c r="B25" s="1392"/>
      <c r="C25" s="162" t="s">
        <v>156</v>
      </c>
      <c r="D25" s="182">
        <f>税込!D25/1.17</f>
        <v>94125.641025641031</v>
      </c>
      <c r="E25" s="190">
        <f>税込!E25/1.17</f>
        <v>103562.39316239317</v>
      </c>
      <c r="F25" s="191">
        <f>税込!F25/1.17</f>
        <v>113609.05982905984</v>
      </c>
      <c r="G25" s="191">
        <f>税込!G25/1.17</f>
        <v>109692.3076923077</v>
      </c>
      <c r="H25" s="333">
        <f>税込!H25/1.17</f>
        <v>101198.29059829061</v>
      </c>
      <c r="I25" s="193">
        <f>税込!I25/1.17</f>
        <v>108404.27350427351</v>
      </c>
      <c r="J25" s="194">
        <f>税込!J25/1.17</f>
        <v>70469.23076923078</v>
      </c>
      <c r="K25" s="195">
        <f>税込!K25/1.17</f>
        <v>71817.094017094016</v>
      </c>
      <c r="L25" s="233">
        <f>税込!L25/1.17</f>
        <v>70446.6717948718</v>
      </c>
      <c r="M25" s="195">
        <f>税込!M25/1.17</f>
        <v>78819.658119658125</v>
      </c>
      <c r="N25" s="195">
        <f>税込!N25/1.17</f>
        <v>83704.273504273515</v>
      </c>
      <c r="O25" s="195">
        <f>税込!O25/1.17</f>
        <v>74548.27948717949</v>
      </c>
      <c r="P25" s="203"/>
      <c r="Q25" s="209"/>
      <c r="R25" s="83"/>
    </row>
    <row r="26" spans="1:18">
      <c r="A26" s="1392"/>
      <c r="B26" s="1392"/>
      <c r="C26" s="153" t="s">
        <v>49</v>
      </c>
      <c r="D26" s="397">
        <f>税込!D26</f>
        <v>0.19740674246957909</v>
      </c>
      <c r="E26" s="185">
        <f>税込!E26</f>
        <v>0.2030127286200902</v>
      </c>
      <c r="F26" s="185">
        <f>税込!F26</f>
        <v>0.19753307276755705</v>
      </c>
      <c r="G26" s="185">
        <f>税込!G26</f>
        <v>0.20118087459546294</v>
      </c>
      <c r="H26" s="397">
        <f>税込!H26</f>
        <v>0.21164070007345781</v>
      </c>
      <c r="I26" s="187">
        <f>税込!I26</f>
        <v>0.21813595358974996</v>
      </c>
      <c r="J26" s="188">
        <f>税込!J26</f>
        <v>0.21513550884955751</v>
      </c>
      <c r="K26" s="188">
        <f>税込!K26</f>
        <v>0.22842999999999999</v>
      </c>
      <c r="L26" s="188">
        <f>税込!L26</f>
        <v>0.22644231862026012</v>
      </c>
      <c r="M26" s="188">
        <f>税込!M26</f>
        <v>0.21514313531922113</v>
      </c>
      <c r="N26" s="188">
        <f>税込!N26</f>
        <v>0.21039056477846532</v>
      </c>
      <c r="O26" s="188">
        <f>税込!O26</f>
        <v>0.21299999999999999</v>
      </c>
      <c r="P26" s="203"/>
      <c r="Q26" s="209"/>
      <c r="R26" s="83"/>
    </row>
    <row r="27" spans="1:18">
      <c r="A27" s="1392"/>
      <c r="B27" s="1392"/>
      <c r="C27" s="162" t="s">
        <v>270</v>
      </c>
      <c r="D27" s="182">
        <f>税込!D27/1.17+449</f>
        <v>100259.50000000001</v>
      </c>
      <c r="E27" s="190">
        <f>税込!E27/1.17</f>
        <v>137777.55897435898</v>
      </c>
      <c r="F27" s="191">
        <f>税込!F27/1.17</f>
        <v>171662.39316239319</v>
      </c>
      <c r="G27" s="191">
        <f>税込!G27/1.17</f>
        <v>159540.01623931623</v>
      </c>
      <c r="H27" s="333">
        <f>税込!H27/1.17</f>
        <v>146216.08461538461</v>
      </c>
      <c r="I27" s="193">
        <f>税込!I27/1.17</f>
        <v>128205.54273504273</v>
      </c>
      <c r="J27" s="194">
        <f>税込!J27/1.17</f>
        <v>120533.33333333334</v>
      </c>
      <c r="K27" s="195">
        <f>税込!K27/1.17</f>
        <v>77739.764957264953</v>
      </c>
      <c r="L27" s="233">
        <f>税込!L27/1.17</f>
        <v>109688.31025641027</v>
      </c>
      <c r="M27" s="195">
        <f>税込!M27/1.17</f>
        <v>137617.38888888891</v>
      </c>
      <c r="N27" s="195">
        <f>税込!N27/1.17</f>
        <v>112662.28205128205</v>
      </c>
      <c r="O27" s="195">
        <f>税込!O27/1.17</f>
        <v>92525.641025641031</v>
      </c>
      <c r="P27" s="203"/>
      <c r="Q27" s="209"/>
      <c r="R27" s="83"/>
    </row>
    <row r="28" spans="1:18">
      <c r="A28" s="1392"/>
      <c r="B28" s="1392"/>
      <c r="C28" s="1193" t="s">
        <v>49</v>
      </c>
      <c r="D28" s="1194">
        <f>税込!D28</f>
        <v>0.2117</v>
      </c>
      <c r="E28" s="1194">
        <f>税込!E28</f>
        <v>0.22699949999999997</v>
      </c>
      <c r="F28" s="1194">
        <f>税込!F28</f>
        <v>0.23864879999999997</v>
      </c>
      <c r="G28" s="1194">
        <f>税込!G28</f>
        <v>0.23975639999999998</v>
      </c>
      <c r="H28" s="1194">
        <f>税込!H28</f>
        <v>0.23400000000000001</v>
      </c>
      <c r="I28" s="1195">
        <f>税込!I28</f>
        <v>0.23599999999999999</v>
      </c>
      <c r="J28" s="1196">
        <f>税込!J28</f>
        <v>0.23600000000000004</v>
      </c>
      <c r="K28" s="1197">
        <f>税込!K28</f>
        <v>0.22522499999999998</v>
      </c>
      <c r="L28" s="1197">
        <f>税込!L28</f>
        <v>0.23399999999999999</v>
      </c>
      <c r="M28" s="1197">
        <f>税込!M28</f>
        <v>0.22999999999999998</v>
      </c>
      <c r="N28" s="1197">
        <f>税込!N28</f>
        <v>0.22900000000000001</v>
      </c>
      <c r="O28" s="1194">
        <f>税込!O28</f>
        <v>0.22900000000000001</v>
      </c>
      <c r="P28" s="83"/>
      <c r="Q28" s="83"/>
      <c r="R28" s="83"/>
    </row>
    <row r="29" spans="1:18">
      <c r="A29" s="1392"/>
      <c r="B29" s="1392"/>
      <c r="C29" s="1198" t="s">
        <v>271</v>
      </c>
      <c r="D29" s="1199">
        <f>税込!D29/1.17</f>
        <v>205128.20512820515</v>
      </c>
      <c r="E29" s="1199">
        <f>税込!E29/1.17</f>
        <v>256410.25641025644</v>
      </c>
      <c r="F29" s="1199">
        <f>税込!F29/1.17</f>
        <v>256410.25641025644</v>
      </c>
      <c r="G29" s="1199">
        <f>税込!G29/1.17</f>
        <v>213675.21367521369</v>
      </c>
      <c r="H29" s="1199">
        <f>税込!H29/1.17</f>
        <v>170940.17094017094</v>
      </c>
      <c r="I29" s="1200">
        <f>税込!I29/1.17</f>
        <v>153846.15384615384</v>
      </c>
      <c r="J29" s="1201">
        <f>税込!J29/1.17</f>
        <v>153846.15384615384</v>
      </c>
      <c r="K29" s="1199">
        <f>税込!K29/1.17</f>
        <v>102564.10256410258</v>
      </c>
      <c r="L29" s="1199">
        <f>税込!L29/1.17</f>
        <v>145299.14529914531</v>
      </c>
      <c r="M29" s="1199">
        <f>税込!M29/1.17</f>
        <v>179487.1794871795</v>
      </c>
      <c r="N29" s="1199">
        <f>税込!N29/1.17</f>
        <v>182905.98290598291</v>
      </c>
      <c r="O29" s="1199">
        <f>税込!O29/1.17</f>
        <v>130341.88034188034</v>
      </c>
      <c r="P29" s="83"/>
      <c r="Q29" s="83"/>
      <c r="R29" s="83"/>
    </row>
    <row r="30" spans="1:18">
      <c r="A30" s="1392"/>
      <c r="B30" s="1392"/>
      <c r="C30" s="405" t="s">
        <v>49</v>
      </c>
      <c r="D30" s="218">
        <f>税込!D30</f>
        <v>0.21596078941825081</v>
      </c>
      <c r="E30" s="1285">
        <f>税込!E30</f>
        <v>0.24116797586076205</v>
      </c>
      <c r="F30" s="1285">
        <f>税込!F30</f>
        <v>0.24182687351071722</v>
      </c>
      <c r="G30" s="1285">
        <f>税込!G30</f>
        <v>0.23457769696998815</v>
      </c>
      <c r="H30" s="1285">
        <f>税込!H30</f>
        <v>0.21913082236409351</v>
      </c>
      <c r="I30" s="1286">
        <f>税込!I30</f>
        <v>0.23068959561522376</v>
      </c>
      <c r="J30" s="1313">
        <f>税込!J30</f>
        <v>0.21696504141526873</v>
      </c>
      <c r="K30" s="1285">
        <f>税込!K30</f>
        <v>0.23661011680697314</v>
      </c>
      <c r="L30" s="1285">
        <f>税込!L30</f>
        <v>0.23049774210079535</v>
      </c>
      <c r="M30" s="1285">
        <f>税込!M30</f>
        <v>0.22238866142129632</v>
      </c>
      <c r="N30" s="398">
        <f>税込!N30</f>
        <v>0.22900000000000001</v>
      </c>
      <c r="O30" s="399">
        <f>税込!O30</f>
        <v>0.231075</v>
      </c>
      <c r="P30" s="83"/>
      <c r="Q30" s="83"/>
      <c r="R30" s="83"/>
    </row>
    <row r="31" spans="1:18">
      <c r="A31" s="1392"/>
      <c r="B31" s="1392"/>
      <c r="C31" s="406" t="s">
        <v>272</v>
      </c>
      <c r="D31" s="237">
        <f>税込!D31/1.17</f>
        <v>232034.85213675216</v>
      </c>
      <c r="E31" s="1054">
        <f>税込!E31/1.17</f>
        <v>263853.84615384619</v>
      </c>
      <c r="F31" s="1054">
        <f>税込!F31/1.17</f>
        <v>256782.35547008552</v>
      </c>
      <c r="G31" s="1054">
        <f>税込!G31/1.17</f>
        <v>214873.55213675217</v>
      </c>
      <c r="H31" s="1054">
        <f>税込!H31/1.17-443</f>
        <v>171277.6701709402</v>
      </c>
      <c r="I31" s="1288">
        <f>税込!I31/1.17</f>
        <v>153878.79871794872</v>
      </c>
      <c r="J31" s="1289">
        <f>税込!J31/1.17</f>
        <v>99374.658974358972</v>
      </c>
      <c r="K31" s="1314">
        <f>税込!K31/1.17</f>
        <v>100384.54957264957</v>
      </c>
      <c r="L31" s="1376">
        <f>税込!L31/1.17</f>
        <v>136799.69145299145</v>
      </c>
      <c r="M31" s="1376">
        <f>税込!M31/1.17</f>
        <v>179667.43333333335</v>
      </c>
      <c r="N31" s="487">
        <f>税込!N31/1.17</f>
        <v>128205.12820512822</v>
      </c>
      <c r="O31" s="487">
        <f>税込!O31/1.17</f>
        <v>85470.085470085469</v>
      </c>
      <c r="P31" s="226"/>
      <c r="Q31" s="226"/>
      <c r="R31" s="83"/>
    </row>
    <row r="32" spans="1:18">
      <c r="A32" s="1392"/>
      <c r="B32" s="1392"/>
      <c r="C32" s="407" t="s">
        <v>273</v>
      </c>
      <c r="D32" s="223">
        <f>税込!D32/1.17</f>
        <v>153846.15384615384</v>
      </c>
      <c r="E32" s="223">
        <f>税込!E32/1.17</f>
        <v>170940.17094017094</v>
      </c>
      <c r="F32" s="223">
        <f>税込!F32/1.17</f>
        <v>170940.17094017094</v>
      </c>
      <c r="G32" s="223">
        <f>税込!G32/1.17</f>
        <v>145299.14529914531</v>
      </c>
      <c r="H32" s="223">
        <f>税込!H32/1.17</f>
        <v>136752.13675213675</v>
      </c>
      <c r="I32" s="224">
        <f>税込!I32/1.17</f>
        <v>111111.11111111112</v>
      </c>
      <c r="J32" s="225">
        <f>税込!J32/1.17</f>
        <v>153846.15384615384</v>
      </c>
      <c r="K32" s="223">
        <f>税込!K32/1.17</f>
        <v>119658.11965811967</v>
      </c>
      <c r="L32" s="223">
        <f>税込!L32/1.17</f>
        <v>145299.14529914531</v>
      </c>
      <c r="M32" s="223">
        <f>税込!M32/1.17</f>
        <v>153846.15384615384</v>
      </c>
      <c r="N32" s="223">
        <f>税込!N32/1.17</f>
        <v>136752.13675213675</v>
      </c>
      <c r="O32" s="223">
        <f>税込!O32/1.17</f>
        <v>128205.12820512822</v>
      </c>
      <c r="P32" s="83"/>
      <c r="Q32" s="83"/>
      <c r="R32" s="83"/>
    </row>
    <row r="33" spans="1:18">
      <c r="A33" s="1392" t="s">
        <v>21</v>
      </c>
      <c r="B33" s="1392" t="s">
        <v>25</v>
      </c>
      <c r="C33" s="222" t="s">
        <v>133</v>
      </c>
      <c r="D33" s="238">
        <f>税込!D33/1.17</f>
        <v>43381.196581196586</v>
      </c>
      <c r="E33" s="238">
        <f>税込!E33/1.17</f>
        <v>6266.666666666667</v>
      </c>
      <c r="F33" s="165">
        <f>税込!F33/1.17</f>
        <v>3943.5897435897436</v>
      </c>
      <c r="G33" s="166">
        <f>税込!G33/1.17</f>
        <v>24411.111111111113</v>
      </c>
      <c r="H33" s="238">
        <f>税込!H33/1.17</f>
        <v>2364.9572649572651</v>
      </c>
      <c r="I33" s="239">
        <f>税込!I33/1.17</f>
        <v>8539.3162393162402</v>
      </c>
      <c r="J33" s="240">
        <f>税込!J33/1.17</f>
        <v>3424.7863247863252</v>
      </c>
      <c r="K33" s="238">
        <f>税込!K33/1.17</f>
        <v>5598.2905982905986</v>
      </c>
      <c r="L33" s="238">
        <f>税込!L33/1.17</f>
        <v>10688.034188034189</v>
      </c>
      <c r="M33" s="238">
        <f>税込!M33/1.17</f>
        <v>-566.66666666666674</v>
      </c>
      <c r="N33" s="238">
        <f>税込!N33/1.17</f>
        <v>18421.367521367523</v>
      </c>
      <c r="O33" s="238">
        <f>税込!O33/1.17</f>
        <v>10540.170940170941</v>
      </c>
      <c r="P33" s="83"/>
      <c r="Q33" s="241"/>
      <c r="R33" s="83"/>
    </row>
    <row r="34" spans="1:18">
      <c r="A34" s="1392"/>
      <c r="B34" s="1392"/>
      <c r="C34" s="222" t="s">
        <v>134</v>
      </c>
      <c r="D34" s="242">
        <f>税込!D34/1.17</f>
        <v>23129.914529914531</v>
      </c>
      <c r="E34" s="242">
        <f>税込!E34/1.17</f>
        <v>27722.222222222223</v>
      </c>
      <c r="F34" s="243">
        <f>税込!F34/1.17</f>
        <v>30203.418803418805</v>
      </c>
      <c r="G34" s="244">
        <f>税込!G34/1.17</f>
        <v>38238.461538461539</v>
      </c>
      <c r="H34" s="242">
        <f>税込!H34/1.17</f>
        <v>25769.23076923077</v>
      </c>
      <c r="I34" s="245">
        <f>税込!I34/1.17</f>
        <v>24641.025641025644</v>
      </c>
      <c r="J34" s="246">
        <f>税込!J34/1.17</f>
        <v>50683.760683760687</v>
      </c>
      <c r="K34" s="242">
        <f>税込!K34/1.17</f>
        <v>47759.829059829062</v>
      </c>
      <c r="L34" s="242">
        <f>税込!L34/1.17</f>
        <v>74267.521367521374</v>
      </c>
      <c r="M34" s="242">
        <f>税込!M34/1.17</f>
        <v>30872.649572649574</v>
      </c>
      <c r="N34" s="242">
        <f>税込!N34/1.17</f>
        <v>48442.735042735047</v>
      </c>
      <c r="O34" s="242">
        <f>税込!O34/1.17</f>
        <v>41925.641025641031</v>
      </c>
      <c r="P34" s="83"/>
      <c r="Q34" s="83"/>
      <c r="R34" s="83"/>
    </row>
    <row r="35" spans="1:18">
      <c r="A35" s="1392"/>
      <c r="B35" s="1392"/>
      <c r="C35" s="247" t="s">
        <v>205</v>
      </c>
      <c r="D35" s="243">
        <f>税込!D35/1.17</f>
        <v>23129.914529914531</v>
      </c>
      <c r="E35" s="155">
        <f>税込!E35/1.17</f>
        <v>27722.222222222223</v>
      </c>
      <c r="F35" s="156">
        <f>税込!F35/1.17</f>
        <v>30203.418803418805</v>
      </c>
      <c r="G35" s="156">
        <f>税込!G35/1.17</f>
        <v>35691.452991452992</v>
      </c>
      <c r="H35" s="228">
        <f>税込!H35/1.17</f>
        <v>24504.273504273508</v>
      </c>
      <c r="I35" s="158">
        <f>税込!I35/1.17</f>
        <v>6471.7948717948721</v>
      </c>
      <c r="J35" s="159">
        <f>税込!J35/1.17</f>
        <v>32714.529914529918</v>
      </c>
      <c r="K35" s="160">
        <f>税込!K35/1.17</f>
        <v>26589.74358974359</v>
      </c>
      <c r="L35" s="248">
        <f>税込!L35/1.17</f>
        <v>45443.58974358975</v>
      </c>
      <c r="M35" s="248">
        <f>税込!M35/1.17</f>
        <v>16423.076923076926</v>
      </c>
      <c r="N35" s="248">
        <f>税込!N35/1.17</f>
        <v>19429.059829059832</v>
      </c>
      <c r="O35" s="248">
        <f>税込!O35/1.17</f>
        <v>29012.820512820515</v>
      </c>
      <c r="P35" s="83"/>
      <c r="Q35" s="83"/>
      <c r="R35" s="83"/>
    </row>
    <row r="36" spans="1:18">
      <c r="A36" s="1392"/>
      <c r="B36" s="1392"/>
      <c r="C36" s="249" t="s">
        <v>206</v>
      </c>
      <c r="D36" s="182">
        <f>税込!D36/1.17</f>
        <v>0</v>
      </c>
      <c r="E36" s="190">
        <f>税込!E36/1.17</f>
        <v>0</v>
      </c>
      <c r="F36" s="191">
        <f>税込!F36/1.17</f>
        <v>0</v>
      </c>
      <c r="G36" s="191">
        <f>税込!G36/1.17</f>
        <v>2547.0085470085473</v>
      </c>
      <c r="H36" s="333">
        <f>税込!H36/1.17</f>
        <v>1264.9572649572651</v>
      </c>
      <c r="I36" s="193">
        <f>税込!I36/1.17</f>
        <v>18169.23076923077</v>
      </c>
      <c r="J36" s="194">
        <f>税込!J36/1.17</f>
        <v>17969.23076923077</v>
      </c>
      <c r="K36" s="195">
        <f>税込!K36/1.17</f>
        <v>21170.085470085472</v>
      </c>
      <c r="L36" s="250">
        <f>税込!L36/1.17</f>
        <v>28823.931623931625</v>
      </c>
      <c r="M36" s="250">
        <f>税込!M36/1.17</f>
        <v>14449.57264957265</v>
      </c>
      <c r="N36" s="250">
        <f>税込!N36/1.17</f>
        <v>29013.675213675215</v>
      </c>
      <c r="O36" s="250">
        <f>税込!O36/1.17</f>
        <v>12912.820512820514</v>
      </c>
      <c r="P36" s="83"/>
      <c r="Q36" s="83"/>
      <c r="R36" s="83"/>
    </row>
    <row r="37" spans="1:18">
      <c r="A37" s="1392"/>
      <c r="B37" s="1392"/>
      <c r="C37" s="251" t="s">
        <v>135</v>
      </c>
      <c r="D37" s="242">
        <f>税込!D37/1.17</f>
        <v>61994.871794871797</v>
      </c>
      <c r="E37" s="252">
        <f>税込!E37/1.17</f>
        <v>67805.128205128203</v>
      </c>
      <c r="F37" s="253">
        <f>税込!F37/1.17</f>
        <v>49946.153846153851</v>
      </c>
      <c r="G37" s="253">
        <f>税込!G37/1.17</f>
        <v>52581.196581196586</v>
      </c>
      <c r="H37" s="266">
        <f>税込!H37/1.17</f>
        <v>81527.350427350437</v>
      </c>
      <c r="I37" s="255">
        <f>税込!I37/1.17</f>
        <v>53723.931623931625</v>
      </c>
      <c r="J37" s="256">
        <f>税込!J37/1.17</f>
        <v>55682.051282051289</v>
      </c>
      <c r="K37" s="257">
        <f>税込!K37/1.17</f>
        <v>38822.222222222226</v>
      </c>
      <c r="L37" s="257">
        <f>税込!L37/1.17</f>
        <v>68160.683760683765</v>
      </c>
      <c r="M37" s="257">
        <f>税込!M37/1.17</f>
        <v>82703.418803418812</v>
      </c>
      <c r="N37" s="257">
        <f>税込!N37/1.17</f>
        <v>94790.598290598296</v>
      </c>
      <c r="O37" s="257">
        <f>税込!O37/1.17</f>
        <v>51417.094017094023</v>
      </c>
      <c r="P37" s="83"/>
      <c r="Q37" s="83"/>
      <c r="R37" s="83"/>
    </row>
    <row r="38" spans="1:18">
      <c r="A38" s="1392"/>
      <c r="B38" s="1392"/>
      <c r="C38" s="247" t="s">
        <v>207</v>
      </c>
      <c r="D38" s="243">
        <f>税込!D38/1.17</f>
        <v>31448.717948717949</v>
      </c>
      <c r="E38" s="155">
        <f>税込!E38/1.17</f>
        <v>33955.555555555555</v>
      </c>
      <c r="F38" s="156">
        <f>税込!F38/1.17</f>
        <v>22222.222222222223</v>
      </c>
      <c r="G38" s="156">
        <f>税込!G38/1.17</f>
        <v>37797.435897435898</v>
      </c>
      <c r="H38" s="228">
        <f>税込!H38/1.17</f>
        <v>50356.410256410258</v>
      </c>
      <c r="I38" s="158">
        <f>税込!I38/1.17</f>
        <v>26131.623931623933</v>
      </c>
      <c r="J38" s="159">
        <f>税込!J38/1.17</f>
        <v>23506.837606837609</v>
      </c>
      <c r="K38" s="160">
        <f>税込!K38/1.17</f>
        <v>19583.760683760684</v>
      </c>
      <c r="L38" s="248">
        <f>税込!L38/1.17</f>
        <v>33652.991452991453</v>
      </c>
      <c r="M38" s="248">
        <f>税込!M38/1.17</f>
        <v>31936.75213675214</v>
      </c>
      <c r="N38" s="248">
        <f>税込!N38/1.17</f>
        <v>46641.025641025641</v>
      </c>
      <c r="O38" s="248">
        <f>税込!O38/1.17</f>
        <v>25794.017094017094</v>
      </c>
      <c r="P38" s="83"/>
      <c r="Q38" s="83"/>
      <c r="R38" s="83"/>
    </row>
    <row r="39" spans="1:18">
      <c r="A39" s="1392"/>
      <c r="B39" s="1392"/>
      <c r="C39" s="249" t="s">
        <v>208</v>
      </c>
      <c r="D39" s="182">
        <f>税込!D39/1.17</f>
        <v>30546.153846153848</v>
      </c>
      <c r="E39" s="190">
        <f>税込!E39/1.17</f>
        <v>33849.572649572649</v>
      </c>
      <c r="F39" s="191">
        <f>税込!F39/1.17</f>
        <v>27723.931623931625</v>
      </c>
      <c r="G39" s="191">
        <f>税込!G39/1.17</f>
        <v>14783.760683760685</v>
      </c>
      <c r="H39" s="333">
        <f>税込!H39/1.17</f>
        <v>31170.940170940172</v>
      </c>
      <c r="I39" s="193">
        <f>税込!I39/1.17</f>
        <v>27592.307692307695</v>
      </c>
      <c r="J39" s="194">
        <f>税込!J39/1.17</f>
        <v>32175.213675213676</v>
      </c>
      <c r="K39" s="195">
        <f>税込!K39/1.17</f>
        <v>19238.461538461539</v>
      </c>
      <c r="L39" s="250">
        <f>税込!L39/1.17</f>
        <v>34507.692307692312</v>
      </c>
      <c r="M39" s="250">
        <f>税込!M39/1.17</f>
        <v>50766.666666666672</v>
      </c>
      <c r="N39" s="250">
        <f>税込!N39/1.17</f>
        <v>48149.572649572656</v>
      </c>
      <c r="O39" s="250">
        <f>税込!O39/1.17</f>
        <v>25623.076923076926</v>
      </c>
      <c r="P39" s="83"/>
      <c r="Q39" s="83"/>
      <c r="R39" s="83"/>
    </row>
    <row r="40" spans="1:18">
      <c r="A40" s="1392"/>
      <c r="B40" s="1392"/>
      <c r="C40" s="251" t="s">
        <v>156</v>
      </c>
      <c r="D40" s="242">
        <f>税込!D40/1.17</f>
        <v>70950.427350427359</v>
      </c>
      <c r="E40" s="252">
        <f>税込!E40/1.17-28</f>
        <v>59510.461538461539</v>
      </c>
      <c r="F40" s="253">
        <f>税込!F40/1.17</f>
        <v>63013.675213675218</v>
      </c>
      <c r="G40" s="253">
        <f>税込!G40/1.17</f>
        <v>59211.111111111117</v>
      </c>
      <c r="H40" s="266">
        <f>税込!H40/1.17+3</f>
        <v>73815.820512820515</v>
      </c>
      <c r="I40" s="255">
        <f>税込!I40/1.17</f>
        <v>61480.341880341883</v>
      </c>
      <c r="J40" s="256">
        <f>税込!J40/1.17+9</f>
        <v>73099.598290598296</v>
      </c>
      <c r="K40" s="257">
        <f>税込!K40/1.17</f>
        <v>59691.452991452992</v>
      </c>
      <c r="L40" s="257">
        <f>税込!L40/1.17</f>
        <v>53987.179487179492</v>
      </c>
      <c r="M40" s="257">
        <f>税込!M40/1.17</f>
        <v>60974.358974358976</v>
      </c>
      <c r="N40" s="257">
        <f>税込!N40/1.17+155</f>
        <v>60731.068376068382</v>
      </c>
      <c r="O40" s="257">
        <f>税込!O40/1.17+12</f>
        <v>61198.324786324789</v>
      </c>
      <c r="P40" s="83"/>
      <c r="Q40" s="83"/>
      <c r="R40" s="83"/>
    </row>
    <row r="41" spans="1:18">
      <c r="A41" s="1392"/>
      <c r="B41" s="1392"/>
      <c r="C41" s="247" t="s">
        <v>198</v>
      </c>
      <c r="D41" s="243">
        <f>税込!D41/1.17</f>
        <v>38178.632478632484</v>
      </c>
      <c r="E41" s="155">
        <f>税込!E41/1.17</f>
        <v>28651.282051282054</v>
      </c>
      <c r="F41" s="156">
        <f>税込!F41/1.17</f>
        <v>33009.401709401711</v>
      </c>
      <c r="G41" s="156">
        <f>税込!G41/1.17</f>
        <v>35631.623931623937</v>
      </c>
      <c r="H41" s="228">
        <f>税込!H41/1.17</f>
        <v>33976.923076923078</v>
      </c>
      <c r="I41" s="158">
        <f>税込!I41/1.17</f>
        <v>39011.965811965812</v>
      </c>
      <c r="J41" s="159">
        <f>税込!J41/1.17+10</f>
        <v>37185.213675213679</v>
      </c>
      <c r="K41" s="160">
        <f>税込!K41/1.17</f>
        <v>30335.897435897437</v>
      </c>
      <c r="L41" s="248">
        <f>税込!L41/1.17</f>
        <v>27553.846153846156</v>
      </c>
      <c r="M41" s="248">
        <f>税込!M41/1.17</f>
        <v>31588.888888888891</v>
      </c>
      <c r="N41" s="248">
        <f>税込!N41/1.17+155</f>
        <v>28614.829059829062</v>
      </c>
      <c r="O41" s="248">
        <f>税込!O41/1.17+11</f>
        <v>35036.641025641031</v>
      </c>
      <c r="P41" s="83"/>
      <c r="Q41" s="83"/>
      <c r="R41" s="83"/>
    </row>
    <row r="42" spans="1:18">
      <c r="A42" s="1392"/>
      <c r="B42" s="1392"/>
      <c r="C42" s="249" t="s">
        <v>200</v>
      </c>
      <c r="D42" s="182">
        <f>税込!D42/1.17</f>
        <v>32771.794871794875</v>
      </c>
      <c r="E42" s="190">
        <f>税込!E42/1.17</f>
        <v>30887.179487179488</v>
      </c>
      <c r="F42" s="191">
        <f>税込!F42/1.17</f>
        <v>30004.273504273508</v>
      </c>
      <c r="G42" s="191">
        <f>税込!G42/1.17</f>
        <v>23579.48717948718</v>
      </c>
      <c r="H42" s="333">
        <f>税込!H42/1.17</f>
        <v>39835.897435897437</v>
      </c>
      <c r="I42" s="193">
        <f>税込!I42/1.17</f>
        <v>22468.37606837607</v>
      </c>
      <c r="J42" s="194">
        <f>税込!J42/1.17</f>
        <v>35915.384615384617</v>
      </c>
      <c r="K42" s="195">
        <f>税込!K42/1.17</f>
        <v>29355.555555555558</v>
      </c>
      <c r="L42" s="250">
        <f>税込!L42/1.17</f>
        <v>26433.333333333336</v>
      </c>
      <c r="M42" s="250">
        <f>税込!M42/1.17</f>
        <v>29385.470085470086</v>
      </c>
      <c r="N42" s="250">
        <f>税込!N42/1.17</f>
        <v>32116.239316239316</v>
      </c>
      <c r="O42" s="250">
        <f>税込!O42/1.17</f>
        <v>26160.683760683762</v>
      </c>
      <c r="P42" s="83"/>
      <c r="Q42" s="83"/>
      <c r="R42" s="83"/>
    </row>
    <row r="43" spans="1:18">
      <c r="A43" s="1392"/>
      <c r="B43" s="1392"/>
      <c r="C43" s="251" t="s">
        <v>270</v>
      </c>
      <c r="D43" s="242">
        <f>税込!D43/1.17</f>
        <v>66982.905982905984</v>
      </c>
      <c r="E43" s="252">
        <f>税込!E43/1.17-28</f>
        <v>64367.7264957265</v>
      </c>
      <c r="F43" s="253">
        <f>税込!F43/1.17</f>
        <v>91007.692307692312</v>
      </c>
      <c r="G43" s="253">
        <f>税込!G43/1.17</f>
        <v>67423.931623931625</v>
      </c>
      <c r="H43" s="266">
        <f>税込!H43/1.17</f>
        <v>68095.7264957265</v>
      </c>
      <c r="I43" s="255">
        <f>税込!I43/1.17</f>
        <v>59990.598290598296</v>
      </c>
      <c r="J43" s="256">
        <f>税込!J43/1.17+9</f>
        <v>88455.153846153858</v>
      </c>
      <c r="K43" s="257">
        <f>税込!K43/1.17</f>
        <v>72984.61538461539</v>
      </c>
      <c r="L43" s="257">
        <f>税込!L43/1.17</f>
        <v>93891.452991452999</v>
      </c>
      <c r="M43" s="257">
        <f>税込!M43/1.17</f>
        <v>99696.581196581203</v>
      </c>
      <c r="N43" s="257">
        <f>税込!N43/1.17</f>
        <v>80758.119658119656</v>
      </c>
      <c r="O43" s="257">
        <f>税込!O43/1.17+1</f>
        <v>91557.716239316258</v>
      </c>
      <c r="P43" s="83"/>
      <c r="Q43" s="83"/>
      <c r="R43" s="83"/>
    </row>
    <row r="44" spans="1:18">
      <c r="A44" s="1392"/>
      <c r="B44" s="1392"/>
      <c r="C44" s="247" t="s">
        <v>274</v>
      </c>
      <c r="D44" s="243">
        <f>税込!D44/1.17</f>
        <v>33094.871794871797</v>
      </c>
      <c r="E44" s="155">
        <f>税込!E44/1.17</f>
        <v>42152.136752136757</v>
      </c>
      <c r="F44" s="156">
        <f>税込!F44/1.17</f>
        <v>33717.948717948719</v>
      </c>
      <c r="G44" s="156">
        <f>税込!G44/1.17</f>
        <v>40393.162393162398</v>
      </c>
      <c r="H44" s="228">
        <f>税込!H44/1.17</f>
        <v>34801.709401709406</v>
      </c>
      <c r="I44" s="158">
        <f>税込!I44/1.17</f>
        <v>29840.170940170941</v>
      </c>
      <c r="J44" s="159">
        <f>税込!J44/1.17+10</f>
        <v>34398.888888888891</v>
      </c>
      <c r="K44" s="160">
        <f>税込!K44/1.17</f>
        <v>39917.094017094023</v>
      </c>
      <c r="L44" s="248">
        <f>税込!L44/1.17</f>
        <v>33713.675213675218</v>
      </c>
      <c r="M44" s="248">
        <f>税込!M44/1.17</f>
        <v>59801.709401709406</v>
      </c>
      <c r="N44" s="248">
        <f>税込!N44/1.17+155</f>
        <v>47165.256410256414</v>
      </c>
      <c r="O44" s="248">
        <f>税込!O44/1.17+1</f>
        <v>45728.656410256415</v>
      </c>
      <c r="P44" s="83"/>
      <c r="Q44" s="83"/>
      <c r="R44" s="83"/>
    </row>
    <row r="45" spans="1:18">
      <c r="A45" s="1392"/>
      <c r="B45" s="1392"/>
      <c r="C45" s="249" t="s">
        <v>275</v>
      </c>
      <c r="D45" s="182">
        <f>税込!D45/1.17</f>
        <v>33888.034188034188</v>
      </c>
      <c r="E45" s="190">
        <f>税込!E45/1.17</f>
        <v>22243.589743589746</v>
      </c>
      <c r="F45" s="191">
        <f>税込!F45/1.17</f>
        <v>57289.743589743593</v>
      </c>
      <c r="G45" s="191">
        <f>税込!G45/1.17</f>
        <v>27030.769230769234</v>
      </c>
      <c r="H45" s="333">
        <f>税込!H45/1.17</f>
        <v>33294.017094017094</v>
      </c>
      <c r="I45" s="193">
        <f>税込!I45/1.17</f>
        <v>30150.427350427351</v>
      </c>
      <c r="J45" s="194">
        <f>税込!J45/1.17</f>
        <v>54057.264957264961</v>
      </c>
      <c r="K45" s="195">
        <f>税込!K45/1.17</f>
        <v>33067.521367521367</v>
      </c>
      <c r="L45" s="250">
        <f>税込!L45/1.17</f>
        <v>60177.777777777781</v>
      </c>
      <c r="M45" s="250">
        <f>税込!M45/1.17</f>
        <v>39894.871794871797</v>
      </c>
      <c r="N45" s="250">
        <f>税込!N45/1.17</f>
        <v>33747.86324786325</v>
      </c>
      <c r="O45" s="250">
        <f>税込!O45/1.17</f>
        <v>45829.059829059835</v>
      </c>
      <c r="P45" s="83"/>
      <c r="Q45" s="83"/>
      <c r="R45" s="83"/>
    </row>
    <row r="46" spans="1:18">
      <c r="A46" s="1392"/>
      <c r="B46" s="1392"/>
      <c r="C46" s="1202" t="s">
        <v>271</v>
      </c>
      <c r="D46" s="1203">
        <f>税込!D46/1.17</f>
        <v>86823.076923076922</v>
      </c>
      <c r="E46" s="1203">
        <f>税込!E46/1.17</f>
        <v>113675.21367521369</v>
      </c>
      <c r="F46" s="1203">
        <f>税込!F46/1.17</f>
        <v>119658.11965811967</v>
      </c>
      <c r="G46" s="1203">
        <f>税込!G46/1.17</f>
        <v>117948.71794871795</v>
      </c>
      <c r="H46" s="1203">
        <f>税込!H46/1.17</f>
        <v>117948.71794871795</v>
      </c>
      <c r="I46" s="1204">
        <f>税込!I46/1.17</f>
        <v>115384.61538461539</v>
      </c>
      <c r="J46" s="1203">
        <f>税込!J46/1.17</f>
        <v>128205.12820512822</v>
      </c>
      <c r="K46" s="1203">
        <f>税込!K46/1.17</f>
        <v>121367.52136752137</v>
      </c>
      <c r="L46" s="1203">
        <f>税込!L46/1.17</f>
        <v>124786.3247863248</v>
      </c>
      <c r="M46" s="1203">
        <f>税込!M46/1.17</f>
        <v>144871.79487179487</v>
      </c>
      <c r="N46" s="1203">
        <f>税込!N46/1.17</f>
        <v>145299.14529914531</v>
      </c>
      <c r="O46" s="1203">
        <f>税込!O46/1.17</f>
        <v>130769.23076923078</v>
      </c>
      <c r="P46" s="83"/>
      <c r="Q46" s="83"/>
      <c r="R46" s="83"/>
    </row>
    <row r="47" spans="1:18">
      <c r="A47" s="1392"/>
      <c r="B47" s="1392"/>
      <c r="C47" s="265" t="s">
        <v>276</v>
      </c>
      <c r="D47" s="1205">
        <f>税込!D47/1.17</f>
        <v>48717.948717948719</v>
      </c>
      <c r="E47" s="1205">
        <f>税込!E47/1.17</f>
        <v>66666.666666666672</v>
      </c>
      <c r="F47" s="1205">
        <f>税込!F47/1.17</f>
        <v>72649.572649572656</v>
      </c>
      <c r="G47" s="1205">
        <f>税込!G47/1.17</f>
        <v>70940.170940170938</v>
      </c>
      <c r="H47" s="1205">
        <f>税込!H47/1.17</f>
        <v>70940.170940170938</v>
      </c>
      <c r="I47" s="1206">
        <f>税込!I47/1.17</f>
        <v>68376.068376068375</v>
      </c>
      <c r="J47" s="1205">
        <f>税込!J47/1.17</f>
        <v>79487.179487179499</v>
      </c>
      <c r="K47" s="1205">
        <f>税込!K47/1.17</f>
        <v>78632.47863247864</v>
      </c>
      <c r="L47" s="1205">
        <f>税込!L47/1.17</f>
        <v>90598.290598290609</v>
      </c>
      <c r="M47" s="1205">
        <f>税込!M47/1.17</f>
        <v>109829.05982905984</v>
      </c>
      <c r="N47" s="1205">
        <f>税込!N47/1.17</f>
        <v>94017.094017094016</v>
      </c>
      <c r="O47" s="1205">
        <f>税込!O47/1.17</f>
        <v>88888.888888888891</v>
      </c>
      <c r="P47" s="83"/>
      <c r="Q47" s="83"/>
      <c r="R47" s="83"/>
    </row>
    <row r="48" spans="1:18">
      <c r="A48" s="1392"/>
      <c r="B48" s="1392"/>
      <c r="C48" s="267" t="s">
        <v>277</v>
      </c>
      <c r="D48" s="1207">
        <f>税込!D48/1.17</f>
        <v>38105.128205128211</v>
      </c>
      <c r="E48" s="1207">
        <f>税込!E48/1.17</f>
        <v>47008.547008547008</v>
      </c>
      <c r="F48" s="1207">
        <f>税込!F48/1.17</f>
        <v>47008.547008547008</v>
      </c>
      <c r="G48" s="1207">
        <f>税込!G48/1.17</f>
        <v>47008.547008547008</v>
      </c>
      <c r="H48" s="1207">
        <f>税込!H48/1.17</f>
        <v>47008.547008547008</v>
      </c>
      <c r="I48" s="1208">
        <f>税込!I48/1.17</f>
        <v>47008.547008547008</v>
      </c>
      <c r="J48" s="1207">
        <f>税込!J48/1.17</f>
        <v>48717.948717948719</v>
      </c>
      <c r="K48" s="1207">
        <f>税込!K48/1.17</f>
        <v>42735.042735042734</v>
      </c>
      <c r="L48" s="1207">
        <f>税込!L48/1.17</f>
        <v>34188.034188034188</v>
      </c>
      <c r="M48" s="1207">
        <f>税込!M48/1.17</f>
        <v>35042.735042735047</v>
      </c>
      <c r="N48" s="1207">
        <f>税込!N48/1.17</f>
        <v>51282.051282051289</v>
      </c>
      <c r="O48" s="1207">
        <f>税込!O48/1.17</f>
        <v>41880.341880341883</v>
      </c>
      <c r="P48" s="83"/>
      <c r="Q48" s="83"/>
      <c r="R48" s="83"/>
    </row>
    <row r="49" spans="1:18">
      <c r="A49" s="1392"/>
      <c r="B49" s="1392"/>
      <c r="C49" s="425" t="s">
        <v>272</v>
      </c>
      <c r="D49" s="237">
        <f>税込!D49/1.17</f>
        <v>121521.36752136753</v>
      </c>
      <c r="E49" s="1054">
        <f>税込!E49/1.17-28</f>
        <v>134456.6153846154</v>
      </c>
      <c r="F49" s="1054">
        <f>税込!F49/1.17</f>
        <v>149991.452991453</v>
      </c>
      <c r="G49" s="1054">
        <f>税込!G49/1.17</f>
        <v>129934.18803418805</v>
      </c>
      <c r="H49" s="1054">
        <f>税込!H49/1.17</f>
        <v>111313.7606837607</v>
      </c>
      <c r="I49" s="1288">
        <f>税込!I49/1.17+63</f>
        <v>133448.05425641025</v>
      </c>
      <c r="J49" s="1289">
        <f>税込!J49/1.17</f>
        <v>130105.99064102564</v>
      </c>
      <c r="K49" s="1054">
        <f>税込!K49/1.17</f>
        <v>115149.91794871796</v>
      </c>
      <c r="L49" s="1377">
        <f>税込!L49/1.17+23</f>
        <v>94385.131623931637</v>
      </c>
      <c r="M49" s="1054">
        <f>税込!M49/1.17</f>
        <v>149070.62138461537</v>
      </c>
      <c r="N49" s="400">
        <f>税込!N49/1.17</f>
        <v>97435.897435897437</v>
      </c>
      <c r="O49" s="400">
        <f>税込!O49/1.17</f>
        <v>82051.282051282062</v>
      </c>
      <c r="P49" s="83"/>
      <c r="Q49" s="226"/>
      <c r="R49" s="83"/>
    </row>
    <row r="50" spans="1:18">
      <c r="A50" s="1392"/>
      <c r="B50" s="1392"/>
      <c r="C50" s="265" t="s">
        <v>278</v>
      </c>
      <c r="D50" s="263">
        <f>税込!D50/1.17</f>
        <v>59398.290598290601</v>
      </c>
      <c r="E50" s="1290">
        <f>税込!E50/1.17</f>
        <v>92276.068376068375</v>
      </c>
      <c r="F50" s="1290">
        <f>税込!F50/1.17</f>
        <v>86698.290598290609</v>
      </c>
      <c r="G50" s="1290">
        <f>税込!G50/1.17</f>
        <v>79058.974358974359</v>
      </c>
      <c r="H50" s="1290">
        <f>税込!H50/1.17</f>
        <v>64498.803418803429</v>
      </c>
      <c r="I50" s="1291">
        <f>税込!I50/1.17+63</f>
        <v>90038.496136752146</v>
      </c>
      <c r="J50" s="1292">
        <f>税込!J50/1.17</f>
        <v>92530.419700854705</v>
      </c>
      <c r="K50" s="1290">
        <f>税込!K50/1.17</f>
        <v>69374.51196581198</v>
      </c>
      <c r="L50" s="1290">
        <f>税込!L50/1.17+23</f>
        <v>58702.48717948718</v>
      </c>
      <c r="M50" s="1290">
        <f>税込!M50/1.17</f>
        <v>124995.47950427351</v>
      </c>
      <c r="N50" s="434">
        <f>税込!N50/1.17</f>
        <v>64957.264957264961</v>
      </c>
      <c r="O50" s="434">
        <f>税込!O50/1.17</f>
        <v>57264.957264957266</v>
      </c>
      <c r="P50" s="83"/>
      <c r="Q50" s="226"/>
      <c r="R50" s="83"/>
    </row>
    <row r="51" spans="1:18">
      <c r="A51" s="1392"/>
      <c r="B51" s="1392"/>
      <c r="C51" s="267" t="s">
        <v>279</v>
      </c>
      <c r="D51" s="237">
        <f>税込!D51/1.17</f>
        <v>62123.076923076929</v>
      </c>
      <c r="E51" s="1054">
        <f>税込!E51/1.17</f>
        <v>42208.547008547008</v>
      </c>
      <c r="F51" s="1054">
        <f>税込!F51/1.17</f>
        <v>63293.162393162398</v>
      </c>
      <c r="G51" s="1054">
        <f>税込!G51/1.17</f>
        <v>50875.213675213679</v>
      </c>
      <c r="H51" s="1054">
        <f>税込!H51/1.17</f>
        <v>46814.957264957266</v>
      </c>
      <c r="I51" s="1288">
        <f>税込!I51/1.17</f>
        <v>43409.558119658119</v>
      </c>
      <c r="J51" s="1289">
        <f>税込!J51/1.17</f>
        <v>37575.570940170939</v>
      </c>
      <c r="K51" s="1054">
        <f>税込!K51/1.17</f>
        <v>45775.405982905984</v>
      </c>
      <c r="L51" s="1054">
        <f>税込!L51/1.17</f>
        <v>35682.64444444445</v>
      </c>
      <c r="M51" s="1054">
        <f>税込!M51/1.17</f>
        <v>24075.141880341882</v>
      </c>
      <c r="N51" s="400">
        <f>税込!N51/1.17</f>
        <v>32478.63247863248</v>
      </c>
      <c r="O51" s="400">
        <f>税込!O51/1.17</f>
        <v>24786.324786324789</v>
      </c>
      <c r="P51" s="83"/>
      <c r="Q51" s="226"/>
      <c r="R51" s="83"/>
    </row>
    <row r="52" spans="1:18">
      <c r="A52" s="1392"/>
      <c r="B52" s="1392"/>
      <c r="C52" s="407" t="s">
        <v>273</v>
      </c>
      <c r="D52" s="223">
        <f>税込!D52/1.17</f>
        <v>86823.076923076922</v>
      </c>
      <c r="E52" s="223">
        <f>税込!E52/1.17</f>
        <v>86823.076923076922</v>
      </c>
      <c r="F52" s="223">
        <f>税込!F52/1.17</f>
        <v>86823.076923076922</v>
      </c>
      <c r="G52" s="223">
        <f>税込!G52/1.17</f>
        <v>96509.401709401718</v>
      </c>
      <c r="H52" s="223">
        <f>税込!H52/1.17</f>
        <v>96509.401709401718</v>
      </c>
      <c r="I52" s="224">
        <f>税込!I52/1.17</f>
        <v>96509.401709401718</v>
      </c>
      <c r="J52" s="225">
        <f>税込!J52/1.17</f>
        <v>124884.61538461539</v>
      </c>
      <c r="K52" s="223">
        <f>税込!K52/1.17</f>
        <v>124884.61538461539</v>
      </c>
      <c r="L52" s="223">
        <f>税込!L52/1.17</f>
        <v>124884.61538461539</v>
      </c>
      <c r="M52" s="223">
        <f>税込!M52/1.17</f>
        <v>125064.10256410258</v>
      </c>
      <c r="N52" s="223">
        <f>税込!N52/1.17</f>
        <v>125064.10256410258</v>
      </c>
      <c r="O52" s="223">
        <f>税込!O52/1.17</f>
        <v>125064.10256410258</v>
      </c>
      <c r="P52" s="83"/>
      <c r="Q52" s="226"/>
      <c r="R52" s="83"/>
    </row>
    <row r="53" spans="1:18">
      <c r="A53" s="1396" t="s">
        <v>58</v>
      </c>
      <c r="B53" s="1396"/>
      <c r="C53" s="247" t="s">
        <v>209</v>
      </c>
      <c r="D53" s="228">
        <f>税込!D53/1.17</f>
        <v>48717.948717948719</v>
      </c>
      <c r="E53" s="228">
        <f>税込!E53/1.17</f>
        <v>48717.948717948719</v>
      </c>
      <c r="F53" s="228">
        <f>税込!F53/1.17</f>
        <v>48717.948717948719</v>
      </c>
      <c r="G53" s="228">
        <f>税込!G53/1.17</f>
        <v>58404.273504273508</v>
      </c>
      <c r="H53" s="228">
        <f>税込!H53/1.17</f>
        <v>58404.273504273508</v>
      </c>
      <c r="I53" s="158">
        <f>税込!I53/1.17</f>
        <v>58404.273504273508</v>
      </c>
      <c r="J53" s="159">
        <f>税込!J53/1.17</f>
        <v>76923.076923076922</v>
      </c>
      <c r="K53" s="160">
        <f>税込!K53/1.17</f>
        <v>76923.076923076922</v>
      </c>
      <c r="L53" s="160">
        <f>税込!L53/1.17</f>
        <v>76923.076923076922</v>
      </c>
      <c r="M53" s="160">
        <f>税込!M53/1.17</f>
        <v>76923.076923076922</v>
      </c>
      <c r="N53" s="160">
        <f>税込!N53/1.17</f>
        <v>76923.076923076922</v>
      </c>
      <c r="O53" s="160">
        <f>税込!O53/1.17</f>
        <v>76923.076923076922</v>
      </c>
      <c r="P53" s="83"/>
      <c r="Q53" s="226"/>
      <c r="R53" s="83"/>
    </row>
    <row r="54" spans="1:18">
      <c r="A54" s="1396"/>
      <c r="B54" s="1396"/>
      <c r="C54" s="249" t="s">
        <v>210</v>
      </c>
      <c r="D54" s="333">
        <f>税込!D54/1.17</f>
        <v>38105.128205128211</v>
      </c>
      <c r="E54" s="195">
        <f>税込!E54/1.17</f>
        <v>38105.128205128211</v>
      </c>
      <c r="F54" s="195">
        <f>税込!F54/1.17</f>
        <v>38105.128205128211</v>
      </c>
      <c r="G54" s="268">
        <f>税込!G54/1.17</f>
        <v>38105.128205128211</v>
      </c>
      <c r="H54" s="195">
        <f>税込!H54/1.17</f>
        <v>38105.128205128211</v>
      </c>
      <c r="I54" s="488">
        <f>税込!I54/1.17</f>
        <v>38105.128205128211</v>
      </c>
      <c r="J54" s="194">
        <f>税込!J54/1.17</f>
        <v>47961.538461538461</v>
      </c>
      <c r="K54" s="195">
        <f>税込!K54/1.17</f>
        <v>47961.538461538461</v>
      </c>
      <c r="L54" s="195">
        <f>税込!L54/1.17</f>
        <v>47961.538461538461</v>
      </c>
      <c r="M54" s="195">
        <f>税込!M54/1.17</f>
        <v>48141.025641025641</v>
      </c>
      <c r="N54" s="195">
        <f>税込!N54/1.17</f>
        <v>48141.025641025641</v>
      </c>
      <c r="O54" s="195">
        <f>税込!O54/1.17</f>
        <v>48141.025641025641</v>
      </c>
      <c r="P54" s="83"/>
      <c r="Q54" s="226"/>
      <c r="R54" s="83"/>
    </row>
    <row r="55" spans="1:18">
      <c r="A55" s="1392" t="s">
        <v>22</v>
      </c>
      <c r="B55" s="1392" t="s">
        <v>25</v>
      </c>
      <c r="C55" s="222" t="s">
        <v>133</v>
      </c>
      <c r="D55" s="238">
        <f>税込!D55/1.17</f>
        <v>2747.863247863248</v>
      </c>
      <c r="E55" s="238">
        <f>税込!E55/1.17</f>
        <v>4838.461538461539</v>
      </c>
      <c r="F55" s="165">
        <f>税込!F55/1.17</f>
        <v>12030.769230769232</v>
      </c>
      <c r="G55" s="166">
        <f>税込!G55/1.17</f>
        <v>23646.153846153848</v>
      </c>
      <c r="H55" s="238">
        <f>税込!H55/1.17</f>
        <v>21625.641025641027</v>
      </c>
      <c r="I55" s="239">
        <f>税込!I55/1.17</f>
        <v>1794.0170940170942</v>
      </c>
      <c r="J55" s="240">
        <f>税込!J55/1.17</f>
        <v>1930.7692307692309</v>
      </c>
      <c r="K55" s="238">
        <f>税込!K55/1.17</f>
        <v>6164.1025641025644</v>
      </c>
      <c r="L55" s="238">
        <f>税込!L55/1.17</f>
        <v>6124.7863247863252</v>
      </c>
      <c r="M55" s="238">
        <f>税込!M55/1.17</f>
        <v>916.23931623931628</v>
      </c>
      <c r="N55" s="238">
        <f>税込!N55/1.17</f>
        <v>4222.2222222222226</v>
      </c>
      <c r="O55" s="238">
        <f>税込!O55/1.17</f>
        <v>17125.641025641027</v>
      </c>
      <c r="P55" s="83"/>
      <c r="Q55" s="83"/>
      <c r="R55" s="83"/>
    </row>
    <row r="56" spans="1:18">
      <c r="A56" s="1392"/>
      <c r="B56" s="1392"/>
      <c r="C56" s="222" t="s">
        <v>134</v>
      </c>
      <c r="D56" s="242">
        <f>税込!D56/1.17</f>
        <v>8782.9059829059843</v>
      </c>
      <c r="E56" s="242">
        <f>税込!E56/1.17</f>
        <v>4600</v>
      </c>
      <c r="F56" s="243">
        <f>税込!F56/1.17</f>
        <v>4694.0170940170947</v>
      </c>
      <c r="G56" s="244">
        <f>税込!G56/1.17</f>
        <v>11610.25641025641</v>
      </c>
      <c r="H56" s="242">
        <f>税込!H56/1.17</f>
        <v>2571.7948717948721</v>
      </c>
      <c r="I56" s="245">
        <f>税込!I56/1.17</f>
        <v>23987.179487179488</v>
      </c>
      <c r="J56" s="246">
        <f>税込!J56/1.17</f>
        <v>1135.0427350427351</v>
      </c>
      <c r="K56" s="242">
        <f>税込!K56/1.17</f>
        <v>1249.5726495726497</v>
      </c>
      <c r="L56" s="242">
        <f>税込!L56/1.17</f>
        <v>5572.6495726495732</v>
      </c>
      <c r="M56" s="242">
        <f>税込!M56/1.17</f>
        <v>8575.2136752136757</v>
      </c>
      <c r="N56" s="242">
        <f>税込!N56/1.17</f>
        <v>3874.3589743589746</v>
      </c>
      <c r="O56" s="242">
        <f>税込!O56/1.17</f>
        <v>-4558.1196581196582</v>
      </c>
      <c r="P56" s="83"/>
      <c r="Q56" s="83"/>
      <c r="R56" s="83"/>
    </row>
    <row r="57" spans="1:18">
      <c r="A57" s="1392"/>
      <c r="B57" s="1392"/>
      <c r="C57" s="222" t="s">
        <v>135</v>
      </c>
      <c r="D57" s="242">
        <f>税込!D57/1.17</f>
        <v>3441.0256410256411</v>
      </c>
      <c r="E57" s="252">
        <f>税込!E57/1.17</f>
        <v>7335.0427350427353</v>
      </c>
      <c r="F57" s="253">
        <f>税込!F57/1.17</f>
        <v>6912.8205128205136</v>
      </c>
      <c r="G57" s="253">
        <f>税込!G57/1.17</f>
        <v>13477.777777777779</v>
      </c>
      <c r="H57" s="266">
        <f>税込!H57/1.17</f>
        <v>11256.410256410258</v>
      </c>
      <c r="I57" s="255">
        <f>税込!I57/1.17</f>
        <v>1331.6239316239316</v>
      </c>
      <c r="J57" s="256">
        <f>税込!J57/1.17</f>
        <v>1799.1452991452993</v>
      </c>
      <c r="K57" s="257">
        <f>税込!K57/1.17</f>
        <v>1904.2735042735044</v>
      </c>
      <c r="L57" s="257">
        <f>税込!L57/1.17</f>
        <v>-326.4957264957265</v>
      </c>
      <c r="M57" s="257">
        <f>税込!M57/1.17</f>
        <v>1940.1709401709402</v>
      </c>
      <c r="N57" s="257">
        <f>税込!N57/1.17</f>
        <v>49.572649572649574</v>
      </c>
      <c r="O57" s="257">
        <f>税込!O57/1.17</f>
        <v>2600.8547008547012</v>
      </c>
      <c r="P57" s="83"/>
      <c r="Q57" s="83"/>
      <c r="R57" s="83"/>
    </row>
    <row r="58" spans="1:18">
      <c r="A58" s="1392"/>
      <c r="B58" s="1392"/>
      <c r="C58" s="222" t="s">
        <v>156</v>
      </c>
      <c r="D58" s="242">
        <f>税込!D58/1.17</f>
        <v>3658.1196581196582</v>
      </c>
      <c r="E58" s="252">
        <f>税込!E58/1.17</f>
        <v>1171.7948717948718</v>
      </c>
      <c r="F58" s="253">
        <f>税込!F58/1.17</f>
        <v>65.81196581196582</v>
      </c>
      <c r="G58" s="253">
        <f>税込!G58/1.17</f>
        <v>4302.529914529915</v>
      </c>
      <c r="H58" s="266">
        <f>税込!H58/1.17+54</f>
        <v>3256.8205128205132</v>
      </c>
      <c r="I58" s="255">
        <f>税込!I58/1.17</f>
        <v>2847.0085470085473</v>
      </c>
      <c r="J58" s="256">
        <f>税込!J58/1.17</f>
        <v>1027.3504273504275</v>
      </c>
      <c r="K58" s="257">
        <f>税込!K58/1.17</f>
        <v>838.46153846153857</v>
      </c>
      <c r="L58" s="257">
        <f>税込!L58/1.17</f>
        <v>1393.1623931623933</v>
      </c>
      <c r="M58" s="257">
        <f>税込!M58/1.17</f>
        <v>2063.0461538461541</v>
      </c>
      <c r="N58" s="257">
        <f>税込!N58/1.17</f>
        <v>723.07264957264965</v>
      </c>
      <c r="O58" s="257">
        <f>税込!O58/1.17</f>
        <v>719.85811965811979</v>
      </c>
      <c r="P58" s="83"/>
      <c r="Q58" s="83"/>
      <c r="R58" s="83"/>
    </row>
    <row r="59" spans="1:18">
      <c r="A59" s="1392"/>
      <c r="B59" s="1392"/>
      <c r="C59" s="222" t="s">
        <v>247</v>
      </c>
      <c r="D59" s="242">
        <f>税込!D59/1.17</f>
        <v>1248.7179487179487</v>
      </c>
      <c r="E59" s="252">
        <f>税込!E59/1.17+690</f>
        <v>6623.4188034188037</v>
      </c>
      <c r="F59" s="253">
        <f>税込!F59/1.17+64</f>
        <v>2821.6794871794868</v>
      </c>
      <c r="G59" s="253">
        <f>税込!G59/1.17+17</f>
        <v>672.2452991452991</v>
      </c>
      <c r="H59" s="266">
        <f>税込!H59/1.17</f>
        <v>5011.4410256410256</v>
      </c>
      <c r="I59" s="255">
        <f>税込!I59/1.17</f>
        <v>-14113.270085470087</v>
      </c>
      <c r="J59" s="256">
        <f>税込!J59/1.17</f>
        <v>719.65811965811974</v>
      </c>
      <c r="K59" s="257">
        <f>税込!K59/1.17</f>
        <v>295.88034188034192</v>
      </c>
      <c r="L59" s="257">
        <f>税込!L59/1.17</f>
        <v>1566.431623931624</v>
      </c>
      <c r="M59" s="257">
        <f>税込!M59/1.17</f>
        <v>720.21111111111122</v>
      </c>
      <c r="N59" s="257">
        <f>税込!N59/1.17</f>
        <v>1.4529914529914434</v>
      </c>
      <c r="O59" s="257">
        <f>税込!O59/1.17-4</f>
        <v>-782.27692307692303</v>
      </c>
      <c r="P59" s="83"/>
      <c r="Q59" s="83"/>
      <c r="R59" s="83"/>
    </row>
    <row r="60" spans="1:18">
      <c r="A60" s="1392"/>
      <c r="B60" s="1392"/>
      <c r="C60" s="1209" t="s">
        <v>250</v>
      </c>
      <c r="D60" s="1210">
        <f>税込!D60/1.17</f>
        <v>0</v>
      </c>
      <c r="E60" s="1210">
        <f>税込!E60/1.17</f>
        <v>0</v>
      </c>
      <c r="F60" s="1210">
        <f>税込!F60/1.17</f>
        <v>208.54700854700857</v>
      </c>
      <c r="G60" s="1210">
        <f>税込!G60/1.17</f>
        <v>163.50427350427353</v>
      </c>
      <c r="H60" s="1210">
        <f>税込!H60/1.17</f>
        <v>84.615384615384627</v>
      </c>
      <c r="I60" s="1211">
        <f>税込!I60/1.17</f>
        <v>210.25641025641028</v>
      </c>
      <c r="J60" s="1212">
        <f>税込!J60/1.17</f>
        <v>210.25641025641028</v>
      </c>
      <c r="K60" s="1210">
        <f>税込!K60/1.17</f>
        <v>84.615384615384627</v>
      </c>
      <c r="L60" s="1210">
        <f>税込!L60/1.17</f>
        <v>0</v>
      </c>
      <c r="M60" s="1210">
        <f>税込!M60/1.17</f>
        <v>0</v>
      </c>
      <c r="N60" s="1210">
        <f>税込!N60/1.17</f>
        <v>0</v>
      </c>
      <c r="O60" s="1210">
        <f>税込!O60/1.17</f>
        <v>0</v>
      </c>
      <c r="P60" s="83"/>
      <c r="Q60" s="83"/>
      <c r="R60" s="83"/>
    </row>
    <row r="61" spans="1:18">
      <c r="A61" s="1392"/>
      <c r="B61" s="1392"/>
      <c r="C61" s="425" t="s">
        <v>251</v>
      </c>
      <c r="D61" s="237">
        <f>税込!D61/1.17</f>
        <v>5072.6495726495732</v>
      </c>
      <c r="E61" s="1054">
        <f>税込!E61/1.17</f>
        <v>0</v>
      </c>
      <c r="F61" s="1054">
        <f>税込!F61/1.17</f>
        <v>4854.7008547008554</v>
      </c>
      <c r="G61" s="1054">
        <f>税込!G61/1.17-9</f>
        <v>239.11965811965814</v>
      </c>
      <c r="H61" s="1054">
        <f>税込!H61/1.17</f>
        <v>0</v>
      </c>
      <c r="I61" s="1288">
        <f>税込!I61/1.17</f>
        <v>0</v>
      </c>
      <c r="J61" s="1289">
        <f>税込!J61/1.17</f>
        <v>0</v>
      </c>
      <c r="K61" s="1054">
        <f>税込!K61/1.17</f>
        <v>210.25641025641028</v>
      </c>
      <c r="L61" s="1054">
        <f>税込!L61/1.17</f>
        <v>0</v>
      </c>
      <c r="M61" s="1054">
        <f>税込!M61/1.17</f>
        <v>166.83760683760684</v>
      </c>
      <c r="N61" s="400">
        <f>税込!N61/1.17</f>
        <v>0</v>
      </c>
      <c r="O61" s="400">
        <f>税込!O61/1.17</f>
        <v>0</v>
      </c>
      <c r="P61" s="83"/>
      <c r="Q61" s="83"/>
      <c r="R61" s="83"/>
    </row>
    <row r="62" spans="1:18">
      <c r="A62" s="1392"/>
      <c r="B62" s="1392"/>
      <c r="C62" s="407" t="s">
        <v>280</v>
      </c>
      <c r="D62" s="223">
        <f>税込!D62/1.17</f>
        <v>0</v>
      </c>
      <c r="E62" s="223">
        <f>税込!E62/1.17</f>
        <v>0</v>
      </c>
      <c r="F62" s="223">
        <f>税込!F62/1.17</f>
        <v>0</v>
      </c>
      <c r="G62" s="223">
        <f>税込!G62/1.17</f>
        <v>0</v>
      </c>
      <c r="H62" s="223">
        <f>税込!H62/1.17</f>
        <v>0</v>
      </c>
      <c r="I62" s="224">
        <f>税込!I62/1.17</f>
        <v>0</v>
      </c>
      <c r="J62" s="225">
        <f>税込!J62/1.17</f>
        <v>0</v>
      </c>
      <c r="K62" s="223">
        <f>税込!K62/1.17</f>
        <v>0</v>
      </c>
      <c r="L62" s="223">
        <f>税込!L62/1.17</f>
        <v>0</v>
      </c>
      <c r="M62" s="223">
        <f>税込!M62/1.17</f>
        <v>0</v>
      </c>
      <c r="N62" s="223">
        <f>税込!N62/1.17</f>
        <v>0</v>
      </c>
      <c r="O62" s="223">
        <f>税込!O62/1.17</f>
        <v>0</v>
      </c>
      <c r="P62" s="83"/>
      <c r="Q62" s="83"/>
      <c r="R62" s="83"/>
    </row>
    <row r="63" spans="1:18">
      <c r="A63" s="1392" t="s">
        <v>240</v>
      </c>
      <c r="B63" s="1392" t="s">
        <v>25</v>
      </c>
      <c r="C63" s="222" t="s">
        <v>133</v>
      </c>
      <c r="D63" s="238">
        <f>税込!D63/1.17</f>
        <v>1888.8888888888889</v>
      </c>
      <c r="E63" s="238">
        <f>税込!E63/1.17</f>
        <v>1729.91452991453</v>
      </c>
      <c r="F63" s="165">
        <f>税込!F63/1.17</f>
        <v>1078.6324786324788</v>
      </c>
      <c r="G63" s="166">
        <f>税込!G63/1.17</f>
        <v>3258.9743589743593</v>
      </c>
      <c r="H63" s="238">
        <f>税込!H63/1.17</f>
        <v>1598.2905982905984</v>
      </c>
      <c r="I63" s="239">
        <f>税込!I63/1.17</f>
        <v>2400</v>
      </c>
      <c r="J63" s="240">
        <f>税込!J63/1.17</f>
        <v>1374.3589743589744</v>
      </c>
      <c r="K63" s="238">
        <f>税込!K63/1.17</f>
        <v>1017.0940170940172</v>
      </c>
      <c r="L63" s="238">
        <f>税込!L63/1.17</f>
        <v>1647.863247863248</v>
      </c>
      <c r="M63" s="238">
        <f>税込!M63/1.17</f>
        <v>1371.7948717948718</v>
      </c>
      <c r="N63" s="238">
        <f>税込!N63/1.17</f>
        <v>819.65811965811974</v>
      </c>
      <c r="O63" s="238">
        <f>税込!O63/1.17</f>
        <v>510.25641025641028</v>
      </c>
      <c r="P63" s="83"/>
      <c r="Q63" s="83"/>
      <c r="R63" s="83"/>
    </row>
    <row r="64" spans="1:18">
      <c r="A64" s="1392"/>
      <c r="B64" s="1392"/>
      <c r="C64" s="222" t="s">
        <v>134</v>
      </c>
      <c r="D64" s="242">
        <f>税込!D64/1.17</f>
        <v>819.65811965811974</v>
      </c>
      <c r="E64" s="242">
        <f>税込!E64/1.17</f>
        <v>782.0512820512821</v>
      </c>
      <c r="F64" s="243">
        <f>税込!F64/1.17</f>
        <v>853.84615384615392</v>
      </c>
      <c r="G64" s="242">
        <f>税込!G64/1.17</f>
        <v>881.19658119658129</v>
      </c>
      <c r="H64" s="242">
        <f>税込!H64/1.17</f>
        <v>866.66666666666674</v>
      </c>
      <c r="I64" s="245">
        <f>税込!I64/1.17</f>
        <v>863.24786324786328</v>
      </c>
      <c r="J64" s="246">
        <f>税込!J64/1.17</f>
        <v>1329.0598290598291</v>
      </c>
      <c r="K64" s="242">
        <f>税込!K64/1.17</f>
        <v>895.72649572649573</v>
      </c>
      <c r="L64" s="242">
        <f>税込!L64/1.17</f>
        <v>1253.8461538461538</v>
      </c>
      <c r="M64" s="242">
        <f>税込!M64/1.17</f>
        <v>1194.017094017094</v>
      </c>
      <c r="N64" s="242">
        <f>税込!N64/1.17</f>
        <v>1392.3076923076924</v>
      </c>
      <c r="O64" s="242">
        <f>税込!O64/1.17</f>
        <v>604.27350427350427</v>
      </c>
      <c r="P64" s="83"/>
      <c r="Q64" s="83"/>
      <c r="R64" s="83"/>
    </row>
    <row r="65" spans="1:18">
      <c r="A65" s="1392"/>
      <c r="B65" s="1392"/>
      <c r="C65" s="222" t="s">
        <v>135</v>
      </c>
      <c r="D65" s="242">
        <f>税込!D65/1.17</f>
        <v>1302.5641025641025</v>
      </c>
      <c r="E65" s="252">
        <f>税込!E65/1.17</f>
        <v>1024.7863247863249</v>
      </c>
      <c r="F65" s="253">
        <f>税込!F65/1.17</f>
        <v>940.17094017094018</v>
      </c>
      <c r="G65" s="253">
        <f>税込!G65/1.17</f>
        <v>859.82905982905993</v>
      </c>
      <c r="H65" s="266">
        <f>税込!H65/1.17</f>
        <v>1546.1538461538462</v>
      </c>
      <c r="I65" s="255">
        <f>税込!I65/1.17</f>
        <v>1000.8547008547009</v>
      </c>
      <c r="J65" s="256">
        <f>税込!J65/1.17</f>
        <v>639.31623931623938</v>
      </c>
      <c r="K65" s="257">
        <f>税込!K65/1.17</f>
        <v>588.88888888888891</v>
      </c>
      <c r="L65" s="257">
        <f>税込!L65/1.17</f>
        <v>1463.2478632478633</v>
      </c>
      <c r="M65" s="257">
        <f>税込!M65/1.17</f>
        <v>1302.5641025641025</v>
      </c>
      <c r="N65" s="257">
        <f>税込!N65/1.17</f>
        <v>1052.1367521367522</v>
      </c>
      <c r="O65" s="257">
        <f>税込!O65/1.17</f>
        <v>709.40170940170947</v>
      </c>
      <c r="P65" s="83"/>
      <c r="Q65" s="83"/>
      <c r="R65" s="83"/>
    </row>
    <row r="66" spans="1:18">
      <c r="A66" s="1392"/>
      <c r="B66" s="1392"/>
      <c r="C66" s="222" t="s">
        <v>156</v>
      </c>
      <c r="D66" s="242">
        <f>税込!D66/1.17</f>
        <v>645.29914529914538</v>
      </c>
      <c r="E66" s="252">
        <f>税込!E66/1.17+48</f>
        <v>1264.2393162393164</v>
      </c>
      <c r="F66" s="253">
        <f>税込!F66/1.17+22</f>
        <v>1047.3846153846155</v>
      </c>
      <c r="G66" s="253">
        <f>税込!G66/1.17</f>
        <v>972.64957264957275</v>
      </c>
      <c r="H66" s="266">
        <f>税込!H66/1.17+14</f>
        <v>1134.5128205128206</v>
      </c>
      <c r="I66" s="255">
        <f>税込!I66/1.17</f>
        <v>1101.7094017094018</v>
      </c>
      <c r="J66" s="256">
        <f>税込!J66/1.17+25</f>
        <v>1456.6239316239316</v>
      </c>
      <c r="K66" s="257">
        <f>税込!K66/1.17+6</f>
        <v>944.46153846153857</v>
      </c>
      <c r="L66" s="257">
        <f>税込!L66/1.17+12</f>
        <v>1172.6837606837607</v>
      </c>
      <c r="M66" s="257">
        <f>税込!M66/1.17+17</f>
        <v>1475.9743589743591</v>
      </c>
      <c r="N66" s="257">
        <f>税込!N66/1.17+13</f>
        <v>825.82051282051282</v>
      </c>
      <c r="O66" s="257">
        <f>税込!O66/1.17+30</f>
        <v>961.62393162393164</v>
      </c>
      <c r="P66" s="83"/>
      <c r="Q66" s="83"/>
      <c r="R66" s="83"/>
    </row>
    <row r="67" spans="1:18">
      <c r="A67" s="1392"/>
      <c r="B67" s="1392"/>
      <c r="C67" s="222" t="s">
        <v>247</v>
      </c>
      <c r="D67" s="242">
        <v>1595.1965811965813</v>
      </c>
      <c r="E67" s="252">
        <v>1390.6324786324788</v>
      </c>
      <c r="F67" s="253">
        <v>1039.4188034188037</v>
      </c>
      <c r="G67" s="253">
        <v>1110.7094017094018</v>
      </c>
      <c r="H67" s="266">
        <v>1291.2307692307693</v>
      </c>
      <c r="I67" s="255">
        <v>1313.6752136752139</v>
      </c>
      <c r="J67" s="256">
        <v>1185.6837606837607</v>
      </c>
      <c r="K67" s="257">
        <v>1360.2991452991455</v>
      </c>
      <c r="L67" s="257">
        <v>1661.0051282051284</v>
      </c>
      <c r="M67" s="257">
        <v>1692.7350427350427</v>
      </c>
      <c r="N67" s="257">
        <v>1139.523076923077</v>
      </c>
      <c r="O67" s="257">
        <v>1163.4641025641026</v>
      </c>
      <c r="P67" s="83"/>
      <c r="Q67" s="83"/>
      <c r="R67" s="83"/>
    </row>
    <row r="68" spans="1:18">
      <c r="A68" s="1392"/>
      <c r="B68" s="1392"/>
      <c r="C68" s="1209" t="s">
        <v>250</v>
      </c>
      <c r="D68" s="1210">
        <f>税込!D68/1.17</f>
        <v>1211.1111111111111</v>
      </c>
      <c r="E68" s="1210">
        <f>税込!E68/1.17</f>
        <v>1282.0512820512822</v>
      </c>
      <c r="F68" s="1210">
        <f>税込!F68/1.17</f>
        <v>1158.1196581196582</v>
      </c>
      <c r="G68" s="1210">
        <f>税込!G68/1.17</f>
        <v>1150.4273504273506</v>
      </c>
      <c r="H68" s="1210">
        <f>税込!H68/1.17</f>
        <v>1111.1111111111111</v>
      </c>
      <c r="I68" s="1211">
        <f>税込!I68/1.17</f>
        <v>1415.3846153846155</v>
      </c>
      <c r="J68" s="1212">
        <f>税込!J68/1.17</f>
        <v>1979.4871794871797</v>
      </c>
      <c r="K68" s="1210">
        <f>税込!K68/1.17</f>
        <v>1458.1196581196582</v>
      </c>
      <c r="L68" s="1210">
        <f>税込!L68/1.17</f>
        <v>3033.3333333333335</v>
      </c>
      <c r="M68" s="1210">
        <f>税込!M68/1.17</f>
        <v>1656.4102564102566</v>
      </c>
      <c r="N68" s="1210">
        <f>税込!N68/1.17</f>
        <v>1810.2564102564104</v>
      </c>
      <c r="O68" s="1210">
        <f>税込!O68/1.17</f>
        <v>940.17094017094018</v>
      </c>
      <c r="P68" s="83"/>
      <c r="Q68" s="83"/>
      <c r="R68" s="83"/>
    </row>
    <row r="69" spans="1:18">
      <c r="A69" s="1392"/>
      <c r="B69" s="1392"/>
      <c r="C69" s="425" t="s">
        <v>251</v>
      </c>
      <c r="D69" s="237">
        <f>税込!D69/1.17</f>
        <v>1816.6666666666667</v>
      </c>
      <c r="E69" s="1054">
        <f>税込!E69/1.17</f>
        <v>1953.3692307692309</v>
      </c>
      <c r="F69" s="1054">
        <f>税込!F69/1.17</f>
        <v>1592.7564102564104</v>
      </c>
      <c r="G69" s="1054">
        <f>税込!G69/1.17+32</f>
        <v>1805.931623931624</v>
      </c>
      <c r="H69" s="1054">
        <f>税込!H69/1.17+7</f>
        <v>2495.1786324786326</v>
      </c>
      <c r="I69" s="1288">
        <f>税込!I69/1.17+30</f>
        <v>3027.4358974358975</v>
      </c>
      <c r="J69" s="1289">
        <f>税込!J69/1.17</f>
        <v>3302.8726495726496</v>
      </c>
      <c r="K69" s="1054">
        <f>税込!K69/1.17</f>
        <v>2308.7205128205128</v>
      </c>
      <c r="L69" s="1377">
        <f>税込!L69/1.17+21</f>
        <v>4243.2222222222226</v>
      </c>
      <c r="M69" s="1377">
        <f>税込!M69/1.17+25</f>
        <v>2303.9094017094021</v>
      </c>
      <c r="N69" s="400">
        <f>税込!N69/1.17</f>
        <v>1810.2564102564104</v>
      </c>
      <c r="O69" s="400">
        <f>税込!O69/1.17</f>
        <v>940.17094017094018</v>
      </c>
      <c r="P69" s="83"/>
      <c r="Q69" s="83"/>
      <c r="R69" s="83"/>
    </row>
    <row r="70" spans="1:18">
      <c r="A70" s="1392"/>
      <c r="B70" s="1392"/>
      <c r="C70" s="407" t="s">
        <v>280</v>
      </c>
      <c r="D70" s="223">
        <f>税込!D70/1.17</f>
        <v>1211.1111111111111</v>
      </c>
      <c r="E70" s="223">
        <f>税込!E70/1.17</f>
        <v>1211.1111111111111</v>
      </c>
      <c r="F70" s="223">
        <f>税込!F70/1.17</f>
        <v>1354.7008547008547</v>
      </c>
      <c r="G70" s="223">
        <f>税込!G70/1.17</f>
        <v>1411.1111111111111</v>
      </c>
      <c r="H70" s="223">
        <f>税込!H70/1.17</f>
        <v>1400.8547008547009</v>
      </c>
      <c r="I70" s="224">
        <f>税込!I70/1.17</f>
        <v>1330.7692307692309</v>
      </c>
      <c r="J70" s="225">
        <f>税込!J70/1.17</f>
        <v>1637.6068376068376</v>
      </c>
      <c r="K70" s="223">
        <f>税込!K70/1.17</f>
        <v>1458.1196581196582</v>
      </c>
      <c r="L70" s="223">
        <f>税込!L70/1.17</f>
        <v>1580.3418803418804</v>
      </c>
      <c r="M70" s="223">
        <f>税込!M70/1.17</f>
        <v>1656.4102564102566</v>
      </c>
      <c r="N70" s="223">
        <f>税込!N70/1.17</f>
        <v>1810.2564102564104</v>
      </c>
      <c r="O70" s="223">
        <f>税込!O70/1.17</f>
        <v>1337.6068376068376</v>
      </c>
      <c r="P70" s="83"/>
      <c r="Q70" s="83"/>
      <c r="R70" s="83"/>
    </row>
    <row r="71" spans="1:18">
      <c r="A71" s="1394" t="s">
        <v>184</v>
      </c>
      <c r="B71" s="1397" t="s">
        <v>185</v>
      </c>
      <c r="C71" s="222" t="s">
        <v>156</v>
      </c>
      <c r="D71" s="257">
        <v>0</v>
      </c>
      <c r="E71" s="257">
        <v>0</v>
      </c>
      <c r="F71" s="257">
        <v>0</v>
      </c>
      <c r="G71" s="257">
        <v>0</v>
      </c>
      <c r="H71" s="257">
        <v>0</v>
      </c>
      <c r="I71" s="269">
        <v>0</v>
      </c>
      <c r="J71" s="270">
        <v>0</v>
      </c>
      <c r="K71" s="257">
        <v>0</v>
      </c>
      <c r="L71" s="257">
        <v>0</v>
      </c>
      <c r="M71" s="257">
        <v>0</v>
      </c>
      <c r="N71" s="257">
        <v>0</v>
      </c>
      <c r="O71" s="257">
        <v>0</v>
      </c>
      <c r="P71" s="83"/>
      <c r="Q71" s="83"/>
      <c r="R71" s="83"/>
    </row>
    <row r="72" spans="1:18">
      <c r="A72" s="1395"/>
      <c r="B72" s="1398"/>
      <c r="C72" s="222" t="s">
        <v>247</v>
      </c>
      <c r="D72" s="257">
        <v>102.56410256410257</v>
      </c>
      <c r="E72" s="257">
        <v>239.31623931623932</v>
      </c>
      <c r="F72" s="257">
        <v>119.65811965811966</v>
      </c>
      <c r="G72" s="257">
        <v>0</v>
      </c>
      <c r="H72" s="257">
        <v>0</v>
      </c>
      <c r="I72" s="269">
        <v>0</v>
      </c>
      <c r="J72" s="270">
        <v>0</v>
      </c>
      <c r="K72" s="257">
        <v>17.341880341880341</v>
      </c>
      <c r="L72" s="257">
        <v>358.97435897435901</v>
      </c>
      <c r="M72" s="257">
        <v>0</v>
      </c>
      <c r="N72" s="257">
        <v>0</v>
      </c>
      <c r="O72" s="257">
        <v>0</v>
      </c>
      <c r="P72" s="83"/>
      <c r="Q72" s="83"/>
      <c r="R72" s="83"/>
    </row>
    <row r="73" spans="1:18">
      <c r="A73" s="1395"/>
      <c r="B73" s="1398"/>
      <c r="C73" s="1209" t="s">
        <v>250</v>
      </c>
      <c r="D73" s="1210">
        <f>税込!D73/1.17</f>
        <v>0</v>
      </c>
      <c r="E73" s="1210">
        <f>税込!E73/1.17</f>
        <v>0</v>
      </c>
      <c r="F73" s="1210">
        <f>税込!F73/1.17</f>
        <v>0</v>
      </c>
      <c r="G73" s="1210">
        <f>税込!G73/1.17</f>
        <v>0</v>
      </c>
      <c r="H73" s="1210">
        <f>税込!H73/1.17</f>
        <v>179.4871794871795</v>
      </c>
      <c r="I73" s="1211">
        <f>税込!I73/1.17</f>
        <v>76.923076923076934</v>
      </c>
      <c r="J73" s="1212">
        <f>税込!J73/1.17</f>
        <v>0</v>
      </c>
      <c r="K73" s="1210">
        <f>税込!K73/1.17</f>
        <v>0</v>
      </c>
      <c r="L73" s="1210">
        <f>税込!L73/1.17</f>
        <v>0</v>
      </c>
      <c r="M73" s="1210">
        <f>税込!M73/1.17</f>
        <v>0</v>
      </c>
      <c r="N73" s="1210">
        <f>税込!N73/1.17</f>
        <v>0</v>
      </c>
      <c r="O73" s="1210">
        <f>税込!O73/1.17</f>
        <v>0</v>
      </c>
      <c r="P73" s="83"/>
      <c r="Q73" s="83"/>
      <c r="R73" s="83"/>
    </row>
    <row r="74" spans="1:18">
      <c r="A74" s="1395"/>
      <c r="B74" s="1398"/>
      <c r="C74" s="425" t="s">
        <v>251</v>
      </c>
      <c r="D74" s="237">
        <f>税込!D74/1.17</f>
        <v>119.65811965811966</v>
      </c>
      <c r="E74" s="1054">
        <f>税込!E74/1.17</f>
        <v>12.820512820512821</v>
      </c>
      <c r="F74" s="1054">
        <f>税込!F74/1.17</f>
        <v>0</v>
      </c>
      <c r="G74" s="1054">
        <f>税込!G74/1.17</f>
        <v>0</v>
      </c>
      <c r="H74" s="1054">
        <f>税込!H74/1.17</f>
        <v>179.4871794871795</v>
      </c>
      <c r="I74" s="1288">
        <f>税込!I74/1.17</f>
        <v>108.87179487179488</v>
      </c>
      <c r="J74" s="1289">
        <f>税込!J74/1.17</f>
        <v>141.02564102564102</v>
      </c>
      <c r="K74" s="1054">
        <f>税込!K74/1.17</f>
        <v>0</v>
      </c>
      <c r="L74" s="1054">
        <f>税込!L74/1.17</f>
        <v>0</v>
      </c>
      <c r="M74" s="1054">
        <f>税込!M74/1.17</f>
        <v>130.48632478632481</v>
      </c>
      <c r="N74" s="400">
        <f>税込!N74/1.17</f>
        <v>85.470085470085479</v>
      </c>
      <c r="O74" s="400">
        <f>税込!O74/1.17</f>
        <v>0</v>
      </c>
      <c r="P74" s="83"/>
      <c r="Q74" s="83"/>
      <c r="R74" s="83"/>
    </row>
    <row r="75" spans="1:18">
      <c r="A75" s="1393"/>
      <c r="B75" s="1399"/>
      <c r="C75" s="407" t="s">
        <v>260</v>
      </c>
      <c r="D75" s="223">
        <f>税込!D75/1.17</f>
        <v>0</v>
      </c>
      <c r="E75" s="223">
        <f>税込!E75/1.17</f>
        <v>0</v>
      </c>
      <c r="F75" s="223">
        <f>税込!F75/1.17</f>
        <v>0</v>
      </c>
      <c r="G75" s="223">
        <f>税込!G75/1.17</f>
        <v>0</v>
      </c>
      <c r="H75" s="223">
        <f>税込!H75/1.17</f>
        <v>0</v>
      </c>
      <c r="I75" s="224">
        <f>税込!I75/1.17</f>
        <v>0</v>
      </c>
      <c r="J75" s="225">
        <f>税込!J75/1.17</f>
        <v>0</v>
      </c>
      <c r="K75" s="223">
        <f>税込!K75/1.17</f>
        <v>0</v>
      </c>
      <c r="L75" s="223">
        <f>税込!L75/1.17</f>
        <v>0</v>
      </c>
      <c r="M75" s="223">
        <f>税込!M75/1.17</f>
        <v>0</v>
      </c>
      <c r="N75" s="223">
        <f>税込!N75/1.17</f>
        <v>0</v>
      </c>
      <c r="O75" s="223">
        <f>税込!O75/1.17</f>
        <v>0</v>
      </c>
      <c r="P75" s="83"/>
      <c r="Q75" s="83"/>
      <c r="R75" s="83"/>
    </row>
    <row r="76" spans="1:18">
      <c r="A76" s="1392" t="s">
        <v>23</v>
      </c>
      <c r="B76" s="1392" t="s">
        <v>25</v>
      </c>
      <c r="C76" s="222" t="s">
        <v>133</v>
      </c>
      <c r="D76" s="242">
        <f t="shared" ref="D76:O76" si="0">D4+D19+D33+D55+D63</f>
        <v>205929.91452991453</v>
      </c>
      <c r="E76" s="242">
        <f t="shared" si="0"/>
        <v>169045.29914529916</v>
      </c>
      <c r="F76" s="242">
        <f t="shared" si="0"/>
        <v>211247.86324786325</v>
      </c>
      <c r="G76" s="242">
        <f t="shared" si="0"/>
        <v>206377.77777777781</v>
      </c>
      <c r="H76" s="242">
        <f t="shared" si="0"/>
        <v>136919.65811965812</v>
      </c>
      <c r="I76" s="245">
        <f t="shared" si="0"/>
        <v>197588.88888888891</v>
      </c>
      <c r="J76" s="246">
        <f t="shared" si="0"/>
        <v>124777.77777777778</v>
      </c>
      <c r="K76" s="242">
        <f t="shared" si="0"/>
        <v>113610.25641025641</v>
      </c>
      <c r="L76" s="463">
        <f t="shared" si="0"/>
        <v>155350.42735042734</v>
      </c>
      <c r="M76" s="242">
        <f t="shared" si="0"/>
        <v>165986.32478632481</v>
      </c>
      <c r="N76" s="463">
        <f t="shared" si="0"/>
        <v>173730.76923076925</v>
      </c>
      <c r="O76" s="463">
        <f t="shared" si="0"/>
        <v>146184.51452991454</v>
      </c>
      <c r="P76" s="83"/>
      <c r="Q76" s="83"/>
      <c r="R76" s="83"/>
    </row>
    <row r="77" spans="1:18">
      <c r="A77" s="1392"/>
      <c r="B77" s="1392"/>
      <c r="C77" s="222" t="s">
        <v>134</v>
      </c>
      <c r="D77" s="242">
        <f t="shared" ref="D77:O77" si="1">D6+D21+D34+D56+D64</f>
        <v>211756.41025641025</v>
      </c>
      <c r="E77" s="242">
        <f t="shared" si="1"/>
        <v>245006.83760683762</v>
      </c>
      <c r="F77" s="242">
        <f t="shared" si="1"/>
        <v>238649.57264957268</v>
      </c>
      <c r="G77" s="242">
        <f t="shared" si="1"/>
        <v>245746.15384615387</v>
      </c>
      <c r="H77" s="242">
        <f t="shared" si="1"/>
        <v>181886.32478632481</v>
      </c>
      <c r="I77" s="245">
        <f t="shared" si="1"/>
        <v>190705.12820512825</v>
      </c>
      <c r="J77" s="246">
        <f t="shared" si="1"/>
        <v>192152.13675213678</v>
      </c>
      <c r="K77" s="242">
        <f t="shared" si="1"/>
        <v>216785.47008547009</v>
      </c>
      <c r="L77" s="463">
        <f t="shared" si="1"/>
        <v>238824.78632478634</v>
      </c>
      <c r="M77" s="242">
        <f t="shared" si="1"/>
        <v>218539.31623931628</v>
      </c>
      <c r="N77" s="463">
        <f t="shared" si="1"/>
        <v>207491.45299145297</v>
      </c>
      <c r="O77" s="463">
        <f t="shared" si="1"/>
        <v>165058.11965811966</v>
      </c>
      <c r="P77" s="83"/>
      <c r="Q77" s="83"/>
      <c r="R77" s="83"/>
    </row>
    <row r="78" spans="1:18">
      <c r="A78" s="1392"/>
      <c r="B78" s="1392"/>
      <c r="C78" s="222" t="s">
        <v>135</v>
      </c>
      <c r="D78" s="242">
        <f t="shared" ref="D78:O78" si="2">D8+D23+D37+D57+D65</f>
        <v>266775.21367521369</v>
      </c>
      <c r="E78" s="242">
        <f t="shared" si="2"/>
        <v>309017.094017094</v>
      </c>
      <c r="F78" s="242">
        <f t="shared" si="2"/>
        <v>290194.01709401712</v>
      </c>
      <c r="G78" s="242">
        <f t="shared" si="2"/>
        <v>273364.95726495731</v>
      </c>
      <c r="H78" s="242">
        <f t="shared" si="2"/>
        <v>260835.89743589747</v>
      </c>
      <c r="I78" s="245">
        <f t="shared" si="2"/>
        <v>192971.79487179487</v>
      </c>
      <c r="J78" s="246">
        <f t="shared" si="2"/>
        <v>206980.3418803419</v>
      </c>
      <c r="K78" s="242">
        <f t="shared" si="2"/>
        <v>209453.84615384616</v>
      </c>
      <c r="L78" s="242">
        <f t="shared" si="2"/>
        <v>261697.43589743591</v>
      </c>
      <c r="M78" s="242">
        <f t="shared" si="2"/>
        <v>283307.69230769231</v>
      </c>
      <c r="N78" s="242">
        <f t="shared" si="2"/>
        <v>278964.10256410256</v>
      </c>
      <c r="O78" s="242">
        <f t="shared" si="2"/>
        <v>182652.13675213675</v>
      </c>
      <c r="P78" s="83"/>
      <c r="Q78" s="83"/>
      <c r="R78" s="83"/>
    </row>
    <row r="79" spans="1:18">
      <c r="A79" s="1392"/>
      <c r="B79" s="1392"/>
      <c r="C79" s="222" t="s">
        <v>156</v>
      </c>
      <c r="D79" s="242">
        <f>D10+D25+D40+D58+D66+D71</f>
        <v>214582.905982906</v>
      </c>
      <c r="E79" s="242">
        <f t="shared" ref="E79:O79" si="3">E10+E25+E40+E58+E66+E71</f>
        <v>232502.05128205128</v>
      </c>
      <c r="F79" s="242">
        <f>F10+F25+F40+F58+F66+F71-1</f>
        <v>246578.5213675214</v>
      </c>
      <c r="G79" s="242">
        <f t="shared" si="3"/>
        <v>238017.05982905984</v>
      </c>
      <c r="H79" s="242">
        <f>H10+H25+H40+H58+H66+H71</f>
        <v>240828.52136752137</v>
      </c>
      <c r="I79" s="242">
        <f t="shared" si="3"/>
        <v>244226.81678632481</v>
      </c>
      <c r="J79" s="242">
        <f t="shared" si="3"/>
        <v>200918.61538461543</v>
      </c>
      <c r="K79" s="242">
        <f t="shared" si="3"/>
        <v>187103.33994017093</v>
      </c>
      <c r="L79" s="242">
        <f t="shared" si="3"/>
        <v>191347.5606837607</v>
      </c>
      <c r="M79" s="242">
        <f t="shared" si="3"/>
        <v>200588.5482051282</v>
      </c>
      <c r="N79" s="242">
        <f t="shared" si="3"/>
        <v>204120.71507692308</v>
      </c>
      <c r="O79" s="242">
        <f t="shared" si="3"/>
        <v>164636.74167521368</v>
      </c>
      <c r="P79" s="83"/>
      <c r="Q79" s="83"/>
      <c r="R79" s="83"/>
    </row>
    <row r="80" spans="1:18">
      <c r="A80" s="1392"/>
      <c r="B80" s="1392"/>
      <c r="C80" s="222" t="s">
        <v>247</v>
      </c>
      <c r="D80" s="242">
        <v>225029.2297777778</v>
      </c>
      <c r="E80" s="242">
        <v>287573.0692307693</v>
      </c>
      <c r="F80" s="242">
        <v>334470.47514529916</v>
      </c>
      <c r="G80" s="242">
        <v>294443.00817948714</v>
      </c>
      <c r="H80" s="242">
        <v>288972.91286324785</v>
      </c>
      <c r="I80" s="245">
        <v>238698.5208717949</v>
      </c>
      <c r="J80" s="246">
        <v>285615.80125641025</v>
      </c>
      <c r="K80" s="242">
        <v>220245.36019658123</v>
      </c>
      <c r="L80" s="242">
        <v>276610.16749572655</v>
      </c>
      <c r="M80" s="242">
        <v>311690.77452991455</v>
      </c>
      <c r="N80" s="242">
        <v>259320.07715384616</v>
      </c>
      <c r="O80" s="242">
        <v>215233.75979487182</v>
      </c>
      <c r="P80" s="83"/>
      <c r="Q80" s="83"/>
      <c r="R80" s="83"/>
    </row>
    <row r="81" spans="1:18">
      <c r="A81" s="1392"/>
      <c r="B81" s="1392"/>
      <c r="C81" s="1209" t="s">
        <v>250</v>
      </c>
      <c r="D81" s="1210">
        <f>D14+D29+D46+D60+D68+D73</f>
        <v>354529.91452991456</v>
      </c>
      <c r="E81" s="1210">
        <f t="shared" ref="E81:K81" si="4">E14+E29+E46+E60+E68+E73</f>
        <v>447435.8974358975</v>
      </c>
      <c r="F81" s="1210">
        <f t="shared" si="4"/>
        <v>463759.82905982912</v>
      </c>
      <c r="G81" s="1210">
        <f t="shared" si="4"/>
        <v>411570.2188034188</v>
      </c>
      <c r="H81" s="1210">
        <f>H14+H29+H46+H60+H68+H73+128</f>
        <v>365947.65811965812</v>
      </c>
      <c r="I81" s="1211">
        <f>I14+I29+I46+I60+I68+I73+3846</f>
        <v>349822.06837606838</v>
      </c>
      <c r="J81" s="1212">
        <f t="shared" si="4"/>
        <v>365266.66666666674</v>
      </c>
      <c r="K81" s="1210">
        <f t="shared" si="4"/>
        <v>301115.38461538468</v>
      </c>
      <c r="L81" s="1210">
        <f>L14+L29+L46+L60+L68+L73</f>
        <v>348332.47863247863</v>
      </c>
      <c r="M81" s="1210">
        <f>M14+M29+M46+M60+M68+M73</f>
        <v>405929.91452991456</v>
      </c>
      <c r="N81" s="1210">
        <f>N14+N29+N46+N60+N68+N73</f>
        <v>384972.64957264962</v>
      </c>
      <c r="O81" s="1210">
        <f>O14+O29+O46+O60+O68+O73</f>
        <v>297435.89743589744</v>
      </c>
      <c r="P81" s="83"/>
      <c r="Q81" s="83"/>
      <c r="R81" s="83"/>
    </row>
    <row r="82" spans="1:18">
      <c r="A82" s="1392"/>
      <c r="B82" s="1392"/>
      <c r="C82" s="425" t="s">
        <v>251</v>
      </c>
      <c r="D82" s="237">
        <f>D16+D31+D49+D61+D69+D74</f>
        <v>448735.72991452995</v>
      </c>
      <c r="E82" s="1296">
        <f>E16+E31+E49+E61+E69+E74+27</f>
        <v>478987.63107692311</v>
      </c>
      <c r="F82" s="1296">
        <f>F16+F31+F49+F61+F69+F74</f>
        <v>491306.45934188046</v>
      </c>
      <c r="G82" s="1296">
        <f>G16+G31+G49+G61+G69+G74-1</f>
        <v>441408.65470085479</v>
      </c>
      <c r="H82" s="1296">
        <f>H16+H31+H49+H61+H69+H74+680</f>
        <v>365047.87802564108</v>
      </c>
      <c r="I82" s="1297">
        <f>I16+I31+I49+I61+I69+I74+597</f>
        <v>369647.42884615384</v>
      </c>
      <c r="J82" s="1298">
        <f t="shared" ref="J82:O82" si="5">J16+J31+J49+J61+J69+J74</f>
        <v>314068.0239059829</v>
      </c>
      <c r="K82" s="1296">
        <f t="shared" si="5"/>
        <v>291202.88308547012</v>
      </c>
      <c r="L82" s="1378">
        <f>L16+L31+L49+L61+L69+L74+10994-1</f>
        <v>321657.99961538467</v>
      </c>
      <c r="M82" s="1378">
        <f>M16+M31+M49+M61+M69+M74+4632-1</f>
        <v>416844.83190598292</v>
      </c>
      <c r="N82" s="440">
        <f t="shared" si="5"/>
        <v>282494.01709401712</v>
      </c>
      <c r="O82" s="440">
        <f t="shared" si="5"/>
        <v>203846.15384615387</v>
      </c>
      <c r="P82" s="83"/>
      <c r="Q82" s="83"/>
      <c r="R82" s="83"/>
    </row>
    <row r="83" spans="1:18">
      <c r="A83" s="1392"/>
      <c r="B83" s="1392"/>
      <c r="C83" s="407" t="s">
        <v>260</v>
      </c>
      <c r="D83" s="223">
        <f>D17+D32+D52+D62+D70+D75</f>
        <v>302393.16239316243</v>
      </c>
      <c r="E83" s="223">
        <f t="shared" ref="E83:O83" si="6">E17+E32+E52+E62+E70+E75</f>
        <v>326239.31623931625</v>
      </c>
      <c r="F83" s="223">
        <f t="shared" si="6"/>
        <v>326981.19658119662</v>
      </c>
      <c r="G83" s="223">
        <f t="shared" si="6"/>
        <v>311082.905982906</v>
      </c>
      <c r="H83" s="223">
        <f t="shared" si="6"/>
        <v>308594.01709401706</v>
      </c>
      <c r="I83" s="224">
        <f t="shared" si="6"/>
        <v>288438.46153846162</v>
      </c>
      <c r="J83" s="225">
        <f t="shared" si="6"/>
        <v>361394.01709401706</v>
      </c>
      <c r="K83" s="223">
        <f>K17+K32+K52+K62+K70+K75+427</f>
        <v>331470.58974358981</v>
      </c>
      <c r="L83" s="223">
        <f>L17+L32+L52+L62+L70+L75+427</f>
        <v>350225.29059829062</v>
      </c>
      <c r="M83" s="223">
        <f t="shared" si="6"/>
        <v>359797.43589743588</v>
      </c>
      <c r="N83" s="223">
        <f>N17+N32+N52+N62+N70+N75+427</f>
        <v>319438.11111111112</v>
      </c>
      <c r="O83" s="223">
        <f t="shared" si="6"/>
        <v>289478.6324786325</v>
      </c>
      <c r="P83" s="83"/>
      <c r="Q83" s="83"/>
      <c r="R83" s="83"/>
    </row>
    <row r="84" spans="1:18" ht="12.75" customHeight="1">
      <c r="A84" s="275"/>
      <c r="B84" s="276"/>
      <c r="C84" s="277"/>
      <c r="D84" s="278">
        <f>D79-D82</f>
        <v>-234152.82393162395</v>
      </c>
      <c r="E84" s="278">
        <f t="shared" ref="E84:O84" si="7">E79-E82</f>
        <v>-246485.57979487182</v>
      </c>
      <c r="F84" s="278"/>
      <c r="G84" s="278">
        <f t="shared" si="7"/>
        <v>-203391.59487179495</v>
      </c>
      <c r="H84" s="278">
        <f>H79-H82</f>
        <v>-124219.35665811971</v>
      </c>
      <c r="I84" s="278">
        <f t="shared" si="7"/>
        <v>-125420.61205982903</v>
      </c>
      <c r="J84" s="278">
        <f>J79-J82</f>
        <v>-113149.40852136747</v>
      </c>
      <c r="K84" s="278">
        <f t="shared" si="7"/>
        <v>-104099.54314529919</v>
      </c>
      <c r="L84" s="278">
        <f t="shared" si="7"/>
        <v>-130310.43893162397</v>
      </c>
      <c r="M84" s="278">
        <f t="shared" si="7"/>
        <v>-216256.28370085472</v>
      </c>
      <c r="N84" s="278">
        <f t="shared" si="7"/>
        <v>-78373.302017094044</v>
      </c>
      <c r="O84" s="278">
        <f t="shared" si="7"/>
        <v>-39209.412170940195</v>
      </c>
      <c r="P84" s="83"/>
      <c r="Q84" s="83"/>
      <c r="R84" s="83"/>
    </row>
    <row r="85" spans="1:18" ht="16.5">
      <c r="A85" s="105" t="s">
        <v>124</v>
      </c>
      <c r="B85" s="146"/>
      <c r="C85" s="147"/>
      <c r="D85" s="83"/>
      <c r="E85" s="83"/>
      <c r="F85" s="83"/>
      <c r="G85" s="83"/>
      <c r="H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 ht="22.5" customHeight="1">
      <c r="A86" s="148" t="s">
        <v>0</v>
      </c>
      <c r="B86" s="148" t="s">
        <v>1</v>
      </c>
      <c r="C86" s="149" t="s">
        <v>2</v>
      </c>
      <c r="D86" s="150" t="s">
        <v>3</v>
      </c>
      <c r="E86" s="150" t="s">
        <v>4</v>
      </c>
      <c r="F86" s="150" t="s">
        <v>5</v>
      </c>
      <c r="G86" s="150" t="s">
        <v>6</v>
      </c>
      <c r="H86" s="150" t="s">
        <v>7</v>
      </c>
      <c r="I86" s="151" t="s">
        <v>29</v>
      </c>
      <c r="J86" s="152" t="s">
        <v>9</v>
      </c>
      <c r="K86" s="150" t="s">
        <v>10</v>
      </c>
      <c r="L86" s="150" t="s">
        <v>11</v>
      </c>
      <c r="M86" s="150" t="s">
        <v>12</v>
      </c>
      <c r="N86" s="150" t="s">
        <v>13</v>
      </c>
      <c r="O86" s="150" t="s">
        <v>14</v>
      </c>
      <c r="P86" s="48"/>
      <c r="Q86" s="48"/>
      <c r="R86" s="83"/>
    </row>
    <row r="87" spans="1:18" ht="13.5" customHeight="1">
      <c r="A87" s="1392" t="s">
        <v>15</v>
      </c>
      <c r="B87" s="1392" t="s">
        <v>16</v>
      </c>
      <c r="C87" s="153" t="s">
        <v>49</v>
      </c>
      <c r="D87" s="281">
        <f>税込!D87</f>
        <v>0.13</v>
      </c>
      <c r="E87" s="281">
        <f>税込!E87</f>
        <v>0.13600000000000001</v>
      </c>
      <c r="F87" s="281">
        <f>税込!F87</f>
        <v>0.125</v>
      </c>
      <c r="G87" s="281">
        <f>税込!G87</f>
        <v>0.127</v>
      </c>
      <c r="H87" s="183">
        <f>税込!H87</f>
        <v>0.126</v>
      </c>
      <c r="I87" s="282">
        <f>税込!I87</f>
        <v>0.123</v>
      </c>
      <c r="J87" s="283">
        <f>税込!J87</f>
        <v>0.125</v>
      </c>
      <c r="K87" s="281">
        <f>税込!K87</f>
        <v>0.125</v>
      </c>
      <c r="L87" s="183">
        <f>税込!L87</f>
        <v>0.121</v>
      </c>
      <c r="M87" s="183">
        <f>税込!M87</f>
        <v>0.11700000000000001</v>
      </c>
      <c r="N87" s="183">
        <f>税込!N87</f>
        <v>0.11</v>
      </c>
      <c r="O87" s="183">
        <f>税込!O87</f>
        <v>0.10100000000000001</v>
      </c>
      <c r="P87" s="48"/>
      <c r="Q87" s="48"/>
      <c r="R87" s="83"/>
    </row>
    <row r="88" spans="1:18">
      <c r="A88" s="1392"/>
      <c r="B88" s="1392"/>
      <c r="C88" s="162" t="s">
        <v>133</v>
      </c>
      <c r="D88" s="163">
        <f>税込!D88/1.17</f>
        <v>82656.410256410265</v>
      </c>
      <c r="E88" s="165">
        <f>税込!E88/1.17</f>
        <v>86533.333333333343</v>
      </c>
      <c r="F88" s="165">
        <f>税込!F88/1.17</f>
        <v>95586.324786324796</v>
      </c>
      <c r="G88" s="166">
        <f>税込!G88/1.17</f>
        <v>88376.923076923078</v>
      </c>
      <c r="H88" s="164">
        <f>税込!H88/1.17</f>
        <v>63620.512820512828</v>
      </c>
      <c r="I88" s="167">
        <f>税込!I88/1.17</f>
        <v>79489.743589743593</v>
      </c>
      <c r="J88" s="168">
        <f>税込!J88/1.17</f>
        <v>68450.427350427359</v>
      </c>
      <c r="K88" s="165">
        <f>税込!K88/1.17</f>
        <v>72470.085470085469</v>
      </c>
      <c r="L88" s="163">
        <f>税込!L88/1.17</f>
        <v>74664.102564102563</v>
      </c>
      <c r="M88" s="163">
        <f>税込!M88/1.17</f>
        <v>83734.188034188046</v>
      </c>
      <c r="N88" s="163">
        <f>税込!N88/1.17</f>
        <v>86984.61538461539</v>
      </c>
      <c r="O88" s="163">
        <f>税込!O88/1.17</f>
        <v>75742.735042735047</v>
      </c>
      <c r="P88" s="481"/>
      <c r="Q88" s="408" t="s">
        <v>30</v>
      </c>
      <c r="R88" s="83"/>
    </row>
    <row r="89" spans="1:18">
      <c r="A89" s="1392"/>
      <c r="B89" s="1392"/>
      <c r="C89" s="153" t="s">
        <v>49</v>
      </c>
      <c r="D89" s="281">
        <f>税込!D89</f>
        <v>0.124</v>
      </c>
      <c r="E89" s="281">
        <f>税込!E89</f>
        <v>0.13100000000000001</v>
      </c>
      <c r="F89" s="281">
        <f>税込!F89</f>
        <v>0.123</v>
      </c>
      <c r="G89" s="281">
        <f>税込!G89</f>
        <v>0.13200000000000001</v>
      </c>
      <c r="H89" s="183">
        <f>税込!H89</f>
        <v>0.124</v>
      </c>
      <c r="I89" s="282">
        <f>税込!I89</f>
        <v>0.124</v>
      </c>
      <c r="J89" s="283">
        <f>税込!J89</f>
        <v>0.122</v>
      </c>
      <c r="K89" s="281">
        <f>税込!K89</f>
        <v>0.12395004750916248</v>
      </c>
      <c r="L89" s="183">
        <f>税込!L89</f>
        <v>0.11679483016171981</v>
      </c>
      <c r="M89" s="183">
        <f>税込!M89</f>
        <v>0.11892553047709151</v>
      </c>
      <c r="N89" s="183">
        <f>税込!N89</f>
        <v>0.11181799852140599</v>
      </c>
      <c r="O89" s="183">
        <f>税込!O89</f>
        <v>0.11157749655431649</v>
      </c>
      <c r="P89" s="482"/>
      <c r="Q89" s="409"/>
      <c r="R89" s="83"/>
    </row>
    <row r="90" spans="1:18">
      <c r="A90" s="1392"/>
      <c r="B90" s="1392"/>
      <c r="C90" s="162" t="s">
        <v>134</v>
      </c>
      <c r="D90" s="182">
        <f>税込!D90/1.17</f>
        <v>79388.888888888891</v>
      </c>
      <c r="E90" s="182">
        <f>税込!E90/1.17</f>
        <v>81585.470085470093</v>
      </c>
      <c r="F90" s="178">
        <f>税込!F90/1.17</f>
        <v>103137.60683760684</v>
      </c>
      <c r="G90" s="179">
        <f>税込!G90/1.17</f>
        <v>82205.982905982906</v>
      </c>
      <c r="H90" s="177">
        <f>税込!H90/1.17</f>
        <v>72784.61538461539</v>
      </c>
      <c r="I90" s="180">
        <f>税込!I90/1.17</f>
        <v>83512.820512820515</v>
      </c>
      <c r="J90" s="181">
        <f>税込!J90/1.17</f>
        <v>77680.34188034189</v>
      </c>
      <c r="K90" s="182">
        <f>税込!K90/1.17</f>
        <v>81855.555555555562</v>
      </c>
      <c r="L90" s="176">
        <f>税込!L90/1.17</f>
        <v>78958.974358974359</v>
      </c>
      <c r="M90" s="176">
        <f>税込!M90/1.17</f>
        <v>82211.111111111109</v>
      </c>
      <c r="N90" s="176">
        <f>税込!N90/1.17</f>
        <v>63585.470085470086</v>
      </c>
      <c r="O90" s="176">
        <f>税込!O90/1.17</f>
        <v>61392.307692307695</v>
      </c>
      <c r="P90" s="483"/>
      <c r="Q90" s="408" t="s">
        <v>65</v>
      </c>
      <c r="R90" s="83"/>
    </row>
    <row r="91" spans="1:18">
      <c r="A91" s="1392"/>
      <c r="B91" s="1392"/>
      <c r="C91" s="153" t="s">
        <v>49</v>
      </c>
      <c r="D91" s="281">
        <f>税込!D91</f>
        <v>0.11899999999999999</v>
      </c>
      <c r="E91" s="281">
        <f>税込!E91</f>
        <v>0.13700000000000001</v>
      </c>
      <c r="F91" s="281">
        <f>税込!F91</f>
        <v>0.13600000000000001</v>
      </c>
      <c r="G91" s="281">
        <f>税込!G91</f>
        <v>0.13900000000000001</v>
      </c>
      <c r="H91" s="183">
        <f>税込!H91</f>
        <v>0.13</v>
      </c>
      <c r="I91" s="282">
        <f>税込!I91</f>
        <v>0.13100000000000001</v>
      </c>
      <c r="J91" s="283">
        <f>税込!J91</f>
        <v>0.129</v>
      </c>
      <c r="K91" s="281">
        <f>税込!K91</f>
        <v>0.13400000000000001</v>
      </c>
      <c r="L91" s="183">
        <f>税込!L91</f>
        <v>0.128</v>
      </c>
      <c r="M91" s="183">
        <f>税込!M91</f>
        <v>0.124</v>
      </c>
      <c r="N91" s="183">
        <f>税込!N91</f>
        <v>0.123</v>
      </c>
      <c r="O91" s="183">
        <f>税込!O91</f>
        <v>0.126</v>
      </c>
      <c r="P91" s="482"/>
      <c r="Q91" s="408"/>
      <c r="R91" s="83"/>
    </row>
    <row r="92" spans="1:18">
      <c r="A92" s="1392"/>
      <c r="B92" s="1392"/>
      <c r="C92" s="162" t="s">
        <v>135</v>
      </c>
      <c r="D92" s="182">
        <f>税込!D92/1.17</f>
        <v>81791.452991452999</v>
      </c>
      <c r="E92" s="191">
        <f>税込!E92/1.17</f>
        <v>83406.837606837609</v>
      </c>
      <c r="F92" s="191">
        <f>税込!F92/1.17</f>
        <v>81541.880341880344</v>
      </c>
      <c r="G92" s="191">
        <f>税込!G92/1.17</f>
        <v>81411.111111111109</v>
      </c>
      <c r="H92" s="192">
        <f>税込!H92/1.17</f>
        <v>80094.871794871797</v>
      </c>
      <c r="I92" s="193">
        <f>税込!I92/1.17</f>
        <v>77298.290598290609</v>
      </c>
      <c r="J92" s="194">
        <f>税込!J92/1.17</f>
        <v>73018.803418803422</v>
      </c>
      <c r="K92" s="195">
        <f>税込!K92/1.17</f>
        <v>59081.196581196586</v>
      </c>
      <c r="L92" s="195">
        <f>税込!L92/1.17</f>
        <v>61531.623931623937</v>
      </c>
      <c r="M92" s="195">
        <f>税込!M92/1.17</f>
        <v>70477.777777777781</v>
      </c>
      <c r="N92" s="195">
        <f>税込!N92/1.17</f>
        <v>67401.709401709406</v>
      </c>
      <c r="O92" s="195">
        <f>税込!O92/1.17</f>
        <v>50645.299145299148</v>
      </c>
      <c r="P92" s="484"/>
      <c r="Q92" s="408" t="s">
        <v>66</v>
      </c>
      <c r="R92" s="83"/>
    </row>
    <row r="93" spans="1:18">
      <c r="A93" s="1392"/>
      <c r="B93" s="1392"/>
      <c r="C93" s="153" t="s">
        <v>49</v>
      </c>
      <c r="D93" s="281">
        <f>税込!D93</f>
        <v>0.12951238710349494</v>
      </c>
      <c r="E93" s="281">
        <f>税込!E93</f>
        <v>0.12694225608013829</v>
      </c>
      <c r="F93" s="281">
        <f>税込!F93</f>
        <v>0.12529296701156736</v>
      </c>
      <c r="G93" s="281">
        <f>税込!G93</f>
        <v>0.1260903749700184</v>
      </c>
      <c r="H93" s="183">
        <f>税込!H93</f>
        <v>0.12079929380583936</v>
      </c>
      <c r="I93" s="282">
        <f>税込!I93</f>
        <v>0.12217754903854823</v>
      </c>
      <c r="J93" s="283">
        <f>税込!J93</f>
        <v>0.13089250021725904</v>
      </c>
      <c r="K93" s="281">
        <f>税込!K93</f>
        <v>0.12355788671887909</v>
      </c>
      <c r="L93" s="183">
        <f>税込!L93</f>
        <v>0.1216502245188925</v>
      </c>
      <c r="M93" s="183">
        <f>税込!M93</f>
        <v>0.11712634234041804</v>
      </c>
      <c r="N93" s="183">
        <f>税込!N93</f>
        <v>0.12275230810862861</v>
      </c>
      <c r="O93" s="183">
        <f>税込!O93</f>
        <v>0.12478726963794701</v>
      </c>
      <c r="P93" s="485"/>
      <c r="Q93" s="410"/>
      <c r="R93" s="83"/>
    </row>
    <row r="94" spans="1:18">
      <c r="A94" s="1392"/>
      <c r="B94" s="1392"/>
      <c r="C94" s="162" t="s">
        <v>156</v>
      </c>
      <c r="D94" s="182">
        <f>税込!D94/1.17</f>
        <v>49228.205128205132</v>
      </c>
      <c r="E94" s="191">
        <f>税込!E94/1.17</f>
        <v>66705.213675213687</v>
      </c>
      <c r="F94" s="191">
        <f>税込!F94/1.17</f>
        <v>65835.042735042734</v>
      </c>
      <c r="G94" s="191">
        <f>税込!G94/1.17</f>
        <v>64141.880341880344</v>
      </c>
      <c r="H94" s="192">
        <f>税込!H94/1.17</f>
        <v>59982.051282051289</v>
      </c>
      <c r="I94" s="193">
        <f>税込!I94/1.17</f>
        <v>66361.538461538468</v>
      </c>
      <c r="J94" s="194">
        <f>税込!J94/1.17</f>
        <v>59010.256410256414</v>
      </c>
      <c r="K94" s="195">
        <f>税込!K94/1.17</f>
        <v>51728.205128205132</v>
      </c>
      <c r="L94" s="195">
        <f>税込!L94/1.17</f>
        <v>59703.418803418805</v>
      </c>
      <c r="M94" s="195">
        <f>税込!M94/1.17</f>
        <v>58548.681008547021</v>
      </c>
      <c r="N94" s="195">
        <f>税込!N94/1.17</f>
        <v>51482.564102564102</v>
      </c>
      <c r="O94" s="195">
        <f>税込!O94/1.17</f>
        <v>38052.10786324786</v>
      </c>
      <c r="P94" s="486"/>
      <c r="Q94" s="408" t="s">
        <v>129</v>
      </c>
      <c r="R94" s="83"/>
    </row>
    <row r="95" spans="1:18">
      <c r="A95" s="1392"/>
      <c r="B95" s="1392"/>
      <c r="C95" s="153" t="s">
        <v>50</v>
      </c>
      <c r="D95" s="281">
        <f>税込!D95</f>
        <v>0.12639080000532538</v>
      </c>
      <c r="E95" s="281">
        <f>税込!E95</f>
        <v>0.11912288496598156</v>
      </c>
      <c r="F95" s="281">
        <f>税込!F95</f>
        <v>0.12621881983479311</v>
      </c>
      <c r="G95" s="281">
        <f>税込!G95</f>
        <v>0.12644844365147817</v>
      </c>
      <c r="H95" s="281">
        <f>税込!H95</f>
        <v>0.11588591347026904</v>
      </c>
      <c r="I95" s="282">
        <f>税込!I95</f>
        <v>0.12345797681477795</v>
      </c>
      <c r="J95" s="283">
        <f>税込!J95</f>
        <v>0.12194102330931578</v>
      </c>
      <c r="K95" s="281">
        <f>税込!K95</f>
        <v>0.11589251132996164</v>
      </c>
      <c r="L95" s="281">
        <f>税込!L95</f>
        <v>0.11427752731610362</v>
      </c>
      <c r="M95" s="183">
        <f>税込!M95</f>
        <v>0.11512306492643321</v>
      </c>
      <c r="N95" s="183">
        <f>税込!N95</f>
        <v>0.11417017344357776</v>
      </c>
      <c r="O95" s="183">
        <f>税込!O95</f>
        <v>0.10914605086591191</v>
      </c>
      <c r="P95" s="1052"/>
      <c r="Q95" s="209"/>
      <c r="R95" s="83"/>
    </row>
    <row r="96" spans="1:18">
      <c r="A96" s="1392"/>
      <c r="B96" s="1392"/>
      <c r="C96" s="162" t="s">
        <v>248</v>
      </c>
      <c r="D96" s="182">
        <f>税込!D96/1.17</f>
        <v>52707.459717948725</v>
      </c>
      <c r="E96" s="191">
        <f>税込!E96/1.17</f>
        <v>61724.418803418812</v>
      </c>
      <c r="F96" s="191">
        <f>税込!F96/1.17</f>
        <v>75450.56315384616</v>
      </c>
      <c r="G96" s="191">
        <f>税込!G96/1.17</f>
        <v>69418.334632478625</v>
      </c>
      <c r="H96" s="191">
        <f>税込!H96/1.17</f>
        <v>67772.930188034195</v>
      </c>
      <c r="I96" s="193">
        <f>税込!I96/1.17</f>
        <v>64180.157752136758</v>
      </c>
      <c r="J96" s="332">
        <f>税込!J96/1.17</f>
        <v>71228.7913076923</v>
      </c>
      <c r="K96" s="191">
        <f>税込!K96/1.17</f>
        <v>67748.66805128206</v>
      </c>
      <c r="L96" s="191">
        <f>税込!L96/1.17</f>
        <v>69603.092393162384</v>
      </c>
      <c r="M96" s="195">
        <f>税込!M96/1.17</f>
        <v>72174.737273504288</v>
      </c>
      <c r="N96" s="195">
        <f>税込!N96/1.17</f>
        <v>56414.975871794872</v>
      </c>
      <c r="O96" s="195">
        <f>税込!O96/1.17</f>
        <v>43548.181196581201</v>
      </c>
      <c r="P96" s="1052"/>
      <c r="Q96" s="209"/>
      <c r="R96" s="83"/>
    </row>
    <row r="97" spans="1:18">
      <c r="A97" s="1392"/>
      <c r="B97" s="1392"/>
      <c r="C97" s="1193" t="s">
        <v>50</v>
      </c>
      <c r="D97" s="1194">
        <f>税込!D97</f>
        <v>0.11788857938718662</v>
      </c>
      <c r="E97" s="1194">
        <f>税込!E97</f>
        <v>0.11791111111111115</v>
      </c>
      <c r="F97" s="1194">
        <f>税込!F97</f>
        <v>0.11884042553191491</v>
      </c>
      <c r="G97" s="1194">
        <f>税込!G97</f>
        <v>0.11700885410542498</v>
      </c>
      <c r="H97" s="1194">
        <f>税込!H97</f>
        <v>0.12410112359550564</v>
      </c>
      <c r="I97" s="1195">
        <f>税込!I97</f>
        <v>0.12368464052287581</v>
      </c>
      <c r="J97" s="1196">
        <f>税込!J97</f>
        <v>0.13733488023952095</v>
      </c>
      <c r="K97" s="1194">
        <f>税込!K97</f>
        <v>0.14269099476439789</v>
      </c>
      <c r="L97" s="1194">
        <f>税込!L97</f>
        <v>0.14113544973544973</v>
      </c>
      <c r="M97" s="1194">
        <f>税込!M97</f>
        <v>0.14269148936170215</v>
      </c>
      <c r="N97" s="1194">
        <f>税込!N97</f>
        <v>0.14432051282051281</v>
      </c>
      <c r="O97" s="1194">
        <f>税込!O97</f>
        <v>0.14862318840579708</v>
      </c>
      <c r="P97" s="203"/>
      <c r="Q97" s="209"/>
      <c r="R97" s="83"/>
    </row>
    <row r="98" spans="1:18">
      <c r="A98" s="1392"/>
      <c r="B98" s="1392"/>
      <c r="C98" s="1198" t="s">
        <v>250</v>
      </c>
      <c r="D98" s="1199">
        <f>税込!D98/1.17</f>
        <v>61367.521367521374</v>
      </c>
      <c r="E98" s="1199">
        <f>税込!E98/1.17</f>
        <v>76923.076923076922</v>
      </c>
      <c r="F98" s="1199">
        <f>税込!F98/1.17</f>
        <v>80341.880341880344</v>
      </c>
      <c r="G98" s="1199">
        <f>税込!G98/1.17</f>
        <v>71794.748717948722</v>
      </c>
      <c r="H98" s="1199">
        <f>税込!H98/1.17</f>
        <v>76068.376068376077</v>
      </c>
      <c r="I98" s="1200">
        <f>税込!I98/1.17</f>
        <v>78461.538461538468</v>
      </c>
      <c r="J98" s="1213">
        <f>税込!J98/1.17</f>
        <v>85641.025641025641</v>
      </c>
      <c r="K98" s="1199">
        <f>税込!K98/1.17</f>
        <v>81623.931623931625</v>
      </c>
      <c r="L98" s="1199">
        <f>税込!L98/1.17</f>
        <v>80769.23076923078</v>
      </c>
      <c r="M98" s="1199">
        <f>税込!M98/1.17</f>
        <v>80341.880341880344</v>
      </c>
      <c r="N98" s="1199">
        <f>税込!N98/1.17</f>
        <v>66666.666666666672</v>
      </c>
      <c r="O98" s="1199">
        <f>税込!O98/1.17</f>
        <v>35384.61538461539</v>
      </c>
      <c r="P98" s="203"/>
      <c r="Q98" s="209"/>
      <c r="R98" s="83"/>
    </row>
    <row r="99" spans="1:18">
      <c r="A99" s="1392"/>
      <c r="B99" s="1392"/>
      <c r="C99" s="405" t="s">
        <v>50</v>
      </c>
      <c r="D99" s="218">
        <f>税込!D99</f>
        <v>0.11270964177281903</v>
      </c>
      <c r="E99" s="1285">
        <f>税込!E99</f>
        <v>0.11592764176345068</v>
      </c>
      <c r="F99" s="1285">
        <f>税込!F99</f>
        <v>0.11630635071183318</v>
      </c>
      <c r="G99" s="1285">
        <f>税込!G99</f>
        <v>0.11700885410542498</v>
      </c>
      <c r="H99" s="1285">
        <f>税込!H99</f>
        <v>0.11845291140471766</v>
      </c>
      <c r="I99" s="1286">
        <f>税込!I99</f>
        <v>0.11949329363264997</v>
      </c>
      <c r="J99" s="1287">
        <f>税込!J99</f>
        <v>0.13091062696116249</v>
      </c>
      <c r="K99" s="1285">
        <f>税込!K99</f>
        <v>0.13661623374805043</v>
      </c>
      <c r="L99" s="1285">
        <f>税込!L99</f>
        <v>0.14173232998947244</v>
      </c>
      <c r="M99" s="1285">
        <f>税込!M99</f>
        <v>0.14067093252582225</v>
      </c>
      <c r="N99" s="398">
        <f>税込!N99</f>
        <v>0.14432051282051281</v>
      </c>
      <c r="O99" s="399">
        <f>税込!O99</f>
        <v>0.14862318840579708</v>
      </c>
      <c r="P99" s="203"/>
      <c r="Q99" s="209"/>
      <c r="R99" s="83"/>
    </row>
    <row r="100" spans="1:18">
      <c r="A100" s="1392"/>
      <c r="B100" s="1392"/>
      <c r="C100" s="406" t="s">
        <v>251</v>
      </c>
      <c r="D100" s="237">
        <f>税込!D100/1.17</f>
        <v>70185.21952136753</v>
      </c>
      <c r="E100" s="1054">
        <f>税込!E100/1.17</f>
        <v>78493.362752136745</v>
      </c>
      <c r="F100" s="1054">
        <f>税込!F100/1.17</f>
        <v>82254.204470085475</v>
      </c>
      <c r="G100" s="1054">
        <f>税込!G100/1.17</f>
        <v>79556.712205128191</v>
      </c>
      <c r="H100" s="1054">
        <f>税込!H100/1.17</f>
        <v>76677.619923076927</v>
      </c>
      <c r="I100" s="1288">
        <f>税込!I100/1.17</f>
        <v>78735.984820512822</v>
      </c>
      <c r="J100" s="1289">
        <f>税込!J100/1.17</f>
        <v>85665.48347008547</v>
      </c>
      <c r="K100" s="1054">
        <f>税込!K100/1.17</f>
        <v>81761.879196581212</v>
      </c>
      <c r="L100" s="1054">
        <f>税込!L100/1.17</f>
        <v>81059.842102564115</v>
      </c>
      <c r="M100" s="1054">
        <f>税込!M100/1.17</f>
        <v>80499.023316239312</v>
      </c>
      <c r="N100" s="400">
        <f>税込!N100/1.17</f>
        <v>66666.666666666672</v>
      </c>
      <c r="O100" s="400">
        <f>税込!O100/1.17</f>
        <v>35384.61538461539</v>
      </c>
      <c r="P100" s="83"/>
      <c r="Q100" s="83"/>
      <c r="R100" s="83"/>
    </row>
    <row r="101" spans="1:18">
      <c r="A101" s="1392"/>
      <c r="B101" s="1392"/>
      <c r="C101" s="407" t="s">
        <v>477</v>
      </c>
      <c r="D101" s="223">
        <f>税込!D101/1.17</f>
        <v>60512.820512820515</v>
      </c>
      <c r="E101" s="223">
        <f>税込!E101/1.17</f>
        <v>67264.957264957266</v>
      </c>
      <c r="F101" s="223">
        <f>税込!F101/1.17</f>
        <v>67863.247863247874</v>
      </c>
      <c r="G101" s="223">
        <f>税込!G101/1.17</f>
        <v>67863.247863247874</v>
      </c>
      <c r="H101" s="223">
        <f>税込!H101/1.17</f>
        <v>73931.623931623937</v>
      </c>
      <c r="I101" s="224">
        <f>税込!I101/1.17</f>
        <v>79487.179487179499</v>
      </c>
      <c r="J101" s="225">
        <f>税込!J101/1.17</f>
        <v>85683.760683760687</v>
      </c>
      <c r="K101" s="223">
        <f>税込!K101/1.17</f>
        <v>82564.102564102563</v>
      </c>
      <c r="L101" s="223">
        <f>税込!L101/1.17</f>
        <v>79829.059829059828</v>
      </c>
      <c r="M101" s="223">
        <f>税込!M101/1.17</f>
        <v>79606.837606837609</v>
      </c>
      <c r="N101" s="223">
        <f>税込!N101/1.17</f>
        <v>67051.282051282062</v>
      </c>
      <c r="O101" s="223">
        <f>税込!O101/1.17</f>
        <v>35085.470085470086</v>
      </c>
      <c r="P101" s="83"/>
      <c r="Q101" s="227"/>
      <c r="R101" s="83"/>
    </row>
    <row r="102" spans="1:18">
      <c r="A102" s="1392"/>
      <c r="B102" s="1392" t="s">
        <v>19</v>
      </c>
      <c r="C102" s="288" t="s">
        <v>56</v>
      </c>
      <c r="D102" s="289">
        <f>税込!D102</f>
        <v>1.07</v>
      </c>
      <c r="E102" s="289">
        <f>税込!E102</f>
        <v>1.01</v>
      </c>
      <c r="F102" s="290">
        <f>税込!F102</f>
        <v>1.07</v>
      </c>
      <c r="G102" s="291">
        <f>税込!G102</f>
        <v>0.94</v>
      </c>
      <c r="H102" s="289">
        <f>税込!H102</f>
        <v>0.64</v>
      </c>
      <c r="I102" s="303">
        <f>税込!I102</f>
        <v>1.1299999999999999</v>
      </c>
      <c r="J102" s="293">
        <f>税込!J102</f>
        <v>0.75</v>
      </c>
      <c r="K102" s="289">
        <f>税込!K102</f>
        <v>1.04</v>
      </c>
      <c r="L102" s="289">
        <f>税込!L102</f>
        <v>0.84</v>
      </c>
      <c r="M102" s="289">
        <f>税込!M102</f>
        <v>1.03</v>
      </c>
      <c r="N102" s="289">
        <f>税込!N102</f>
        <v>1.05</v>
      </c>
      <c r="O102" s="289">
        <f>税込!O102</f>
        <v>1</v>
      </c>
      <c r="P102" s="83"/>
      <c r="Q102" s="83"/>
      <c r="R102" s="83"/>
    </row>
    <row r="103" spans="1:18">
      <c r="A103" s="1392"/>
      <c r="B103" s="1392"/>
      <c r="C103" s="288" t="s">
        <v>57</v>
      </c>
      <c r="D103" s="289">
        <f>税込!D103</f>
        <v>1.0416386309603911</v>
      </c>
      <c r="E103" s="289">
        <f>税込!E103</f>
        <v>0.84</v>
      </c>
      <c r="F103" s="294">
        <f>税込!F103</f>
        <v>0.88</v>
      </c>
      <c r="G103" s="295">
        <f>税込!G103</f>
        <v>0.84</v>
      </c>
      <c r="H103" s="289">
        <f>税込!H103</f>
        <v>0.95</v>
      </c>
      <c r="I103" s="303">
        <f>税込!I103</f>
        <v>1.01</v>
      </c>
      <c r="J103" s="293">
        <f>税込!J103</f>
        <v>0.85</v>
      </c>
      <c r="K103" s="289">
        <f>税込!K103</f>
        <v>0.91</v>
      </c>
      <c r="L103" s="289">
        <f>税込!L103</f>
        <v>0.85</v>
      </c>
      <c r="M103" s="296">
        <f>税込!M103</f>
        <v>1.03</v>
      </c>
      <c r="N103" s="289">
        <f>税込!N103</f>
        <v>1.03</v>
      </c>
      <c r="O103" s="289">
        <f>税込!O103</f>
        <v>0.98</v>
      </c>
      <c r="P103" s="83"/>
      <c r="Q103" s="83"/>
      <c r="R103" s="83"/>
    </row>
    <row r="104" spans="1:18">
      <c r="A104" s="1392"/>
      <c r="B104" s="1392"/>
      <c r="C104" s="288" t="s">
        <v>51</v>
      </c>
      <c r="D104" s="289">
        <f>税込!D104</f>
        <v>0.83723534558180224</v>
      </c>
      <c r="E104" s="297">
        <f>税込!E104</f>
        <v>0.86892953181486299</v>
      </c>
      <c r="F104" s="298">
        <f>税込!F104</f>
        <v>0.91558541266794624</v>
      </c>
      <c r="G104" s="298">
        <f>税込!G104</f>
        <v>1.0209110396570205</v>
      </c>
      <c r="H104" s="299">
        <f>税込!H104</f>
        <v>0.93711</v>
      </c>
      <c r="I104" s="464">
        <f>税込!I104</f>
        <v>0.90439000000000003</v>
      </c>
      <c r="J104" s="301">
        <f>税込!J104</f>
        <v>0.7698171693233733</v>
      </c>
      <c r="K104" s="302">
        <f>税込!K104</f>
        <v>0.7949057037718491</v>
      </c>
      <c r="L104" s="302">
        <f>税込!L104</f>
        <v>0.84527415756721846</v>
      </c>
      <c r="M104" s="302">
        <f>税込!M104</f>
        <v>0.99276426679508789</v>
      </c>
      <c r="N104" s="302">
        <f>税込!N104</f>
        <v>1.0162371134020618</v>
      </c>
      <c r="O104" s="302">
        <f>税込!O104</f>
        <v>0.86251819505094618</v>
      </c>
      <c r="P104" s="83"/>
      <c r="Q104" s="83"/>
      <c r="R104" s="83"/>
    </row>
    <row r="105" spans="1:18">
      <c r="A105" s="1392"/>
      <c r="B105" s="1392"/>
      <c r="C105" s="288" t="s">
        <v>204</v>
      </c>
      <c r="D105" s="289">
        <v>0.61338658146964853</v>
      </c>
      <c r="E105" s="297">
        <v>1.0419906542056077</v>
      </c>
      <c r="F105" s="298">
        <v>0.92247904191616759</v>
      </c>
      <c r="G105" s="298">
        <v>0.89767942583732063</v>
      </c>
      <c r="H105" s="298">
        <v>0.8642733990147784</v>
      </c>
      <c r="I105" s="464">
        <v>1.0665247252747254</v>
      </c>
      <c r="J105" s="301">
        <v>0.85766459627329183</v>
      </c>
      <c r="K105" s="318">
        <v>0.77671971252566729</v>
      </c>
      <c r="L105" s="318">
        <v>0.9701805555555556</v>
      </c>
      <c r="M105" s="318">
        <v>0.96210613455056193</v>
      </c>
      <c r="N105" s="318">
        <v>0.99070065789473682</v>
      </c>
      <c r="O105" s="302">
        <v>0.92945649686847576</v>
      </c>
      <c r="P105" s="83"/>
      <c r="Q105" s="83"/>
      <c r="R105" s="83"/>
    </row>
    <row r="106" spans="1:18">
      <c r="A106" s="1392"/>
      <c r="B106" s="1392"/>
      <c r="C106" s="288" t="s">
        <v>202</v>
      </c>
      <c r="D106" s="289">
        <v>1.0053428084447344</v>
      </c>
      <c r="E106" s="297">
        <v>1.0859784962406016</v>
      </c>
      <c r="F106" s="298">
        <v>1.0391660846380224</v>
      </c>
      <c r="G106" s="298">
        <v>1.0002455726265789</v>
      </c>
      <c r="H106" s="298">
        <v>1.003729806597637</v>
      </c>
      <c r="I106" s="464">
        <v>1.0147448610791563</v>
      </c>
      <c r="J106" s="301">
        <v>1.0417210728749999</v>
      </c>
      <c r="K106" s="318">
        <v>1.0033663496202532</v>
      </c>
      <c r="L106" s="318">
        <v>1.0308306088607593</v>
      </c>
      <c r="M106" s="318">
        <v>1.0635320227959699</v>
      </c>
      <c r="N106" s="318">
        <v>1.0820577339344262</v>
      </c>
      <c r="O106" s="302">
        <v>1.0293206464646465</v>
      </c>
      <c r="P106" s="83"/>
      <c r="Q106" s="83"/>
      <c r="R106" s="83"/>
    </row>
    <row r="107" spans="1:18">
      <c r="A107" s="1392"/>
      <c r="B107" s="1392"/>
      <c r="C107" s="442" t="s">
        <v>261</v>
      </c>
      <c r="D107" s="305">
        <f>D100/D98</f>
        <v>1.1436867247910865</v>
      </c>
      <c r="E107" s="1302">
        <f t="shared" ref="E107:O107" si="8">E100/E98</f>
        <v>1.0204137157777777</v>
      </c>
      <c r="F107" s="1302">
        <f t="shared" si="8"/>
        <v>1.0238023322340426</v>
      </c>
      <c r="G107" s="1302">
        <f t="shared" si="8"/>
        <v>1.1081132481941396</v>
      </c>
      <c r="H107" s="1302">
        <f t="shared" si="8"/>
        <v>1.0080091607865167</v>
      </c>
      <c r="I107" s="1300">
        <f t="shared" si="8"/>
        <v>1.0034978457516339</v>
      </c>
      <c r="J107" s="1301">
        <f t="shared" si="8"/>
        <v>1.0002855854291417</v>
      </c>
      <c r="K107" s="1302">
        <f>K100/K98</f>
        <v>1.0016900383246075</v>
      </c>
      <c r="L107" s="1302">
        <f t="shared" si="8"/>
        <v>1.0035980450793651</v>
      </c>
      <c r="M107" s="1302">
        <f t="shared" si="8"/>
        <v>1.0019559285106383</v>
      </c>
      <c r="N107" s="444">
        <f t="shared" si="8"/>
        <v>1</v>
      </c>
      <c r="O107" s="443">
        <f t="shared" si="8"/>
        <v>1</v>
      </c>
      <c r="P107" s="83"/>
      <c r="Q107" s="83"/>
      <c r="R107" s="83"/>
    </row>
    <row r="108" spans="1:18">
      <c r="A108" s="1392" t="s">
        <v>20</v>
      </c>
      <c r="B108" s="1392" t="s">
        <v>16</v>
      </c>
      <c r="C108" s="153" t="s">
        <v>49</v>
      </c>
      <c r="D108" s="306">
        <f>税込!D108</f>
        <v>0.111</v>
      </c>
      <c r="E108" s="307">
        <f>税込!E108</f>
        <v>0.104</v>
      </c>
      <c r="F108" s="308">
        <f>税込!F108</f>
        <v>9.6000000000000002E-2</v>
      </c>
      <c r="G108" s="308">
        <f>税込!G108</f>
        <v>0.108</v>
      </c>
      <c r="H108" s="309">
        <f>税込!H108</f>
        <v>0.125</v>
      </c>
      <c r="I108" s="465">
        <f>税込!I108</f>
        <v>0.09</v>
      </c>
      <c r="J108" s="311">
        <f>税込!J108</f>
        <v>0.11700000000000001</v>
      </c>
      <c r="K108" s="312">
        <f>税込!K108</f>
        <v>0.14000000000000001</v>
      </c>
      <c r="L108" s="312">
        <f>税込!L108</f>
        <v>0.14399999999999999</v>
      </c>
      <c r="M108" s="312">
        <f>税込!M108</f>
        <v>0.13100000000000001</v>
      </c>
      <c r="N108" s="312">
        <f>税込!N108</f>
        <v>0.126</v>
      </c>
      <c r="O108" s="312">
        <f>税込!O108</f>
        <v>0.122</v>
      </c>
      <c r="P108" s="83"/>
      <c r="Q108" s="83"/>
      <c r="R108" s="83"/>
    </row>
    <row r="109" spans="1:18">
      <c r="A109" s="1392"/>
      <c r="B109" s="1392"/>
      <c r="C109" s="162" t="s">
        <v>133</v>
      </c>
      <c r="D109" s="165">
        <f>税込!D109/1.17</f>
        <v>77794.017094017094</v>
      </c>
      <c r="E109" s="165">
        <f>税込!E109/1.17</f>
        <v>52488.888888888891</v>
      </c>
      <c r="F109" s="165">
        <f>税込!F109/1.17</f>
        <v>84323.076923076922</v>
      </c>
      <c r="G109" s="166">
        <f>税込!G109/1.17</f>
        <v>84338.461538461546</v>
      </c>
      <c r="H109" s="164">
        <f>税込!H109/1.17</f>
        <v>70811.111111111109</v>
      </c>
      <c r="I109" s="167">
        <f>税込!I109/1.17</f>
        <v>88546.153846153858</v>
      </c>
      <c r="J109" s="168">
        <f>税込!J109/1.17</f>
        <v>40681.196581196586</v>
      </c>
      <c r="K109" s="165">
        <f>税込!K109/1.17</f>
        <v>48858.119658119664</v>
      </c>
      <c r="L109" s="165">
        <f>税込!L109/1.17</f>
        <v>54776.068376068382</v>
      </c>
      <c r="M109" s="163">
        <f>税込!M109/1.17</f>
        <v>63041.880341880344</v>
      </c>
      <c r="N109" s="165">
        <f>税込!N109/1.17</f>
        <v>71134.188034188031</v>
      </c>
      <c r="O109" s="165">
        <f>税込!O109/1.17</f>
        <v>56495.7264957265</v>
      </c>
      <c r="P109" s="83"/>
      <c r="Q109" s="83"/>
      <c r="R109" s="83"/>
    </row>
    <row r="110" spans="1:18">
      <c r="A110" s="1392"/>
      <c r="B110" s="1392"/>
      <c r="C110" s="153" t="s">
        <v>49</v>
      </c>
      <c r="D110" s="306">
        <f>税込!D110</f>
        <v>0.13</v>
      </c>
      <c r="E110" s="307">
        <f>税込!E110</f>
        <v>0.13100000000000001</v>
      </c>
      <c r="F110" s="308">
        <f>税込!F110</f>
        <v>0.14099999999999999</v>
      </c>
      <c r="G110" s="308">
        <f>税込!G110</f>
        <v>0.13900000000000001</v>
      </c>
      <c r="H110" s="309">
        <f>税込!H110</f>
        <v>0.13700000000000001</v>
      </c>
      <c r="I110" s="465">
        <f>税込!I110</f>
        <v>0.11799999999999999</v>
      </c>
      <c r="J110" s="311">
        <f>税込!J110</f>
        <v>0.13600000000000001</v>
      </c>
      <c r="K110" s="312">
        <f>税込!K110</f>
        <v>0.13303888028117752</v>
      </c>
      <c r="L110" s="312">
        <f>税込!L110</f>
        <v>0.13826860280011427</v>
      </c>
      <c r="M110" s="312">
        <f>税込!M110</f>
        <v>0.13721968600378576</v>
      </c>
      <c r="N110" s="312">
        <f>税込!N110</f>
        <v>0.13862913772559504</v>
      </c>
      <c r="O110" s="312">
        <f>税込!O110</f>
        <v>0.14945310575400317</v>
      </c>
      <c r="P110" s="83"/>
      <c r="Q110" s="83"/>
      <c r="R110" s="83"/>
    </row>
    <row r="111" spans="1:18">
      <c r="A111" s="1392"/>
      <c r="B111" s="1392"/>
      <c r="C111" s="162" t="s">
        <v>134</v>
      </c>
      <c r="D111" s="182">
        <f>税込!D111/1.17</f>
        <v>75541.880341880344</v>
      </c>
      <c r="E111" s="182">
        <f>税込!E111/1.17</f>
        <v>86158.119658119656</v>
      </c>
      <c r="F111" s="178">
        <f>税込!F111/1.17</f>
        <v>118979.48717948719</v>
      </c>
      <c r="G111" s="179">
        <f>税込!G111/1.17</f>
        <v>116792.3076923077</v>
      </c>
      <c r="H111" s="177">
        <f>税込!H111/1.17</f>
        <v>98629.059829059828</v>
      </c>
      <c r="I111" s="180">
        <f>税込!I111/1.17</f>
        <v>78277.777777777781</v>
      </c>
      <c r="J111" s="181">
        <f>税込!J111/1.17</f>
        <v>65461.538461538468</v>
      </c>
      <c r="K111" s="182">
        <f>税込!K111/1.17</f>
        <v>82194.017094017094</v>
      </c>
      <c r="L111" s="182">
        <f>税込!L111/1.17</f>
        <v>83757.264957264968</v>
      </c>
      <c r="M111" s="176">
        <f>税込!M111/1.17</f>
        <v>99788.888888888891</v>
      </c>
      <c r="N111" s="182">
        <f>税込!N111/1.17</f>
        <v>88228.20512820514</v>
      </c>
      <c r="O111" s="182">
        <f>税込!O111/1.17</f>
        <v>72858.974358974359</v>
      </c>
      <c r="P111" s="83"/>
      <c r="Q111" s="83"/>
      <c r="R111" s="83"/>
    </row>
    <row r="112" spans="1:18">
      <c r="A112" s="1392"/>
      <c r="B112" s="1392"/>
      <c r="C112" s="153" t="s">
        <v>49</v>
      </c>
      <c r="D112" s="313">
        <f>税込!D112</f>
        <v>0.14000000000000001</v>
      </c>
      <c r="E112" s="313">
        <f>税込!E112</f>
        <v>0.14599999999999999</v>
      </c>
      <c r="F112" s="313">
        <f>税込!F112</f>
        <v>0.151</v>
      </c>
      <c r="G112" s="313">
        <f>税込!G112</f>
        <v>0.14399999999999999</v>
      </c>
      <c r="H112" s="466">
        <f>税込!H112</f>
        <v>0.154</v>
      </c>
      <c r="I112" s="467">
        <f>税込!I112</f>
        <v>0.156</v>
      </c>
      <c r="J112" s="313">
        <f>税込!J112</f>
        <v>0.16300000000000001</v>
      </c>
      <c r="K112" s="313">
        <f>税込!K112</f>
        <v>0.16500000000000001</v>
      </c>
      <c r="L112" s="313">
        <f>税込!L112</f>
        <v>0.16</v>
      </c>
      <c r="M112" s="466">
        <f>税込!M112</f>
        <v>0.18</v>
      </c>
      <c r="N112" s="313">
        <f>税込!N112</f>
        <v>0.17399999999999999</v>
      </c>
      <c r="O112" s="316">
        <f>税込!O112</f>
        <v>0.18099999999999999</v>
      </c>
      <c r="P112" s="83"/>
      <c r="Q112" s="83"/>
      <c r="R112" s="83"/>
    </row>
    <row r="113" spans="1:18">
      <c r="A113" s="1392"/>
      <c r="B113" s="1392"/>
      <c r="C113" s="162" t="s">
        <v>135</v>
      </c>
      <c r="D113" s="182">
        <f>税込!D113/1.17</f>
        <v>99357.264957264968</v>
      </c>
      <c r="E113" s="191">
        <f>税込!E113/1.17</f>
        <v>142517.09401709403</v>
      </c>
      <c r="F113" s="191">
        <f>税込!F113/1.17</f>
        <v>151176.92307692309</v>
      </c>
      <c r="G113" s="191">
        <f>税込!G113/1.17</f>
        <v>128222.22222222223</v>
      </c>
      <c r="H113" s="192">
        <f>税込!H113/1.17</f>
        <v>89798.290598290609</v>
      </c>
      <c r="I113" s="193">
        <f>税込!I113/1.17</f>
        <v>64138.461538461539</v>
      </c>
      <c r="J113" s="194">
        <f>税込!J113/1.17</f>
        <v>81493.162393162405</v>
      </c>
      <c r="K113" s="195">
        <f>税込!K113/1.17</f>
        <v>102713.67521367522</v>
      </c>
      <c r="L113" s="195">
        <f>税込!L113/1.17</f>
        <v>114140.17094017095</v>
      </c>
      <c r="M113" s="195">
        <f>税込!M113/1.17</f>
        <v>123656.41025641026</v>
      </c>
      <c r="N113" s="195">
        <f>税込!N113/1.17</f>
        <v>113222.22222222223</v>
      </c>
      <c r="O113" s="195">
        <f>税込!O113/1.17</f>
        <v>87433.333333333343</v>
      </c>
      <c r="P113" s="83"/>
      <c r="Q113" s="83"/>
      <c r="R113" s="83"/>
    </row>
    <row r="114" spans="1:18">
      <c r="A114" s="1392"/>
      <c r="B114" s="1392"/>
      <c r="C114" s="153" t="s">
        <v>49</v>
      </c>
      <c r="D114" s="313">
        <f>税込!D114</f>
        <v>0.18269205720283388</v>
      </c>
      <c r="E114" s="313">
        <f>税込!E114</f>
        <v>0.1818417117846676</v>
      </c>
      <c r="F114" s="313">
        <f>税込!F114</f>
        <v>0.18291674873122282</v>
      </c>
      <c r="G114" s="313">
        <f>税込!G114</f>
        <v>0.18149921779691422</v>
      </c>
      <c r="H114" s="466">
        <f>税込!H114</f>
        <v>0.17787598541711347</v>
      </c>
      <c r="I114" s="467">
        <f>税込!I114</f>
        <v>0.18183675655223477</v>
      </c>
      <c r="J114" s="313">
        <f>税込!J114</f>
        <v>0.18912619580704254</v>
      </c>
      <c r="K114" s="313">
        <f>税込!K114</f>
        <v>0.2023582677300895</v>
      </c>
      <c r="L114" s="313">
        <f>税込!L114</f>
        <v>0.19999035080921584</v>
      </c>
      <c r="M114" s="466">
        <f>税込!M114</f>
        <v>0.19422512712934792</v>
      </c>
      <c r="N114" s="313">
        <f>税込!N114</f>
        <v>0.19912417955916045</v>
      </c>
      <c r="O114" s="316">
        <f>税込!O114</f>
        <v>0.20343538859149002</v>
      </c>
      <c r="P114" s="83"/>
      <c r="Q114" s="83"/>
      <c r="R114" s="83"/>
    </row>
    <row r="115" spans="1:18">
      <c r="A115" s="1392"/>
      <c r="B115" s="1392"/>
      <c r="C115" s="162" t="s">
        <v>156</v>
      </c>
      <c r="D115" s="182">
        <f>税込!D115/1.17</f>
        <v>104232.47863247864</v>
      </c>
      <c r="E115" s="191">
        <f>税込!E115/1.17</f>
        <v>106387.69230769231</v>
      </c>
      <c r="F115" s="191">
        <f>税込!F115/1.17</f>
        <v>117550.42735042736</v>
      </c>
      <c r="G115" s="191">
        <f>税込!G115/1.17</f>
        <v>104810.25641025642</v>
      </c>
      <c r="H115" s="192">
        <f>税込!H115/1.17</f>
        <v>111593.16239316241</v>
      </c>
      <c r="I115" s="193">
        <f>税込!I115/1.17</f>
        <v>105040.17094017095</v>
      </c>
      <c r="J115" s="194">
        <f>税込!J115/1.17</f>
        <v>79783.760683760687</v>
      </c>
      <c r="K115" s="195">
        <f>税込!K115/1.17</f>
        <v>74478.632478632484</v>
      </c>
      <c r="L115" s="195">
        <f>税込!L115/1.17</f>
        <v>70829.888888888891</v>
      </c>
      <c r="M115" s="195">
        <f>税込!M115/1.17</f>
        <v>77819.658119658125</v>
      </c>
      <c r="N115" s="195">
        <f>税込!N115/1.17</f>
        <v>82525.989743589744</v>
      </c>
      <c r="O115" s="195">
        <f>税込!O115/1.17</f>
        <v>68982.09401709403</v>
      </c>
      <c r="P115" s="83"/>
      <c r="Q115" s="83"/>
      <c r="R115" s="83"/>
    </row>
    <row r="116" spans="1:18">
      <c r="A116" s="1392"/>
      <c r="B116" s="1392"/>
      <c r="C116" s="153" t="s">
        <v>50</v>
      </c>
      <c r="D116" s="313">
        <f>税込!D116</f>
        <v>0.19441020533391254</v>
      </c>
      <c r="E116" s="313">
        <f>税込!E116</f>
        <v>0.20185440046267975</v>
      </c>
      <c r="F116" s="313">
        <f>税込!F116</f>
        <v>0.201557779564907</v>
      </c>
      <c r="G116" s="313">
        <f>税込!G116</f>
        <v>0.19740035717241641</v>
      </c>
      <c r="H116" s="466">
        <f>税込!H116</f>
        <v>0.20447011022454961</v>
      </c>
      <c r="I116" s="467">
        <f>税込!I116</f>
        <v>0.214692831429245</v>
      </c>
      <c r="J116" s="313">
        <f>税込!J116</f>
        <v>0.21423295234410472</v>
      </c>
      <c r="K116" s="313">
        <f>税込!K116</f>
        <v>0.22164909718940487</v>
      </c>
      <c r="L116" s="313">
        <f>税込!L116</f>
        <v>0.22396599969593325</v>
      </c>
      <c r="M116" s="466">
        <f>税込!M116</f>
        <v>0.21821055685438503</v>
      </c>
      <c r="N116" s="313">
        <f>税込!N116</f>
        <v>0.21478730447518357</v>
      </c>
      <c r="O116" s="316">
        <f>税込!O116</f>
        <v>0.2080275518161685</v>
      </c>
      <c r="P116" s="83"/>
      <c r="Q116" s="83"/>
      <c r="R116" s="83"/>
    </row>
    <row r="117" spans="1:18">
      <c r="A117" s="1392"/>
      <c r="B117" s="1392"/>
      <c r="C117" s="162" t="s">
        <v>248</v>
      </c>
      <c r="D117" s="182">
        <f>税込!D117/1.17</f>
        <v>93437.111538461555</v>
      </c>
      <c r="E117" s="191">
        <f>税込!E117/1.17</f>
        <v>126017.09401709403</v>
      </c>
      <c r="F117" s="191">
        <f>税込!F117/1.17</f>
        <v>135398.88888888888</v>
      </c>
      <c r="G117" s="191">
        <f>税込!G117/1.17</f>
        <v>143510.37863247865</v>
      </c>
      <c r="H117" s="192">
        <f>税込!H117/1.17</f>
        <v>154063.43418803421</v>
      </c>
      <c r="I117" s="193">
        <f>税込!I117/1.17</f>
        <v>136855.24700854701</v>
      </c>
      <c r="J117" s="194">
        <f>税込!J117/1.17+8</f>
        <v>137242.10256410256</v>
      </c>
      <c r="K117" s="195">
        <f>税込!K117/1.17</f>
        <v>94073.758974358978</v>
      </c>
      <c r="L117" s="195">
        <f>税込!L117/1.17</f>
        <v>111896.10085470085</v>
      </c>
      <c r="M117" s="195">
        <f>税込!M117/1.17</f>
        <v>137666.10512820512</v>
      </c>
      <c r="N117" s="195">
        <f>税込!N117/1.17</f>
        <v>114323.66880341881</v>
      </c>
      <c r="O117" s="195">
        <f>税込!O117/1.17</f>
        <v>90309.401709401718</v>
      </c>
      <c r="P117" s="83"/>
      <c r="Q117" s="83"/>
      <c r="R117" s="83"/>
    </row>
    <row r="118" spans="1:18">
      <c r="A118" s="1392"/>
      <c r="B118" s="1392"/>
      <c r="C118" s="1193" t="s">
        <v>50</v>
      </c>
      <c r="D118" s="1194">
        <f>税込!D118</f>
        <v>0.2117</v>
      </c>
      <c r="E118" s="1194">
        <f>税込!E118</f>
        <v>0.22732345971563986</v>
      </c>
      <c r="F118" s="1194">
        <f>税込!F118</f>
        <v>0.23932500000000001</v>
      </c>
      <c r="G118" s="1194">
        <f>税込!G118</f>
        <v>0.23519999999999999</v>
      </c>
      <c r="H118" s="1194">
        <f>税込!H118</f>
        <v>0.22579999999999997</v>
      </c>
      <c r="I118" s="1195">
        <f>税込!I118</f>
        <v>0.23619999999999999</v>
      </c>
      <c r="J118" s="1196">
        <f>税込!J118</f>
        <v>0.2356588</v>
      </c>
      <c r="K118" s="1194">
        <f>税込!K118</f>
        <v>0.22191999999999998</v>
      </c>
      <c r="L118" s="1194">
        <f>税込!L118</f>
        <v>0.23412000000000005</v>
      </c>
      <c r="M118" s="1194">
        <f>税込!M118</f>
        <v>0.23036000000000004</v>
      </c>
      <c r="N118" s="1194">
        <f>税込!N118</f>
        <v>0.22939999999999999</v>
      </c>
      <c r="O118" s="1194">
        <f>税込!O118</f>
        <v>0.22939999999999997</v>
      </c>
      <c r="P118" s="83"/>
      <c r="Q118" s="83"/>
      <c r="R118" s="83"/>
    </row>
    <row r="119" spans="1:18">
      <c r="A119" s="1392"/>
      <c r="B119" s="1392"/>
      <c r="C119" s="1198" t="s">
        <v>250</v>
      </c>
      <c r="D119" s="1199">
        <f>税込!D119/1.17</f>
        <v>205128.20512820515</v>
      </c>
      <c r="E119" s="1199">
        <f>税込!E119/1.17</f>
        <v>180341.88034188034</v>
      </c>
      <c r="F119" s="1199">
        <f>税込!F119/1.17</f>
        <v>162393.16239316241</v>
      </c>
      <c r="G119" s="1199">
        <f>税込!G119/1.17</f>
        <v>162393.16239316241</v>
      </c>
      <c r="H119" s="1199">
        <f>税込!H119/1.17</f>
        <v>196581.19658119659</v>
      </c>
      <c r="I119" s="1200">
        <f>税込!I119/1.17</f>
        <v>205128.20512820515</v>
      </c>
      <c r="J119" s="1213">
        <f>税込!J119/1.17</f>
        <v>213675.21367521369</v>
      </c>
      <c r="K119" s="1199">
        <f>税込!K119/1.17</f>
        <v>102564.10256410258</v>
      </c>
      <c r="L119" s="1199">
        <f>税込!L119/1.17</f>
        <v>145299.14529914531</v>
      </c>
      <c r="M119" s="1199">
        <f>税込!M119/1.17</f>
        <v>185470.08547008547</v>
      </c>
      <c r="N119" s="1199">
        <f>税込!N119/1.17</f>
        <v>188034.18803418803</v>
      </c>
      <c r="O119" s="1199">
        <f>税込!O119/1.17</f>
        <v>128205.12820512822</v>
      </c>
      <c r="P119" s="83"/>
      <c r="Q119" s="83"/>
      <c r="R119" s="83"/>
    </row>
    <row r="120" spans="1:18">
      <c r="A120" s="1392"/>
      <c r="B120" s="1392"/>
      <c r="C120" s="405" t="s">
        <v>50</v>
      </c>
      <c r="D120" s="218">
        <f>税込!D120</f>
        <v>0.21529366205070974</v>
      </c>
      <c r="E120" s="1285">
        <f>税込!E120</f>
        <v>0.2375169903816719</v>
      </c>
      <c r="F120" s="1285">
        <f>税込!F120</f>
        <v>0.23370910440778958</v>
      </c>
      <c r="G120" s="1285">
        <f>税込!G120</f>
        <v>0.22538581036693092</v>
      </c>
      <c r="H120" s="1285">
        <f>税込!H120</f>
        <v>0.23625309113554119</v>
      </c>
      <c r="I120" s="1286">
        <f>税込!I120</f>
        <v>0.23964217931872256</v>
      </c>
      <c r="J120" s="1287">
        <f>税込!J120</f>
        <v>0.23709886997066337</v>
      </c>
      <c r="K120" s="1285">
        <f>税込!K120</f>
        <v>0.23145129601279946</v>
      </c>
      <c r="L120" s="1285">
        <f>税込!L120</f>
        <v>0.22855253184753091</v>
      </c>
      <c r="M120" s="1285">
        <f>税込!M120</f>
        <v>0.223557719721829</v>
      </c>
      <c r="N120" s="398">
        <f>税込!N120</f>
        <v>0.22939999999999997</v>
      </c>
      <c r="O120" s="399">
        <f>税込!O120</f>
        <v>0.23050000000000004</v>
      </c>
      <c r="P120" s="83"/>
      <c r="Q120" s="83"/>
      <c r="R120" s="83"/>
    </row>
    <row r="121" spans="1:18">
      <c r="A121" s="1392"/>
      <c r="B121" s="1392"/>
      <c r="C121" s="406" t="s">
        <v>251</v>
      </c>
      <c r="D121" s="237">
        <f>税込!D121/1.17</f>
        <v>221124.9294871795</v>
      </c>
      <c r="E121" s="1054">
        <f>税込!E121/1.17</f>
        <v>231154.52991452991</v>
      </c>
      <c r="F121" s="1054">
        <f>税込!F121/1.17</f>
        <v>170517.58717948719</v>
      </c>
      <c r="G121" s="1054">
        <f>税込!G121/1.17</f>
        <v>188628.14102564103</v>
      </c>
      <c r="H121" s="1054">
        <f>税込!H121/1.17+75</f>
        <v>200845.21025641027</v>
      </c>
      <c r="I121" s="1288">
        <f>税込!I121/1.17</f>
        <v>205306.50384615385</v>
      </c>
      <c r="J121" s="1289">
        <f>税込!J121/1.17</f>
        <v>156424.42393162395</v>
      </c>
      <c r="K121" s="1054">
        <f>税込!K121/1.17</f>
        <v>102787.00128205128</v>
      </c>
      <c r="L121" s="1054">
        <f>税込!L121/1.17</f>
        <v>139804.84487179489</v>
      </c>
      <c r="M121" s="1054">
        <f>税込!M121/1.17</f>
        <v>171499.79145299149</v>
      </c>
      <c r="N121" s="400">
        <f>税込!N121/1.17</f>
        <v>128205.12820512822</v>
      </c>
      <c r="O121" s="400">
        <f>税込!O121/1.17</f>
        <v>85470.085470085469</v>
      </c>
      <c r="P121" s="83"/>
      <c r="Q121" s="83"/>
      <c r="R121" s="83"/>
    </row>
    <row r="122" spans="1:18">
      <c r="A122" s="1392"/>
      <c r="B122" s="1392"/>
      <c r="C122" s="407" t="s">
        <v>477</v>
      </c>
      <c r="D122" s="223">
        <f>税込!D122/1.17</f>
        <v>153846.15384615384</v>
      </c>
      <c r="E122" s="223">
        <f>税込!E122/1.17</f>
        <v>170940.17094017094</v>
      </c>
      <c r="F122" s="223">
        <f>税込!F122/1.17</f>
        <v>170940.17094017094</v>
      </c>
      <c r="G122" s="223">
        <f>税込!G122/1.17</f>
        <v>145299.14529914531</v>
      </c>
      <c r="H122" s="223">
        <f>税込!H122/1.17</f>
        <v>136752.13675213675</v>
      </c>
      <c r="I122" s="224">
        <f>税込!I122/1.17</f>
        <v>111111.11111111112</v>
      </c>
      <c r="J122" s="225">
        <f>税込!J122/1.17</f>
        <v>213675.21367521369</v>
      </c>
      <c r="K122" s="223">
        <f>税込!K122/1.17</f>
        <v>119658.11965811967</v>
      </c>
      <c r="L122" s="223">
        <f>税込!L122/1.17</f>
        <v>153846.15384615384</v>
      </c>
      <c r="M122" s="223">
        <f>税込!M122/1.17</f>
        <v>153846.15384615384</v>
      </c>
      <c r="N122" s="223">
        <f>税込!N122/1.17</f>
        <v>136752.13675213675</v>
      </c>
      <c r="O122" s="223">
        <f>税込!O122/1.17</f>
        <v>128205.12820512822</v>
      </c>
      <c r="P122" s="83"/>
      <c r="Q122" s="83"/>
      <c r="R122" s="83"/>
    </row>
    <row r="123" spans="1:18">
      <c r="A123" s="1392"/>
      <c r="B123" s="1392" t="s">
        <v>19</v>
      </c>
      <c r="C123" s="288" t="s">
        <v>56</v>
      </c>
      <c r="D123" s="289">
        <f>税込!D123</f>
        <v>1.3</v>
      </c>
      <c r="E123" s="289">
        <f>税込!E123</f>
        <v>0.85</v>
      </c>
      <c r="F123" s="290">
        <f>税込!F123</f>
        <v>1.1299999999999999</v>
      </c>
      <c r="G123" s="291">
        <f>税込!G123</f>
        <v>0.99</v>
      </c>
      <c r="H123" s="289">
        <f>税込!H123</f>
        <v>0.83</v>
      </c>
      <c r="I123" s="303">
        <f>税込!I123</f>
        <v>1.38</v>
      </c>
      <c r="J123" s="293">
        <f>税込!J123</f>
        <v>0.55000000000000004</v>
      </c>
      <c r="K123" s="289">
        <f>税込!K123</f>
        <v>0.88</v>
      </c>
      <c r="L123" s="289">
        <f>税込!L123</f>
        <v>0.85</v>
      </c>
      <c r="M123" s="289">
        <f>税込!M123</f>
        <v>1.05</v>
      </c>
      <c r="N123" s="289">
        <f>税込!N123</f>
        <v>1.1100000000000001</v>
      </c>
      <c r="O123" s="289">
        <f>税込!O123</f>
        <v>1.02</v>
      </c>
      <c r="P123" s="83"/>
      <c r="Q123" s="83"/>
      <c r="R123" s="83"/>
    </row>
    <row r="124" spans="1:18">
      <c r="A124" s="1392"/>
      <c r="B124" s="1392"/>
      <c r="C124" s="288" t="s">
        <v>57</v>
      </c>
      <c r="D124" s="289">
        <f>税込!D124</f>
        <v>1.1000000000000001</v>
      </c>
      <c r="E124" s="289">
        <f>税込!E124</f>
        <v>1.01</v>
      </c>
      <c r="F124" s="294">
        <f>税込!F124</f>
        <v>1.1100000000000001</v>
      </c>
      <c r="G124" s="295">
        <f>税込!G124</f>
        <v>1.05</v>
      </c>
      <c r="H124" s="289">
        <f>税込!H124</f>
        <v>1.1000000000000001</v>
      </c>
      <c r="I124" s="303">
        <f>税込!I124</f>
        <v>1.02</v>
      </c>
      <c r="J124" s="293">
        <f>税込!J124</f>
        <v>0.89</v>
      </c>
      <c r="K124" s="289">
        <f>税込!K124</f>
        <v>1.19</v>
      </c>
      <c r="L124" s="289">
        <f>税込!L124</f>
        <v>1.03</v>
      </c>
      <c r="M124" s="296">
        <f>税込!M124</f>
        <v>1.02</v>
      </c>
      <c r="N124" s="289">
        <f>税込!N124</f>
        <v>1.1499999999999999</v>
      </c>
      <c r="O124" s="289">
        <f>税込!O124</f>
        <v>1.07</v>
      </c>
      <c r="P124" s="83"/>
      <c r="Q124" s="83"/>
      <c r="R124" s="83"/>
    </row>
    <row r="125" spans="1:18">
      <c r="A125" s="1392"/>
      <c r="B125" s="1392"/>
      <c r="C125" s="288" t="s">
        <v>51</v>
      </c>
      <c r="D125" s="289">
        <f>税込!D125</f>
        <v>1.16248</v>
      </c>
      <c r="E125" s="297">
        <f>税込!E125</f>
        <v>1.33396</v>
      </c>
      <c r="F125" s="298">
        <f>税込!F125</f>
        <v>1.0107257142857142</v>
      </c>
      <c r="G125" s="298">
        <f>税込!G125</f>
        <v>1.0001333333333333</v>
      </c>
      <c r="H125" s="299">
        <f>税込!H125</f>
        <v>1.0006095238095238</v>
      </c>
      <c r="I125" s="464">
        <f>税込!I125</f>
        <v>1.0005599999999999</v>
      </c>
      <c r="J125" s="301">
        <f>税込!J125</f>
        <v>1.0036526315789474</v>
      </c>
      <c r="K125" s="302">
        <f>税込!K125</f>
        <v>1.0014583333333333</v>
      </c>
      <c r="L125" s="302">
        <f>税込!L125</f>
        <v>0.95388571428571434</v>
      </c>
      <c r="M125" s="302">
        <f>税込!M125</f>
        <v>0.93340645161290325</v>
      </c>
      <c r="N125" s="302">
        <f>税込!N125</f>
        <v>0.98125925925925928</v>
      </c>
      <c r="O125" s="302">
        <f>税込!O125</f>
        <v>1.0309495495132324</v>
      </c>
      <c r="P125" s="83"/>
      <c r="Q125" s="83"/>
      <c r="R125" s="83"/>
    </row>
    <row r="126" spans="1:18">
      <c r="A126" s="1392"/>
      <c r="B126" s="1392"/>
      <c r="C126" s="288" t="s">
        <v>144</v>
      </c>
      <c r="D126" s="289">
        <v>0.81301333333333337</v>
      </c>
      <c r="E126" s="297">
        <v>0.82982400000000001</v>
      </c>
      <c r="F126" s="298">
        <v>0.90482894736842112</v>
      </c>
      <c r="G126" s="298">
        <v>0.81752000000000002</v>
      </c>
      <c r="H126" s="298">
        <v>1.0043384615384616</v>
      </c>
      <c r="I126" s="464">
        <v>1.0241416666666667</v>
      </c>
      <c r="J126" s="301">
        <v>0.93347000000000002</v>
      </c>
      <c r="K126" s="318">
        <v>0.79218181818181821</v>
      </c>
      <c r="L126" s="318">
        <v>0.92078855555555561</v>
      </c>
      <c r="M126" s="318">
        <v>1.0005384615384616</v>
      </c>
      <c r="N126" s="318">
        <v>0.96555407999999998</v>
      </c>
      <c r="O126" s="302">
        <v>0.89996710526315804</v>
      </c>
      <c r="P126" s="83"/>
      <c r="Q126" s="83"/>
      <c r="R126" s="83"/>
    </row>
    <row r="127" spans="1:18">
      <c r="A127" s="1392"/>
      <c r="B127" s="1392"/>
      <c r="C127" s="288" t="s">
        <v>203</v>
      </c>
      <c r="D127" s="289">
        <v>1.2146824500000002</v>
      </c>
      <c r="E127" s="297">
        <v>1.1341538461538461</v>
      </c>
      <c r="F127" s="298">
        <v>1.0561113333333332</v>
      </c>
      <c r="G127" s="298">
        <v>1.0364638456790125</v>
      </c>
      <c r="H127" s="298">
        <v>1.0014123222222224</v>
      </c>
      <c r="I127" s="464">
        <v>1.0007539937500001</v>
      </c>
      <c r="J127" s="301">
        <v>1.1028383241758242</v>
      </c>
      <c r="K127" s="318">
        <v>1.0219711977715877</v>
      </c>
      <c r="L127" s="318">
        <v>1.0204087139516755</v>
      </c>
      <c r="M127" s="318">
        <v>1.1108230551724136</v>
      </c>
      <c r="N127" s="318">
        <v>1.0289130192307692</v>
      </c>
      <c r="O127" s="302">
        <v>1.006304761904762</v>
      </c>
      <c r="P127" s="83"/>
      <c r="Q127" s="83"/>
      <c r="R127" s="83"/>
    </row>
    <row r="128" spans="1:18">
      <c r="A128" s="1392"/>
      <c r="B128" s="1392"/>
      <c r="C128" s="442" t="s">
        <v>262</v>
      </c>
      <c r="D128" s="305">
        <f t="shared" ref="D128:O128" si="9">D121/D119</f>
        <v>1.07798403125</v>
      </c>
      <c r="E128" s="1302">
        <f>E121/E119</f>
        <v>1.2817573459715639</v>
      </c>
      <c r="F128" s="1302">
        <f t="shared" si="9"/>
        <v>1.0500293526315789</v>
      </c>
      <c r="G128" s="1302">
        <f t="shared" si="9"/>
        <v>1.1615522368421052</v>
      </c>
      <c r="H128" s="1302">
        <f t="shared" si="9"/>
        <v>1.021690852173913</v>
      </c>
      <c r="I128" s="1300">
        <f t="shared" si="9"/>
        <v>1.00086920625</v>
      </c>
      <c r="J128" s="1301">
        <f>J121/J119</f>
        <v>0.73206630400000006</v>
      </c>
      <c r="K128" s="1302">
        <f t="shared" si="9"/>
        <v>1.0021732624999999</v>
      </c>
      <c r="L128" s="1302">
        <f t="shared" si="9"/>
        <v>0.96218628529411776</v>
      </c>
      <c r="M128" s="1302">
        <f t="shared" si="9"/>
        <v>0.92467629493087578</v>
      </c>
      <c r="N128" s="444">
        <f t="shared" si="9"/>
        <v>0.68181818181818188</v>
      </c>
      <c r="O128" s="443">
        <f t="shared" si="9"/>
        <v>0.66666666666666663</v>
      </c>
      <c r="P128" s="83"/>
      <c r="Q128" s="83"/>
      <c r="R128" s="83"/>
    </row>
    <row r="129" spans="1:29">
      <c r="A129" s="1392" t="s">
        <v>21</v>
      </c>
      <c r="B129" s="1394" t="s">
        <v>16</v>
      </c>
      <c r="C129" s="319" t="s">
        <v>49</v>
      </c>
      <c r="D129" s="306">
        <f>税込!D129</f>
        <v>0.189</v>
      </c>
      <c r="E129" s="306">
        <f>税込!E129</f>
        <v>0.19400000000000001</v>
      </c>
      <c r="F129" s="306">
        <f>税込!F129</f>
        <v>6.9000000000000006E-2</v>
      </c>
      <c r="G129" s="306">
        <f>税込!G129</f>
        <v>0.14899999999999999</v>
      </c>
      <c r="H129" s="306">
        <f>税込!H129</f>
        <v>0.109</v>
      </c>
      <c r="I129" s="468">
        <f>税込!I129</f>
        <v>0.217</v>
      </c>
      <c r="J129" s="469">
        <f>税込!J129</f>
        <v>8.4000000000000005E-2</v>
      </c>
      <c r="K129" s="306">
        <f>税込!K129</f>
        <v>5.5E-2</v>
      </c>
      <c r="L129" s="306">
        <f>税込!L129</f>
        <v>0.04</v>
      </c>
      <c r="M129" s="306">
        <f>税込!M129</f>
        <v>0.114</v>
      </c>
      <c r="N129" s="306">
        <f>税込!N129</f>
        <v>0.09</v>
      </c>
      <c r="O129" s="306">
        <f>税込!O129</f>
        <v>0.11799999999999999</v>
      </c>
      <c r="P129" s="83"/>
      <c r="Q129" s="83"/>
      <c r="R129" s="83"/>
    </row>
    <row r="130" spans="1:29">
      <c r="A130" s="1392"/>
      <c r="B130" s="1395"/>
      <c r="C130" s="162" t="s">
        <v>133</v>
      </c>
      <c r="D130" s="165">
        <f>税込!D130/1.17</f>
        <v>28963.247863247863</v>
      </c>
      <c r="E130" s="165">
        <f>税込!E130/1.17</f>
        <v>40150.427350427351</v>
      </c>
      <c r="F130" s="165">
        <f>税込!F130/1.17</f>
        <v>2363.2478632478633</v>
      </c>
      <c r="G130" s="166">
        <f>税込!G130/1.17</f>
        <v>2950.4273504273506</v>
      </c>
      <c r="H130" s="164">
        <f>税込!H130/1.17</f>
        <v>6600</v>
      </c>
      <c r="I130" s="167">
        <f>税込!I130/1.17</f>
        <v>19415.384615384617</v>
      </c>
      <c r="J130" s="168">
        <f>税込!J130/1.17</f>
        <v>7098.2905982905986</v>
      </c>
      <c r="K130" s="165">
        <f>税込!K130/1.17</f>
        <v>9923.9316239316249</v>
      </c>
      <c r="L130" s="165">
        <f>税込!L130/1.17</f>
        <v>9975.2136752136757</v>
      </c>
      <c r="M130" s="163">
        <f>税込!M130/1.17</f>
        <v>10653.846153846154</v>
      </c>
      <c r="N130" s="165">
        <f>税込!N130/1.17</f>
        <v>8726.4957264957266</v>
      </c>
      <c r="O130" s="165">
        <f>税込!O130/1.17</f>
        <v>10900</v>
      </c>
      <c r="P130" s="83"/>
      <c r="Q130" s="324"/>
      <c r="R130" s="83"/>
    </row>
    <row r="131" spans="1:29">
      <c r="A131" s="1392"/>
      <c r="B131" s="1395"/>
      <c r="C131" s="247" t="s">
        <v>49</v>
      </c>
      <c r="D131" s="306">
        <f>税込!D131</f>
        <v>9.7000000000000003E-2</v>
      </c>
      <c r="E131" s="306">
        <f>税込!E131</f>
        <v>0.127</v>
      </c>
      <c r="F131" s="306">
        <f>税込!F131</f>
        <v>7.4999999999999997E-2</v>
      </c>
      <c r="G131" s="306">
        <f>税込!G131</f>
        <v>0.27300000000000002</v>
      </c>
      <c r="H131" s="306">
        <f>税込!H131</f>
        <v>8.2000000000000003E-2</v>
      </c>
      <c r="I131" s="468">
        <f>税込!I131</f>
        <v>0.17100000000000001</v>
      </c>
      <c r="J131" s="469">
        <f>税込!J131</f>
        <v>0.156</v>
      </c>
      <c r="K131" s="306">
        <f>税込!K131</f>
        <v>0.112</v>
      </c>
      <c r="L131" s="306">
        <f>税込!L131</f>
        <v>0.14000000000000001</v>
      </c>
      <c r="M131" s="306">
        <f>税込!M131</f>
        <v>0.184</v>
      </c>
      <c r="N131" s="306">
        <f>税込!N131</f>
        <v>0.15</v>
      </c>
      <c r="O131" s="306">
        <f>税込!O131</f>
        <v>0.151</v>
      </c>
      <c r="P131" s="83"/>
      <c r="Q131" s="324"/>
      <c r="R131" s="83"/>
    </row>
    <row r="132" spans="1:29">
      <c r="A132" s="1392"/>
      <c r="B132" s="1395"/>
      <c r="C132" s="210" t="s">
        <v>134</v>
      </c>
      <c r="D132" s="178">
        <f>税込!D132/1.17</f>
        <v>4600.8547008547012</v>
      </c>
      <c r="E132" s="178">
        <f>税込!E132/1.17</f>
        <v>6724.7863247863252</v>
      </c>
      <c r="F132" s="178">
        <f>税込!F132/1.17</f>
        <v>11829.05982905983</v>
      </c>
      <c r="G132" s="179">
        <f>税込!G132/1.17</f>
        <v>26049.572649572652</v>
      </c>
      <c r="H132" s="178">
        <f>税込!H132/1.17</f>
        <v>21886.324786324789</v>
      </c>
      <c r="I132" s="335">
        <f>税込!I132/1.17</f>
        <v>37179.48717948718</v>
      </c>
      <c r="J132" s="336">
        <f>税込!J132/1.17</f>
        <v>23618.803418803422</v>
      </c>
      <c r="K132" s="178">
        <f>税込!K132/1.17</f>
        <v>25895.726495726496</v>
      </c>
      <c r="L132" s="178">
        <f>税込!L132/1.17</f>
        <v>48517.948717948719</v>
      </c>
      <c r="M132" s="470">
        <f>税込!M132/1.17</f>
        <v>54905.128205128211</v>
      </c>
      <c r="N132" s="178">
        <f>税込!N132/1.17</f>
        <v>44861.538461538461</v>
      </c>
      <c r="O132" s="178">
        <f>税込!O132/1.17</f>
        <v>32774.358974358976</v>
      </c>
      <c r="P132" s="327"/>
      <c r="Q132" s="327"/>
      <c r="R132" s="83"/>
    </row>
    <row r="133" spans="1:29">
      <c r="A133" s="1392"/>
      <c r="B133" s="1395"/>
      <c r="C133" s="326" t="s">
        <v>193</v>
      </c>
      <c r="D133" s="178">
        <f>税込!D133/1.17</f>
        <v>4600.8547008547012</v>
      </c>
      <c r="E133" s="204">
        <f>税込!E133/1.17</f>
        <v>6724.7863247863252</v>
      </c>
      <c r="F133" s="204">
        <f>税込!F133/1.17</f>
        <v>11829.05982905983</v>
      </c>
      <c r="G133" s="204">
        <f>税込!G133/1.17</f>
        <v>25679.48717948718</v>
      </c>
      <c r="H133" s="205">
        <f>税込!H133/1.17</f>
        <v>19077.777777777777</v>
      </c>
      <c r="I133" s="206">
        <f>税込!I133/1.17</f>
        <v>33896.581196581195</v>
      </c>
      <c r="J133" s="207">
        <f>税込!J133/1.17</f>
        <v>16441.880341880344</v>
      </c>
      <c r="K133" s="208">
        <f>税込!K133/1.17</f>
        <v>23226.495726495727</v>
      </c>
      <c r="L133" s="337">
        <f>税込!L133/1.17</f>
        <v>26174.358974358976</v>
      </c>
      <c r="M133" s="337">
        <f>税込!M133/1.17</f>
        <v>36358.974358974359</v>
      </c>
      <c r="N133" s="337">
        <f>税込!N133/1.17</f>
        <v>23121.367521367523</v>
      </c>
      <c r="O133" s="337">
        <f>税込!O133/1.17</f>
        <v>14493.162393162394</v>
      </c>
      <c r="P133" s="327"/>
      <c r="Q133" s="327"/>
      <c r="R133" s="83"/>
    </row>
    <row r="134" spans="1:29">
      <c r="A134" s="1392"/>
      <c r="B134" s="1395"/>
      <c r="C134" s="249" t="s">
        <v>195</v>
      </c>
      <c r="D134" s="182">
        <f>税込!D134/1.17</f>
        <v>0</v>
      </c>
      <c r="E134" s="191">
        <f>税込!E134/1.17</f>
        <v>0</v>
      </c>
      <c r="F134" s="191">
        <f>税込!F134/1.17</f>
        <v>0</v>
      </c>
      <c r="G134" s="191">
        <f>税込!G134/1.17</f>
        <v>370.08547008547009</v>
      </c>
      <c r="H134" s="192">
        <f>税込!H134/1.17</f>
        <v>2808.5470085470088</v>
      </c>
      <c r="I134" s="193">
        <f>税込!I134/1.17</f>
        <v>3282.9059829059829</v>
      </c>
      <c r="J134" s="194">
        <f>税込!J134/1.17</f>
        <v>7176.9230769230771</v>
      </c>
      <c r="K134" s="195">
        <f>税込!K134/1.17</f>
        <v>2669.2307692307695</v>
      </c>
      <c r="L134" s="250">
        <f>税込!L134/1.17</f>
        <v>22343.589743589746</v>
      </c>
      <c r="M134" s="250">
        <f>税込!M134/1.17</f>
        <v>18546.153846153848</v>
      </c>
      <c r="N134" s="250">
        <f>税込!N134/1.17</f>
        <v>21740.170940170941</v>
      </c>
      <c r="O134" s="250">
        <f>税込!O134/1.17</f>
        <v>18281.196581196582</v>
      </c>
      <c r="P134" s="327"/>
      <c r="Q134" s="327"/>
      <c r="R134" s="83"/>
    </row>
    <row r="135" spans="1:29">
      <c r="A135" s="1392"/>
      <c r="B135" s="1395"/>
      <c r="C135" s="247" t="s">
        <v>49</v>
      </c>
      <c r="D135" s="306">
        <f>税込!D135</f>
        <v>0.13500000000000001</v>
      </c>
      <c r="E135" s="306">
        <f>税込!E135</f>
        <v>0.16300000000000001</v>
      </c>
      <c r="F135" s="306">
        <f>税込!F135</f>
        <v>0.14599999999999999</v>
      </c>
      <c r="G135" s="306">
        <f>税込!G135</f>
        <v>0.126</v>
      </c>
      <c r="H135" s="306">
        <f>税込!H135</f>
        <v>0.151</v>
      </c>
      <c r="I135" s="468">
        <f>税込!I135</f>
        <v>0.152</v>
      </c>
      <c r="J135" s="469">
        <f>税込!J135</f>
        <v>0.13100000000000001</v>
      </c>
      <c r="K135" s="306">
        <f>税込!K135</f>
        <v>0.106</v>
      </c>
      <c r="L135" s="306">
        <f>税込!L135</f>
        <v>0.11799999999999999</v>
      </c>
      <c r="M135" s="306">
        <f>税込!M135</f>
        <v>0.125</v>
      </c>
      <c r="N135" s="306">
        <f>税込!N135</f>
        <v>0.11</v>
      </c>
      <c r="O135" s="306">
        <f>税込!O135</f>
        <v>8.7999999999999995E-2</v>
      </c>
      <c r="P135" s="327"/>
      <c r="Q135" s="327"/>
      <c r="R135" s="83"/>
    </row>
    <row r="136" spans="1:29">
      <c r="A136" s="1392"/>
      <c r="B136" s="1395"/>
      <c r="C136" s="210" t="s">
        <v>135</v>
      </c>
      <c r="D136" s="178">
        <f>税込!D136/1.17</f>
        <v>41263.247863247867</v>
      </c>
      <c r="E136" s="204">
        <f>税込!E136/1.17</f>
        <v>57738.461538461539</v>
      </c>
      <c r="F136" s="204">
        <f>税込!F136/1.17</f>
        <v>54078.632478632484</v>
      </c>
      <c r="G136" s="204">
        <f>税込!G136/1.17</f>
        <v>66382.051282051281</v>
      </c>
      <c r="H136" s="204">
        <f>税込!H136/1.17</f>
        <v>58294.871794871797</v>
      </c>
      <c r="I136" s="206">
        <f>税込!I136/1.17</f>
        <v>61300.854700854703</v>
      </c>
      <c r="J136" s="207">
        <f>税込!J136/1.17</f>
        <v>42979.48717948718</v>
      </c>
      <c r="K136" s="204">
        <f>税込!K136/1.17</f>
        <v>63326.495726495734</v>
      </c>
      <c r="L136" s="204">
        <f>税込!L136/1.17</f>
        <v>69435.042735042734</v>
      </c>
      <c r="M136" s="204">
        <f>税込!M136/1.17</f>
        <v>62456.410256410258</v>
      </c>
      <c r="N136" s="204">
        <f>税込!N136/1.17</f>
        <v>66783.760683760687</v>
      </c>
      <c r="O136" s="370">
        <f>税込!O136/1.17</f>
        <v>57286.324786324789</v>
      </c>
      <c r="P136" s="83"/>
      <c r="Q136" s="83"/>
      <c r="R136" s="83"/>
    </row>
    <row r="137" spans="1:29">
      <c r="A137" s="1392"/>
      <c r="B137" s="1395"/>
      <c r="C137" s="326" t="s">
        <v>193</v>
      </c>
      <c r="D137" s="178">
        <f>税込!D137/1.17</f>
        <v>17979.48717948718</v>
      </c>
      <c r="E137" s="204">
        <f>税込!E137/1.17</f>
        <v>27266.666666666668</v>
      </c>
      <c r="F137" s="204">
        <f>税込!F137/1.17</f>
        <v>25367.521367521371</v>
      </c>
      <c r="G137" s="204">
        <f>税込!G137/1.17</f>
        <v>41699.145299145304</v>
      </c>
      <c r="H137" s="205">
        <f>税込!H137/1.17</f>
        <v>27307.692307692309</v>
      </c>
      <c r="I137" s="206">
        <f>税込!I137/1.17</f>
        <v>36448.717948717953</v>
      </c>
      <c r="J137" s="207">
        <f>税込!J137/1.17</f>
        <v>21310.25641025641</v>
      </c>
      <c r="K137" s="208">
        <f>税込!K137/1.17</f>
        <v>36331.623931623937</v>
      </c>
      <c r="L137" s="337">
        <f>税込!L137/1.17</f>
        <v>30671.794871794875</v>
      </c>
      <c r="M137" s="337">
        <f>税込!M137/1.17</f>
        <v>34572.649572649578</v>
      </c>
      <c r="N137" s="337">
        <f>税込!N137/1.17</f>
        <v>33180.341880341883</v>
      </c>
      <c r="O137" s="337">
        <f>税込!O137/1.17</f>
        <v>17206.837606837609</v>
      </c>
      <c r="P137" s="83"/>
      <c r="Q137" s="83"/>
      <c r="R137" s="83"/>
    </row>
    <row r="138" spans="1:29">
      <c r="A138" s="1392"/>
      <c r="B138" s="1395"/>
      <c r="C138" s="249" t="s">
        <v>195</v>
      </c>
      <c r="D138" s="182">
        <f>税込!D138/1.17</f>
        <v>23283.760683760684</v>
      </c>
      <c r="E138" s="191">
        <f>税込!E138/1.17</f>
        <v>30471.794871794875</v>
      </c>
      <c r="F138" s="191">
        <f>税込!F138/1.17</f>
        <v>28711.111111111113</v>
      </c>
      <c r="G138" s="191">
        <f>税込!G138/1.17</f>
        <v>24682.905982905984</v>
      </c>
      <c r="H138" s="192">
        <f>税込!H138/1.17</f>
        <v>30987.179487179488</v>
      </c>
      <c r="I138" s="193">
        <f>税込!I138/1.17</f>
        <v>24852.136752136754</v>
      </c>
      <c r="J138" s="194">
        <f>税込!J138/1.17</f>
        <v>21669.23076923077</v>
      </c>
      <c r="K138" s="195">
        <f>税込!K138/1.17</f>
        <v>26994.871794871797</v>
      </c>
      <c r="L138" s="250">
        <f>税込!L138/1.17</f>
        <v>38763.247863247867</v>
      </c>
      <c r="M138" s="250">
        <f>税込!M138/1.17</f>
        <v>27883.760683760687</v>
      </c>
      <c r="N138" s="250">
        <f>税込!N138/1.17</f>
        <v>33603.418803418805</v>
      </c>
      <c r="O138" s="250">
        <f>税込!O138/1.17</f>
        <v>40079.48717948718</v>
      </c>
      <c r="P138" s="83"/>
      <c r="Q138" s="83"/>
      <c r="R138" s="83"/>
    </row>
    <row r="139" spans="1:29">
      <c r="A139" s="1392"/>
      <c r="B139" s="1395"/>
      <c r="C139" s="247" t="s">
        <v>49</v>
      </c>
      <c r="D139" s="306">
        <f>税込!D139</f>
        <v>0.13380051283616715</v>
      </c>
      <c r="E139" s="306">
        <f>税込!E139</f>
        <v>0.13367363047939798</v>
      </c>
      <c r="F139" s="306">
        <f>税込!F139</f>
        <v>0.12988865777560257</v>
      </c>
      <c r="G139" s="306">
        <f>税込!G139</f>
        <v>0.10182596872875595</v>
      </c>
      <c r="H139" s="306">
        <f>税込!H139</f>
        <v>8.4728434504792324E-2</v>
      </c>
      <c r="I139" s="468">
        <f>税込!I139</f>
        <v>8.9227826269665467E-2</v>
      </c>
      <c r="J139" s="469">
        <f>税込!J139</f>
        <v>7.5055020296375993E-2</v>
      </c>
      <c r="K139" s="306">
        <f>税込!K139</f>
        <v>8.7307725102319225E-2</v>
      </c>
      <c r="L139" s="306">
        <f>税込!L139</f>
        <v>8.0556045510059779E-2</v>
      </c>
      <c r="M139" s="306">
        <f>税込!M139</f>
        <v>4.7036176003628936E-2</v>
      </c>
      <c r="N139" s="306">
        <f>税込!N139</f>
        <v>9.4709780085044201E-2</v>
      </c>
      <c r="O139" s="306">
        <f>税込!O139</f>
        <v>9.7780557505759952E-2</v>
      </c>
      <c r="P139" s="83"/>
      <c r="Q139" s="83"/>
      <c r="R139" s="83"/>
    </row>
    <row r="140" spans="1:29">
      <c r="A140" s="1392"/>
      <c r="B140" s="1395"/>
      <c r="C140" s="210" t="s">
        <v>156</v>
      </c>
      <c r="D140" s="178">
        <f>税込!D140/1.17</f>
        <v>55998.290598290601</v>
      </c>
      <c r="E140" s="204">
        <f>税込!E140/1.17</f>
        <v>73088.461538461546</v>
      </c>
      <c r="F140" s="204">
        <f>税込!F140/1.17</f>
        <v>83825.641025641031</v>
      </c>
      <c r="G140" s="204">
        <f>税込!G140/1.17</f>
        <v>56576.923076923078</v>
      </c>
      <c r="H140" s="204">
        <f>税込!H140/1.17</f>
        <v>61797.435897435898</v>
      </c>
      <c r="I140" s="206">
        <f>税込!I140/1.17</f>
        <v>97626.495726495734</v>
      </c>
      <c r="J140" s="207">
        <f>税込!J140/1.17</f>
        <v>52428.205128205132</v>
      </c>
      <c r="K140" s="204">
        <f>税込!K140/1.17</f>
        <v>60143.58974358975</v>
      </c>
      <c r="L140" s="204">
        <f>税込!L140/1.17</f>
        <v>66482.905982905984</v>
      </c>
      <c r="M140" s="204">
        <f>税込!M140/1.17</f>
        <v>75367.521367521374</v>
      </c>
      <c r="N140" s="204">
        <f>税込!N140/1.17</f>
        <v>65526.495726495734</v>
      </c>
      <c r="O140" s="370">
        <f>税込!O140/1.17</f>
        <v>51861.025641025648</v>
      </c>
      <c r="P140" s="83"/>
      <c r="Q140" s="83"/>
      <c r="R140" s="83"/>
    </row>
    <row r="141" spans="1:29">
      <c r="A141" s="1392"/>
      <c r="B141" s="1395"/>
      <c r="C141" s="326" t="s">
        <v>193</v>
      </c>
      <c r="D141" s="178">
        <f>税込!D141/1.17</f>
        <v>27547.86324786325</v>
      </c>
      <c r="E141" s="204">
        <f>税込!E141/1.17</f>
        <v>47338.034188034188</v>
      </c>
      <c r="F141" s="204">
        <f>税込!F141/1.17</f>
        <v>61264.957264957266</v>
      </c>
      <c r="G141" s="204">
        <f>税込!G141/1.17</f>
        <v>29699.145299145301</v>
      </c>
      <c r="H141" s="205">
        <f>税込!H141/1.17</f>
        <v>28129.914529914531</v>
      </c>
      <c r="I141" s="206">
        <f>税込!I141/1.17</f>
        <v>39623.076923076922</v>
      </c>
      <c r="J141" s="207">
        <f>税込!J141/1.17</f>
        <v>29025.641025641027</v>
      </c>
      <c r="K141" s="208">
        <f>税込!K141/1.17</f>
        <v>35726.495726495727</v>
      </c>
      <c r="L141" s="337">
        <f>税込!L141/1.17</f>
        <v>35878.632478632484</v>
      </c>
      <c r="M141" s="337">
        <f>税込!M141/1.17</f>
        <v>34694.017094017094</v>
      </c>
      <c r="N141" s="337">
        <f>税込!N141/1.17</f>
        <v>34776.068376068375</v>
      </c>
      <c r="O141" s="337">
        <f>税込!O141/1.17</f>
        <v>26566.153846153848</v>
      </c>
      <c r="P141" s="83"/>
      <c r="Q141" s="83"/>
      <c r="R141" s="83"/>
    </row>
    <row r="142" spans="1:29">
      <c r="A142" s="1392"/>
      <c r="B142" s="1395"/>
      <c r="C142" s="249" t="s">
        <v>195</v>
      </c>
      <c r="D142" s="182">
        <f>税込!D142/1.17</f>
        <v>28450.427350427351</v>
      </c>
      <c r="E142" s="191">
        <f>税込!E142/1.17</f>
        <v>25750.427350427351</v>
      </c>
      <c r="F142" s="191">
        <f>税込!F142/1.17</f>
        <v>22560.683760683762</v>
      </c>
      <c r="G142" s="191">
        <f>税込!G142/1.17</f>
        <v>26877.777777777781</v>
      </c>
      <c r="H142" s="192">
        <f>税込!H142/1.17</f>
        <v>33667.521367521367</v>
      </c>
      <c r="I142" s="193">
        <f>税込!I142/1.17</f>
        <v>58003.418803418805</v>
      </c>
      <c r="J142" s="194">
        <f>税込!J142/1.17</f>
        <v>23402.564102564105</v>
      </c>
      <c r="K142" s="195">
        <f>税込!K142/1.17</f>
        <v>24417.094017094019</v>
      </c>
      <c r="L142" s="250">
        <f>税込!L142/1.17</f>
        <v>30604.273504273508</v>
      </c>
      <c r="M142" s="250">
        <f>税込!M142/1.17</f>
        <v>40673.504273504273</v>
      </c>
      <c r="N142" s="250">
        <f>税込!N142/1.17</f>
        <v>30750.427350427351</v>
      </c>
      <c r="O142" s="250">
        <f>税込!O142/1.17</f>
        <v>25294.871794871797</v>
      </c>
      <c r="P142" s="83"/>
      <c r="Q142" s="83"/>
      <c r="R142" s="83"/>
    </row>
    <row r="143" spans="1:29">
      <c r="A143" s="1392"/>
      <c r="B143" s="1395"/>
      <c r="C143" s="247" t="s">
        <v>49</v>
      </c>
      <c r="D143" s="306">
        <f>税込!D143</f>
        <v>8.8692321092606788E-2</v>
      </c>
      <c r="E143" s="306">
        <f>税込!E143</f>
        <v>0.10602620567703905</v>
      </c>
      <c r="F143" s="306">
        <f>税込!F143</f>
        <v>0.11086769663593937</v>
      </c>
      <c r="G143" s="306">
        <f>税込!G143</f>
        <v>0.10859253145011874</v>
      </c>
      <c r="H143" s="306">
        <f>税込!H143</f>
        <v>0.11185506171174209</v>
      </c>
      <c r="I143" s="468">
        <f>税込!I143</f>
        <v>0.11429831384372349</v>
      </c>
      <c r="J143" s="469">
        <f>税込!J143</f>
        <v>0.11175819348036199</v>
      </c>
      <c r="K143" s="306">
        <f>税込!K143</f>
        <v>0.12911308450747214</v>
      </c>
      <c r="L143" s="306">
        <f>税込!L143</f>
        <v>0.119595928972705</v>
      </c>
      <c r="M143" s="306">
        <f>税込!M143</f>
        <v>0.1293465856646584</v>
      </c>
      <c r="N143" s="306">
        <f>税込!N143</f>
        <v>0.10970077909905689</v>
      </c>
      <c r="O143" s="306">
        <f>税込!O143</f>
        <v>0.11586485262909689</v>
      </c>
      <c r="P143" s="83"/>
      <c r="Q143" s="83"/>
      <c r="R143" s="83"/>
    </row>
    <row r="144" spans="1:29">
      <c r="A144" s="1392"/>
      <c r="B144" s="1395"/>
      <c r="C144" s="210" t="s">
        <v>254</v>
      </c>
      <c r="D144" s="178">
        <f>税込!D144/1.17</f>
        <v>73594.871794871797</v>
      </c>
      <c r="E144" s="204">
        <f>税込!E144/1.17+2</f>
        <v>71152.427350427359</v>
      </c>
      <c r="F144" s="204">
        <f>税込!F144/1.17+178</f>
        <v>62966.717948717953</v>
      </c>
      <c r="G144" s="204">
        <f>税込!G144/1.17+9</f>
        <v>72923.791452991471</v>
      </c>
      <c r="H144" s="204">
        <f>税込!H144/1.17</f>
        <v>76035.042735042734</v>
      </c>
      <c r="I144" s="206">
        <f>税込!I144/1.17+3</f>
        <v>70985.393162393157</v>
      </c>
      <c r="J144" s="207">
        <f>税込!J144/1.17</f>
        <v>87546.153846153858</v>
      </c>
      <c r="K144" s="204">
        <f>税込!K144/1.17</f>
        <v>68635.897435897437</v>
      </c>
      <c r="L144" s="204">
        <f>税込!L144/1.17+10</f>
        <v>76005.858974358984</v>
      </c>
      <c r="M144" s="204">
        <f>税込!M144/1.17</f>
        <v>101858.11965811967</v>
      </c>
      <c r="N144" s="204">
        <f>税込!N144/1.17</f>
        <v>72952.991452991453</v>
      </c>
      <c r="O144" s="370">
        <f>税込!O144/1.17</f>
        <v>76120.512820512828</v>
      </c>
      <c r="P144" s="83"/>
      <c r="Q144" s="83"/>
      <c r="R144" s="83"/>
      <c r="S144"/>
      <c r="T144"/>
      <c r="U144"/>
      <c r="V144"/>
      <c r="W144"/>
      <c r="X144"/>
      <c r="Y144"/>
      <c r="Z144"/>
      <c r="AA144"/>
      <c r="AB144"/>
      <c r="AC144"/>
    </row>
    <row r="145" spans="1:29">
      <c r="A145" s="1392"/>
      <c r="B145" s="1395"/>
      <c r="C145" s="326" t="s">
        <v>113</v>
      </c>
      <c r="D145" s="178">
        <f>税込!D145/1.17</f>
        <v>34223.931623931625</v>
      </c>
      <c r="E145" s="204">
        <f>税込!E145/1.17+2</f>
        <v>38323.367521367523</v>
      </c>
      <c r="F145" s="204">
        <f>税込!F145/1.17+178</f>
        <v>32926.974358974359</v>
      </c>
      <c r="G145" s="204">
        <f>税込!G145/1.17+9</f>
        <v>39424.807692307695</v>
      </c>
      <c r="H145" s="205">
        <f>税込!H145/1.17</f>
        <v>39874.358974358976</v>
      </c>
      <c r="I145" s="206">
        <f>税込!I145/1.17+3</f>
        <v>39440.094017094023</v>
      </c>
      <c r="J145" s="207">
        <f>税込!J145/1.17</f>
        <v>41035.042735042734</v>
      </c>
      <c r="K145" s="208">
        <f>税込!K145/1.17</f>
        <v>31107.692307692309</v>
      </c>
      <c r="L145" s="337">
        <f>税込!L145/1.17+10</f>
        <v>37681.927350427351</v>
      </c>
      <c r="M145" s="337">
        <f>税込!M145/1.17</f>
        <v>48742.735042735047</v>
      </c>
      <c r="N145" s="337">
        <f>税込!N145/1.17</f>
        <v>38004.273504273508</v>
      </c>
      <c r="O145" s="337">
        <f>税込!O145/1.17</f>
        <v>31018.803418803422</v>
      </c>
      <c r="P145" s="83"/>
      <c r="Q145" s="83"/>
      <c r="R145" s="83"/>
      <c r="S145"/>
      <c r="T145"/>
      <c r="U145"/>
      <c r="V145"/>
      <c r="W145"/>
      <c r="X145"/>
      <c r="Y145"/>
      <c r="Z145"/>
      <c r="AA145"/>
      <c r="AB145"/>
      <c r="AC145"/>
    </row>
    <row r="146" spans="1:29">
      <c r="A146" s="1392"/>
      <c r="B146" s="1395"/>
      <c r="C146" s="249" t="s">
        <v>114</v>
      </c>
      <c r="D146" s="182">
        <f>税込!D146/1.17</f>
        <v>39370.940170940172</v>
      </c>
      <c r="E146" s="191">
        <f>税込!E146/1.17</f>
        <v>32829.059829059828</v>
      </c>
      <c r="F146" s="191">
        <f>税込!F146/1.17</f>
        <v>30039.74358974359</v>
      </c>
      <c r="G146" s="191">
        <f>税込!G146/1.17</f>
        <v>33498.983760683761</v>
      </c>
      <c r="H146" s="192">
        <f>税込!H146/1.17</f>
        <v>36160.683760683765</v>
      </c>
      <c r="I146" s="193">
        <f>税込!I146/1.17</f>
        <v>31545.299145299148</v>
      </c>
      <c r="J146" s="194">
        <f>税込!J146/1.17</f>
        <v>46511.111111111117</v>
      </c>
      <c r="K146" s="195">
        <f>税込!K146/1.17</f>
        <v>37528.205128205132</v>
      </c>
      <c r="L146" s="250">
        <f>税込!L146/1.17</f>
        <v>38323.931623931625</v>
      </c>
      <c r="M146" s="250">
        <f>税込!M146/1.17</f>
        <v>53115.384615384617</v>
      </c>
      <c r="N146" s="250">
        <f>税込!N146/1.17</f>
        <v>34948.717948717953</v>
      </c>
      <c r="O146" s="250">
        <f>税込!O146/1.17</f>
        <v>45101.709401709406</v>
      </c>
      <c r="P146" s="83"/>
      <c r="Q146" s="83"/>
      <c r="R146" s="83"/>
      <c r="S146"/>
      <c r="T146"/>
      <c r="U146"/>
      <c r="V146"/>
      <c r="W146"/>
      <c r="X146"/>
      <c r="Y146"/>
      <c r="Z146"/>
      <c r="AA146"/>
      <c r="AB146"/>
      <c r="AC146"/>
    </row>
    <row r="147" spans="1:29">
      <c r="A147" s="1392"/>
      <c r="B147" s="1395"/>
      <c r="C147" s="1193" t="s">
        <v>49</v>
      </c>
      <c r="D147" s="1214">
        <f>税込!D147</f>
        <v>0.11375</v>
      </c>
      <c r="E147" s="1214">
        <f>税込!E147</f>
        <v>0.12285</v>
      </c>
      <c r="F147" s="1214">
        <f>税込!F147</f>
        <v>0.12285</v>
      </c>
      <c r="G147" s="1214">
        <f>税込!G147</f>
        <v>0.141375</v>
      </c>
      <c r="H147" s="1214">
        <f>税込!H147</f>
        <v>0.13499999999999998</v>
      </c>
      <c r="I147" s="1215">
        <f>税込!I147</f>
        <v>0.14429999999999998</v>
      </c>
      <c r="J147" s="1216">
        <f>税込!J147</f>
        <v>0.14727272727272725</v>
      </c>
      <c r="K147" s="1214">
        <f>税込!K147</f>
        <v>0.14911764705882352</v>
      </c>
      <c r="L147" s="1214">
        <f>税込!L147</f>
        <v>0.13950978260869562</v>
      </c>
      <c r="M147" s="1214">
        <f>税込!M147</f>
        <v>0.13366956521739129</v>
      </c>
      <c r="N147" s="1214">
        <f>税込!N147</f>
        <v>0.14256784741144413</v>
      </c>
      <c r="O147" s="1214">
        <f>税込!O147</f>
        <v>0.13989314079422382</v>
      </c>
      <c r="P147" s="83"/>
      <c r="Q147" s="83"/>
      <c r="R147" s="83"/>
      <c r="S147"/>
    </row>
    <row r="148" spans="1:29">
      <c r="A148" s="1392"/>
      <c r="B148" s="1395"/>
      <c r="C148" s="1217" t="s">
        <v>250</v>
      </c>
      <c r="D148" s="1218">
        <f>税込!D148/1.17</f>
        <v>76923.076923076922</v>
      </c>
      <c r="E148" s="1218">
        <f>税込!E148/1.17</f>
        <v>85470.085470085469</v>
      </c>
      <c r="F148" s="1218">
        <f>税込!F148/1.17</f>
        <v>102564.10256410258</v>
      </c>
      <c r="G148" s="1218">
        <f>税込!G148/1.17</f>
        <v>102564.10256410258</v>
      </c>
      <c r="H148" s="1218">
        <f>税込!H148/1.17</f>
        <v>111111.11111111112</v>
      </c>
      <c r="I148" s="1219">
        <f>税込!I148/1.17</f>
        <v>128205.12820512822</v>
      </c>
      <c r="J148" s="1220">
        <f>税込!J148/1.17</f>
        <v>122222.22222222223</v>
      </c>
      <c r="K148" s="1218">
        <f>税込!K148/1.17</f>
        <v>130769.23076923078</v>
      </c>
      <c r="L148" s="1220">
        <f>税込!L148/1.17</f>
        <v>117948.71794871795</v>
      </c>
      <c r="M148" s="1218">
        <f>税込!M148/1.17</f>
        <v>127777.77777777778</v>
      </c>
      <c r="N148" s="1220">
        <f>税込!N148/1.17</f>
        <v>156837.60683760684</v>
      </c>
      <c r="O148" s="1218">
        <f>税込!O148/1.17</f>
        <v>118376.06837606839</v>
      </c>
      <c r="P148" s="83"/>
      <c r="Q148" s="83"/>
      <c r="R148" s="83"/>
    </row>
    <row r="149" spans="1:29">
      <c r="A149" s="1392"/>
      <c r="B149" s="1395"/>
      <c r="C149" s="1217" t="s">
        <v>113</v>
      </c>
      <c r="D149" s="1221">
        <f>税込!D149/1.17</f>
        <v>38461.538461538461</v>
      </c>
      <c r="E149" s="1221">
        <f>税込!E149/1.17</f>
        <v>42735.042735042734</v>
      </c>
      <c r="F149" s="1221">
        <f>税込!F149/1.17</f>
        <v>55555.555555555562</v>
      </c>
      <c r="G149" s="1221">
        <f>税込!G149/1.17</f>
        <v>59829.059829059835</v>
      </c>
      <c r="H149" s="1221">
        <f>税込!H149/1.17</f>
        <v>59829.059829059835</v>
      </c>
      <c r="I149" s="1222">
        <f>税込!I149/1.17</f>
        <v>72649.572649572656</v>
      </c>
      <c r="J149" s="1223">
        <f>税込!J149/1.17</f>
        <v>74358.974358974359</v>
      </c>
      <c r="K149" s="1224">
        <f>税込!K149/1.17</f>
        <v>87179.487179487187</v>
      </c>
      <c r="L149" s="1223">
        <f>税込!L149/1.17</f>
        <v>78632.47863247864</v>
      </c>
      <c r="M149" s="1224">
        <f>税込!M149/1.17</f>
        <v>85897.435897435906</v>
      </c>
      <c r="N149" s="1223">
        <f>税込!N149/1.17</f>
        <v>115384.61538461539</v>
      </c>
      <c r="O149" s="1224">
        <f>税込!O149/1.17</f>
        <v>79059.829059829062</v>
      </c>
      <c r="P149" s="83"/>
      <c r="Q149" s="83"/>
      <c r="R149" s="83"/>
    </row>
    <row r="150" spans="1:29">
      <c r="A150" s="1392"/>
      <c r="B150" s="1395"/>
      <c r="C150" s="1198" t="s">
        <v>114</v>
      </c>
      <c r="D150" s="1213">
        <f>税込!D150/1.17</f>
        <v>38461.538461538461</v>
      </c>
      <c r="E150" s="1213">
        <f>税込!E150/1.17</f>
        <v>42735.042735042734</v>
      </c>
      <c r="F150" s="1213">
        <f>税込!F150/1.17</f>
        <v>47008.547008547008</v>
      </c>
      <c r="G150" s="1213">
        <f>税込!G150/1.17</f>
        <v>42735.042735042734</v>
      </c>
      <c r="H150" s="1213">
        <f>税込!H150/1.17</f>
        <v>51282.051282051289</v>
      </c>
      <c r="I150" s="1200">
        <f>税込!I150/1.17</f>
        <v>55555.555555555562</v>
      </c>
      <c r="J150" s="1225">
        <f>税込!J150/1.17</f>
        <v>47863.247863247867</v>
      </c>
      <c r="K150" s="1199">
        <f>税込!K150/1.17</f>
        <v>43589.743589743593</v>
      </c>
      <c r="L150" s="1225">
        <f>税込!L150/1.17</f>
        <v>39316.23931623932</v>
      </c>
      <c r="M150" s="1199">
        <f>税込!M150/1.17</f>
        <v>41880.341880341883</v>
      </c>
      <c r="N150" s="1225">
        <f>税込!N150/1.17</f>
        <v>41452.991452991453</v>
      </c>
      <c r="O150" s="1199">
        <f>税込!O150/1.17</f>
        <v>39316.23931623932</v>
      </c>
      <c r="P150" s="83"/>
      <c r="Q150" s="83"/>
      <c r="R150" s="83"/>
    </row>
    <row r="151" spans="1:29" ht="15.75" hidden="1" customHeight="1">
      <c r="A151" s="1392"/>
      <c r="B151" s="1395"/>
      <c r="C151" s="251" t="s">
        <v>53</v>
      </c>
      <c r="D151" s="182">
        <f>税込!D151/1.17</f>
        <v>0</v>
      </c>
      <c r="E151" s="191">
        <f>税込!E151/1.17</f>
        <v>0</v>
      </c>
      <c r="F151" s="191">
        <f>税込!F151/1.17</f>
        <v>0</v>
      </c>
      <c r="G151" s="191">
        <f>税込!G151/1.17</f>
        <v>0</v>
      </c>
      <c r="H151" s="344">
        <f>税込!H151/1.17</f>
        <v>0</v>
      </c>
      <c r="I151" s="193">
        <f>税込!I151/1.17</f>
        <v>0</v>
      </c>
      <c r="J151" s="332">
        <f>税込!J151/1.17</f>
        <v>0</v>
      </c>
      <c r="K151" s="333">
        <f>税込!K151/1.17</f>
        <v>0</v>
      </c>
      <c r="L151" s="332">
        <f>税込!L151/1.17</f>
        <v>0</v>
      </c>
      <c r="M151" s="333">
        <f>税込!M151/1.17</f>
        <v>0</v>
      </c>
      <c r="N151" s="332">
        <f>税込!N151/1.17</f>
        <v>0</v>
      </c>
      <c r="O151" s="333">
        <f>税込!O151/1.17</f>
        <v>0</v>
      </c>
      <c r="P151" s="83"/>
      <c r="Q151" s="83"/>
      <c r="R151" s="83"/>
    </row>
    <row r="152" spans="1:29" ht="15.75" hidden="1" customHeight="1">
      <c r="A152" s="1392"/>
      <c r="B152" s="1395"/>
      <c r="C152" s="251" t="s">
        <v>54</v>
      </c>
      <c r="D152" s="182">
        <f>税込!D152/1.17</f>
        <v>0</v>
      </c>
      <c r="E152" s="191">
        <f>税込!E152/1.17</f>
        <v>0</v>
      </c>
      <c r="F152" s="191">
        <f>税込!F152/1.17</f>
        <v>0</v>
      </c>
      <c r="G152" s="191">
        <f>税込!G152/1.17</f>
        <v>0</v>
      </c>
      <c r="H152" s="344">
        <f>税込!H152/1.17</f>
        <v>0</v>
      </c>
      <c r="I152" s="193">
        <f>税込!I152/1.17</f>
        <v>0</v>
      </c>
      <c r="J152" s="332">
        <f>税込!J152/1.17</f>
        <v>0</v>
      </c>
      <c r="K152" s="333">
        <f>税込!K152/1.17</f>
        <v>0</v>
      </c>
      <c r="L152" s="332">
        <f>税込!L152/1.17</f>
        <v>0</v>
      </c>
      <c r="M152" s="333">
        <f>税込!M152/1.17</f>
        <v>0</v>
      </c>
      <c r="N152" s="332">
        <f>税込!N152/1.17</f>
        <v>0</v>
      </c>
      <c r="O152" s="333">
        <f>税込!O152/1.17</f>
        <v>0</v>
      </c>
      <c r="P152" s="83"/>
      <c r="Q152" s="83"/>
      <c r="R152" s="83"/>
    </row>
    <row r="153" spans="1:29" ht="15.75" hidden="1" customHeight="1">
      <c r="A153" s="1392"/>
      <c r="B153" s="1395"/>
      <c r="C153" s="251" t="s">
        <v>55</v>
      </c>
      <c r="D153" s="182">
        <f>税込!D153/1.17</f>
        <v>0</v>
      </c>
      <c r="E153" s="191">
        <f>税込!E153/1.17</f>
        <v>0</v>
      </c>
      <c r="F153" s="191">
        <f>税込!F153/1.17</f>
        <v>0</v>
      </c>
      <c r="G153" s="191">
        <f>税込!G153/1.17</f>
        <v>0</v>
      </c>
      <c r="H153" s="344">
        <f>税込!H153/1.17</f>
        <v>0</v>
      </c>
      <c r="I153" s="193">
        <f>税込!I153/1.17</f>
        <v>0</v>
      </c>
      <c r="J153" s="332">
        <f>税込!J153/1.17</f>
        <v>0</v>
      </c>
      <c r="K153" s="333">
        <f>税込!K153/1.17</f>
        <v>0</v>
      </c>
      <c r="L153" s="332">
        <f>税込!L153/1.17</f>
        <v>0</v>
      </c>
      <c r="M153" s="333">
        <f>税込!M153/1.17</f>
        <v>0</v>
      </c>
      <c r="N153" s="332">
        <f>税込!N153/1.17</f>
        <v>0</v>
      </c>
      <c r="O153" s="333">
        <f>税込!O153/1.17</f>
        <v>0</v>
      </c>
      <c r="P153" s="83"/>
      <c r="Q153" s="83"/>
      <c r="R153" s="83"/>
    </row>
    <row r="154" spans="1:29">
      <c r="A154" s="1392"/>
      <c r="B154" s="1395"/>
      <c r="C154" s="405" t="s">
        <v>49</v>
      </c>
      <c r="D154" s="489">
        <f>税込!D154</f>
        <v>0.13370477470310679</v>
      </c>
      <c r="E154" s="1315">
        <f>税込!E154</f>
        <v>0.13440187705459686</v>
      </c>
      <c r="F154" s="1315">
        <f>税込!F154</f>
        <v>0.1584162626941549</v>
      </c>
      <c r="G154" s="1315">
        <f>税込!G154</f>
        <v>0.1485270286519029</v>
      </c>
      <c r="H154" s="1315">
        <f>税込!H154</f>
        <v>0.1422580452947422</v>
      </c>
      <c r="I154" s="1316">
        <f>税込!I154</f>
        <v>0.15675926014831645</v>
      </c>
      <c r="J154" s="1317">
        <f>税込!J154</f>
        <v>0.14429364174822051</v>
      </c>
      <c r="K154" s="1315">
        <f>税込!K154</f>
        <v>0.13051248916107003</v>
      </c>
      <c r="L154" s="1315">
        <f>税込!L154</f>
        <v>0.152208055860244</v>
      </c>
      <c r="M154" s="1315">
        <f>税込!M154</f>
        <v>0.11954197020164907</v>
      </c>
      <c r="N154" s="1049">
        <f>税込!N154</f>
        <v>0.13129007633587786</v>
      </c>
      <c r="O154" s="1049">
        <f>税込!O154</f>
        <v>0.13753723404255319</v>
      </c>
      <c r="P154" s="83"/>
      <c r="Q154" s="1380"/>
      <c r="R154" s="83"/>
    </row>
    <row r="155" spans="1:29">
      <c r="A155" s="1392"/>
      <c r="B155" s="1395"/>
      <c r="C155" s="445" t="s">
        <v>251</v>
      </c>
      <c r="D155" s="471">
        <f>税込!D155/1.17+157</f>
        <v>122538.9221965812</v>
      </c>
      <c r="E155" s="1293">
        <f>税込!E155/1.17</f>
        <v>102178.63247863248</v>
      </c>
      <c r="F155" s="1293">
        <f>税込!F155/1.17+82</f>
        <v>103396.18803418805</v>
      </c>
      <c r="G155" s="1293">
        <f>税込!G155/1.17+12</f>
        <v>99517.186324786337</v>
      </c>
      <c r="H155" s="1293">
        <f>税込!H155/1.17</f>
        <v>121544.04796000001</v>
      </c>
      <c r="I155" s="1294">
        <f>税込!I155/1.17+63</f>
        <v>118583.82736940173</v>
      </c>
      <c r="J155" s="1293">
        <f>J156+J157</f>
        <v>122672.99676923078</v>
      </c>
      <c r="K155" s="1293">
        <f>税込!K155/1.17</f>
        <v>119397.9055197436</v>
      </c>
      <c r="L155" s="1293">
        <f>税込!L155/1.17+22</f>
        <v>101141.55384273504</v>
      </c>
      <c r="M155" s="1293">
        <f>税込!M155/1.17</f>
        <v>145472.85753000001</v>
      </c>
      <c r="N155" s="1050">
        <f>税込!N155/1.17</f>
        <v>111965.81196581197</v>
      </c>
      <c r="O155" s="1050">
        <f>税込!O155/1.17</f>
        <v>80341.880341880344</v>
      </c>
      <c r="P155" s="83"/>
      <c r="Q155" s="83"/>
      <c r="R155" s="83"/>
    </row>
    <row r="156" spans="1:29">
      <c r="A156" s="1392"/>
      <c r="B156" s="1395"/>
      <c r="C156" s="446" t="s">
        <v>113</v>
      </c>
      <c r="D156" s="472">
        <f>税込!D156/1.17+157</f>
        <v>68305.449572649581</v>
      </c>
      <c r="E156" s="1295">
        <f>税込!E156/1.17</f>
        <v>61919.658119658125</v>
      </c>
      <c r="F156" s="1293">
        <f>税込!F156/1.17+82</f>
        <v>54723.538461538468</v>
      </c>
      <c r="G156" s="1293">
        <f>税込!G156/1.17+12</f>
        <v>54619.988034188034</v>
      </c>
      <c r="H156" s="1293">
        <f>税込!H156/1.17</f>
        <v>68814.830820000003</v>
      </c>
      <c r="I156" s="1294">
        <f>税込!I156/1.17+63</f>
        <v>69046.901709401704</v>
      </c>
      <c r="J156" s="1293">
        <f>元ﾃﾞｰﾀ!BG52</f>
        <v>73641.266000000003</v>
      </c>
      <c r="K156" s="1293">
        <f>税込!K156/1.17</f>
        <v>79699.341859743596</v>
      </c>
      <c r="L156" s="1379">
        <f>税込!L156/1.17+23</f>
        <v>61711.253042735043</v>
      </c>
      <c r="M156" s="1293">
        <f>税込!M156/1.17</f>
        <v>112241.34977</v>
      </c>
      <c r="N156" s="1050">
        <f>税込!N156/1.17</f>
        <v>75213.675213675218</v>
      </c>
      <c r="O156" s="1050">
        <f>税込!O156/1.17</f>
        <v>47008.547008547008</v>
      </c>
      <c r="P156" s="83"/>
      <c r="Q156" s="83"/>
      <c r="R156" s="83"/>
    </row>
    <row r="157" spans="1:29">
      <c r="A157" s="1392"/>
      <c r="B157" s="1395"/>
      <c r="C157" s="447" t="s">
        <v>114</v>
      </c>
      <c r="D157" s="221">
        <f>税込!D157/1.17</f>
        <v>54233.472623931622</v>
      </c>
      <c r="E157" s="1289">
        <f>税込!E157/1.17</f>
        <v>40258.974358974359</v>
      </c>
      <c r="F157" s="1054">
        <f>税込!F157/1.17</f>
        <v>48672.649572649578</v>
      </c>
      <c r="G157" s="1054">
        <f>税込!G157/1.17</f>
        <v>44897.198290598295</v>
      </c>
      <c r="H157" s="1054">
        <f>税込!H157/1.17</f>
        <v>52729.217140000008</v>
      </c>
      <c r="I157" s="1288">
        <f>税込!I157/1.17</f>
        <v>49536.925660000008</v>
      </c>
      <c r="J157" s="1289">
        <f>税込!J157/1.17</f>
        <v>49031.730769230773</v>
      </c>
      <c r="K157" s="1054">
        <f>税込!K157/1.17</f>
        <v>39698.56366</v>
      </c>
      <c r="L157" s="1054">
        <f>税込!L157/1.17</f>
        <v>39431.300800000005</v>
      </c>
      <c r="M157" s="1054">
        <f>税込!M157/1.17</f>
        <v>33231.50776</v>
      </c>
      <c r="N157" s="1051">
        <f>税込!N157/1.17</f>
        <v>36752.136752136757</v>
      </c>
      <c r="O157" s="1051">
        <f>税込!O157/1.17</f>
        <v>33333.333333333336</v>
      </c>
      <c r="P157" s="83"/>
      <c r="Q157" s="83"/>
      <c r="R157" s="83"/>
    </row>
    <row r="158" spans="1:29">
      <c r="A158" s="1392"/>
      <c r="B158" s="1393"/>
      <c r="C158" s="407" t="s">
        <v>476</v>
      </c>
      <c r="D158" s="345">
        <f>税込!D158/1.17</f>
        <v>82122.222222222234</v>
      </c>
      <c r="E158" s="346">
        <f>税込!E158/1.17</f>
        <v>82122.222222222234</v>
      </c>
      <c r="F158" s="346">
        <f>税込!F158/1.17</f>
        <v>82122.222222222234</v>
      </c>
      <c r="G158" s="346">
        <f>税込!G158/1.17</f>
        <v>101210.25641025642</v>
      </c>
      <c r="H158" s="346">
        <f>税込!H158/1.17</f>
        <v>101210.25641025642</v>
      </c>
      <c r="I158" s="473">
        <f>税込!I158/1.17</f>
        <v>101210.25641025642</v>
      </c>
      <c r="J158" s="348">
        <f>税込!J158/1.17</f>
        <v>131038.46153846155</v>
      </c>
      <c r="K158" s="348">
        <f>税込!K158/1.17</f>
        <v>131038.46153846155</v>
      </c>
      <c r="L158" s="348">
        <f>税込!L158/1.17</f>
        <v>131038.46153846155</v>
      </c>
      <c r="M158" s="348">
        <f>税込!M158/1.17</f>
        <v>138739.31623931625</v>
      </c>
      <c r="N158" s="348">
        <f>税込!N158/1.17</f>
        <v>138739.31623931625</v>
      </c>
      <c r="O158" s="348">
        <f>税込!O158/1.17</f>
        <v>138739.31623931625</v>
      </c>
      <c r="P158" s="83"/>
      <c r="Q158" s="83"/>
      <c r="R158" s="83"/>
    </row>
    <row r="159" spans="1:29">
      <c r="A159" s="1392"/>
      <c r="B159" s="1394" t="s">
        <v>19</v>
      </c>
      <c r="C159" s="288" t="s">
        <v>56</v>
      </c>
      <c r="D159" s="289">
        <f>税込!D159</f>
        <v>1.07</v>
      </c>
      <c r="E159" s="289">
        <f>税込!E159</f>
        <v>0.76</v>
      </c>
      <c r="F159" s="290">
        <f>税込!F159</f>
        <v>0.28999999999999998</v>
      </c>
      <c r="G159" s="291">
        <f>税込!G159</f>
        <v>0.69</v>
      </c>
      <c r="H159" s="289">
        <f>税込!H159</f>
        <v>0.56000000000000005</v>
      </c>
      <c r="I159" s="303">
        <f>税込!I159</f>
        <v>1.1000000000000001</v>
      </c>
      <c r="J159" s="293">
        <f>税込!J159</f>
        <v>0.64</v>
      </c>
      <c r="K159" s="289">
        <f>税込!K159</f>
        <v>0.66</v>
      </c>
      <c r="L159" s="289">
        <f>税込!L159</f>
        <v>1.35</v>
      </c>
      <c r="M159" s="289">
        <f>税込!M159</f>
        <v>0.71</v>
      </c>
      <c r="N159" s="289">
        <f>税込!N159</f>
        <v>1.1299999999999999</v>
      </c>
      <c r="O159" s="289">
        <f>税込!O159</f>
        <v>0.99</v>
      </c>
      <c r="P159" s="83"/>
      <c r="Q159" s="83"/>
      <c r="R159" s="83"/>
    </row>
    <row r="160" spans="1:29">
      <c r="A160" s="1392"/>
      <c r="B160" s="1395"/>
      <c r="C160" s="288" t="s">
        <v>57</v>
      </c>
      <c r="D160" s="289">
        <f>税込!D160</f>
        <v>0.25</v>
      </c>
      <c r="E160" s="289">
        <f>税込!E160</f>
        <v>0.76</v>
      </c>
      <c r="F160" s="294">
        <f>税込!F160</f>
        <v>0.65</v>
      </c>
      <c r="G160" s="295">
        <f>税込!G160</f>
        <v>1</v>
      </c>
      <c r="H160" s="289">
        <f>税込!H160</f>
        <v>0.77</v>
      </c>
      <c r="I160" s="303">
        <f>税込!I160</f>
        <v>1.01</v>
      </c>
      <c r="J160" s="293">
        <f>税込!J160</f>
        <v>0.85</v>
      </c>
      <c r="K160" s="289">
        <f>税込!K160</f>
        <v>0.94</v>
      </c>
      <c r="L160" s="289">
        <f>税込!L160</f>
        <v>0.82</v>
      </c>
      <c r="M160" s="289">
        <f>税込!M160</f>
        <v>1.01</v>
      </c>
      <c r="N160" s="289">
        <f>税込!N160</f>
        <v>0.99</v>
      </c>
      <c r="O160" s="289">
        <f>税込!O160</f>
        <v>0.93</v>
      </c>
      <c r="P160" s="83"/>
      <c r="Q160" s="83"/>
      <c r="R160" s="83"/>
    </row>
    <row r="161" spans="1:18">
      <c r="A161" s="1392"/>
      <c r="B161" s="1395"/>
      <c r="C161" s="288" t="s">
        <v>51</v>
      </c>
      <c r="D161" s="289">
        <f>税込!D161</f>
        <v>1.0271914893617022</v>
      </c>
      <c r="E161" s="297">
        <f>税込!E161</f>
        <v>1.0392923076923077</v>
      </c>
      <c r="F161" s="298">
        <f>税込!F161</f>
        <v>1.020516129032258</v>
      </c>
      <c r="G161" s="298">
        <f>税込!G161</f>
        <v>1.0787083333333334</v>
      </c>
      <c r="H161" s="349">
        <f>税込!H161</f>
        <v>1.0179850746268657</v>
      </c>
      <c r="I161" s="464">
        <f>税込!I161</f>
        <v>1.0031048951048951</v>
      </c>
      <c r="J161" s="301">
        <f>税込!J161</f>
        <v>0.89796428571428566</v>
      </c>
      <c r="K161" s="302">
        <f>税込!K161</f>
        <v>1.0584571428571428</v>
      </c>
      <c r="L161" s="302">
        <f>税込!L161</f>
        <v>1.1605571428571428</v>
      </c>
      <c r="M161" s="302">
        <f>税込!M161</f>
        <v>1.0149166666666667</v>
      </c>
      <c r="N161" s="302">
        <f>税込!N161</f>
        <v>1.0147662337662338</v>
      </c>
      <c r="O161" s="302">
        <f>税込!O161</f>
        <v>1.0003731343283582</v>
      </c>
      <c r="P161" s="83"/>
      <c r="Q161" s="83"/>
      <c r="R161" s="83"/>
    </row>
    <row r="162" spans="1:18">
      <c r="A162" s="1392"/>
      <c r="B162" s="1395"/>
      <c r="C162" s="288" t="s">
        <v>144</v>
      </c>
      <c r="D162" s="289">
        <v>0.93597142857142857</v>
      </c>
      <c r="E162" s="297">
        <v>1.2216214285714286</v>
      </c>
      <c r="F162" s="298">
        <v>1.1538352941176471</v>
      </c>
      <c r="G162" s="298">
        <v>1.0183846153846152</v>
      </c>
      <c r="H162" s="298">
        <v>1.0328999999999999</v>
      </c>
      <c r="I162" s="464">
        <v>1.2023473684210526</v>
      </c>
      <c r="J162" s="301">
        <v>0.90207352941176466</v>
      </c>
      <c r="K162" s="318">
        <v>1.0348235294117647</v>
      </c>
      <c r="L162" s="318">
        <v>1.1112142857142857</v>
      </c>
      <c r="M162" s="318">
        <v>0.97977777777777786</v>
      </c>
      <c r="N162" s="318">
        <v>0.9956623376623378</v>
      </c>
      <c r="O162" s="302">
        <v>1.1897529411764707</v>
      </c>
      <c r="P162" s="83"/>
      <c r="Q162" s="83"/>
      <c r="R162" s="83"/>
    </row>
    <row r="163" spans="1:18">
      <c r="A163" s="1392"/>
      <c r="B163" s="1395"/>
      <c r="C163" s="288" t="s">
        <v>203</v>
      </c>
      <c r="D163" s="289">
        <v>1.4350999999999998</v>
      </c>
      <c r="E163" s="297">
        <v>1.1892285714285715</v>
      </c>
      <c r="F163" s="298">
        <v>1.0063397260273972</v>
      </c>
      <c r="G163" s="298">
        <v>1.2187186571428572</v>
      </c>
      <c r="H163" s="298">
        <v>1.140525641025641</v>
      </c>
      <c r="I163" s="464">
        <v>1.0647358974358974</v>
      </c>
      <c r="J163" s="301">
        <v>1.2803625000000003</v>
      </c>
      <c r="K163" s="318">
        <v>1.0038</v>
      </c>
      <c r="L163" s="318">
        <v>1.0585137500000001</v>
      </c>
      <c r="M163" s="318">
        <v>1.3857441860465116</v>
      </c>
      <c r="N163" s="318">
        <v>1.255220588235294</v>
      </c>
      <c r="O163" s="302">
        <v>1.1566363636363637</v>
      </c>
      <c r="P163" s="83"/>
      <c r="Q163" s="83"/>
      <c r="R163" s="83"/>
    </row>
    <row r="164" spans="1:18">
      <c r="A164" s="1392"/>
      <c r="B164" s="1393"/>
      <c r="C164" s="442" t="s">
        <v>262</v>
      </c>
      <c r="D164" s="305">
        <f t="shared" ref="D164:O164" si="10">D155/D148</f>
        <v>1.5930059885555556</v>
      </c>
      <c r="E164" s="1302">
        <f t="shared" si="10"/>
        <v>1.1954900000000002</v>
      </c>
      <c r="F164" s="1302">
        <f t="shared" si="10"/>
        <v>1.0081128333333333</v>
      </c>
      <c r="G164" s="1302">
        <f t="shared" si="10"/>
        <v>0.97029256666666663</v>
      </c>
      <c r="H164" s="1302">
        <f t="shared" si="10"/>
        <v>1.0938964316399999</v>
      </c>
      <c r="I164" s="1300">
        <f t="shared" si="10"/>
        <v>0.92495385348133341</v>
      </c>
      <c r="J164" s="1301">
        <f t="shared" si="10"/>
        <v>1.0036881553846153</v>
      </c>
      <c r="K164" s="1302">
        <f t="shared" si="10"/>
        <v>0.91304280691568629</v>
      </c>
      <c r="L164" s="1302">
        <f t="shared" si="10"/>
        <v>0.85750447823188403</v>
      </c>
      <c r="M164" s="1302">
        <f t="shared" si="10"/>
        <v>1.1384832328434782</v>
      </c>
      <c r="N164" s="444">
        <f t="shared" si="10"/>
        <v>0.71389645776566757</v>
      </c>
      <c r="O164" s="443">
        <f t="shared" si="10"/>
        <v>0.67870036101083031</v>
      </c>
      <c r="P164" s="83"/>
      <c r="Q164" s="83"/>
      <c r="R164" s="83"/>
    </row>
    <row r="165" spans="1:18">
      <c r="A165" s="1401" t="s">
        <v>22</v>
      </c>
      <c r="B165" s="1393" t="s">
        <v>16</v>
      </c>
      <c r="C165" s="222" t="s">
        <v>133</v>
      </c>
      <c r="D165" s="238">
        <f>税込!D165/1.17</f>
        <v>3046.1538461538462</v>
      </c>
      <c r="E165" s="238">
        <f>税込!E165/1.17</f>
        <v>3242.735042735043</v>
      </c>
      <c r="F165" s="165">
        <f>税込!F165/1.17</f>
        <v>14557.264957264959</v>
      </c>
      <c r="G165" s="166">
        <f>税込!G165/1.17</f>
        <v>7260.6837606837607</v>
      </c>
      <c r="H165" s="238">
        <f>税込!H165/1.17</f>
        <v>5023.931623931624</v>
      </c>
      <c r="I165" s="239">
        <f>税込!I165/1.17</f>
        <v>5226.4957264957266</v>
      </c>
      <c r="J165" s="240">
        <f>税込!J165/1.17</f>
        <v>2385.4700854700855</v>
      </c>
      <c r="K165" s="238">
        <f>税込!K165/1.17</f>
        <v>4280.3418803418808</v>
      </c>
      <c r="L165" s="238">
        <f>税込!L165/1.17</f>
        <v>11276.923076923078</v>
      </c>
      <c r="M165" s="238">
        <f>税込!M165/1.17</f>
        <v>2884.6153846153848</v>
      </c>
      <c r="N165" s="238">
        <f>税込!N165/1.17</f>
        <v>356.41025641025641</v>
      </c>
      <c r="O165" s="238">
        <f>税込!O165/1.17</f>
        <v>22623.931623931625</v>
      </c>
      <c r="P165" s="83"/>
      <c r="Q165" s="83"/>
      <c r="R165" s="83"/>
    </row>
    <row r="166" spans="1:18">
      <c r="A166" s="1401"/>
      <c r="B166" s="1392"/>
      <c r="C166" s="222" t="s">
        <v>134</v>
      </c>
      <c r="D166" s="242">
        <f>税込!D166/1.17</f>
        <v>3647.863247863248</v>
      </c>
      <c r="E166" s="242">
        <f>税込!E166/1.17</f>
        <v>5434.1880341880342</v>
      </c>
      <c r="F166" s="243">
        <f>税込!F166/1.17</f>
        <v>4972.6495726495732</v>
      </c>
      <c r="G166" s="244">
        <f>税込!G166/1.17</f>
        <v>5218.8034188034189</v>
      </c>
      <c r="H166" s="242">
        <f>税込!H166/1.17</f>
        <v>1954.7008547008547</v>
      </c>
      <c r="I166" s="245">
        <f>税込!I166/1.17</f>
        <v>9680.3418803418808</v>
      </c>
      <c r="J166" s="246">
        <f>税込!J166/1.17</f>
        <v>770.08547008547009</v>
      </c>
      <c r="K166" s="242">
        <f>税込!K166/1.17</f>
        <v>26.495726495726498</v>
      </c>
      <c r="L166" s="242">
        <f>税込!L166/1.17</f>
        <v>1735.0427350427351</v>
      </c>
      <c r="M166" s="242">
        <f>税込!M166/1.17</f>
        <v>15550.427350427351</v>
      </c>
      <c r="N166" s="242">
        <f>税込!N166/1.17</f>
        <v>1411.1111111111111</v>
      </c>
      <c r="O166" s="242">
        <f>税込!O166/1.17</f>
        <v>5226.4957264957266</v>
      </c>
      <c r="P166" s="83"/>
      <c r="Q166" s="83"/>
      <c r="R166" s="83"/>
    </row>
    <row r="167" spans="1:18">
      <c r="A167" s="1401"/>
      <c r="B167" s="1392"/>
      <c r="C167" s="222" t="s">
        <v>135</v>
      </c>
      <c r="D167" s="242">
        <f>税込!D167/1.17</f>
        <v>2532.4786324786328</v>
      </c>
      <c r="E167" s="253">
        <f>税込!E167/1.17</f>
        <v>2669.2307692307695</v>
      </c>
      <c r="F167" s="253">
        <f>税込!F167/1.17</f>
        <v>526.49572649572656</v>
      </c>
      <c r="G167" s="253">
        <f>税込!G167/1.17</f>
        <v>747.008547008547</v>
      </c>
      <c r="H167" s="254">
        <f>税込!H167/1.17</f>
        <v>2081.1965811965815</v>
      </c>
      <c r="I167" s="255">
        <f>税込!I167/1.17</f>
        <v>4282.0512820512822</v>
      </c>
      <c r="J167" s="256">
        <f>税込!J167/1.17</f>
        <v>2636.7521367521367</v>
      </c>
      <c r="K167" s="257">
        <f>税込!K167/1.17</f>
        <v>3466.666666666667</v>
      </c>
      <c r="L167" s="257">
        <f>税込!L167/1.17</f>
        <v>7872.6495726495732</v>
      </c>
      <c r="M167" s="257">
        <f>税込!M167/1.17</f>
        <v>7641.8803418803427</v>
      </c>
      <c r="N167" s="257">
        <f>税込!N167/1.17</f>
        <v>11859.82905982906</v>
      </c>
      <c r="O167" s="257">
        <f>税込!O167/1.17</f>
        <v>6464.9572649572656</v>
      </c>
      <c r="P167" s="83"/>
      <c r="Q167" s="83"/>
      <c r="R167" s="83"/>
    </row>
    <row r="168" spans="1:18">
      <c r="A168" s="1401"/>
      <c r="B168" s="1392"/>
      <c r="C168" s="222" t="s">
        <v>156</v>
      </c>
      <c r="D168" s="242">
        <f>税込!D168/1.17</f>
        <v>8684.6153846153848</v>
      </c>
      <c r="E168" s="253">
        <f>税込!E168/1.17</f>
        <v>1370.9401709401711</v>
      </c>
      <c r="F168" s="253">
        <f>税込!F168/1.17</f>
        <v>2138.4615384615386</v>
      </c>
      <c r="G168" s="253">
        <f>税込!G168/1.17</f>
        <v>3538.4615384615386</v>
      </c>
      <c r="H168" s="254">
        <f>税込!H168/1.17</f>
        <v>1183.7606837606838</v>
      </c>
      <c r="I168" s="255">
        <f>税込!I168/1.17</f>
        <v>2235.897435897436</v>
      </c>
      <c r="J168" s="256">
        <f>税込!J168/1.17</f>
        <v>1417.0940170940171</v>
      </c>
      <c r="K168" s="257">
        <f>税込!K168/1.17</f>
        <v>1211.965811965812</v>
      </c>
      <c r="L168" s="257">
        <f>税込!L168/1.17</f>
        <v>2074.7521367521367</v>
      </c>
      <c r="M168" s="257">
        <f>税込!M168/1.17</f>
        <v>2618.5470085470088</v>
      </c>
      <c r="N168" s="257">
        <f>税込!N168/1.17</f>
        <v>399.15811965811969</v>
      </c>
      <c r="O168" s="257">
        <f>税込!O168/1.17</f>
        <v>2229.9145299145302</v>
      </c>
      <c r="P168" s="83"/>
      <c r="Q168" s="83"/>
      <c r="R168" s="83"/>
    </row>
    <row r="169" spans="1:18">
      <c r="A169" s="1401"/>
      <c r="B169" s="1392"/>
      <c r="C169" s="222" t="s">
        <v>247</v>
      </c>
      <c r="D169" s="242">
        <f>税込!D169/1.17</f>
        <v>932.29059829059827</v>
      </c>
      <c r="E169" s="253">
        <f>税込!E169/1.17</f>
        <v>623.41452991452991</v>
      </c>
      <c r="F169" s="253">
        <f>税込!F169/1.17</f>
        <v>655.38461538461536</v>
      </c>
      <c r="G169" s="253">
        <f>税込!G169/1.17</f>
        <v>6016.2393162393164</v>
      </c>
      <c r="H169" s="254">
        <f>税込!H169/1.17</f>
        <v>430.34188034188037</v>
      </c>
      <c r="I169" s="255">
        <f>税込!I169/1.17+520</f>
        <v>4831.6239316239325</v>
      </c>
      <c r="J169" s="256">
        <f>税込!J169/1.17</f>
        <v>1301.3042735042736</v>
      </c>
      <c r="K169" s="257">
        <f>税込!K169/1.17</f>
        <v>2617.4188034188032</v>
      </c>
      <c r="L169" s="257">
        <f>税込!L169/1.17</f>
        <v>2324.9102564102564</v>
      </c>
      <c r="M169" s="257">
        <f>税込!M169/1.17</f>
        <v>897.52991452991455</v>
      </c>
      <c r="N169" s="257">
        <f>税込!N169/1.17</f>
        <v>3185.3273504273507</v>
      </c>
      <c r="O169" s="257">
        <f>税込!O169/1.17+16</f>
        <v>1637.737606837607</v>
      </c>
      <c r="P169" s="83"/>
      <c r="Q169" s="83"/>
      <c r="R169" s="83"/>
    </row>
    <row r="170" spans="1:18">
      <c r="A170" s="1401"/>
      <c r="B170" s="1392"/>
      <c r="C170" s="1209" t="s">
        <v>310</v>
      </c>
      <c r="D170" s="1226">
        <f>税込!D170/1.17</f>
        <v>185.47008547008548</v>
      </c>
      <c r="E170" s="1227">
        <f>税込!E170/1.17</f>
        <v>0</v>
      </c>
      <c r="F170" s="1227">
        <f>税込!F170/1.17</f>
        <v>583.24786324786328</v>
      </c>
      <c r="G170" s="1227">
        <f>税込!G170/1.17</f>
        <v>4471.196581196582</v>
      </c>
      <c r="H170" s="1227">
        <f>税込!H170/1.17</f>
        <v>4820.0854700854707</v>
      </c>
      <c r="I170" s="1228">
        <f>税込!I170/1.17</f>
        <v>4416.9230769230771</v>
      </c>
      <c r="J170" s="1229">
        <f>税込!J170/1.17</f>
        <v>4416.9230769230771</v>
      </c>
      <c r="K170" s="1229">
        <f>税込!K170/1.17</f>
        <v>84.615384615384627</v>
      </c>
      <c r="L170" s="1229">
        <f>税込!L170/1.17</f>
        <v>0</v>
      </c>
      <c r="M170" s="1229">
        <f>税込!M170/1.17</f>
        <v>392.56752136752135</v>
      </c>
      <c r="N170" s="1229">
        <f>税込!N170/1.17</f>
        <v>0</v>
      </c>
      <c r="O170" s="1229">
        <f>税込!O170/1.17</f>
        <v>8070.5128205128212</v>
      </c>
      <c r="P170" s="83"/>
      <c r="Q170" s="83"/>
      <c r="R170" s="83"/>
    </row>
    <row r="171" spans="1:18">
      <c r="A171" s="1401"/>
      <c r="B171" s="1392"/>
      <c r="C171" s="425" t="s">
        <v>251</v>
      </c>
      <c r="D171" s="355">
        <f>税込!D171/1.17</f>
        <v>1435.6752136752139</v>
      </c>
      <c r="E171" s="1054">
        <f>税込!E171/1.17+176</f>
        <v>1784.1316239316238</v>
      </c>
      <c r="F171" s="1054">
        <f>税込!F171/1.17</f>
        <v>583.24786324786328</v>
      </c>
      <c r="G171" s="1054">
        <f>税込!G171/1.17</f>
        <v>5545.3675213675215</v>
      </c>
      <c r="H171" s="1054">
        <f>税込!H171/1.17</f>
        <v>4735.4700854700859</v>
      </c>
      <c r="I171" s="1288">
        <f>税込!I171/1.17</f>
        <v>0</v>
      </c>
      <c r="J171" s="1289">
        <f>税込!J171/1.17</f>
        <v>0</v>
      </c>
      <c r="K171" s="1289">
        <f>税込!K171/1.17</f>
        <v>210.25641025641028</v>
      </c>
      <c r="L171" s="1289">
        <f>税込!L171/1.17</f>
        <v>0</v>
      </c>
      <c r="M171" s="1289">
        <f>税込!M171/1.17</f>
        <v>166.85128205128206</v>
      </c>
      <c r="N171" s="401">
        <f>税込!N171/1.17</f>
        <v>4648.9777777777781</v>
      </c>
      <c r="O171" s="401">
        <f>税込!O171/1.17</f>
        <v>8544.8717948717949</v>
      </c>
      <c r="P171" s="83"/>
      <c r="Q171" s="83"/>
      <c r="R171" s="83"/>
    </row>
    <row r="172" spans="1:18">
      <c r="A172" s="1401"/>
      <c r="B172" s="1392"/>
      <c r="C172" s="407" t="s">
        <v>478</v>
      </c>
      <c r="D172" s="345">
        <f>税込!D172/1.17</f>
        <v>2490.5982905982905</v>
      </c>
      <c r="E172" s="346">
        <f>税込!E172/1.17</f>
        <v>2490.5982905982905</v>
      </c>
      <c r="F172" s="346">
        <f>税込!F172/1.17</f>
        <v>2490.5982905982905</v>
      </c>
      <c r="G172" s="346">
        <f>税込!G172/1.17</f>
        <v>1489.7435897435898</v>
      </c>
      <c r="H172" s="346">
        <f>税込!H172/1.17</f>
        <v>1489.7435897435898</v>
      </c>
      <c r="I172" s="473">
        <f>税込!I172/1.17</f>
        <v>1489.7435897435898</v>
      </c>
      <c r="J172" s="348">
        <f>税込!J172/1.17</f>
        <v>0</v>
      </c>
      <c r="K172" s="348">
        <f>税込!K172/1.17</f>
        <v>0</v>
      </c>
      <c r="L172" s="348">
        <f>税込!L172/1.17</f>
        <v>16247.008547008549</v>
      </c>
      <c r="M172" s="348">
        <f>税込!M172/1.17</f>
        <v>0</v>
      </c>
      <c r="N172" s="348">
        <f>税込!N172/1.17</f>
        <v>3868.3760683760688</v>
      </c>
      <c r="O172" s="348">
        <f>税込!O172/1.17</f>
        <v>0</v>
      </c>
      <c r="P172" s="83"/>
      <c r="Q172" s="83"/>
      <c r="R172" s="83"/>
    </row>
    <row r="173" spans="1:18">
      <c r="A173" s="1401"/>
      <c r="B173" s="1392" t="s">
        <v>19</v>
      </c>
      <c r="C173" s="288" t="s">
        <v>56</v>
      </c>
      <c r="D173" s="289">
        <f>税込!D173</f>
        <v>0.41</v>
      </c>
      <c r="E173" s="289">
        <f>税込!E173</f>
        <v>0.26</v>
      </c>
      <c r="F173" s="290">
        <f>税込!F173</f>
        <v>0.89</v>
      </c>
      <c r="G173" s="291">
        <f>税込!G173</f>
        <v>0.67</v>
      </c>
      <c r="H173" s="289">
        <f>税込!H173</f>
        <v>0.49</v>
      </c>
      <c r="I173" s="303">
        <f>税込!I173</f>
        <v>0.99</v>
      </c>
      <c r="J173" s="293">
        <f>税込!J173</f>
        <v>1.1200000000000001</v>
      </c>
      <c r="K173" s="289">
        <f>税込!K173</f>
        <v>1.1399999999999999</v>
      </c>
      <c r="L173" s="289">
        <f>税込!L173</f>
        <v>0.99</v>
      </c>
      <c r="M173" s="289">
        <f>税込!M173</f>
        <v>0.96</v>
      </c>
      <c r="N173" s="289">
        <f>税込!N173</f>
        <v>1.04</v>
      </c>
      <c r="O173" s="289">
        <f>税込!O173</f>
        <v>0.92</v>
      </c>
      <c r="P173" s="83"/>
      <c r="Q173" s="83"/>
      <c r="R173" s="83"/>
    </row>
    <row r="174" spans="1:18">
      <c r="A174" s="1401"/>
      <c r="B174" s="1392"/>
      <c r="C174" s="288" t="s">
        <v>57</v>
      </c>
      <c r="D174" s="289">
        <f>税込!D174</f>
        <v>1.1200000000000001</v>
      </c>
      <c r="E174" s="289">
        <f>税込!E174</f>
        <v>0.95</v>
      </c>
      <c r="F174" s="294">
        <f>税込!F174</f>
        <v>0.97</v>
      </c>
      <c r="G174" s="295">
        <f>税込!G174</f>
        <v>1</v>
      </c>
      <c r="H174" s="289">
        <f>税込!H174</f>
        <v>0.31</v>
      </c>
      <c r="I174" s="303">
        <f>税込!I174</f>
        <v>1</v>
      </c>
      <c r="J174" s="293">
        <f>税込!J174</f>
        <v>0.94</v>
      </c>
      <c r="K174" s="289">
        <f>税込!K174</f>
        <v>1</v>
      </c>
      <c r="L174" s="289">
        <f>税込!L174</f>
        <v>1.03</v>
      </c>
      <c r="M174" s="289">
        <f>税込!M174</f>
        <v>1.02</v>
      </c>
      <c r="N174" s="289">
        <f>税込!N174</f>
        <v>0.52</v>
      </c>
      <c r="O174" s="289">
        <f>税込!O174</f>
        <v>1.51</v>
      </c>
      <c r="P174" s="83"/>
      <c r="Q174" s="83"/>
      <c r="R174" s="83"/>
    </row>
    <row r="175" spans="1:18">
      <c r="A175" s="1401"/>
      <c r="B175" s="1392"/>
      <c r="C175" s="288" t="s">
        <v>51</v>
      </c>
      <c r="D175" s="289">
        <f>税込!D175</f>
        <v>0.80516304347826084</v>
      </c>
      <c r="E175" s="297">
        <f>税込!E175</f>
        <v>0.80843903701786179</v>
      </c>
      <c r="F175" s="298">
        <f>税込!F175</f>
        <v>3.0338849487785657E-2</v>
      </c>
      <c r="G175" s="298">
        <f>税込!G175</f>
        <v>0.71639344262295079</v>
      </c>
      <c r="H175" s="299">
        <f>税込!H175</f>
        <v>0.24992302165657396</v>
      </c>
      <c r="I175" s="464">
        <f>税込!I175</f>
        <v>0.28467526564009321</v>
      </c>
      <c r="J175" s="356">
        <f>税込!J175</f>
        <v>0.52376910016977929</v>
      </c>
      <c r="K175" s="302">
        <f>税込!K175</f>
        <v>0.47239692522711391</v>
      </c>
      <c r="L175" s="302">
        <f>税込!L175</f>
        <v>0.4405069344811095</v>
      </c>
      <c r="M175" s="302">
        <f>税込!M175</f>
        <v>0.54122276029055694</v>
      </c>
      <c r="N175" s="302">
        <f>税込!N175</f>
        <v>0.82693682955899883</v>
      </c>
      <c r="O175" s="302">
        <f>税込!O175</f>
        <v>0.61949221949221944</v>
      </c>
      <c r="P175" s="83"/>
      <c r="Q175" s="83"/>
      <c r="R175" s="83"/>
    </row>
    <row r="176" spans="1:18">
      <c r="A176" s="1401"/>
      <c r="B176" s="1392"/>
      <c r="C176" s="288" t="s">
        <v>144</v>
      </c>
      <c r="D176" s="289">
        <v>1.1164707175035709</v>
      </c>
      <c r="E176" s="297">
        <v>1.0113493064312737</v>
      </c>
      <c r="F176" s="298">
        <v>0.77461300309597525</v>
      </c>
      <c r="G176" s="298">
        <v>0.84541556054727374</v>
      </c>
      <c r="H176" s="298">
        <v>0.40771268766558727</v>
      </c>
      <c r="I176" s="464">
        <v>1.0818858560794045</v>
      </c>
      <c r="J176" s="356">
        <v>0.70076077768385459</v>
      </c>
      <c r="K176" s="318">
        <v>0.57109256693623744</v>
      </c>
      <c r="L176" s="318">
        <v>1.8473820395738203</v>
      </c>
      <c r="M176" s="318">
        <v>0.78255427841634739</v>
      </c>
      <c r="N176" s="318">
        <v>0.46701500000000001</v>
      </c>
      <c r="O176" s="302">
        <v>0.96791666048347613</v>
      </c>
      <c r="P176" s="83"/>
      <c r="Q176" s="83"/>
      <c r="R176" s="83"/>
    </row>
    <row r="177" spans="1:18">
      <c r="A177" s="1401"/>
      <c r="B177" s="1392"/>
      <c r="C177" s="288" t="s">
        <v>203</v>
      </c>
      <c r="D177" s="289">
        <v>1.0032005886139979</v>
      </c>
      <c r="E177" s="297">
        <v>6.1813135593220334</v>
      </c>
      <c r="F177" s="298">
        <v>1.0196808510638298</v>
      </c>
      <c r="G177" s="298">
        <v>1.2016046432229428</v>
      </c>
      <c r="H177" s="298">
        <v>1.3044041450777204</v>
      </c>
      <c r="I177" s="464">
        <v>0.99774722655701475</v>
      </c>
      <c r="J177" s="356">
        <v>3.9443678756476688</v>
      </c>
      <c r="K177" s="318">
        <v>27.014643613267463</v>
      </c>
      <c r="L177" s="318">
        <v>1.022226606538895</v>
      </c>
      <c r="M177" s="318">
        <v>0.8022230710466004</v>
      </c>
      <c r="N177" s="318">
        <v>1.0274937898216485</v>
      </c>
      <c r="O177" s="302">
        <v>1.4275268493614459</v>
      </c>
      <c r="P177" s="83"/>
      <c r="Q177" s="83"/>
      <c r="R177" s="83"/>
    </row>
    <row r="178" spans="1:18">
      <c r="A178" s="1402"/>
      <c r="B178" s="1392"/>
      <c r="C178" s="442" t="s">
        <v>281</v>
      </c>
      <c r="D178" s="305">
        <f t="shared" ref="D178:O178" si="11">D171/D170</f>
        <v>7.740737327188941</v>
      </c>
      <c r="E178" s="1302" t="e">
        <f t="shared" si="11"/>
        <v>#DIV/0!</v>
      </c>
      <c r="F178" s="1302">
        <f t="shared" si="11"/>
        <v>1</v>
      </c>
      <c r="G178" s="1302">
        <f t="shared" si="11"/>
        <v>1.2402423871695369</v>
      </c>
      <c r="H178" s="1302">
        <f t="shared" si="11"/>
        <v>0.98244525223867363</v>
      </c>
      <c r="I178" s="1300">
        <f t="shared" si="11"/>
        <v>0</v>
      </c>
      <c r="J178" s="1301">
        <f t="shared" si="11"/>
        <v>0</v>
      </c>
      <c r="K178" s="1302">
        <f t="shared" si="11"/>
        <v>2.4848484848484849</v>
      </c>
      <c r="L178" s="1302" t="e">
        <f t="shared" si="11"/>
        <v>#DIV/0!</v>
      </c>
      <c r="M178" s="1302">
        <f t="shared" si="11"/>
        <v>0.42502569104558202</v>
      </c>
      <c r="N178" s="444" t="e">
        <f t="shared" si="11"/>
        <v>#DIV/0!</v>
      </c>
      <c r="O178" s="443">
        <f t="shared" si="11"/>
        <v>1.0587768069896744</v>
      </c>
      <c r="P178" s="83"/>
      <c r="Q178" s="83"/>
      <c r="R178" s="83"/>
    </row>
    <row r="179" spans="1:18">
      <c r="A179" s="1392" t="s">
        <v>240</v>
      </c>
      <c r="B179" s="1392" t="s">
        <v>16</v>
      </c>
      <c r="C179" s="222" t="s">
        <v>133</v>
      </c>
      <c r="D179" s="238">
        <f>税込!D179/1.17</f>
        <v>1888.8888888888889</v>
      </c>
      <c r="E179" s="238">
        <f>税込!E179/1.17</f>
        <v>1729.91452991453</v>
      </c>
      <c r="F179" s="165">
        <f>税込!F179/1.17</f>
        <v>1078.6324786324788</v>
      </c>
      <c r="G179" s="166">
        <f>税込!G179/1.17</f>
        <v>3258.9743589743593</v>
      </c>
      <c r="H179" s="238">
        <f>税込!H179/1.17</f>
        <v>1598.2905982905984</v>
      </c>
      <c r="I179" s="239">
        <f>税込!I179/1.17</f>
        <v>2400</v>
      </c>
      <c r="J179" s="240">
        <f>税込!J179/1.17</f>
        <v>1374.3589743589744</v>
      </c>
      <c r="K179" s="238">
        <f>税込!K179/1.17</f>
        <v>1017.0940170940172</v>
      </c>
      <c r="L179" s="238">
        <f>税込!L179/1.17</f>
        <v>1647.863247863248</v>
      </c>
      <c r="M179" s="238">
        <f>税込!M179/1.17</f>
        <v>1371.7948717948718</v>
      </c>
      <c r="N179" s="238">
        <f>税込!N179/1.17</f>
        <v>819.65811965811974</v>
      </c>
      <c r="O179" s="238">
        <f>税込!O179/1.17</f>
        <v>510.25641025641028</v>
      </c>
      <c r="P179" s="83"/>
      <c r="Q179" s="83"/>
      <c r="R179" s="83"/>
    </row>
    <row r="180" spans="1:18">
      <c r="A180" s="1392"/>
      <c r="B180" s="1392"/>
      <c r="C180" s="222" t="s">
        <v>134</v>
      </c>
      <c r="D180" s="242">
        <f>税込!D180/1.17</f>
        <v>818.80341880341882</v>
      </c>
      <c r="E180" s="242">
        <f>税込!E180/1.17</f>
        <v>782.0512820512821</v>
      </c>
      <c r="F180" s="243">
        <f>税込!F180/1.17</f>
        <v>857.26495726495727</v>
      </c>
      <c r="G180" s="242">
        <f>税込!G180/1.17</f>
        <v>881.19658119658129</v>
      </c>
      <c r="H180" s="242">
        <f>税込!H180/1.17</f>
        <v>866.66666666666674</v>
      </c>
      <c r="I180" s="245">
        <f>税込!I180/1.17</f>
        <v>863.24786324786328</v>
      </c>
      <c r="J180" s="246">
        <f>税込!J180/1.17</f>
        <v>1335.0427350427351</v>
      </c>
      <c r="K180" s="242">
        <f>税込!K180/1.17</f>
        <v>895.72649572649573</v>
      </c>
      <c r="L180" s="242">
        <f>税込!L180/1.17</f>
        <v>1434.1880341880342</v>
      </c>
      <c r="M180" s="242">
        <f>税込!M180/1.17</f>
        <v>1194.017094017094</v>
      </c>
      <c r="N180" s="242">
        <f>税込!N180/1.17</f>
        <v>1432.4786324786326</v>
      </c>
      <c r="O180" s="242">
        <f>税込!O180/1.17</f>
        <v>952.991452991453</v>
      </c>
      <c r="P180" s="83"/>
      <c r="Q180" s="83"/>
      <c r="R180" s="83"/>
    </row>
    <row r="181" spans="1:18">
      <c r="A181" s="1392"/>
      <c r="B181" s="1392"/>
      <c r="C181" s="222" t="s">
        <v>135</v>
      </c>
      <c r="D181" s="242">
        <f>税込!D181/1.17</f>
        <v>1302.5641025641025</v>
      </c>
      <c r="E181" s="253">
        <f>税込!E181/1.17</f>
        <v>1024.7863247863249</v>
      </c>
      <c r="F181" s="253">
        <f>税込!F181/1.17</f>
        <v>952.991452991453</v>
      </c>
      <c r="G181" s="253">
        <f>税込!G181/1.17</f>
        <v>864.1025641025642</v>
      </c>
      <c r="H181" s="266">
        <f>税込!H181/1.17</f>
        <v>1546.1538461538462</v>
      </c>
      <c r="I181" s="255">
        <f>税込!I181/1.17</f>
        <v>1019.6581196581197</v>
      </c>
      <c r="J181" s="256">
        <f>税込!J181/1.17</f>
        <v>652.991452991453</v>
      </c>
      <c r="K181" s="257">
        <f>税込!K181/1.17</f>
        <v>587.17948717948718</v>
      </c>
      <c r="L181" s="257">
        <f>税込!L181/1.17</f>
        <v>1471.7948717948718</v>
      </c>
      <c r="M181" s="257">
        <f>税込!M181/1.17</f>
        <v>1304.2735042735044</v>
      </c>
      <c r="N181" s="257">
        <f>税込!N181/1.17</f>
        <v>1053.8461538461538</v>
      </c>
      <c r="O181" s="257">
        <f>税込!O181/1.17</f>
        <v>919.65811965811974</v>
      </c>
      <c r="P181" s="83"/>
      <c r="Q181" s="83"/>
      <c r="R181" s="83"/>
    </row>
    <row r="182" spans="1:18">
      <c r="A182" s="1392"/>
      <c r="B182" s="1392"/>
      <c r="C182" s="222" t="s">
        <v>156</v>
      </c>
      <c r="D182" s="242">
        <f>税込!D182/1.17</f>
        <v>628.20512820512829</v>
      </c>
      <c r="E182" s="253">
        <f>税込!E182/1.17</f>
        <v>1275.7264957264956</v>
      </c>
      <c r="F182" s="253">
        <f>税込!F182/1.17</f>
        <v>1047.0085470085471</v>
      </c>
      <c r="G182" s="253">
        <f>税込!G182/1.17</f>
        <v>991.45299145299157</v>
      </c>
      <c r="H182" s="266">
        <f>税込!H182/1.17</f>
        <v>1133.3333333333335</v>
      </c>
      <c r="I182" s="255">
        <f>税込!I182/1.17</f>
        <v>1120.5128205128206</v>
      </c>
      <c r="J182" s="256">
        <f>税込!J182/1.17</f>
        <v>1431.6239316239316</v>
      </c>
      <c r="K182" s="257">
        <f>税込!K182/1.17</f>
        <v>948.71794871794873</v>
      </c>
      <c r="L182" s="257">
        <f>税込!L182/1.17</f>
        <v>1190.2564102564102</v>
      </c>
      <c r="M182" s="257">
        <f>税込!M182/1.17</f>
        <v>1439.3162393162395</v>
      </c>
      <c r="N182" s="257">
        <f>税込!N182/1.17</f>
        <v>858.1196581196582</v>
      </c>
      <c r="O182" s="257">
        <f>税込!O182/1.17+30</f>
        <v>960.76923076923083</v>
      </c>
      <c r="P182" s="83"/>
      <c r="Q182" s="83"/>
      <c r="R182" s="83"/>
    </row>
    <row r="183" spans="1:18">
      <c r="A183" s="1392"/>
      <c r="B183" s="1392"/>
      <c r="C183" s="222" t="s">
        <v>247</v>
      </c>
      <c r="D183" s="242">
        <f>税込!D183/1.17+14</f>
        <v>1579.8119658119658</v>
      </c>
      <c r="E183" s="253">
        <f>税込!E183/1.17+13</f>
        <v>1401.8888888888889</v>
      </c>
      <c r="F183" s="253">
        <f>税込!F183/1.17+15</f>
        <v>1019.6153846153848</v>
      </c>
      <c r="G183" s="253">
        <f>税込!G183/1.17+9</f>
        <v>1120.5196581196583</v>
      </c>
      <c r="H183" s="266">
        <f>税込!H183/1.17+22</f>
        <v>1269.863247863248</v>
      </c>
      <c r="I183" s="255">
        <f>税込!I183/1.17+8</f>
        <v>1321.931623931624</v>
      </c>
      <c r="J183" s="256">
        <f>税込!J183/1.17+8</f>
        <v>1152.1880341880344</v>
      </c>
      <c r="K183" s="257">
        <f>税込!K183/1.17+14</f>
        <v>1362.7179487179487</v>
      </c>
      <c r="L183" s="257">
        <f>税込!L183/1.17+41</f>
        <v>1659.4538461538461</v>
      </c>
      <c r="M183" s="257">
        <f>税込!M183/1.17+50</f>
        <v>1723.5042735042737</v>
      </c>
      <c r="N183" s="257">
        <f>税込!N183/1.17+5</f>
        <v>1162.6068376068376</v>
      </c>
      <c r="O183" s="257">
        <f>税込!O183/1.17+14</f>
        <v>1160.9940170940172</v>
      </c>
      <c r="P183" s="83"/>
      <c r="Q183" s="83"/>
      <c r="R183" s="83"/>
    </row>
    <row r="184" spans="1:18">
      <c r="A184" s="1392"/>
      <c r="B184" s="1392"/>
      <c r="C184" s="1209" t="s">
        <v>310</v>
      </c>
      <c r="D184" s="1226">
        <f>税込!D184/1.17</f>
        <v>1211.1111111111111</v>
      </c>
      <c r="E184" s="1227">
        <f>税込!E184/1.17</f>
        <v>1258.1196581196582</v>
      </c>
      <c r="F184" s="1227">
        <f>税込!F184/1.17</f>
        <v>1158.1196581196582</v>
      </c>
      <c r="G184" s="1227">
        <f>税込!G184/1.17</f>
        <v>1150.4273504273506</v>
      </c>
      <c r="H184" s="1227">
        <f>税込!H184/1.17</f>
        <v>1229.91452991453</v>
      </c>
      <c r="I184" s="1228">
        <f>税込!I184/1.17</f>
        <v>1415.3846153846155</v>
      </c>
      <c r="J184" s="1229">
        <f>税込!J184/1.17</f>
        <v>1850.4273504273506</v>
      </c>
      <c r="K184" s="1229">
        <f>税込!K184/1.17</f>
        <v>1458.1196581196582</v>
      </c>
      <c r="L184" s="1229">
        <f>税込!L184/1.17</f>
        <v>2034.1880341880344</v>
      </c>
      <c r="M184" s="1229">
        <f>税込!M184/1.17</f>
        <v>2333.3333333333335</v>
      </c>
      <c r="N184" s="1229">
        <f>税込!N184/1.17</f>
        <v>1810.2564102564104</v>
      </c>
      <c r="O184" s="1229">
        <f>税込!O184/1.17</f>
        <v>940.17094017094018</v>
      </c>
      <c r="P184" s="83"/>
      <c r="Q184" s="83"/>
      <c r="R184" s="83"/>
    </row>
    <row r="185" spans="1:18">
      <c r="A185" s="1392"/>
      <c r="B185" s="1392"/>
      <c r="C185" s="425" t="s">
        <v>251</v>
      </c>
      <c r="D185" s="355">
        <f>税込!D185/1.17+10</f>
        <v>1459.1606837606839</v>
      </c>
      <c r="E185" s="1054">
        <f>税込!E185/1.17+10</f>
        <v>1782.6495726495727</v>
      </c>
      <c r="F185" s="1054">
        <f>税込!F185/1.17+8</f>
        <v>1486.4358974358975</v>
      </c>
      <c r="G185" s="1054">
        <f>税込!G185/1.17+32</f>
        <v>1479.2931623931624</v>
      </c>
      <c r="H185" s="1054">
        <f>税込!H185/1.17+6</f>
        <v>1528.7350427350427</v>
      </c>
      <c r="I185" s="1288">
        <f>税込!I185/1.17+29</f>
        <v>2469.611965811966</v>
      </c>
      <c r="J185" s="1289">
        <f>税込!J185/1.17</f>
        <v>2196.8863247863251</v>
      </c>
      <c r="K185" s="1289">
        <f>税込!K185/1.17+10</f>
        <v>1938.0145299145302</v>
      </c>
      <c r="L185" s="1381">
        <f>税込!L185/1.17+20</f>
        <v>2140.847008547009</v>
      </c>
      <c r="M185" s="1381">
        <f>税込!M185/1.17+24</f>
        <v>2573.5393162393161</v>
      </c>
      <c r="N185" s="401">
        <f>税込!N185/1.17</f>
        <v>2138.4615384615386</v>
      </c>
      <c r="O185" s="401">
        <f>税込!O185/1.17</f>
        <v>940.17094017094018</v>
      </c>
      <c r="P185" s="83"/>
      <c r="Q185" s="83"/>
      <c r="R185" s="83"/>
    </row>
    <row r="186" spans="1:18">
      <c r="A186" s="1392"/>
      <c r="B186" s="1392"/>
      <c r="C186" s="407" t="s">
        <v>478</v>
      </c>
      <c r="D186" s="345">
        <f>税込!D186/1.17</f>
        <v>1211.1111111111111</v>
      </c>
      <c r="E186" s="346">
        <f>税込!E186/1.17</f>
        <v>1211.1111111111111</v>
      </c>
      <c r="F186" s="346">
        <f>税込!F186/1.17</f>
        <v>1354.7008547008547</v>
      </c>
      <c r="G186" s="346">
        <f>税込!G186/1.17</f>
        <v>1411.1111111111111</v>
      </c>
      <c r="H186" s="346">
        <f>税込!H186/1.17</f>
        <v>1400.8547008547009</v>
      </c>
      <c r="I186" s="473">
        <f>税込!I186/1.17</f>
        <v>1330.7692307692309</v>
      </c>
      <c r="J186" s="348">
        <f>税込!J186/1.17</f>
        <v>1637.6068376068376</v>
      </c>
      <c r="K186" s="348">
        <f>税込!K186/1.17</f>
        <v>1458.1196581196582</v>
      </c>
      <c r="L186" s="348">
        <f>税込!L186/1.17</f>
        <v>1580.3418803418804</v>
      </c>
      <c r="M186" s="348">
        <f>税込!M186/1.17</f>
        <v>1656.4102564102566</v>
      </c>
      <c r="N186" s="348">
        <f>税込!N186/1.17</f>
        <v>1810.2564102564104</v>
      </c>
      <c r="O186" s="348">
        <f>税込!O186/1.17</f>
        <v>1337.6068376068376</v>
      </c>
      <c r="P186" s="83"/>
      <c r="Q186" s="83"/>
      <c r="R186" s="83"/>
    </row>
    <row r="187" spans="1:18">
      <c r="A187" s="1392"/>
      <c r="B187" s="1392" t="s">
        <v>19</v>
      </c>
      <c r="C187" s="288" t="s">
        <v>56</v>
      </c>
      <c r="D187" s="289">
        <f>税込!D187</f>
        <v>0.96</v>
      </c>
      <c r="E187" s="289">
        <f>税込!E187</f>
        <v>0.88</v>
      </c>
      <c r="F187" s="290">
        <f>税込!F187</f>
        <v>0.55000000000000004</v>
      </c>
      <c r="G187" s="291">
        <f>税込!G187</f>
        <v>1.65</v>
      </c>
      <c r="H187" s="289">
        <f>税込!H187</f>
        <v>0.81</v>
      </c>
      <c r="I187" s="303">
        <f>税込!I187</f>
        <v>1.22</v>
      </c>
      <c r="J187" s="293">
        <f>税込!J187</f>
        <v>0.7</v>
      </c>
      <c r="K187" s="289">
        <f>税込!K187</f>
        <v>0.52</v>
      </c>
      <c r="L187" s="289">
        <f>税込!L187</f>
        <v>0.83</v>
      </c>
      <c r="M187" s="289">
        <f>税込!M187</f>
        <v>0.69</v>
      </c>
      <c r="N187" s="289">
        <f>税込!N187</f>
        <v>0.42</v>
      </c>
      <c r="O187" s="289">
        <f>税込!O187</f>
        <v>0.26</v>
      </c>
      <c r="P187" s="83"/>
      <c r="Q187" s="83"/>
      <c r="R187" s="83"/>
    </row>
    <row r="188" spans="1:18">
      <c r="A188" s="1392"/>
      <c r="B188" s="1392"/>
      <c r="C188" s="288" t="s">
        <v>57</v>
      </c>
      <c r="D188" s="289">
        <f>税込!D188</f>
        <v>0.35</v>
      </c>
      <c r="E188" s="289">
        <f>税込!E188</f>
        <v>0.34</v>
      </c>
      <c r="F188" s="294">
        <f>税込!F188</f>
        <v>1</v>
      </c>
      <c r="G188" s="295">
        <f>税込!G188</f>
        <v>0.79</v>
      </c>
      <c r="H188" s="289">
        <f>税込!H188</f>
        <v>0.92</v>
      </c>
      <c r="I188" s="303">
        <f>税込!I188</f>
        <v>0.92</v>
      </c>
      <c r="J188" s="293">
        <f>税込!J188</f>
        <v>1.42</v>
      </c>
      <c r="K188" s="289">
        <f>税込!K188</f>
        <v>0.95</v>
      </c>
      <c r="L188" s="289">
        <f>税込!L188</f>
        <v>1.53</v>
      </c>
      <c r="M188" s="289">
        <f>税込!M188</f>
        <v>1.4</v>
      </c>
      <c r="N188" s="289">
        <f>税込!N188</f>
        <v>1.68</v>
      </c>
      <c r="O188" s="289">
        <f>税込!O188</f>
        <v>0.55000000000000004</v>
      </c>
      <c r="P188" s="83"/>
      <c r="Q188" s="83"/>
      <c r="R188" s="83"/>
    </row>
    <row r="189" spans="1:18">
      <c r="A189" s="1392"/>
      <c r="B189" s="1392"/>
      <c r="C189" s="288" t="s">
        <v>51</v>
      </c>
      <c r="D189" s="289">
        <f>税込!D189</f>
        <v>1.0885714285714285</v>
      </c>
      <c r="E189" s="297">
        <f>税込!E189</f>
        <v>1.0407986111111112</v>
      </c>
      <c r="F189" s="298">
        <f>税込!F189</f>
        <v>0.89200000000000002</v>
      </c>
      <c r="G189" s="298">
        <f>税込!G189</f>
        <v>0.81074578989574975</v>
      </c>
      <c r="H189" s="349">
        <f>税込!H189</f>
        <v>1.41328125</v>
      </c>
      <c r="I189" s="464">
        <f>税込!I189</f>
        <v>0.73869969040247674</v>
      </c>
      <c r="J189" s="356">
        <f>税込!J189</f>
        <v>0.53055555555555556</v>
      </c>
      <c r="K189" s="302">
        <f>税込!K189</f>
        <v>0.75744211686879825</v>
      </c>
      <c r="L189" s="302">
        <f>税込!L189</f>
        <v>1.9391891891891893</v>
      </c>
      <c r="M189" s="302">
        <f>税込!M189</f>
        <v>1.2306451612903226</v>
      </c>
      <c r="N189" s="302">
        <f>税込!N189</f>
        <v>1.4873341375150784</v>
      </c>
      <c r="O189" s="302">
        <f>税込!O189</f>
        <v>1.2439306358381503</v>
      </c>
      <c r="P189" s="83"/>
      <c r="Q189" s="83"/>
      <c r="R189" s="83"/>
    </row>
    <row r="190" spans="1:18">
      <c r="A190" s="1392"/>
      <c r="B190" s="1392"/>
      <c r="C190" s="288" t="s">
        <v>144</v>
      </c>
      <c r="D190" s="289">
        <v>0.69694670965294914</v>
      </c>
      <c r="E190" s="297">
        <v>1.1239457831325299</v>
      </c>
      <c r="F190" s="298">
        <v>1.0425531914893618</v>
      </c>
      <c r="G190" s="298">
        <v>0.93247588424437311</v>
      </c>
      <c r="H190" s="298">
        <v>1.0319066147859923</v>
      </c>
      <c r="I190" s="464">
        <v>1.0084615384615385</v>
      </c>
      <c r="J190" s="357">
        <v>1.3004658385093166</v>
      </c>
      <c r="K190" s="318">
        <v>0.96689895470383269</v>
      </c>
      <c r="L190" s="318">
        <v>1.2512129380053907</v>
      </c>
      <c r="M190" s="318">
        <v>1.4393162393162393</v>
      </c>
      <c r="N190" s="318">
        <v>1.0141414141414142</v>
      </c>
      <c r="O190" s="302">
        <v>1.2630337078651686</v>
      </c>
      <c r="P190" s="83"/>
      <c r="Q190" s="83"/>
      <c r="R190" s="83"/>
    </row>
    <row r="191" spans="1:18">
      <c r="A191" s="1392"/>
      <c r="B191" s="1392"/>
      <c r="C191" s="288" t="s">
        <v>203</v>
      </c>
      <c r="D191" s="289">
        <v>2.0630630630630629</v>
      </c>
      <c r="E191" s="297">
        <v>1.2755102040816326</v>
      </c>
      <c r="F191" s="298">
        <v>0.88243243243243252</v>
      </c>
      <c r="G191" s="298">
        <v>0.94856163384390968</v>
      </c>
      <c r="H191" s="298">
        <v>1.0863095238095239</v>
      </c>
      <c r="I191" s="464">
        <v>1.1542238805970151</v>
      </c>
      <c r="J191" s="357">
        <v>0.94943262411347518</v>
      </c>
      <c r="K191" s="318">
        <v>1.3160967472894076</v>
      </c>
      <c r="L191" s="318">
        <v>1.1761434782608695</v>
      </c>
      <c r="M191" s="318">
        <v>1.1551622418879057</v>
      </c>
      <c r="N191" s="318">
        <v>1.2391582799634033</v>
      </c>
      <c r="O191" s="302">
        <v>1.3920985477178422</v>
      </c>
      <c r="P191" s="83"/>
      <c r="Q191" s="83"/>
      <c r="R191" s="83"/>
    </row>
    <row r="192" spans="1:18">
      <c r="A192" s="1392"/>
      <c r="B192" s="1392"/>
      <c r="C192" s="442" t="s">
        <v>262</v>
      </c>
      <c r="D192" s="305">
        <f t="shared" ref="D192:O192" si="12">D185/D184</f>
        <v>1.2048115737473537</v>
      </c>
      <c r="E192" s="1302">
        <f t="shared" si="12"/>
        <v>1.4169157608695653</v>
      </c>
      <c r="F192" s="1302">
        <f t="shared" si="12"/>
        <v>1.2834907749077491</v>
      </c>
      <c r="G192" s="1302">
        <f t="shared" si="12"/>
        <v>1.2858640416047546</v>
      </c>
      <c r="H192" s="1302">
        <f t="shared" si="12"/>
        <v>1.2429603891591381</v>
      </c>
      <c r="I192" s="1300">
        <f t="shared" si="12"/>
        <v>1.7448345410628019</v>
      </c>
      <c r="J192" s="1303">
        <f t="shared" si="12"/>
        <v>1.187231870669746</v>
      </c>
      <c r="K192" s="1302">
        <f t="shared" si="12"/>
        <v>1.3291189917936694</v>
      </c>
      <c r="L192" s="1302">
        <f t="shared" si="12"/>
        <v>1.052433193277311</v>
      </c>
      <c r="M192" s="1302">
        <f t="shared" si="12"/>
        <v>1.1029454212454211</v>
      </c>
      <c r="N192" s="444">
        <f t="shared" si="12"/>
        <v>1.1813031161473087</v>
      </c>
      <c r="O192" s="443">
        <f t="shared" si="12"/>
        <v>1</v>
      </c>
      <c r="P192" s="83"/>
      <c r="Q192" s="83"/>
      <c r="R192" s="83"/>
    </row>
    <row r="193" spans="1:18">
      <c r="A193" s="1392" t="s">
        <v>184</v>
      </c>
      <c r="B193" s="1400" t="s">
        <v>187</v>
      </c>
      <c r="C193" s="288" t="s">
        <v>156</v>
      </c>
      <c r="D193" s="438">
        <f>税込!D193/1.17</f>
        <v>0</v>
      </c>
      <c r="E193" s="358">
        <f>税込!E193/1.17</f>
        <v>0</v>
      </c>
      <c r="F193" s="358">
        <f>税込!F193/1.17</f>
        <v>188.03418803418805</v>
      </c>
      <c r="G193" s="358">
        <f>税込!G193/1.17</f>
        <v>0</v>
      </c>
      <c r="H193" s="358">
        <f>税込!H193/1.17</f>
        <v>0</v>
      </c>
      <c r="I193" s="359">
        <f>税込!I193/1.17</f>
        <v>0</v>
      </c>
      <c r="J193" s="455">
        <f>税込!J193/1.17</f>
        <v>0</v>
      </c>
      <c r="K193" s="474">
        <f>税込!K193/1.17</f>
        <v>188.03418803418805</v>
      </c>
      <c r="L193" s="474">
        <f>税込!L193/1.17</f>
        <v>188.03418803418805</v>
      </c>
      <c r="M193" s="474">
        <f>税込!M193/1.17</f>
        <v>0</v>
      </c>
      <c r="N193" s="474">
        <f>税込!N193/1.17</f>
        <v>0</v>
      </c>
      <c r="O193" s="474">
        <f>税込!O193/1.17</f>
        <v>0</v>
      </c>
      <c r="P193" s="83"/>
      <c r="Q193" s="83"/>
      <c r="R193" s="83"/>
    </row>
    <row r="194" spans="1:18">
      <c r="A194" s="1392"/>
      <c r="B194" s="1400"/>
      <c r="C194" s="262" t="s">
        <v>254</v>
      </c>
      <c r="D194" s="438">
        <f>税込!D194/1.17</f>
        <v>102.56410256410257</v>
      </c>
      <c r="E194" s="358">
        <f>税込!E194/1.17</f>
        <v>239.31623931623932</v>
      </c>
      <c r="F194" s="358">
        <f>税込!F194/1.17</f>
        <v>0</v>
      </c>
      <c r="G194" s="358">
        <f>税込!G194/1.17</f>
        <v>119.65811965811966</v>
      </c>
      <c r="H194" s="358">
        <f>税込!H194/1.17</f>
        <v>0</v>
      </c>
      <c r="I194" s="359">
        <f>税込!I194/1.17</f>
        <v>0</v>
      </c>
      <c r="J194" s="455">
        <f>税込!J194/1.17</f>
        <v>0</v>
      </c>
      <c r="K194" s="474">
        <f>税込!K194/1.17</f>
        <v>0</v>
      </c>
      <c r="L194" s="474">
        <f>税込!L194/1.17</f>
        <v>376.0683760683761</v>
      </c>
      <c r="M194" s="474">
        <f>税込!M194/1.17</f>
        <v>0</v>
      </c>
      <c r="N194" s="474">
        <f>税込!N194/1.17</f>
        <v>0</v>
      </c>
      <c r="O194" s="474">
        <f>税込!O194/1.17</f>
        <v>0</v>
      </c>
      <c r="P194" s="83"/>
      <c r="Q194" s="83"/>
      <c r="R194" s="83"/>
    </row>
    <row r="195" spans="1:18">
      <c r="A195" s="1392"/>
      <c r="B195" s="1400"/>
      <c r="C195" s="1209" t="s">
        <v>310</v>
      </c>
      <c r="D195" s="1226">
        <f>税込!D195/1.17</f>
        <v>0</v>
      </c>
      <c r="E195" s="1227">
        <f>税込!E195/1.17</f>
        <v>0</v>
      </c>
      <c r="F195" s="1227">
        <f>税込!F195/1.17</f>
        <v>0</v>
      </c>
      <c r="G195" s="1227">
        <f>税込!G195/1.17</f>
        <v>0</v>
      </c>
      <c r="H195" s="1227">
        <f>税込!H195/1.17</f>
        <v>179.4871794871795</v>
      </c>
      <c r="I195" s="1228">
        <f>税込!I195/1.17</f>
        <v>0</v>
      </c>
      <c r="J195" s="1226">
        <f>税込!J195/1.17</f>
        <v>0</v>
      </c>
      <c r="K195" s="1230">
        <f>税込!K195/1.17</f>
        <v>217.94871794871796</v>
      </c>
      <c r="L195" s="1230">
        <f>税込!L195/1.17</f>
        <v>0</v>
      </c>
      <c r="M195" s="1230">
        <f>税込!M195/1.17</f>
        <v>0</v>
      </c>
      <c r="N195" s="1230">
        <f>税込!N195/1.17</f>
        <v>0</v>
      </c>
      <c r="O195" s="1230">
        <f>税込!O195/1.17</f>
        <v>0</v>
      </c>
      <c r="P195" s="83"/>
      <c r="Q195" s="83"/>
      <c r="R195" s="83"/>
    </row>
    <row r="196" spans="1:18">
      <c r="A196" s="1392"/>
      <c r="B196" s="1400"/>
      <c r="C196" s="425" t="s">
        <v>251</v>
      </c>
      <c r="D196" s="355">
        <f>税込!D196/1.17</f>
        <v>119.65811965811966</v>
      </c>
      <c r="E196" s="1054">
        <f>税込!E196/1.17</f>
        <v>0</v>
      </c>
      <c r="F196" s="1054">
        <f>税込!F196/1.17</f>
        <v>12.820512820512821</v>
      </c>
      <c r="G196" s="1054">
        <f>税込!G196/1.17</f>
        <v>0</v>
      </c>
      <c r="H196" s="1054">
        <f>税込!H196/1.17</f>
        <v>179.4871794871795</v>
      </c>
      <c r="I196" s="1288">
        <f>税込!I196/1.17</f>
        <v>0</v>
      </c>
      <c r="J196" s="1319">
        <f>税込!J196/1.17</f>
        <v>31.948717948717952</v>
      </c>
      <c r="K196" s="1320">
        <f>税込!K196/1.17</f>
        <v>76.923076923076934</v>
      </c>
      <c r="L196" s="1320">
        <f>税込!L196/1.17</f>
        <v>0</v>
      </c>
      <c r="M196" s="1320">
        <f>税込!M196/1.17</f>
        <v>130.48632478632481</v>
      </c>
      <c r="N196" s="1318">
        <f>税込!N196/1.17</f>
        <v>85.470085470085479</v>
      </c>
      <c r="O196" s="1318">
        <f>税込!O196/1.17</f>
        <v>0</v>
      </c>
      <c r="P196" s="83"/>
      <c r="Q196" s="83"/>
      <c r="R196" s="83"/>
    </row>
    <row r="197" spans="1:18">
      <c r="A197" s="1392"/>
      <c r="B197" s="1400"/>
      <c r="C197" s="407" t="s">
        <v>476</v>
      </c>
      <c r="D197" s="345">
        <f>税込!D197/1.17</f>
        <v>0</v>
      </c>
      <c r="E197" s="346">
        <f>税込!E197/1.17</f>
        <v>0</v>
      </c>
      <c r="F197" s="346">
        <f>税込!F197/1.17</f>
        <v>0</v>
      </c>
      <c r="G197" s="346">
        <f>税込!G197/1.17</f>
        <v>0</v>
      </c>
      <c r="H197" s="346">
        <f>税込!H197/1.17</f>
        <v>0</v>
      </c>
      <c r="I197" s="473">
        <f>税込!I197/1.17</f>
        <v>0</v>
      </c>
      <c r="J197" s="475">
        <f>税込!J197/1.17</f>
        <v>0</v>
      </c>
      <c r="K197" s="346">
        <f>税込!K197/1.17</f>
        <v>0</v>
      </c>
      <c r="L197" s="346">
        <f>税込!L197/1.17</f>
        <v>0</v>
      </c>
      <c r="M197" s="346">
        <f>税込!M197/1.17</f>
        <v>0</v>
      </c>
      <c r="N197" s="346">
        <f>税込!N197/1.17</f>
        <v>0</v>
      </c>
      <c r="O197" s="346">
        <f>税込!O197/1.17</f>
        <v>0</v>
      </c>
      <c r="P197" s="83"/>
      <c r="Q197" s="83"/>
      <c r="R197" s="83"/>
    </row>
    <row r="198" spans="1:18">
      <c r="A198" s="1392" t="s">
        <v>412</v>
      </c>
      <c r="B198" s="1392" t="s">
        <v>16</v>
      </c>
      <c r="C198" s="319" t="s">
        <v>49</v>
      </c>
      <c r="D198" s="320">
        <f>税込!D198</f>
        <v>0.13700000000000001</v>
      </c>
      <c r="E198" s="321">
        <f>税込!E198</f>
        <v>0.14199999999999999</v>
      </c>
      <c r="F198" s="321">
        <f>税込!F198</f>
        <v>0.11700000000000001</v>
      </c>
      <c r="G198" s="321">
        <f>税込!G198</f>
        <v>0.106</v>
      </c>
      <c r="H198" s="449">
        <f>税込!H198</f>
        <v>0.124</v>
      </c>
      <c r="I198" s="338">
        <f>税込!I198</f>
        <v>0.122</v>
      </c>
      <c r="J198" s="325">
        <f>税込!J198</f>
        <v>0.12</v>
      </c>
      <c r="K198" s="321">
        <f>税込!K198</f>
        <v>0.124</v>
      </c>
      <c r="L198" s="321">
        <f>税込!L198</f>
        <v>0.124</v>
      </c>
      <c r="M198" s="321">
        <f>税込!M198</f>
        <v>0.124</v>
      </c>
      <c r="N198" s="321">
        <f>税込!N198</f>
        <v>0.11799999999999999</v>
      </c>
      <c r="O198" s="320">
        <f>税込!O198</f>
        <v>0.105</v>
      </c>
      <c r="P198" s="83"/>
      <c r="Q198" s="83"/>
      <c r="R198" s="83"/>
    </row>
    <row r="199" spans="1:18">
      <c r="A199" s="1392"/>
      <c r="B199" s="1392"/>
      <c r="C199" s="249" t="s">
        <v>133</v>
      </c>
      <c r="D199" s="165">
        <f>税込!D199/1.17</f>
        <v>194348.71794871797</v>
      </c>
      <c r="E199" s="165">
        <f>税込!E199/1.17</f>
        <v>184145.29914529916</v>
      </c>
      <c r="F199" s="165">
        <f>税込!F199/1.17</f>
        <v>197908.54700854703</v>
      </c>
      <c r="G199" s="166">
        <f>税込!G199/1.17</f>
        <v>186185.47008547009</v>
      </c>
      <c r="H199" s="164">
        <f>税込!H199/1.17</f>
        <v>147653.84615384616</v>
      </c>
      <c r="I199" s="167">
        <f>税込!I199/1.17</f>
        <v>195077.77777777778</v>
      </c>
      <c r="J199" s="168">
        <f>税込!J199/1.17</f>
        <v>119989.74358974359</v>
      </c>
      <c r="K199" s="163">
        <f>税込!K199/1.17</f>
        <v>136549.57264957266</v>
      </c>
      <c r="L199" s="163">
        <f>税込!L199/1.17</f>
        <v>152340.17094017094</v>
      </c>
      <c r="M199" s="163">
        <f>税込!M199/1.17</f>
        <v>161686.32478632478</v>
      </c>
      <c r="N199" s="163">
        <f>税込!N199/1.17</f>
        <v>168021.36752136753</v>
      </c>
      <c r="O199" s="165">
        <f>税込!O199/1.17</f>
        <v>166272.64957264959</v>
      </c>
      <c r="P199" s="83"/>
      <c r="Q199" s="83"/>
      <c r="R199" s="83"/>
    </row>
    <row r="200" spans="1:18">
      <c r="A200" s="1392"/>
      <c r="B200" s="1392"/>
      <c r="C200" s="247" t="s">
        <v>49</v>
      </c>
      <c r="D200" s="230">
        <f>税込!D200</f>
        <v>0.128</v>
      </c>
      <c r="E200" s="230">
        <f>税込!E200</f>
        <v>0.13300000000000001</v>
      </c>
      <c r="F200" s="230">
        <f>税込!F200</f>
        <v>0.129</v>
      </c>
      <c r="G200" s="171">
        <f>税込!G200</f>
        <v>0.151</v>
      </c>
      <c r="H200" s="172">
        <f>税込!H200</f>
        <v>0.127</v>
      </c>
      <c r="I200" s="173">
        <f>税込!I200</f>
        <v>0.13300000000000001</v>
      </c>
      <c r="J200" s="174">
        <f>税込!J200</f>
        <v>0.13500000000000001</v>
      </c>
      <c r="K200" s="476">
        <f>税込!K200</f>
        <v>0.12847654658218211</v>
      </c>
      <c r="L200" s="476">
        <f>税込!L200</f>
        <v>0.13427491110296111</v>
      </c>
      <c r="M200" s="476">
        <f>税込!M200</f>
        <v>0.15139390774000067</v>
      </c>
      <c r="N200" s="476">
        <f>税込!N200</f>
        <v>0.13512009664277727</v>
      </c>
      <c r="O200" s="230">
        <f>税込!O200</f>
        <v>0.13877764618800886</v>
      </c>
      <c r="P200" s="83"/>
      <c r="Q200" s="83"/>
      <c r="R200" s="83"/>
    </row>
    <row r="201" spans="1:18">
      <c r="A201" s="1392"/>
      <c r="B201" s="1392"/>
      <c r="C201" s="249" t="s">
        <v>134</v>
      </c>
      <c r="D201" s="182">
        <f>税込!D201/1.17</f>
        <v>163998.29059829059</v>
      </c>
      <c r="E201" s="182">
        <f>税込!E201/1.17</f>
        <v>180684.6153846154</v>
      </c>
      <c r="F201" s="182">
        <f>税込!F201/1.17</f>
        <v>239776.0683760684</v>
      </c>
      <c r="G201" s="330">
        <f>税込!G201/1.17</f>
        <v>231147.86324786325</v>
      </c>
      <c r="H201" s="177">
        <f>税込!H201/1.17</f>
        <v>196121.36752136753</v>
      </c>
      <c r="I201" s="180">
        <f>税込!I201/1.17</f>
        <v>209513.67521367522</v>
      </c>
      <c r="J201" s="181">
        <f>税込!J201/1.17</f>
        <v>168865.81196581197</v>
      </c>
      <c r="K201" s="176">
        <f>税込!K201/1.17</f>
        <v>190867.52136752137</v>
      </c>
      <c r="L201" s="176">
        <f>税込!L201/1.17</f>
        <v>214403.41880341881</v>
      </c>
      <c r="M201" s="176">
        <f>税込!M201/1.17</f>
        <v>253649.57264957266</v>
      </c>
      <c r="N201" s="176">
        <f>税込!N201/1.17</f>
        <v>199518.80341880344</v>
      </c>
      <c r="O201" s="182">
        <f>税込!O201/1.17</f>
        <v>173205.12820512822</v>
      </c>
      <c r="P201" s="83"/>
      <c r="Q201" s="83"/>
      <c r="R201" s="83"/>
    </row>
    <row r="202" spans="1:18">
      <c r="A202" s="1392"/>
      <c r="B202" s="1392"/>
      <c r="C202" s="247" t="s">
        <v>49</v>
      </c>
      <c r="D202" s="231">
        <f>税込!D202</f>
        <v>0.1339111628240823</v>
      </c>
      <c r="E202" s="366">
        <f>税込!E202</f>
        <v>0.14842243993933477</v>
      </c>
      <c r="F202" s="366">
        <f>税込!F202</f>
        <v>0.14792542276208157</v>
      </c>
      <c r="G202" s="366">
        <f>税込!G202</f>
        <v>0.13930542854972186</v>
      </c>
      <c r="H202" s="169">
        <f>税込!H202</f>
        <v>0.14724768395651333</v>
      </c>
      <c r="I202" s="369">
        <f>税込!I202</f>
        <v>0.14723099180585622</v>
      </c>
      <c r="J202" s="368">
        <f>税込!J202</f>
        <v>0.14599999999999999</v>
      </c>
      <c r="K202" s="477">
        <f>税込!K202</f>
        <v>0.13900000000000001</v>
      </c>
      <c r="L202" s="477">
        <f>税込!L202</f>
        <v>0.14000000000000001</v>
      </c>
      <c r="M202" s="477">
        <f>税込!M202</f>
        <v>0.15466320338099254</v>
      </c>
      <c r="N202" s="477">
        <f>税込!N202</f>
        <v>0.14199999999999999</v>
      </c>
      <c r="O202" s="368">
        <f>税込!O202</f>
        <v>0.14000000000000001</v>
      </c>
      <c r="P202" s="83"/>
      <c r="Q202" s="83"/>
      <c r="R202" s="83"/>
    </row>
    <row r="203" spans="1:18">
      <c r="A203" s="1392"/>
      <c r="B203" s="1392"/>
      <c r="C203" s="249" t="s">
        <v>135</v>
      </c>
      <c r="D203" s="182">
        <f>税込!D203/1.17</f>
        <v>226247.00854700856</v>
      </c>
      <c r="E203" s="191">
        <f>税込!E203/1.17</f>
        <v>287356.41025641025</v>
      </c>
      <c r="F203" s="191">
        <f>税込!F203/1.17</f>
        <v>288276.92307692312</v>
      </c>
      <c r="G203" s="191">
        <f>税込!G203/1.17</f>
        <v>277626.49572649575</v>
      </c>
      <c r="H203" s="333">
        <f>税込!H203/1.17</f>
        <v>231815.38461538462</v>
      </c>
      <c r="I203" s="193">
        <f>税込!I203/1.17</f>
        <v>208039.31623931625</v>
      </c>
      <c r="J203" s="194">
        <f>税込!J203/1.17</f>
        <v>200781.19658119659</v>
      </c>
      <c r="K203" s="194">
        <f>税込!K203/1.17</f>
        <v>229175.21367521369</v>
      </c>
      <c r="L203" s="194">
        <f>税込!L203/1.17</f>
        <v>254451.28205128206</v>
      </c>
      <c r="M203" s="194">
        <f>税込!M203/1.17</f>
        <v>265536.75213675213</v>
      </c>
      <c r="N203" s="194">
        <f>税込!N203/1.17</f>
        <v>260321.36752136753</v>
      </c>
      <c r="O203" s="194">
        <f>税込!O203/1.17</f>
        <v>202749.57264957266</v>
      </c>
      <c r="P203" s="83"/>
      <c r="Q203" s="83"/>
      <c r="R203" s="83"/>
    </row>
    <row r="204" spans="1:18">
      <c r="A204" s="1392"/>
      <c r="B204" s="1392"/>
      <c r="C204" s="247" t="s">
        <v>49</v>
      </c>
      <c r="D204" s="231">
        <f>税込!D204</f>
        <v>0.15684958990166548</v>
      </c>
      <c r="E204" s="366">
        <f>税込!E204</f>
        <v>0.15166470498968151</v>
      </c>
      <c r="F204" s="366">
        <f>税込!F204</f>
        <v>0.15273685053571878</v>
      </c>
      <c r="G204" s="366">
        <f>税込!G204</f>
        <v>0.14441397174265982</v>
      </c>
      <c r="H204" s="169">
        <f>税込!H204</f>
        <v>0.13983371881765466</v>
      </c>
      <c r="I204" s="369">
        <f>税込!I204</f>
        <v>0.13577512099532457</v>
      </c>
      <c r="J204" s="368">
        <f>税込!J204</f>
        <v>0.14382214187251996</v>
      </c>
      <c r="K204" s="477">
        <f>税込!K204</f>
        <v>0.14573357612624446</v>
      </c>
      <c r="L204" s="477">
        <f>税込!L204</f>
        <v>0.13812662148088273</v>
      </c>
      <c r="M204" s="477">
        <f>税込!M204</f>
        <v>0.12526063397986237</v>
      </c>
      <c r="N204" s="477">
        <f>税込!N204</f>
        <v>0.14723120072057441</v>
      </c>
      <c r="O204" s="368">
        <f>税込!O204</f>
        <v>0.1547356270501547</v>
      </c>
      <c r="P204" s="83"/>
      <c r="Q204" s="83"/>
      <c r="R204" s="83"/>
    </row>
    <row r="205" spans="1:18">
      <c r="A205" s="1392"/>
      <c r="B205" s="1392"/>
      <c r="C205" s="249" t="s">
        <v>156</v>
      </c>
      <c r="D205" s="182">
        <f>税込!D205/1.17</f>
        <v>218771.79487179487</v>
      </c>
      <c r="E205" s="191">
        <f>税込!E205/1.17</f>
        <v>248828.03418803425</v>
      </c>
      <c r="F205" s="191">
        <f>税込!F205/1.17</f>
        <v>270584.61538461538</v>
      </c>
      <c r="G205" s="191">
        <f>税込!G205/1.17</f>
        <v>230059.82905982906</v>
      </c>
      <c r="H205" s="333">
        <f>税込!H205/1.17</f>
        <v>235689.74358974359</v>
      </c>
      <c r="I205" s="193">
        <f>税込!I205/1.17</f>
        <v>272384.61538461538</v>
      </c>
      <c r="J205" s="194">
        <f>税込!J205/1.17</f>
        <v>194070.94017094019</v>
      </c>
      <c r="K205" s="194">
        <f>税込!K205/1.17</f>
        <v>188699.14529914531</v>
      </c>
      <c r="L205" s="194">
        <f>税込!L205/1.17</f>
        <v>200469.25641025644</v>
      </c>
      <c r="M205" s="194">
        <f>税込!M205/1.17</f>
        <v>215793.72374358977</v>
      </c>
      <c r="N205" s="194">
        <f>税込!N205/1.17</f>
        <v>200792.32735042737</v>
      </c>
      <c r="O205" s="194">
        <f>税込!O205/1.17+30</f>
        <v>162085.9112820513</v>
      </c>
      <c r="P205" s="83"/>
      <c r="Q205" s="83"/>
      <c r="R205" s="83"/>
    </row>
    <row r="206" spans="1:18">
      <c r="A206" s="1392"/>
      <c r="B206" s="1392"/>
      <c r="C206" s="247" t="s">
        <v>50</v>
      </c>
      <c r="D206" s="231">
        <f>税込!D206</f>
        <v>0.14556752681930621</v>
      </c>
      <c r="E206" s="366">
        <f>税込!E206</f>
        <v>0.15777432216329748</v>
      </c>
      <c r="F206" s="366">
        <f>税込!F206</f>
        <v>0.16227605473136528</v>
      </c>
      <c r="G206" s="366">
        <f>税込!G206</f>
        <v>0.15718392570546691</v>
      </c>
      <c r="H206" s="169">
        <f>税込!H206</f>
        <v>0.16282048492490231</v>
      </c>
      <c r="I206" s="369">
        <f>税込!I206</f>
        <v>0.16718321631691702</v>
      </c>
      <c r="J206" s="368">
        <f>税込!J206</f>
        <v>0.16358658716510985</v>
      </c>
      <c r="K206" s="477">
        <f>税込!K206</f>
        <v>0.1659031640531779</v>
      </c>
      <c r="L206" s="477">
        <f>税込!L206</f>
        <v>0.16527860712134007</v>
      </c>
      <c r="M206" s="477">
        <f>税込!M206</f>
        <v>0.16557834572061009</v>
      </c>
      <c r="N206" s="477">
        <f>税込!N206</f>
        <v>0.16178933161250944</v>
      </c>
      <c r="O206" s="231">
        <f>税込!O206</f>
        <v>0.1555851833177187</v>
      </c>
      <c r="P206" s="83"/>
      <c r="Q206" s="83"/>
      <c r="R206" s="83"/>
    </row>
    <row r="207" spans="1:18">
      <c r="A207" s="1392"/>
      <c r="B207" s="1392"/>
      <c r="C207" s="249" t="s">
        <v>247</v>
      </c>
      <c r="D207" s="182">
        <f>税込!D207/1.17+14</f>
        <v>222354.10971794874</v>
      </c>
      <c r="E207" s="191">
        <f>税込!E207/1.17+15</f>
        <v>261161.12393162397</v>
      </c>
      <c r="F207" s="191">
        <f>税込!F207/1.17+194</f>
        <v>275492.169991453</v>
      </c>
      <c r="G207" s="191">
        <f>税込!G207/1.17+19</f>
        <v>293134.02181196585</v>
      </c>
      <c r="H207" s="333">
        <f>税込!H207/1.17+22</f>
        <v>299571.61223931628</v>
      </c>
      <c r="I207" s="193">
        <f>税込!I207/1.17+531</f>
        <v>278174.3534786324</v>
      </c>
      <c r="J207" s="194">
        <f>税込!J207/1.17+16-1</f>
        <v>298469.54002564104</v>
      </c>
      <c r="K207" s="194">
        <f>税込!K207/1.17+16</f>
        <v>234440.46121367524</v>
      </c>
      <c r="L207" s="194">
        <f>税込!L207/1.17+51</f>
        <v>261865.48470085472</v>
      </c>
      <c r="M207" s="194">
        <f>税込!M207/1.17+50</f>
        <v>314379.82530769234</v>
      </c>
      <c r="N207" s="194">
        <f>税込!N207/1.17+5</f>
        <v>248039.57031623935</v>
      </c>
      <c r="O207" s="333">
        <f>税込!O207/1.17+30</f>
        <v>212776.82735042737</v>
      </c>
      <c r="P207" s="83"/>
      <c r="Q207" s="83"/>
      <c r="R207" s="83"/>
    </row>
    <row r="208" spans="1:18">
      <c r="A208" s="1392"/>
      <c r="B208" s="1392"/>
      <c r="C208" s="1193" t="s">
        <v>50</v>
      </c>
      <c r="D208" s="1231">
        <f>税込!D208</f>
        <v>0.17458667340878559</v>
      </c>
      <c r="E208" s="1231">
        <f>税込!E208</f>
        <v>0.178079195571369</v>
      </c>
      <c r="F208" s="1231">
        <f>税込!F208</f>
        <v>0.17802280233200521</v>
      </c>
      <c r="G208" s="1231">
        <f>税込!G208</f>
        <v>0.1830604026321318</v>
      </c>
      <c r="H208" s="1231">
        <f>税込!H208</f>
        <v>0.17669102429505837</v>
      </c>
      <c r="I208" s="1231">
        <f>税込!I208</f>
        <v>0.18571204152909934</v>
      </c>
      <c r="J208" s="1367">
        <f>税込!J208</f>
        <v>0.18962681560428238</v>
      </c>
      <c r="K208" s="1231">
        <f>税込!K208</f>
        <v>0.17184002302597806</v>
      </c>
      <c r="L208" s="1231">
        <f>税込!L208</f>
        <v>0.18259970803205289</v>
      </c>
      <c r="M208" s="1231">
        <f>税込!M208</f>
        <v>0.18242334066568147</v>
      </c>
      <c r="N208" s="1231">
        <f>税込!N208</f>
        <v>0.18220123276820102</v>
      </c>
      <c r="O208" s="1232">
        <f>税込!O208</f>
        <v>0.17783494527940855</v>
      </c>
      <c r="P208" s="83"/>
      <c r="Q208" s="83"/>
      <c r="R208" s="83"/>
    </row>
    <row r="209" spans="1:18">
      <c r="A209" s="1392"/>
      <c r="B209" s="1392"/>
      <c r="C209" s="1198" t="s">
        <v>310</v>
      </c>
      <c r="D209" s="1226">
        <f>税込!D209/1.17</f>
        <v>344815.38461538462</v>
      </c>
      <c r="E209" s="1226">
        <f>税込!E209/1.17</f>
        <v>343993.16239316243</v>
      </c>
      <c r="F209" s="1226">
        <f>税込!F209/1.17</f>
        <v>347479.82905982912</v>
      </c>
      <c r="G209" s="1226">
        <f>税込!G209/1.17</f>
        <v>343089.87692307698</v>
      </c>
      <c r="H209" s="1226">
        <f>税込!H209/1.17</f>
        <v>390118.37606837612</v>
      </c>
      <c r="I209" s="1226">
        <f>税込!I209/1.17</f>
        <v>418909.23076923081</v>
      </c>
      <c r="J209" s="1368">
        <f>税込!J209/1.17</f>
        <v>432763.07692307694</v>
      </c>
      <c r="K209" s="1226">
        <f>税込!K209/1.17</f>
        <v>332957.264957265</v>
      </c>
      <c r="L209" s="1226">
        <f>税込!L209/1.17</f>
        <v>349529.05982905987</v>
      </c>
      <c r="M209" s="1226">
        <f>税込!M209/1.17</f>
        <v>400983.16581196582</v>
      </c>
      <c r="N209" s="1226">
        <f>税込!N209/1.17</f>
        <v>439147.86324786325</v>
      </c>
      <c r="O209" s="1227">
        <f>税込!O209/1.17</f>
        <v>320938.88888888893</v>
      </c>
      <c r="P209" s="83"/>
      <c r="Q209" s="83"/>
      <c r="R209" s="83"/>
    </row>
    <row r="210" spans="1:18">
      <c r="A210" s="1392"/>
      <c r="B210" s="1392"/>
      <c r="C210" s="405" t="s">
        <v>50</v>
      </c>
      <c r="D210" s="478">
        <f>税込!D210</f>
        <v>0.17504920868215323</v>
      </c>
      <c r="E210" s="1047">
        <f>税込!E210</f>
        <v>0.19028500484976943</v>
      </c>
      <c r="F210" s="1047">
        <f>税込!F210</f>
        <v>0.18644752636944689</v>
      </c>
      <c r="G210" s="1047">
        <f>税込!G210</f>
        <v>0.18109851411569924</v>
      </c>
      <c r="H210" s="1047">
        <f>税込!H210</f>
        <v>0.18270739830943158</v>
      </c>
      <c r="I210" s="1047">
        <f>税込!I210</f>
        <v>0.1940615837521685</v>
      </c>
      <c r="J210" s="1369">
        <f>税込!J210</f>
        <v>0.18436816445427195</v>
      </c>
      <c r="K210" s="1047">
        <f>税込!K210</f>
        <v>0.1684193953793432</v>
      </c>
      <c r="L210" s="1047">
        <f>税込!L210</f>
        <v>0.18664798963496518</v>
      </c>
      <c r="M210" s="1047">
        <f>税込!M210</f>
        <v>0.17027470171854192</v>
      </c>
      <c r="N210" s="1048">
        <f>税込!N210</f>
        <v>0.17769886558040224</v>
      </c>
      <c r="O210" s="1371">
        <f>税込!O210</f>
        <v>0.17450914570256368</v>
      </c>
      <c r="P210" s="83"/>
      <c r="Q210" s="83"/>
      <c r="R210" s="83"/>
    </row>
    <row r="211" spans="1:18">
      <c r="A211" s="1392"/>
      <c r="B211" s="1392"/>
      <c r="C211" s="406" t="s">
        <v>251</v>
      </c>
      <c r="D211" s="355">
        <f>税込!D211/1.17+167-1</f>
        <v>416862.56522222218</v>
      </c>
      <c r="E211" s="1055">
        <f>税込!E211/1.17+186+1</f>
        <v>415394.30634188035</v>
      </c>
      <c r="F211" s="1055">
        <f>税込!F211/1.17+90</f>
        <v>358497.15062393167</v>
      </c>
      <c r="G211" s="1055">
        <f>税込!G211/1.17+44</f>
        <v>374877.46947008546</v>
      </c>
      <c r="H211" s="1055">
        <f>税込!H211/1.17+82</f>
        <v>406598.74993435899</v>
      </c>
      <c r="I211" s="1055">
        <f>税込!I211/1.17+93</f>
        <v>405852.48355743592</v>
      </c>
      <c r="J211" s="1370">
        <f>税込!J211/1.17+49</f>
        <v>367824.62193162396</v>
      </c>
      <c r="K211" s="1055">
        <f>税込!K211/1.17+10</f>
        <v>308214.71505820513</v>
      </c>
      <c r="L211" s="1382">
        <f>税込!L211/1.17+180</f>
        <v>335966.2844068376</v>
      </c>
      <c r="M211" s="1382">
        <f>税込!M211/1.17+25</f>
        <v>403403.37828213681</v>
      </c>
      <c r="N211" s="459">
        <f>税込!N211/1.17</f>
        <v>321645.55897435901</v>
      </c>
      <c r="O211" s="440">
        <f>税込!O211/1.17</f>
        <v>217387.60683760684</v>
      </c>
      <c r="P211" s="83"/>
      <c r="Q211" s="83"/>
      <c r="R211" s="83"/>
    </row>
    <row r="212" spans="1:18">
      <c r="A212" s="1392"/>
      <c r="B212" s="1392"/>
      <c r="C212" s="457" t="s">
        <v>49</v>
      </c>
      <c r="D212" s="381">
        <f>税込!D212</f>
        <v>0.17423454076432027</v>
      </c>
      <c r="E212" s="381">
        <f>税込!E212</f>
        <v>0.17576275210095113</v>
      </c>
      <c r="F212" s="381">
        <f>税込!F212</f>
        <v>0.17557652730918832</v>
      </c>
      <c r="G212" s="381">
        <f>税込!G212</f>
        <v>0.17642928904079247</v>
      </c>
      <c r="H212" s="381">
        <f>税込!H212</f>
        <v>0.17428796328271617</v>
      </c>
      <c r="I212" s="382">
        <f>税込!I212</f>
        <v>0.16856884889318802</v>
      </c>
      <c r="J212" s="381">
        <f>税込!J212</f>
        <v>0.19119941245616404</v>
      </c>
      <c r="K212" s="381">
        <f>税込!K212</f>
        <v>0.18376234410807041</v>
      </c>
      <c r="L212" s="381">
        <f>税込!L212</f>
        <v>0.18038152657783454</v>
      </c>
      <c r="M212" s="381">
        <f>税込!M212</f>
        <v>0.18537187091232965</v>
      </c>
      <c r="N212" s="381">
        <f>税込!N212</f>
        <v>0.18252728080714975</v>
      </c>
      <c r="O212" s="384">
        <f>税込!O212</f>
        <v>0.18494852096888842</v>
      </c>
      <c r="P212" s="83"/>
      <c r="Q212" s="83"/>
      <c r="R212" s="83"/>
    </row>
    <row r="213" spans="1:18">
      <c r="A213" s="1392"/>
      <c r="B213" s="1392"/>
      <c r="C213" s="456" t="s">
        <v>477</v>
      </c>
      <c r="D213" s="385">
        <f>税込!D213/1.17</f>
        <v>300182.905982906</v>
      </c>
      <c r="E213" s="385">
        <f>税込!E213/1.17</f>
        <v>324029.05982905987</v>
      </c>
      <c r="F213" s="385">
        <f>税込!F213/1.17</f>
        <v>324770.94017094019</v>
      </c>
      <c r="G213" s="385">
        <f>税込!G213/1.17</f>
        <v>317839.31623931625</v>
      </c>
      <c r="H213" s="385">
        <f>税込!H213/1.17</f>
        <v>315350.42735042737</v>
      </c>
      <c r="I213" s="386">
        <f>税込!I213/1.17</f>
        <v>295194.87179487181</v>
      </c>
      <c r="J213" s="385">
        <f>税込!J213/1.17</f>
        <v>436992.30769230775</v>
      </c>
      <c r="K213" s="385">
        <f>税込!K213/1.17</f>
        <v>350958.11965811969</v>
      </c>
      <c r="L213" s="385">
        <f>税込!L213/1.17</f>
        <v>398780.34188034193</v>
      </c>
      <c r="M213" s="385">
        <f>税込!M213/1.17</f>
        <v>390088.03418803419</v>
      </c>
      <c r="N213" s="385">
        <f>税込!N213/1.17</f>
        <v>363503.41880341881</v>
      </c>
      <c r="O213" s="388">
        <f>税込!O213/1.17</f>
        <v>312632.47863247863</v>
      </c>
      <c r="P213" s="83"/>
      <c r="Q213" s="83"/>
      <c r="R213" s="83"/>
    </row>
    <row r="214" spans="1:18">
      <c r="A214" s="1392"/>
      <c r="B214" s="1392" t="s">
        <v>24</v>
      </c>
      <c r="C214" s="479" t="s">
        <v>56</v>
      </c>
      <c r="D214" s="289">
        <f>税込!D214</f>
        <v>1.1200000000000001</v>
      </c>
      <c r="E214" s="289">
        <f>税込!E214</f>
        <v>0.86</v>
      </c>
      <c r="F214" s="290">
        <f>税込!F214</f>
        <v>1.04</v>
      </c>
      <c r="G214" s="291">
        <f>税込!G214</f>
        <v>0.95</v>
      </c>
      <c r="H214" s="289">
        <f>税込!H214</f>
        <v>0.71</v>
      </c>
      <c r="I214" s="480">
        <f>税込!I214</f>
        <v>1.23</v>
      </c>
      <c r="J214" s="293">
        <f>税込!J214</f>
        <v>0.83</v>
      </c>
      <c r="K214" s="289">
        <f>税込!K214</f>
        <v>0.93</v>
      </c>
      <c r="L214" s="289">
        <f>税込!L214</f>
        <v>0.88</v>
      </c>
      <c r="M214" s="289">
        <f>税込!M214</f>
        <v>0.89</v>
      </c>
      <c r="N214" s="289">
        <f>税込!N214</f>
        <v>1.07</v>
      </c>
      <c r="O214" s="289">
        <f>税込!O214</f>
        <v>0.98</v>
      </c>
      <c r="P214" s="83"/>
      <c r="Q214" s="83"/>
      <c r="R214" s="83"/>
    </row>
    <row r="215" spans="1:18">
      <c r="A215" s="1392"/>
      <c r="B215" s="1392"/>
      <c r="C215" s="479" t="s">
        <v>57</v>
      </c>
      <c r="D215" s="289">
        <f>税込!D215</f>
        <v>0.97</v>
      </c>
      <c r="E215" s="289">
        <f>税込!E215</f>
        <v>0.91</v>
      </c>
      <c r="F215" s="294">
        <f>税込!F215</f>
        <v>0.96</v>
      </c>
      <c r="G215" s="295">
        <f>税込!G215</f>
        <v>0.96</v>
      </c>
      <c r="H215" s="289">
        <f>税込!H215</f>
        <v>0.97</v>
      </c>
      <c r="I215" s="303">
        <f>税込!I215</f>
        <v>1.01</v>
      </c>
      <c r="J215" s="293">
        <f>税込!J215</f>
        <v>0.87</v>
      </c>
      <c r="K215" s="289">
        <f>税込!K215</f>
        <v>1.01</v>
      </c>
      <c r="L215" s="289">
        <f>税込!L215</f>
        <v>0.91</v>
      </c>
      <c r="M215" s="289">
        <f>税込!M215</f>
        <v>1.02</v>
      </c>
      <c r="N215" s="289">
        <f>税込!N215</f>
        <v>1.06</v>
      </c>
      <c r="O215" s="289">
        <f>税込!O215</f>
        <v>1.01</v>
      </c>
      <c r="P215" s="83"/>
      <c r="Q215" s="83"/>
      <c r="R215" s="83"/>
    </row>
    <row r="216" spans="1:18">
      <c r="A216" s="1392"/>
      <c r="B216" s="1392"/>
      <c r="C216" s="479" t="s">
        <v>51</v>
      </c>
      <c r="D216" s="289">
        <f>税込!D216</f>
        <v>0.99372700653202195</v>
      </c>
      <c r="E216" s="297">
        <f>税込!E216</f>
        <v>1.0939896720367304</v>
      </c>
      <c r="F216" s="298">
        <f>税込!F216</f>
        <v>0.92978988515633187</v>
      </c>
      <c r="G216" s="298">
        <f>税込!G216</f>
        <v>1.0222049489091063</v>
      </c>
      <c r="H216" s="349">
        <f>税込!H216</f>
        <v>0.95831434194394094</v>
      </c>
      <c r="I216" s="464">
        <f>税込!I216</f>
        <v>0.91604507101620536</v>
      </c>
      <c r="J216" s="356">
        <f>税込!J216</f>
        <v>0.87229073139576763</v>
      </c>
      <c r="K216" s="302">
        <f>税込!K216</f>
        <v>0.93605233668350485</v>
      </c>
      <c r="L216" s="302">
        <f>税込!L216</f>
        <v>0.93923676838040437</v>
      </c>
      <c r="M216" s="302">
        <f>税込!M216</f>
        <v>0.94770910865718994</v>
      </c>
      <c r="N216" s="302">
        <f>税込!N216</f>
        <v>0.99142928755342452</v>
      </c>
      <c r="O216" s="302">
        <f>税込!O216</f>
        <v>0.95651630436974044</v>
      </c>
      <c r="P216" s="83"/>
      <c r="Q216" s="83"/>
      <c r="R216" s="83"/>
    </row>
    <row r="217" spans="1:18">
      <c r="A217" s="1392"/>
      <c r="B217" s="1392"/>
      <c r="C217" s="479" t="s">
        <v>144</v>
      </c>
      <c r="D217" s="289">
        <v>0.78826825689926816</v>
      </c>
      <c r="E217" s="297">
        <v>0.97539082131106913</v>
      </c>
      <c r="F217" s="298">
        <v>0.97241411085343943</v>
      </c>
      <c r="G217" s="298">
        <v>0.88327464962049729</v>
      </c>
      <c r="H217" s="298">
        <v>0.96458328960899953</v>
      </c>
      <c r="I217" s="464">
        <v>1.0932086526389451</v>
      </c>
      <c r="J217" s="356">
        <v>0.89892475672422933</v>
      </c>
      <c r="K217" s="318">
        <v>0.84917567903130176</v>
      </c>
      <c r="L217" s="318">
        <v>0.99898644303134332</v>
      </c>
      <c r="M217" s="318">
        <v>0.98069006323557972</v>
      </c>
      <c r="N217" s="318">
        <v>0.9791073726765025</v>
      </c>
      <c r="O217" s="302">
        <v>0.98532223129051499</v>
      </c>
      <c r="P217" s="83"/>
      <c r="Q217" s="83"/>
      <c r="R217" s="83"/>
    </row>
    <row r="218" spans="1:18">
      <c r="A218" s="1392"/>
      <c r="B218" s="1392"/>
      <c r="C218" s="479" t="s">
        <v>203</v>
      </c>
      <c r="D218" s="289">
        <v>1.217293793986673</v>
      </c>
      <c r="E218" s="297">
        <v>1.1388179246548795</v>
      </c>
      <c r="F218" s="298">
        <v>1.0387086592612642</v>
      </c>
      <c r="G218" s="298">
        <v>1.069403503816958</v>
      </c>
      <c r="H218" s="298">
        <v>1.0347448493104925</v>
      </c>
      <c r="I218" s="464">
        <v>1.0202585381516456</v>
      </c>
      <c r="J218" s="356">
        <v>1.1349905804482636</v>
      </c>
      <c r="K218" s="318">
        <v>1.02344287263468</v>
      </c>
      <c r="L218" s="318">
        <v>1.0350379448736702</v>
      </c>
      <c r="M218" s="318">
        <v>1.1729430870465032</v>
      </c>
      <c r="N218" s="318">
        <v>1.1004329448747767</v>
      </c>
      <c r="O218" s="302">
        <v>1.0648253012518436</v>
      </c>
      <c r="P218" s="83"/>
      <c r="Q218" s="83"/>
      <c r="R218" s="83"/>
    </row>
    <row r="219" spans="1:18">
      <c r="A219" s="1392"/>
      <c r="B219" s="1392"/>
      <c r="C219" s="479" t="s">
        <v>262</v>
      </c>
      <c r="D219" s="289">
        <f>D211/D209</f>
        <v>1.2089442171705904</v>
      </c>
      <c r="E219" s="297">
        <f t="shared" ref="E219:O219" si="13">E211/E209</f>
        <v>1.2075655906994771</v>
      </c>
      <c r="F219" s="297">
        <f t="shared" si="13"/>
        <v>1.0317063629100773</v>
      </c>
      <c r="G219" s="297">
        <f t="shared" si="13"/>
        <v>1.0926509194386271</v>
      </c>
      <c r="H219" s="297">
        <f t="shared" si="13"/>
        <v>1.0422445464683632</v>
      </c>
      <c r="I219" s="303">
        <f t="shared" si="13"/>
        <v>0.96883156003075133</v>
      </c>
      <c r="J219" s="293">
        <f t="shared" si="13"/>
        <v>0.84994455753212117</v>
      </c>
      <c r="K219" s="297">
        <f>K211/K209</f>
        <v>0.92568851170063648</v>
      </c>
      <c r="L219" s="297">
        <f>L211/L209</f>
        <v>0.96119700196356994</v>
      </c>
      <c r="M219" s="297">
        <f>M211/M209</f>
        <v>1.0060356959506522</v>
      </c>
      <c r="N219" s="297">
        <f t="shared" si="13"/>
        <v>0.73243111464899979</v>
      </c>
      <c r="O219" s="289">
        <f t="shared" si="13"/>
        <v>0.67734891084784621</v>
      </c>
      <c r="P219" s="83"/>
      <c r="Q219" s="83"/>
      <c r="R219" s="83"/>
    </row>
    <row r="220" spans="1:18">
      <c r="C220" t="s">
        <v>307</v>
      </c>
      <c r="D220" s="393"/>
      <c r="E220" s="393"/>
      <c r="F220" s="393">
        <f>元ﾃﾞｰﾀ!R67/3</f>
        <v>360621.3675213675</v>
      </c>
      <c r="G220" s="393"/>
      <c r="H220" s="393"/>
      <c r="I220" s="393">
        <f>元ﾃﾞｰﾀ!AK67/3</f>
        <v>322017.66381766379</v>
      </c>
      <c r="J220" s="393"/>
      <c r="K220" s="393"/>
      <c r="L220" s="393"/>
      <c r="M220" s="393"/>
      <c r="N220" s="393"/>
      <c r="O220" s="393"/>
      <c r="P220" s="83"/>
      <c r="Q220" s="83"/>
    </row>
    <row r="221" spans="1:18">
      <c r="D221" s="391"/>
      <c r="E221" s="391"/>
      <c r="F221" s="391"/>
      <c r="G221" s="391"/>
      <c r="H221" s="391"/>
      <c r="I221" s="393"/>
      <c r="J221" s="391"/>
      <c r="K221" s="391"/>
      <c r="L221" s="391"/>
      <c r="M221" s="391"/>
      <c r="N221" s="391"/>
      <c r="O221" s="391"/>
    </row>
    <row r="225" spans="5:5">
      <c r="E225" s="395"/>
    </row>
  </sheetData>
  <autoFilter ref="A86:O216"/>
  <mergeCells count="35">
    <mergeCell ref="A18:A32"/>
    <mergeCell ref="A33:A52"/>
    <mergeCell ref="B33:B52"/>
    <mergeCell ref="A3:A17"/>
    <mergeCell ref="B3:B17"/>
    <mergeCell ref="B18:B32"/>
    <mergeCell ref="A53:B54"/>
    <mergeCell ref="A55:A62"/>
    <mergeCell ref="B55:B62"/>
    <mergeCell ref="A63:A70"/>
    <mergeCell ref="B63:B70"/>
    <mergeCell ref="A76:A83"/>
    <mergeCell ref="B76:B83"/>
    <mergeCell ref="A71:A75"/>
    <mergeCell ref="B71:B75"/>
    <mergeCell ref="A87:A107"/>
    <mergeCell ref="B102:B107"/>
    <mergeCell ref="A108:A128"/>
    <mergeCell ref="B108:B122"/>
    <mergeCell ref="B123:B128"/>
    <mergeCell ref="B87:B101"/>
    <mergeCell ref="B159:B164"/>
    <mergeCell ref="A165:A178"/>
    <mergeCell ref="B165:B172"/>
    <mergeCell ref="B173:B178"/>
    <mergeCell ref="A129:A164"/>
    <mergeCell ref="B129:B158"/>
    <mergeCell ref="A179:A192"/>
    <mergeCell ref="B179:B186"/>
    <mergeCell ref="B187:B192"/>
    <mergeCell ref="B214:B219"/>
    <mergeCell ref="A198:A219"/>
    <mergeCell ref="B198:B213"/>
    <mergeCell ref="A193:A197"/>
    <mergeCell ref="B193:B197"/>
  </mergeCells>
  <phoneticPr fontId="27" type="noConversion"/>
  <pageMargins left="0.7" right="0.7" top="0.75" bottom="0.75" header="0.3" footer="0.3"/>
  <pageSetup paperSize="9" scale="52" orientation="portrait" horizontalDpi="300" verticalDpi="300" r:id="rId1"/>
  <rowBreaks count="1" manualBreakCount="1">
    <brk id="8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D318"/>
  <sheetViews>
    <sheetView view="pageBreakPreview" topLeftCell="BJ118" zoomScale="85" zoomScaleNormal="100" zoomScaleSheetLayoutView="85" workbookViewId="0">
      <selection activeCell="BP135" sqref="BP135"/>
    </sheetView>
  </sheetViews>
  <sheetFormatPr defaultColWidth="9" defaultRowHeight="15.75"/>
  <cols>
    <col min="1" max="1" width="4.75" customWidth="1"/>
    <col min="2" max="2" width="3.5" customWidth="1"/>
    <col min="3" max="3" width="3.625" customWidth="1"/>
    <col min="4" max="4" width="12.375" customWidth="1"/>
    <col min="5" max="5" width="8" bestFit="1" customWidth="1"/>
    <col min="6" max="6" width="8.375" customWidth="1"/>
    <col min="7" max="8" width="7.625" customWidth="1"/>
    <col min="9" max="9" width="9" style="697" customWidth="1"/>
    <col min="10" max="11" width="9.25" style="697" customWidth="1"/>
    <col min="12" max="12" width="9" style="655" customWidth="1"/>
    <col min="13" max="13" width="9" style="697" customWidth="1"/>
    <col min="14" max="15" width="9.25" style="697" customWidth="1"/>
    <col min="16" max="18" width="9" style="655" customWidth="1"/>
    <col min="19" max="19" width="8.875" style="655" customWidth="1"/>
    <col min="20" max="20" width="9.25" style="655" customWidth="1"/>
    <col min="21" max="22" width="8.5" style="655" customWidth="1"/>
    <col min="23" max="23" width="8.875" style="697" customWidth="1"/>
    <col min="24" max="24" width="9" style="697" customWidth="1"/>
    <col min="25" max="26" width="9.25" style="697" customWidth="1"/>
    <col min="27" max="27" width="9" style="655" customWidth="1"/>
    <col min="28" max="28" width="9" style="697" customWidth="1"/>
    <col min="29" max="30" width="9.25" style="697" customWidth="1"/>
    <col min="31" max="31" width="8.875" style="697" customWidth="1"/>
    <col min="32" max="32" width="9" style="697" customWidth="1"/>
    <col min="33" max="34" width="9.25" style="697" customWidth="1"/>
    <col min="35" max="35" width="8.875" style="697" customWidth="1"/>
    <col min="36" max="37" width="9" style="655" customWidth="1"/>
    <col min="38" max="38" width="8.875" style="655" customWidth="1"/>
    <col min="39" max="39" width="9.25" style="655" customWidth="1"/>
    <col min="40" max="40" width="9" style="655" customWidth="1"/>
    <col min="41" max="41" width="8.5" style="655" customWidth="1"/>
    <col min="42" max="42" width="8.875" style="697" customWidth="1"/>
    <col min="43" max="43" width="9" style="655" customWidth="1"/>
    <col min="44" max="44" width="9" style="697" customWidth="1"/>
    <col min="45" max="45" width="8.375" style="655" customWidth="1"/>
    <col min="46" max="46" width="9" style="655" customWidth="1"/>
    <col min="47" max="47" width="9.25" style="655" customWidth="1"/>
    <col min="48" max="48" width="8.5" style="655" customWidth="1"/>
    <col min="49" max="49" width="9.75" style="697" customWidth="1"/>
    <col min="50" max="52" width="10.625" style="655" customWidth="1"/>
    <col min="53" max="55" width="10.625" style="493" customWidth="1"/>
    <col min="56" max="56" width="9" style="493" customWidth="1"/>
    <col min="57" max="57" width="9" style="697" customWidth="1"/>
    <col min="58" max="59" width="9.25" style="697" customWidth="1"/>
    <col min="60" max="60" width="9" style="655" customWidth="1"/>
    <col min="61" max="61" width="9" style="697" customWidth="1"/>
    <col min="62" max="63" width="9.25" style="697" customWidth="1"/>
    <col min="64" max="64" width="9" style="655" customWidth="1"/>
    <col min="65" max="65" width="9" style="697" customWidth="1"/>
    <col min="66" max="67" width="9.25" style="697" customWidth="1"/>
    <col min="68" max="68" width="8.875" style="655" customWidth="1"/>
    <col min="69" max="73" width="7.625" hidden="1" customWidth="1"/>
    <col min="74" max="74" width="9" style="697" hidden="1" customWidth="1"/>
    <col min="75" max="75" width="9.25" style="697" hidden="1" customWidth="1"/>
    <col min="76" max="76" width="9.25" style="697" customWidth="1"/>
    <col min="77" max="77" width="8.875" style="697" customWidth="1"/>
    <col min="78" max="78" width="9" style="697" customWidth="1"/>
    <col min="79" max="80" width="9.25" style="697" customWidth="1"/>
    <col min="81" max="81" width="8.875" style="697" customWidth="1"/>
    <col min="82" max="82" width="9" style="697" customWidth="1"/>
    <col min="83" max="83" width="9.25" style="697" customWidth="1"/>
    <col min="84" max="84" width="9.25" style="655" customWidth="1"/>
    <col min="85" max="85" width="8.875" style="697" customWidth="1"/>
    <col min="86" max="90" width="7.625" customWidth="1"/>
    <col min="91" max="101" width="7.625" style="84" customWidth="1"/>
    <col min="102" max="102" width="9.875" style="655" customWidth="1"/>
    <col min="103" max="103" width="9.375" style="655" customWidth="1"/>
    <col min="104" max="104" width="9.5" style="493" customWidth="1"/>
    <col min="105" max="105" width="10.5" style="493" customWidth="1"/>
    <col min="106" max="106" width="10.75" style="493" customWidth="1"/>
    <col min="107" max="16384" width="9" style="84"/>
  </cols>
  <sheetData>
    <row r="1" spans="1:108">
      <c r="A1" s="989"/>
      <c r="B1" s="989"/>
      <c r="C1" s="989"/>
      <c r="D1" s="989"/>
      <c r="E1" s="673"/>
      <c r="F1" s="673"/>
      <c r="G1" s="673"/>
      <c r="H1" s="673"/>
      <c r="AX1" s="697"/>
      <c r="AY1" s="697"/>
      <c r="AZ1" s="697"/>
      <c r="BQ1" s="673"/>
      <c r="BR1" s="673"/>
      <c r="BS1" s="673"/>
      <c r="BT1" s="673"/>
      <c r="BU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97"/>
      <c r="CY1" s="697"/>
      <c r="DC1" s="673"/>
      <c r="DD1" s="673"/>
    </row>
    <row r="2" spans="1:108" ht="20.25" thickBot="1">
      <c r="A2" s="990" t="s">
        <v>319</v>
      </c>
      <c r="B2" s="989"/>
      <c r="C2" s="989"/>
      <c r="D2" s="989"/>
      <c r="E2" s="673"/>
      <c r="F2" s="673"/>
      <c r="G2" s="673"/>
      <c r="H2" s="673"/>
      <c r="Q2" s="749"/>
      <c r="R2" s="749"/>
      <c r="S2" s="494"/>
      <c r="T2" s="544"/>
      <c r="U2" s="544"/>
      <c r="V2" s="544"/>
      <c r="W2" s="1066"/>
      <c r="AJ2" s="749"/>
      <c r="AK2" s="749"/>
      <c r="AL2" s="494"/>
      <c r="AM2" s="544"/>
      <c r="AN2" s="544"/>
      <c r="AO2" s="544"/>
      <c r="AP2" s="1066"/>
      <c r="AQ2" s="749"/>
      <c r="AR2" s="749"/>
      <c r="AT2" s="749"/>
      <c r="AU2" s="1067"/>
      <c r="AV2" s="544"/>
      <c r="AW2" s="750" t="s">
        <v>179</v>
      </c>
      <c r="AX2" s="697"/>
      <c r="AY2" s="697"/>
      <c r="BA2" s="1424">
        <f ca="1">NOW()</f>
        <v>43109.693275578706</v>
      </c>
      <c r="BB2" s="1424"/>
      <c r="BC2" s="1424"/>
      <c r="BD2" s="1424"/>
      <c r="BQ2" s="673"/>
      <c r="BR2" s="673"/>
      <c r="BS2" s="673"/>
      <c r="BT2" s="673"/>
      <c r="BU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97"/>
      <c r="CY2" s="1424">
        <f ca="1">NOW()</f>
        <v>43109.693275578706</v>
      </c>
      <c r="CZ2" s="1424"/>
      <c r="DA2" s="1424"/>
      <c r="DB2" s="1424"/>
      <c r="DC2" s="673"/>
      <c r="DD2" s="673"/>
    </row>
    <row r="3" spans="1:108">
      <c r="A3" s="991"/>
      <c r="B3" s="991"/>
      <c r="C3" s="991"/>
      <c r="D3" s="617"/>
      <c r="E3" s="1403" t="s">
        <v>316</v>
      </c>
      <c r="F3" s="1404"/>
      <c r="G3" s="1404"/>
      <c r="H3" s="1405">
        <v>0</v>
      </c>
      <c r="I3" s="1403" t="s">
        <v>418</v>
      </c>
      <c r="J3" s="1404"/>
      <c r="K3" s="1404"/>
      <c r="L3" s="1405">
        <v>0</v>
      </c>
      <c r="M3" s="1403" t="s">
        <v>432</v>
      </c>
      <c r="N3" s="1404"/>
      <c r="O3" s="1404"/>
      <c r="P3" s="1405">
        <v>0</v>
      </c>
      <c r="Q3" s="1403" t="s">
        <v>419</v>
      </c>
      <c r="R3" s="1404"/>
      <c r="S3" s="1404"/>
      <c r="T3" s="1406"/>
      <c r="U3" s="1404"/>
      <c r="V3" s="1404"/>
      <c r="W3" s="1405"/>
      <c r="X3" s="1403" t="s">
        <v>434</v>
      </c>
      <c r="Y3" s="1404"/>
      <c r="Z3" s="1404"/>
      <c r="AA3" s="1405">
        <v>0</v>
      </c>
      <c r="AB3" s="1403" t="s">
        <v>444</v>
      </c>
      <c r="AC3" s="1404"/>
      <c r="AD3" s="1404"/>
      <c r="AE3" s="1405">
        <v>0</v>
      </c>
      <c r="AF3" s="1403" t="s">
        <v>466</v>
      </c>
      <c r="AG3" s="1404"/>
      <c r="AH3" s="1404"/>
      <c r="AI3" s="1405">
        <v>0</v>
      </c>
      <c r="AJ3" s="1403" t="s">
        <v>445</v>
      </c>
      <c r="AK3" s="1404"/>
      <c r="AL3" s="1404"/>
      <c r="AM3" s="1406"/>
      <c r="AN3" s="1404"/>
      <c r="AO3" s="1404"/>
      <c r="AP3" s="1405"/>
      <c r="AQ3" s="1407" t="s">
        <v>446</v>
      </c>
      <c r="AR3" s="1408"/>
      <c r="AS3" s="1408"/>
      <c r="AT3" s="1408"/>
      <c r="AU3" s="1408"/>
      <c r="AV3" s="1408"/>
      <c r="AW3" s="1409"/>
      <c r="AX3" s="674"/>
      <c r="AY3" s="675"/>
      <c r="AZ3" s="676"/>
      <c r="BA3" s="495"/>
      <c r="BB3" s="495"/>
      <c r="BC3" s="495"/>
      <c r="BD3" s="495"/>
      <c r="BE3" s="1403" t="s">
        <v>414</v>
      </c>
      <c r="BF3" s="1404"/>
      <c r="BG3" s="1404"/>
      <c r="BH3" s="1405">
        <v>0</v>
      </c>
      <c r="BI3" s="1403" t="s">
        <v>485</v>
      </c>
      <c r="BJ3" s="1404"/>
      <c r="BK3" s="1404"/>
      <c r="BL3" s="1405">
        <v>0</v>
      </c>
      <c r="BM3" s="1403" t="s">
        <v>499</v>
      </c>
      <c r="BN3" s="1404"/>
      <c r="BO3" s="1404"/>
      <c r="BP3" s="1405">
        <v>0</v>
      </c>
      <c r="BQ3" s="1403" t="s">
        <v>500</v>
      </c>
      <c r="BR3" s="1404"/>
      <c r="BS3" s="1404"/>
      <c r="BT3" s="1406"/>
      <c r="BU3" s="1404"/>
      <c r="BV3" s="1404"/>
      <c r="BW3" s="1405"/>
      <c r="BX3" s="1403" t="s">
        <v>519</v>
      </c>
      <c r="BY3" s="1404"/>
      <c r="BZ3" s="1404"/>
      <c r="CA3" s="1405">
        <v>0</v>
      </c>
      <c r="CB3" s="1403" t="s">
        <v>520</v>
      </c>
      <c r="CC3" s="1404"/>
      <c r="CD3" s="1404"/>
      <c r="CE3" s="1405">
        <v>0</v>
      </c>
      <c r="CF3" s="1403" t="s">
        <v>521</v>
      </c>
      <c r="CG3" s="1404"/>
      <c r="CH3" s="1404"/>
      <c r="CI3" s="1405">
        <v>0</v>
      </c>
      <c r="CJ3" s="1403" t="s">
        <v>522</v>
      </c>
      <c r="CK3" s="1404"/>
      <c r="CL3" s="1404"/>
      <c r="CM3" s="1406"/>
      <c r="CN3" s="1404"/>
      <c r="CO3" s="1404"/>
      <c r="CP3" s="1405"/>
      <c r="CQ3" s="1407" t="s">
        <v>523</v>
      </c>
      <c r="CR3" s="1408"/>
      <c r="CS3" s="1408"/>
      <c r="CT3" s="1408"/>
      <c r="CU3" s="1408"/>
      <c r="CV3" s="1408"/>
      <c r="CW3" s="1409"/>
      <c r="CX3" s="674"/>
      <c r="CY3" s="675"/>
      <c r="CZ3" s="1383"/>
      <c r="DA3" s="1383"/>
      <c r="DB3" s="1384"/>
      <c r="DC3" s="495"/>
      <c r="DD3" s="495"/>
    </row>
    <row r="4" spans="1:108">
      <c r="A4" s="491"/>
      <c r="B4" s="491"/>
      <c r="C4" s="491"/>
      <c r="D4" s="652"/>
      <c r="E4" s="677" t="s">
        <v>168</v>
      </c>
      <c r="F4" s="678" t="s">
        <v>317</v>
      </c>
      <c r="G4" s="679" t="s">
        <v>169</v>
      </c>
      <c r="H4" s="501" t="s">
        <v>170</v>
      </c>
      <c r="I4" s="677" t="s">
        <v>168</v>
      </c>
      <c r="J4" s="678" t="s">
        <v>420</v>
      </c>
      <c r="K4" s="679" t="s">
        <v>169</v>
      </c>
      <c r="L4" s="501" t="s">
        <v>170</v>
      </c>
      <c r="M4" s="677" t="s">
        <v>168</v>
      </c>
      <c r="N4" s="678" t="s">
        <v>433</v>
      </c>
      <c r="O4" s="679" t="s">
        <v>169</v>
      </c>
      <c r="P4" s="501" t="s">
        <v>170</v>
      </c>
      <c r="Q4" s="499" t="str">
        <f>Q71</f>
        <v>予算</v>
      </c>
      <c r="R4" s="680" t="s">
        <v>421</v>
      </c>
      <c r="S4" s="497" t="s">
        <v>422</v>
      </c>
      <c r="T4" s="498" t="s">
        <v>300</v>
      </c>
      <c r="U4" s="497" t="str">
        <f>U71</f>
        <v>予算差異</v>
      </c>
      <c r="V4" s="502" t="s">
        <v>423</v>
      </c>
      <c r="W4" s="501" t="s">
        <v>424</v>
      </c>
      <c r="X4" s="677" t="s">
        <v>168</v>
      </c>
      <c r="Y4" s="678" t="s">
        <v>435</v>
      </c>
      <c r="Z4" s="679" t="s">
        <v>169</v>
      </c>
      <c r="AA4" s="501" t="s">
        <v>170</v>
      </c>
      <c r="AB4" s="677" t="s">
        <v>168</v>
      </c>
      <c r="AC4" s="678" t="s">
        <v>447</v>
      </c>
      <c r="AD4" s="679" t="s">
        <v>169</v>
      </c>
      <c r="AE4" s="681" t="s">
        <v>170</v>
      </c>
      <c r="AF4" s="677" t="s">
        <v>168</v>
      </c>
      <c r="AG4" s="678" t="s">
        <v>467</v>
      </c>
      <c r="AH4" s="679" t="s">
        <v>169</v>
      </c>
      <c r="AI4" s="681" t="s">
        <v>170</v>
      </c>
      <c r="AJ4" s="499" t="str">
        <f>AJ71</f>
        <v>予算</v>
      </c>
      <c r="AK4" s="680" t="s">
        <v>448</v>
      </c>
      <c r="AL4" s="497" t="s">
        <v>449</v>
      </c>
      <c r="AM4" s="498" t="s">
        <v>450</v>
      </c>
      <c r="AN4" s="500" t="str">
        <f>AN71</f>
        <v>予算差異</v>
      </c>
      <c r="AO4" s="502" t="s">
        <v>451</v>
      </c>
      <c r="AP4" s="501" t="s">
        <v>452</v>
      </c>
      <c r="AQ4" s="496" t="s">
        <v>168</v>
      </c>
      <c r="AR4" s="680" t="s">
        <v>448</v>
      </c>
      <c r="AS4" s="497" t="s">
        <v>449</v>
      </c>
      <c r="AT4" s="498" t="s">
        <v>453</v>
      </c>
      <c r="AU4" s="546" t="s">
        <v>454</v>
      </c>
      <c r="AV4" s="502" t="s">
        <v>451</v>
      </c>
      <c r="AW4" s="501" t="s">
        <v>452</v>
      </c>
      <c r="AX4" s="677" t="str">
        <f>AX71</f>
        <v>予算平均</v>
      </c>
      <c r="AY4" s="682" t="s">
        <v>455</v>
      </c>
      <c r="AZ4" s="683" t="s">
        <v>456</v>
      </c>
      <c r="BA4" s="503"/>
      <c r="BB4" s="493" t="s">
        <v>457</v>
      </c>
      <c r="BC4" s="493" t="s">
        <v>458</v>
      </c>
      <c r="BD4" s="493" t="s">
        <v>459</v>
      </c>
      <c r="BE4" s="677" t="s">
        <v>473</v>
      </c>
      <c r="BF4" s="678" t="s">
        <v>415</v>
      </c>
      <c r="BG4" s="679" t="s">
        <v>169</v>
      </c>
      <c r="BH4" s="501" t="s">
        <v>170</v>
      </c>
      <c r="BI4" s="677" t="s">
        <v>486</v>
      </c>
      <c r="BJ4" s="678" t="s">
        <v>487</v>
      </c>
      <c r="BK4" s="679" t="s">
        <v>169</v>
      </c>
      <c r="BL4" s="501" t="s">
        <v>170</v>
      </c>
      <c r="BM4" s="677" t="s">
        <v>506</v>
      </c>
      <c r="BN4" s="678" t="s">
        <v>507</v>
      </c>
      <c r="BO4" s="679" t="s">
        <v>169</v>
      </c>
      <c r="BP4" s="501" t="s">
        <v>170</v>
      </c>
      <c r="BQ4" s="499" t="s">
        <v>506</v>
      </c>
      <c r="BR4" s="500" t="s">
        <v>508</v>
      </c>
      <c r="BS4" s="500" t="s">
        <v>501</v>
      </c>
      <c r="BT4" s="498" t="s">
        <v>169</v>
      </c>
      <c r="BU4" s="497" t="s">
        <v>509</v>
      </c>
      <c r="BV4" s="502" t="s">
        <v>510</v>
      </c>
      <c r="BW4" s="501" t="s">
        <v>504</v>
      </c>
      <c r="BX4" s="677" t="s">
        <v>524</v>
      </c>
      <c r="BY4" s="678" t="s">
        <v>525</v>
      </c>
      <c r="BZ4" s="679" t="s">
        <v>169</v>
      </c>
      <c r="CA4" s="681" t="s">
        <v>170</v>
      </c>
      <c r="CB4" s="677" t="s">
        <v>524</v>
      </c>
      <c r="CC4" s="678" t="s">
        <v>525</v>
      </c>
      <c r="CD4" s="679" t="s">
        <v>299</v>
      </c>
      <c r="CE4" s="681" t="s">
        <v>170</v>
      </c>
      <c r="CF4" s="677" t="s">
        <v>524</v>
      </c>
      <c r="CG4" s="678" t="s">
        <v>525</v>
      </c>
      <c r="CH4" s="679" t="s">
        <v>299</v>
      </c>
      <c r="CI4" s="681" t="s">
        <v>170</v>
      </c>
      <c r="CJ4" s="499" t="s">
        <v>524</v>
      </c>
      <c r="CK4" s="500" t="s">
        <v>526</v>
      </c>
      <c r="CL4" s="500" t="s">
        <v>527</v>
      </c>
      <c r="CM4" s="498" t="s">
        <v>528</v>
      </c>
      <c r="CN4" s="500" t="str">
        <f>CN71</f>
        <v>レビュー差異</v>
      </c>
      <c r="CO4" s="500" t="s">
        <v>529</v>
      </c>
      <c r="CP4" s="501" t="s">
        <v>530</v>
      </c>
      <c r="CQ4" s="496" t="s">
        <v>524</v>
      </c>
      <c r="CR4" s="504" t="s">
        <v>531</v>
      </c>
      <c r="CS4" s="504" t="s">
        <v>532</v>
      </c>
      <c r="CT4" s="498" t="s">
        <v>533</v>
      </c>
      <c r="CU4" s="546" t="s">
        <v>534</v>
      </c>
      <c r="CV4" s="546" t="s">
        <v>535</v>
      </c>
      <c r="CW4" s="501" t="s">
        <v>536</v>
      </c>
      <c r="CX4" s="677" t="str">
        <f>CX71</f>
        <v>予算平均</v>
      </c>
      <c r="CY4" s="683" t="s">
        <v>511</v>
      </c>
      <c r="CZ4" s="503"/>
      <c r="DA4" s="556" t="s">
        <v>512</v>
      </c>
      <c r="DB4" s="556" t="s">
        <v>513</v>
      </c>
      <c r="DC4" s="493"/>
      <c r="DD4" s="493"/>
    </row>
    <row r="5" spans="1:108">
      <c r="A5" s="625"/>
      <c r="B5" s="1414" t="s">
        <v>320</v>
      </c>
      <c r="C5" s="1415"/>
      <c r="D5" s="623"/>
      <c r="E5" s="684">
        <f>E72/1.17</f>
        <v>5982.9059829059834</v>
      </c>
      <c r="F5" s="685">
        <f>F72/1.17</f>
        <v>6837.6068376068379</v>
      </c>
      <c r="G5" s="685">
        <f>G72/1.17</f>
        <v>15270.085470085471</v>
      </c>
      <c r="H5" s="508">
        <f>G5-F5</f>
        <v>8432.4786324786328</v>
      </c>
      <c r="I5" s="684">
        <f t="shared" ref="I5:K8" si="0">I72/1.17</f>
        <v>6581.196581196582</v>
      </c>
      <c r="J5" s="685">
        <f t="shared" si="0"/>
        <v>7692.3076923076924</v>
      </c>
      <c r="K5" s="685">
        <f t="shared" si="0"/>
        <v>5795.5688205128208</v>
      </c>
      <c r="L5" s="508">
        <f>K5-J5</f>
        <v>-1896.7388717948716</v>
      </c>
      <c r="M5" s="684">
        <f t="shared" ref="M5:O8" si="1">M72/1.17</f>
        <v>7179.4871794871797</v>
      </c>
      <c r="N5" s="685">
        <f t="shared" si="1"/>
        <v>6837.6068376068379</v>
      </c>
      <c r="O5" s="685">
        <f t="shared" si="1"/>
        <v>6633.3333333333339</v>
      </c>
      <c r="P5" s="508">
        <f>O5-N5</f>
        <v>-204.27350427350393</v>
      </c>
      <c r="Q5" s="506">
        <f>E5+I5+M5</f>
        <v>19743.589743589746</v>
      </c>
      <c r="R5" s="687">
        <f>R72/1.17</f>
        <v>19743.589743589746</v>
      </c>
      <c r="S5" s="632">
        <f>G5+J5+N5</f>
        <v>29800</v>
      </c>
      <c r="T5" s="632">
        <f>G5+K5+O5</f>
        <v>27698.987623931629</v>
      </c>
      <c r="U5" s="632">
        <f>T5-Q5</f>
        <v>7955.3978803418831</v>
      </c>
      <c r="V5" s="626">
        <f>T5-R5</f>
        <v>7955.3978803418831</v>
      </c>
      <c r="W5" s="631">
        <f>T5-S5</f>
        <v>-2101.0123760683709</v>
      </c>
      <c r="X5" s="684">
        <f t="shared" ref="X5:Z8" si="2">X72/1.17</f>
        <v>7179.4871794871797</v>
      </c>
      <c r="Y5" s="685">
        <f t="shared" si="2"/>
        <v>5982.7829059829064</v>
      </c>
      <c r="Z5" s="685">
        <f t="shared" si="2"/>
        <v>7904.4616068376063</v>
      </c>
      <c r="AA5" s="508">
        <f>Z5-Y5</f>
        <v>1921.6787008546999</v>
      </c>
      <c r="AB5" s="684">
        <f t="shared" ref="AB5:AD8" si="3">AB72/1.17</f>
        <v>7179.4871794871797</v>
      </c>
      <c r="AC5" s="686">
        <f t="shared" si="3"/>
        <v>7179.4871794871797</v>
      </c>
      <c r="AD5" s="685">
        <f t="shared" si="3"/>
        <v>6120.6245811965819</v>
      </c>
      <c r="AE5" s="688">
        <f>AD5-AC5</f>
        <v>-1058.8625982905978</v>
      </c>
      <c r="AF5" s="684">
        <f t="shared" ref="AF5:AH8" si="4">AF72/1.17</f>
        <v>6666.666666666667</v>
      </c>
      <c r="AG5" s="686">
        <f t="shared" si="4"/>
        <v>6666.666666666667</v>
      </c>
      <c r="AH5" s="685">
        <f t="shared" si="4"/>
        <v>4651.554700854701</v>
      </c>
      <c r="AI5" s="688">
        <f>AH5-AG5</f>
        <v>-2015.111965811966</v>
      </c>
      <c r="AJ5" s="506">
        <f>X5+AB5+AF5</f>
        <v>21025.641025641027</v>
      </c>
      <c r="AK5" s="687">
        <f>AK72/1.17</f>
        <v>21025.641025641027</v>
      </c>
      <c r="AL5" s="632">
        <f t="shared" ref="AL5:AM8" si="5">Y5+AC5+AG5</f>
        <v>19828.936752136753</v>
      </c>
      <c r="AM5" s="632">
        <f t="shared" si="5"/>
        <v>18676.640888888887</v>
      </c>
      <c r="AN5" s="507">
        <f>AM5-AJ5</f>
        <v>-2349.00013675214</v>
      </c>
      <c r="AO5" s="626">
        <f>AM5-AK5</f>
        <v>-2349.00013675214</v>
      </c>
      <c r="AP5" s="509">
        <f>AM5-AL5</f>
        <v>-1152.2958632478658</v>
      </c>
      <c r="AQ5" s="496">
        <f>SUM(Q5,AJ5)</f>
        <v>40769.230769230773</v>
      </c>
      <c r="AR5" s="687">
        <f>AR72/1.17</f>
        <v>40769.230769230773</v>
      </c>
      <c r="AS5" s="632">
        <f>S5+AL5</f>
        <v>49628.936752136753</v>
      </c>
      <c r="AT5" s="526">
        <f>SUM(T5,AM5)</f>
        <v>46375.62851282052</v>
      </c>
      <c r="AU5" s="523">
        <f>AT5-AQ5</f>
        <v>5606.3977435897468</v>
      </c>
      <c r="AV5" s="626">
        <f>AT5-AR5</f>
        <v>5606.3977435897468</v>
      </c>
      <c r="AW5" s="631">
        <f>AT5-AS5</f>
        <v>-3253.3082393162331</v>
      </c>
      <c r="AX5" s="689"/>
      <c r="AY5" s="690"/>
      <c r="AZ5" s="690"/>
      <c r="BA5" s="510"/>
      <c r="BB5" s="510"/>
      <c r="BC5" s="510"/>
      <c r="BD5" s="510"/>
      <c r="BE5" s="684">
        <f t="shared" ref="BE5:BG8" si="6">BE72/1.17</f>
        <v>7008.5470085470088</v>
      </c>
      <c r="BF5" s="685">
        <f t="shared" si="6"/>
        <v>7008.5470085470088</v>
      </c>
      <c r="BG5" s="685">
        <f t="shared" si="6"/>
        <v>7014.1977094017102</v>
      </c>
      <c r="BH5" s="508">
        <f>BG5-BF5</f>
        <v>5.6507008547014266</v>
      </c>
      <c r="BI5" s="684">
        <f>BI72/1.17</f>
        <v>5555.5555555555557</v>
      </c>
      <c r="BJ5" s="685">
        <f>BJ72/1.17</f>
        <v>4700.8547008547012</v>
      </c>
      <c r="BK5" s="685">
        <f>BK72/1.17</f>
        <v>4423.8640341880337</v>
      </c>
      <c r="BL5" s="508">
        <f>BK5-BJ5</f>
        <v>-276.99066666666749</v>
      </c>
      <c r="BM5" s="684">
        <f>BM72/1.17</f>
        <v>5384.6153846153848</v>
      </c>
      <c r="BN5" s="686">
        <f>BN72/1.17</f>
        <v>5128.2051282051289</v>
      </c>
      <c r="BO5" s="685">
        <f>BO72/1.17</f>
        <v>4675.612478632479</v>
      </c>
      <c r="BP5" s="523">
        <f>BO5-BN5</f>
        <v>-452.59264957264986</v>
      </c>
      <c r="BQ5" s="511">
        <f>BE5+BI5+BM5</f>
        <v>17948.717948717949</v>
      </c>
      <c r="BR5" s="507"/>
      <c r="BS5" s="507">
        <f t="shared" ref="BS5:BT8" si="7">BF5+BJ5+BN5</f>
        <v>16837.60683760684</v>
      </c>
      <c r="BT5" s="632">
        <f t="shared" si="7"/>
        <v>16113.674222222224</v>
      </c>
      <c r="BU5" s="632">
        <f>BT5-BQ5</f>
        <v>-1835.0437264957254</v>
      </c>
      <c r="BV5" s="490"/>
      <c r="BW5" s="631">
        <f>BT5-BS5</f>
        <v>-723.93261538461593</v>
      </c>
      <c r="BX5" s="684">
        <f>BX72/1.17</f>
        <v>5384.6153846153848</v>
      </c>
      <c r="BY5" s="686">
        <f>BY72/1.17</f>
        <v>5982.9059829059834</v>
      </c>
      <c r="BZ5" s="685">
        <f>BZ72/1.17</f>
        <v>4966.0120000000006</v>
      </c>
      <c r="CA5" s="688">
        <f>BZ5-BY5</f>
        <v>-1016.8939829059827</v>
      </c>
      <c r="CB5" s="684">
        <f>CB72/1.17</f>
        <v>4700.8547008547012</v>
      </c>
      <c r="CC5" s="686">
        <f>CC72/1.17</f>
        <v>4273.5042735042734</v>
      </c>
      <c r="CD5" s="685">
        <f>CD72/1.17</f>
        <v>4273.5042735042734</v>
      </c>
      <c r="CE5" s="688">
        <f>CD5-CC5</f>
        <v>0</v>
      </c>
      <c r="CF5" s="684">
        <f>CF72/1.17</f>
        <v>2991.4529914529917</v>
      </c>
      <c r="CG5" s="686">
        <f>CG72/1.17</f>
        <v>3418.8034188034189</v>
      </c>
      <c r="CH5" s="685">
        <f>CH72/1.17</f>
        <v>3418.8034188034189</v>
      </c>
      <c r="CI5" s="688">
        <f>CH5-CG5</f>
        <v>0</v>
      </c>
      <c r="CJ5" s="506">
        <f>BX5+CB5+CF5</f>
        <v>13076.923076923078</v>
      </c>
      <c r="CK5" s="507"/>
      <c r="CL5" s="507">
        <f t="shared" ref="CL5:CM8" si="8">BY5+CC5+CG5</f>
        <v>13675.213675213676</v>
      </c>
      <c r="CM5" s="632">
        <f t="shared" si="8"/>
        <v>12658.319692307694</v>
      </c>
      <c r="CN5" s="507">
        <f>CM5-CJ5</f>
        <v>-418.60338461538413</v>
      </c>
      <c r="CO5" s="593"/>
      <c r="CP5" s="509">
        <f>CM5-CL5</f>
        <v>-1016.8939829059818</v>
      </c>
      <c r="CQ5" s="496">
        <f>SUM(BQ5,CJ5)</f>
        <v>31025.641025641027</v>
      </c>
      <c r="CR5" s="548"/>
      <c r="CS5" s="1330">
        <f>BS5+CL5</f>
        <v>30512.820512820515</v>
      </c>
      <c r="CT5" s="526">
        <f>SUM(BT5,CM5)</f>
        <v>28771.993914529918</v>
      </c>
      <c r="CU5" s="523">
        <f>CT5-CQ5</f>
        <v>-2253.6471111111096</v>
      </c>
      <c r="CV5" s="1331"/>
      <c r="CW5" s="631">
        <f>CT5-CS5</f>
        <v>-1740.8265982905978</v>
      </c>
      <c r="CX5" s="689"/>
      <c r="CY5" s="690"/>
      <c r="CZ5" s="1385"/>
      <c r="DA5" s="1385"/>
      <c r="DB5" s="1385"/>
      <c r="DC5" s="510"/>
      <c r="DD5" s="510"/>
    </row>
    <row r="6" spans="1:108">
      <c r="A6" s="992"/>
      <c r="B6" s="622"/>
      <c r="C6" s="616" t="s">
        <v>321</v>
      </c>
      <c r="D6" s="654"/>
      <c r="E6" s="691"/>
      <c r="F6" s="685"/>
      <c r="G6" s="685"/>
      <c r="H6" s="528"/>
      <c r="I6" s="691">
        <f t="shared" si="0"/>
        <v>7735.0427350427353</v>
      </c>
      <c r="J6" s="685">
        <f t="shared" si="0"/>
        <v>1880.3418803418804</v>
      </c>
      <c r="K6" s="685">
        <f t="shared" si="0"/>
        <v>146.76239316239315</v>
      </c>
      <c r="L6" s="528">
        <f>K6-J6</f>
        <v>-1733.5794871794872</v>
      </c>
      <c r="M6" s="691">
        <f t="shared" si="1"/>
        <v>7735.0427350427353</v>
      </c>
      <c r="N6" s="685">
        <f t="shared" si="1"/>
        <v>854.70085470085473</v>
      </c>
      <c r="O6" s="685">
        <f t="shared" si="1"/>
        <v>1746.1512820512821</v>
      </c>
      <c r="P6" s="528">
        <f>O6-N6</f>
        <v>891.45042735042739</v>
      </c>
      <c r="Q6" s="692">
        <f>E6+I6+M6</f>
        <v>15470.085470085471</v>
      </c>
      <c r="R6" s="693">
        <f>R73/1.17</f>
        <v>27059.829059829062</v>
      </c>
      <c r="S6" s="626">
        <f>G6+J6+N6</f>
        <v>2735.0427350427353</v>
      </c>
      <c r="T6" s="626">
        <f>G6+K6+O6</f>
        <v>1892.9136752136753</v>
      </c>
      <c r="U6" s="626">
        <f>T6-Q6</f>
        <v>-13577.171794871796</v>
      </c>
      <c r="V6" s="549">
        <f>T6-R6</f>
        <v>-25166.915384615386</v>
      </c>
      <c r="W6" s="550">
        <f>T6-S6</f>
        <v>-842.12905982906</v>
      </c>
      <c r="X6" s="691">
        <f t="shared" si="2"/>
        <v>15470.085470085471</v>
      </c>
      <c r="Y6" s="685">
        <f t="shared" si="2"/>
        <v>3418.8034188034189</v>
      </c>
      <c r="Z6" s="685">
        <f t="shared" si="2"/>
        <v>5883.7982905982908</v>
      </c>
      <c r="AA6" s="528">
        <f>Z6-Y6</f>
        <v>2464.9948717948719</v>
      </c>
      <c r="AB6" s="691">
        <f t="shared" si="3"/>
        <v>17777.777777777777</v>
      </c>
      <c r="AC6" s="685">
        <f t="shared" si="3"/>
        <v>7264.9572649572656</v>
      </c>
      <c r="AD6" s="685">
        <f t="shared" si="3"/>
        <v>5016.8307692307699</v>
      </c>
      <c r="AE6" s="694">
        <f>AD6-AC6</f>
        <v>-2248.1264957264957</v>
      </c>
      <c r="AF6" s="691">
        <f t="shared" si="4"/>
        <v>20256.410256410258</v>
      </c>
      <c r="AG6" s="685">
        <f t="shared" si="4"/>
        <v>10683.760683760684</v>
      </c>
      <c r="AH6" s="685">
        <f t="shared" si="4"/>
        <v>8301.1299145299145</v>
      </c>
      <c r="AI6" s="694">
        <f>AH6-AG6</f>
        <v>-2382.6307692307691</v>
      </c>
      <c r="AJ6" s="692">
        <f>X6+AB6+AF6</f>
        <v>53504.273504273508</v>
      </c>
      <c r="AK6" s="693">
        <f>AK73/1.17</f>
        <v>63247.86324786325</v>
      </c>
      <c r="AL6" s="626">
        <f t="shared" si="5"/>
        <v>21367.521367521367</v>
      </c>
      <c r="AM6" s="626">
        <f t="shared" si="5"/>
        <v>19201.758974358978</v>
      </c>
      <c r="AN6" s="627">
        <f>AM6-AJ6</f>
        <v>-34302.51452991453</v>
      </c>
      <c r="AO6" s="549">
        <f>AM6-AK6</f>
        <v>-44046.104273504272</v>
      </c>
      <c r="AP6" s="694">
        <f>AO6-AN6</f>
        <v>-9743.5897435897423</v>
      </c>
      <c r="AQ6" s="692">
        <f>SUM(Q6,AJ6)</f>
        <v>68974.358974358984</v>
      </c>
      <c r="AR6" s="693">
        <f>AR73/1.17</f>
        <v>90307.692307692312</v>
      </c>
      <c r="AS6" s="578">
        <f>S6+AL6</f>
        <v>24102.564102564102</v>
      </c>
      <c r="AT6" s="530">
        <f>SUM(T6,AM6)</f>
        <v>21094.672649572654</v>
      </c>
      <c r="AU6" s="640">
        <f>AT6-AQ6</f>
        <v>-47879.686324786329</v>
      </c>
      <c r="AV6" s="549">
        <f>AT6-AR6</f>
        <v>-69213.019658119651</v>
      </c>
      <c r="AW6" s="550">
        <f>AT6-AS6</f>
        <v>-3007.8914529914473</v>
      </c>
      <c r="AX6" s="695"/>
      <c r="AY6" s="696"/>
      <c r="AZ6" s="696"/>
      <c r="BA6" s="697"/>
      <c r="BD6" s="697"/>
      <c r="BE6" s="691">
        <f t="shared" si="6"/>
        <v>16666.666666666668</v>
      </c>
      <c r="BF6" s="685">
        <f t="shared" si="6"/>
        <v>16666.666666666668</v>
      </c>
      <c r="BG6" s="685">
        <f t="shared" si="6"/>
        <v>7120.1162393162394</v>
      </c>
      <c r="BH6" s="508">
        <f>BG6-BF6</f>
        <v>-9546.5504273504284</v>
      </c>
      <c r="BI6" s="691">
        <f t="shared" ref="BI6:BK8" si="9">BI73/1.17</f>
        <v>17948.717948717949</v>
      </c>
      <c r="BJ6" s="685">
        <f t="shared" si="9"/>
        <v>10256.410256410258</v>
      </c>
      <c r="BK6" s="685">
        <f t="shared" si="9"/>
        <v>8470.8367521367527</v>
      </c>
      <c r="BL6" s="508">
        <f>BK6-BJ6</f>
        <v>-1785.573504273505</v>
      </c>
      <c r="BM6" s="691">
        <f t="shared" ref="BM6:BO8" si="10">BM73/1.17</f>
        <v>17948.717948717949</v>
      </c>
      <c r="BN6" s="685">
        <f t="shared" si="10"/>
        <v>10256.410256410258</v>
      </c>
      <c r="BO6" s="685">
        <f t="shared" si="10"/>
        <v>7823.363247863248</v>
      </c>
      <c r="BP6" s="523">
        <f>BO6-BN6</f>
        <v>-2433.0470085470097</v>
      </c>
      <c r="BQ6" s="692">
        <f>BE6+BI6+BM6</f>
        <v>52564.102564102563</v>
      </c>
      <c r="BR6" s="721"/>
      <c r="BS6" s="507">
        <f t="shared" si="7"/>
        <v>37179.487179487187</v>
      </c>
      <c r="BT6" s="632">
        <f t="shared" si="7"/>
        <v>23414.316239316242</v>
      </c>
      <c r="BU6" s="632">
        <f>BT6-BQ6</f>
        <v>-29149.786324786321</v>
      </c>
      <c r="BV6" s="490"/>
      <c r="BW6" s="631">
        <f>BT6-BS6</f>
        <v>-13765.170940170945</v>
      </c>
      <c r="BX6" s="691">
        <f t="shared" ref="BX6:BZ8" si="11">BX73/1.17</f>
        <v>19316.239316239316</v>
      </c>
      <c r="BY6" s="685">
        <f t="shared" si="11"/>
        <v>11965.811965811967</v>
      </c>
      <c r="BZ6" s="685">
        <f t="shared" si="11"/>
        <v>7944.379487179488</v>
      </c>
      <c r="CA6" s="688">
        <f>BZ6-BY6</f>
        <v>-4021.4324786324787</v>
      </c>
      <c r="CB6" s="691">
        <f t="shared" ref="CB6:CD8" si="12">CB73/1.17</f>
        <v>13675.213675213676</v>
      </c>
      <c r="CC6" s="685">
        <f t="shared" si="12"/>
        <v>10256.410256410258</v>
      </c>
      <c r="CD6" s="685">
        <f t="shared" si="12"/>
        <v>10256.410256410258</v>
      </c>
      <c r="CE6" s="688">
        <f>CD6-CC6</f>
        <v>0</v>
      </c>
      <c r="CF6" s="691">
        <f t="shared" ref="CF6:CH8" si="13">CF73/1.17</f>
        <v>8547.0085470085469</v>
      </c>
      <c r="CG6" s="685">
        <f t="shared" si="13"/>
        <v>7692.3076923076924</v>
      </c>
      <c r="CH6" s="685">
        <f t="shared" si="13"/>
        <v>7692.3076923076924</v>
      </c>
      <c r="CI6" s="688">
        <f>CH6-CG6</f>
        <v>0</v>
      </c>
      <c r="CJ6" s="692">
        <f>BX6+CB6+CF6</f>
        <v>41538.461538461539</v>
      </c>
      <c r="CK6" s="721"/>
      <c r="CL6" s="507">
        <f t="shared" si="8"/>
        <v>29914.529914529918</v>
      </c>
      <c r="CM6" s="632">
        <f t="shared" si="8"/>
        <v>25893.097435897438</v>
      </c>
      <c r="CN6" s="507">
        <f>CM6-CJ6</f>
        <v>-15645.364102564101</v>
      </c>
      <c r="CO6" s="593"/>
      <c r="CP6" s="509">
        <f>CM6-CL6</f>
        <v>-4021.4324786324796</v>
      </c>
      <c r="CQ6" s="692">
        <f>SUM(BQ6,CJ6)</f>
        <v>94102.564102564094</v>
      </c>
      <c r="CR6" s="927"/>
      <c r="CS6" s="512">
        <f>BS6+CL6</f>
        <v>67094.017094017108</v>
      </c>
      <c r="CT6" s="526">
        <f>SUM(BT6,CM6)</f>
        <v>49307.413675213684</v>
      </c>
      <c r="CU6" s="523">
        <f>CT6-CQ6</f>
        <v>-44795.150427350411</v>
      </c>
      <c r="CV6" s="1331"/>
      <c r="CW6" s="631">
        <f>CT6-CS6</f>
        <v>-17786.603418803425</v>
      </c>
      <c r="CX6" s="695"/>
      <c r="CY6" s="696"/>
      <c r="CZ6" s="723"/>
      <c r="DA6" s="556"/>
      <c r="DB6" s="723"/>
      <c r="DC6" s="493"/>
      <c r="DD6" s="697"/>
    </row>
    <row r="7" spans="1:108">
      <c r="A7" s="992"/>
      <c r="B7" s="622"/>
      <c r="C7" s="492" t="s">
        <v>315</v>
      </c>
      <c r="D7" s="666"/>
      <c r="E7" s="691"/>
      <c r="F7" s="685"/>
      <c r="G7" s="685"/>
      <c r="H7" s="528"/>
      <c r="I7" s="691">
        <f t="shared" si="0"/>
        <v>3974.3589743589746</v>
      </c>
      <c r="J7" s="685">
        <f t="shared" si="0"/>
        <v>1470.0854700854702</v>
      </c>
      <c r="K7" s="685">
        <f t="shared" si="0"/>
        <v>0</v>
      </c>
      <c r="L7" s="528">
        <f>K7-J7</f>
        <v>-1470.0854700854702</v>
      </c>
      <c r="M7" s="691">
        <f t="shared" si="1"/>
        <v>3974.3589743589746</v>
      </c>
      <c r="N7" s="685">
        <f t="shared" si="1"/>
        <v>1452.9914529914531</v>
      </c>
      <c r="O7" s="685">
        <f t="shared" si="1"/>
        <v>33.230769230769234</v>
      </c>
      <c r="P7" s="528">
        <f>O7-N7</f>
        <v>-1419.7606837606838</v>
      </c>
      <c r="Q7" s="692">
        <f>E7+I7+M7</f>
        <v>7948.7179487179492</v>
      </c>
      <c r="R7" s="693">
        <f>R74/1.17</f>
        <v>14700.854700854701</v>
      </c>
      <c r="S7" s="626">
        <f>G7+J7+N7</f>
        <v>2923.0769230769233</v>
      </c>
      <c r="T7" s="626">
        <f>G7+K7+O7</f>
        <v>33.230769230769234</v>
      </c>
      <c r="U7" s="626">
        <f>T7-Q7</f>
        <v>-7915.4871794871797</v>
      </c>
      <c r="V7" s="549">
        <f>T7-R7</f>
        <v>-14667.623931623932</v>
      </c>
      <c r="W7" s="550">
        <f>T7-S7</f>
        <v>-2889.8461538461543</v>
      </c>
      <c r="X7" s="691">
        <f t="shared" si="2"/>
        <v>6495.7264957264961</v>
      </c>
      <c r="Y7" s="685">
        <f t="shared" si="2"/>
        <v>854.70085470085473</v>
      </c>
      <c r="Z7" s="685">
        <f t="shared" si="2"/>
        <v>221.66581196581197</v>
      </c>
      <c r="AA7" s="528">
        <f>Z7-Y7</f>
        <v>-633.03504273504279</v>
      </c>
      <c r="AB7" s="691">
        <f t="shared" si="3"/>
        <v>7863.2478632478633</v>
      </c>
      <c r="AC7" s="685">
        <f t="shared" si="3"/>
        <v>1709.4017094017095</v>
      </c>
      <c r="AD7" s="685">
        <f t="shared" si="3"/>
        <v>481.7034188034188</v>
      </c>
      <c r="AE7" s="694">
        <f>AD7-AC7</f>
        <v>-1227.6982905982907</v>
      </c>
      <c r="AF7" s="691">
        <f t="shared" si="4"/>
        <v>9213.6752136752148</v>
      </c>
      <c r="AG7" s="685">
        <f t="shared" si="4"/>
        <v>3418.8034188034189</v>
      </c>
      <c r="AH7" s="685">
        <f t="shared" si="4"/>
        <v>754.11196581196589</v>
      </c>
      <c r="AI7" s="694">
        <f>AH7-AG7</f>
        <v>-2664.6914529914529</v>
      </c>
      <c r="AJ7" s="692">
        <f>X7+AB7+AF7</f>
        <v>23572.649572649574</v>
      </c>
      <c r="AK7" s="693">
        <f>AK74/1.17</f>
        <v>34188.034188034188</v>
      </c>
      <c r="AL7" s="626">
        <f t="shared" si="5"/>
        <v>5982.9059829059834</v>
      </c>
      <c r="AM7" s="626">
        <f t="shared" si="5"/>
        <v>1457.4811965811966</v>
      </c>
      <c r="AN7" s="627">
        <f>AM7-AJ7</f>
        <v>-22115.168376068377</v>
      </c>
      <c r="AO7" s="549">
        <f>AM7-AK7</f>
        <v>-32730.552991452991</v>
      </c>
      <c r="AP7" s="694">
        <f>AO7-AN7</f>
        <v>-10615.384615384613</v>
      </c>
      <c r="AQ7" s="692">
        <f>SUM(Q7,AJ7)</f>
        <v>31521.367521367523</v>
      </c>
      <c r="AR7" s="693">
        <f>AR74/1.17</f>
        <v>48888.888888888891</v>
      </c>
      <c r="AS7" s="578">
        <f>S7+AL7</f>
        <v>8905.9829059829062</v>
      </c>
      <c r="AT7" s="530">
        <f>SUM(T7,AM7)</f>
        <v>1490.7119658119659</v>
      </c>
      <c r="AU7" s="640">
        <f>AT7-AQ7</f>
        <v>-30030.655555555557</v>
      </c>
      <c r="AV7" s="549">
        <f>AT7-AR7</f>
        <v>-47398.176923076928</v>
      </c>
      <c r="AW7" s="550">
        <f>AT7-AS7</f>
        <v>-7415.2709401709399</v>
      </c>
      <c r="AX7" s="695"/>
      <c r="AY7" s="696"/>
      <c r="AZ7" s="696"/>
      <c r="BA7" s="697"/>
      <c r="BD7" s="697"/>
      <c r="BE7" s="691">
        <f t="shared" si="6"/>
        <v>5982.9059829059834</v>
      </c>
      <c r="BF7" s="685">
        <f t="shared" si="6"/>
        <v>5982.9059829059834</v>
      </c>
      <c r="BG7" s="685">
        <f t="shared" si="6"/>
        <v>884.41965811965815</v>
      </c>
      <c r="BH7" s="508">
        <f>BG7-BF7</f>
        <v>-5098.486324786325</v>
      </c>
      <c r="BI7" s="691">
        <f t="shared" si="9"/>
        <v>7692.3076923076924</v>
      </c>
      <c r="BJ7" s="685">
        <f t="shared" si="9"/>
        <v>1111.1111111111111</v>
      </c>
      <c r="BK7" s="685">
        <f t="shared" si="9"/>
        <v>428.98547008547013</v>
      </c>
      <c r="BL7" s="508">
        <f>BK7-BJ7</f>
        <v>-682.12564102564102</v>
      </c>
      <c r="BM7" s="691">
        <f t="shared" si="10"/>
        <v>7606.8376068376074</v>
      </c>
      <c r="BN7" s="685">
        <f t="shared" si="10"/>
        <v>1623.931623931624</v>
      </c>
      <c r="BO7" s="685">
        <f t="shared" si="10"/>
        <v>1092.8256410256411</v>
      </c>
      <c r="BP7" s="523">
        <f>BO7-BN7</f>
        <v>-531.10598290598296</v>
      </c>
      <c r="BQ7" s="692">
        <f>BE7+BI7+BM7</f>
        <v>21282.051282051281</v>
      </c>
      <c r="BR7" s="721"/>
      <c r="BS7" s="507">
        <f t="shared" si="7"/>
        <v>8717.9487179487187</v>
      </c>
      <c r="BT7" s="632">
        <f t="shared" si="7"/>
        <v>2406.2307692307695</v>
      </c>
      <c r="BU7" s="632">
        <f>BT7-BQ7</f>
        <v>-18875.820512820512</v>
      </c>
      <c r="BV7" s="490"/>
      <c r="BW7" s="631">
        <f>BT7-BS7</f>
        <v>-6311.7179487179492</v>
      </c>
      <c r="BX7" s="691">
        <f t="shared" si="11"/>
        <v>7692.3076923076924</v>
      </c>
      <c r="BY7" s="685">
        <f t="shared" si="11"/>
        <v>1709.4017094017095</v>
      </c>
      <c r="BZ7" s="685">
        <f t="shared" si="11"/>
        <v>705.09914529914533</v>
      </c>
      <c r="CA7" s="688">
        <f>BZ7-BY7</f>
        <v>-1004.3025641025641</v>
      </c>
      <c r="CB7" s="691">
        <f t="shared" si="12"/>
        <v>5982.9059829059834</v>
      </c>
      <c r="CC7" s="685">
        <f t="shared" si="12"/>
        <v>1709.4017094017095</v>
      </c>
      <c r="CD7" s="685">
        <f t="shared" si="12"/>
        <v>1709.4017094017095</v>
      </c>
      <c r="CE7" s="688">
        <f>CD7-CC7</f>
        <v>0</v>
      </c>
      <c r="CF7" s="691">
        <f t="shared" si="13"/>
        <v>3760.6837606837607</v>
      </c>
      <c r="CG7" s="685">
        <f t="shared" si="13"/>
        <v>1196.5811965811968</v>
      </c>
      <c r="CH7" s="685">
        <f t="shared" si="13"/>
        <v>1196.5811965811968</v>
      </c>
      <c r="CI7" s="688">
        <f>CH7-CG7</f>
        <v>0</v>
      </c>
      <c r="CJ7" s="692">
        <f>BX7+CB7+CF7</f>
        <v>17435.897435897437</v>
      </c>
      <c r="CK7" s="721"/>
      <c r="CL7" s="507">
        <f t="shared" si="8"/>
        <v>4615.3846153846152</v>
      </c>
      <c r="CM7" s="632">
        <f t="shared" si="8"/>
        <v>3611.0820512820515</v>
      </c>
      <c r="CN7" s="507">
        <f>CM7-CJ7</f>
        <v>-13824.815384615385</v>
      </c>
      <c r="CO7" s="593"/>
      <c r="CP7" s="509">
        <f>CM7-CL7</f>
        <v>-1004.3025641025638</v>
      </c>
      <c r="CQ7" s="692">
        <f>SUM(BQ7,CJ7)</f>
        <v>38717.948717948719</v>
      </c>
      <c r="CR7" s="927"/>
      <c r="CS7" s="512">
        <f>BS7+CL7</f>
        <v>13333.333333333334</v>
      </c>
      <c r="CT7" s="526">
        <f>SUM(BT7,CM7)</f>
        <v>6017.3128205128214</v>
      </c>
      <c r="CU7" s="523">
        <f>CT7-CQ7</f>
        <v>-32700.635897435895</v>
      </c>
      <c r="CV7" s="1331"/>
      <c r="CW7" s="631">
        <f>CT7-CS7</f>
        <v>-7316.0205128205125</v>
      </c>
      <c r="CX7" s="695"/>
      <c r="CY7" s="696"/>
      <c r="CZ7" s="723"/>
      <c r="DA7" s="556"/>
      <c r="DB7" s="723"/>
      <c r="DC7" s="493"/>
      <c r="DD7" s="697"/>
    </row>
    <row r="8" spans="1:108">
      <c r="A8" s="992"/>
      <c r="B8" s="1416" t="s">
        <v>322</v>
      </c>
      <c r="C8" s="1417"/>
      <c r="D8" s="993"/>
      <c r="E8" s="698">
        <f>E75/1.17</f>
        <v>54529.914529914531</v>
      </c>
      <c r="F8" s="699">
        <f>F75/1.17</f>
        <v>54529.914529914531</v>
      </c>
      <c r="G8" s="699">
        <f>G75/1.17</f>
        <v>72900.450427350428</v>
      </c>
      <c r="H8" s="508">
        <f>G8-F8</f>
        <v>18370.535897435897</v>
      </c>
      <c r="I8" s="698">
        <f t="shared" si="0"/>
        <v>60683.760683760687</v>
      </c>
      <c r="J8" s="699">
        <f t="shared" si="0"/>
        <v>68376.068376068375</v>
      </c>
      <c r="K8" s="699">
        <f t="shared" si="0"/>
        <v>72888.410974358994</v>
      </c>
      <c r="L8" s="508">
        <f>K8-J8</f>
        <v>4512.3425982906192</v>
      </c>
      <c r="M8" s="698">
        <f t="shared" si="1"/>
        <v>60683.760683760687</v>
      </c>
      <c r="N8" s="699">
        <f t="shared" si="1"/>
        <v>79487.179487179499</v>
      </c>
      <c r="O8" s="699">
        <f t="shared" si="1"/>
        <v>71451.86028205129</v>
      </c>
      <c r="P8" s="508">
        <f>O8-N8</f>
        <v>-8035.3192051282094</v>
      </c>
      <c r="Q8" s="700">
        <f>E8+I8+M8</f>
        <v>175897.43589743591</v>
      </c>
      <c r="R8" s="696">
        <f>R75/1.17</f>
        <v>191025.64102564103</v>
      </c>
      <c r="S8" s="632">
        <f>G8+J8+N8</f>
        <v>220763.69829059829</v>
      </c>
      <c r="T8" s="632">
        <f>G8+K8+O8</f>
        <v>217240.72168376073</v>
      </c>
      <c r="U8" s="632">
        <f>T8-Q8</f>
        <v>41343.285786324821</v>
      </c>
      <c r="V8" s="490">
        <f>T8-R8</f>
        <v>26215.080658119696</v>
      </c>
      <c r="W8" s="701">
        <f>T8-S8</f>
        <v>-3522.9766068375611</v>
      </c>
      <c r="X8" s="698">
        <f t="shared" si="2"/>
        <v>60683.760683760687</v>
      </c>
      <c r="Y8" s="699">
        <f t="shared" si="2"/>
        <v>72649.572649572656</v>
      </c>
      <c r="Z8" s="699">
        <f t="shared" si="2"/>
        <v>86652.401641025644</v>
      </c>
      <c r="AA8" s="508">
        <f>Z8-Y8</f>
        <v>14002.828991452989</v>
      </c>
      <c r="AB8" s="698">
        <f t="shared" si="3"/>
        <v>66752.13675213675</v>
      </c>
      <c r="AC8" s="699">
        <f t="shared" si="3"/>
        <v>68376.068376068375</v>
      </c>
      <c r="AD8" s="699">
        <f t="shared" si="3"/>
        <v>72981.156777777767</v>
      </c>
      <c r="AE8" s="688">
        <f>AD8-AC8</f>
        <v>4605.0884017093922</v>
      </c>
      <c r="AF8" s="698">
        <f t="shared" si="4"/>
        <v>72820.512820512828</v>
      </c>
      <c r="AG8" s="699">
        <f t="shared" si="4"/>
        <v>68376.068376068375</v>
      </c>
      <c r="AH8" s="699">
        <f t="shared" si="4"/>
        <v>73935.713478632475</v>
      </c>
      <c r="AI8" s="688">
        <f>AH8-AG8</f>
        <v>5559.6451025640999</v>
      </c>
      <c r="AJ8" s="700">
        <f>X8+AB8+AF8</f>
        <v>200256.41025641025</v>
      </c>
      <c r="AK8" s="696">
        <f>AK75/1.17</f>
        <v>208205.12820512822</v>
      </c>
      <c r="AL8" s="632">
        <f t="shared" si="5"/>
        <v>209401.70940170941</v>
      </c>
      <c r="AM8" s="632">
        <f t="shared" si="5"/>
        <v>233569.27189743589</v>
      </c>
      <c r="AN8" s="507">
        <f>AM8-AJ8</f>
        <v>33312.861641025636</v>
      </c>
      <c r="AO8" s="490">
        <f>AM8-AK8</f>
        <v>25364.143692307669</v>
      </c>
      <c r="AP8" s="688">
        <f>AO8-AN8</f>
        <v>-7948.7179487179674</v>
      </c>
      <c r="AQ8" s="702">
        <f>SUM(Q8,AJ8)</f>
        <v>376153.84615384613</v>
      </c>
      <c r="AR8" s="696">
        <f>AR75/1.17</f>
        <v>399230.76923076925</v>
      </c>
      <c r="AS8" s="579">
        <f>S8+AL8</f>
        <v>430165.40769230772</v>
      </c>
      <c r="AT8" s="526">
        <f>SUM(T8,AM8)</f>
        <v>450809.99358119664</v>
      </c>
      <c r="AU8" s="523">
        <f>AT8-AQ8</f>
        <v>74656.147427350515</v>
      </c>
      <c r="AV8" s="490">
        <f>AT8-AR8</f>
        <v>51579.224350427394</v>
      </c>
      <c r="AW8" s="701">
        <f>AT8-AS8</f>
        <v>20644.58588888892</v>
      </c>
      <c r="AX8" s="695"/>
      <c r="AY8" s="696"/>
      <c r="AZ8" s="696"/>
      <c r="BA8" s="697"/>
      <c r="BD8" s="697"/>
      <c r="BE8" s="691">
        <f t="shared" si="6"/>
        <v>74017.094017094016</v>
      </c>
      <c r="BF8" s="685">
        <f t="shared" si="6"/>
        <v>74017.094017094016</v>
      </c>
      <c r="BG8" s="685">
        <f t="shared" si="6"/>
        <v>74129.278290598289</v>
      </c>
      <c r="BH8" s="508">
        <f>BG8-BF8</f>
        <v>112.18427350427373</v>
      </c>
      <c r="BI8" s="691">
        <f t="shared" si="9"/>
        <v>79487.179487179499</v>
      </c>
      <c r="BJ8" s="685">
        <f t="shared" si="9"/>
        <v>70940.170940170938</v>
      </c>
      <c r="BK8" s="685">
        <f t="shared" si="9"/>
        <v>68725.574606837603</v>
      </c>
      <c r="BL8" s="508">
        <f>BK8-BJ8</f>
        <v>-2214.5963333333348</v>
      </c>
      <c r="BM8" s="691">
        <f t="shared" si="10"/>
        <v>72649.572649572656</v>
      </c>
      <c r="BN8" s="685">
        <f t="shared" si="10"/>
        <v>70085.470085470093</v>
      </c>
      <c r="BO8" s="685">
        <f t="shared" si="10"/>
        <v>70561.341837606844</v>
      </c>
      <c r="BP8" s="523">
        <f>BO8-BN8</f>
        <v>475.87175213675073</v>
      </c>
      <c r="BQ8" s="692">
        <f>BE8+BI8+BM8</f>
        <v>226153.84615384616</v>
      </c>
      <c r="BR8" s="721"/>
      <c r="BS8" s="507">
        <f t="shared" si="7"/>
        <v>215042.73504273503</v>
      </c>
      <c r="BT8" s="632">
        <f t="shared" si="7"/>
        <v>213416.19473504275</v>
      </c>
      <c r="BU8" s="632">
        <f>BT8-BQ8</f>
        <v>-12737.651418803405</v>
      </c>
      <c r="BV8" s="490"/>
      <c r="BW8" s="631">
        <f>BT8-BS8</f>
        <v>-1626.5403076922812</v>
      </c>
      <c r="BX8" s="691">
        <f t="shared" si="11"/>
        <v>73846.153846153844</v>
      </c>
      <c r="BY8" s="685">
        <f t="shared" si="11"/>
        <v>73931.623931623937</v>
      </c>
      <c r="BZ8" s="685">
        <f t="shared" si="11"/>
        <v>75908.53185470085</v>
      </c>
      <c r="CA8" s="688">
        <f>BZ8-BY8</f>
        <v>1976.907923076913</v>
      </c>
      <c r="CB8" s="691">
        <f t="shared" si="12"/>
        <v>50683.760683760687</v>
      </c>
      <c r="CC8" s="685">
        <f t="shared" si="12"/>
        <v>50683.760683760687</v>
      </c>
      <c r="CD8" s="685">
        <f t="shared" si="12"/>
        <v>50683.760683760687</v>
      </c>
      <c r="CE8" s="688">
        <f>CD8-CC8</f>
        <v>0</v>
      </c>
      <c r="CF8" s="691">
        <f t="shared" si="13"/>
        <v>31880.341880341883</v>
      </c>
      <c r="CG8" s="685">
        <f t="shared" si="13"/>
        <v>31965.811965811969</v>
      </c>
      <c r="CH8" s="685">
        <f t="shared" si="13"/>
        <v>31965.811965811969</v>
      </c>
      <c r="CI8" s="688">
        <f>CH8-CG8</f>
        <v>0</v>
      </c>
      <c r="CJ8" s="702">
        <f>BX8+CB8+CF8</f>
        <v>156410.25641025641</v>
      </c>
      <c r="CK8" s="721"/>
      <c r="CL8" s="507">
        <f t="shared" si="8"/>
        <v>156581.19658119659</v>
      </c>
      <c r="CM8" s="632">
        <f t="shared" si="8"/>
        <v>158558.10450427351</v>
      </c>
      <c r="CN8" s="507">
        <f>CM8-CJ8</f>
        <v>2147.8480940170994</v>
      </c>
      <c r="CO8" s="593"/>
      <c r="CP8" s="509">
        <f>CM8-CL8</f>
        <v>1976.907923076913</v>
      </c>
      <c r="CQ8" s="692">
        <f>SUM(BQ8,CJ8)</f>
        <v>382564.10256410256</v>
      </c>
      <c r="CR8" s="927"/>
      <c r="CS8" s="512">
        <f>BS8+CL8</f>
        <v>371623.93162393162</v>
      </c>
      <c r="CT8" s="526">
        <f>SUM(BT8,CM8)</f>
        <v>371974.29923931626</v>
      </c>
      <c r="CU8" s="523">
        <f>CT8-CQ8</f>
        <v>-10589.803324786306</v>
      </c>
      <c r="CV8" s="1331"/>
      <c r="CW8" s="631">
        <f>CT8-CS8</f>
        <v>350.36761538463179</v>
      </c>
      <c r="CX8" s="695"/>
      <c r="CY8" s="696"/>
      <c r="CZ8" s="723"/>
      <c r="DA8" s="556"/>
      <c r="DB8" s="723"/>
      <c r="DC8" s="493"/>
      <c r="DD8" s="697"/>
    </row>
    <row r="9" spans="1:108">
      <c r="A9" s="618"/>
      <c r="B9" s="991"/>
      <c r="C9" s="991"/>
      <c r="D9" s="621"/>
      <c r="E9" s="703"/>
      <c r="F9" s="704"/>
      <c r="G9" s="704"/>
      <c r="H9" s="705">
        <f>G10/F10</f>
        <v>1.4367622144846797</v>
      </c>
      <c r="I9" s="703"/>
      <c r="J9" s="704"/>
      <c r="K9" s="704"/>
      <c r="L9" s="1068">
        <f>K10/J10</f>
        <v>1.0343849029213485</v>
      </c>
      <c r="M9" s="703"/>
      <c r="N9" s="704"/>
      <c r="O9" s="704"/>
      <c r="P9" s="1068">
        <f>O10/N10</f>
        <v>0.90455125277227721</v>
      </c>
      <c r="Q9" s="515"/>
      <c r="R9" s="707"/>
      <c r="S9" s="596"/>
      <c r="T9" s="596"/>
      <c r="U9" s="1069">
        <f>T10/Q10</f>
        <v>1.2519854079947577</v>
      </c>
      <c r="V9" s="1070">
        <f>T10/R10</f>
        <v>1.1621227083941608</v>
      </c>
      <c r="W9" s="1071">
        <f>T10/S10</f>
        <v>0.97755465368178218</v>
      </c>
      <c r="X9" s="703"/>
      <c r="Y9" s="704"/>
      <c r="Z9" s="704"/>
      <c r="AA9" s="1068">
        <f>Z10/Y10</f>
        <v>1.2025185126376718</v>
      </c>
      <c r="AB9" s="703"/>
      <c r="AC9" s="706"/>
      <c r="AD9" s="704"/>
      <c r="AE9" s="1073">
        <f>AD10/AC10</f>
        <v>1.0469353415158369</v>
      </c>
      <c r="AF9" s="703"/>
      <c r="AG9" s="706"/>
      <c r="AH9" s="704"/>
      <c r="AI9" s="1073">
        <f>AH10/AG10</f>
        <v>1.0472335281321183</v>
      </c>
      <c r="AJ9" s="515"/>
      <c r="AK9" s="707"/>
      <c r="AL9" s="596"/>
      <c r="AM9" s="596"/>
      <c r="AN9" s="1074">
        <f>AM10/AJ10</f>
        <v>1.1399293857087676</v>
      </c>
      <c r="AO9" s="1070">
        <f>AM10/AK10</f>
        <v>1.1004016329604771</v>
      </c>
      <c r="AP9" s="1075">
        <f>AM10/AL10</f>
        <v>1.1004022237804629</v>
      </c>
      <c r="AQ9" s="513"/>
      <c r="AR9" s="707"/>
      <c r="AS9" s="514"/>
      <c r="AT9" s="514"/>
      <c r="AU9" s="1076">
        <f>AT10/AQ10</f>
        <v>1.1925116397088968</v>
      </c>
      <c r="AV9" s="1070">
        <f>AT10/AR10</f>
        <v>1.1299673229409479</v>
      </c>
      <c r="AW9" s="1075">
        <f>AT10/AS10</f>
        <v>1.0362473585838325</v>
      </c>
      <c r="AX9" s="708"/>
      <c r="AY9" s="709"/>
      <c r="AZ9" s="709"/>
      <c r="BA9" s="516"/>
      <c r="BB9" s="516"/>
      <c r="BC9" s="516"/>
      <c r="BD9" s="516"/>
      <c r="BE9" s="703"/>
      <c r="BF9" s="704"/>
      <c r="BG9" s="704"/>
      <c r="BH9" s="1068">
        <f>BG10/BF10</f>
        <v>1.0014542924050631</v>
      </c>
      <c r="BI9" s="703"/>
      <c r="BJ9" s="704"/>
      <c r="BK9" s="704"/>
      <c r="BL9" s="1068">
        <f>BK10/BJ10</f>
        <v>0.96706037525423727</v>
      </c>
      <c r="BM9" s="703"/>
      <c r="BN9" s="706"/>
      <c r="BO9" s="704"/>
      <c r="BP9" s="1068">
        <f>BO10/BN10</f>
        <v>1.00030950625</v>
      </c>
      <c r="BQ9" s="515"/>
      <c r="BR9" s="1332"/>
      <c r="BS9" s="1332"/>
      <c r="BT9" s="596"/>
      <c r="BU9" s="1069">
        <f>BT10/BQ10</f>
        <v>0.94030093375350143</v>
      </c>
      <c r="BV9" s="1070"/>
      <c r="BW9" s="1071">
        <f>BT10/BS10</f>
        <v>0.98986342307408781</v>
      </c>
      <c r="BX9" s="703"/>
      <c r="BY9" s="706"/>
      <c r="BZ9" s="704"/>
      <c r="CA9" s="1072">
        <f>BZ10/BY10</f>
        <v>1.0120130086631014</v>
      </c>
      <c r="CB9" s="703"/>
      <c r="CC9" s="706"/>
      <c r="CD9" s="704"/>
      <c r="CE9" s="1073">
        <f>CD10/CC10</f>
        <v>1</v>
      </c>
      <c r="CF9" s="703"/>
      <c r="CG9" s="706"/>
      <c r="CH9" s="704"/>
      <c r="CI9" s="1073">
        <f>CH10/CG10</f>
        <v>1</v>
      </c>
      <c r="CJ9" s="515"/>
      <c r="CK9" s="1332"/>
      <c r="CL9" s="1332"/>
      <c r="CM9" s="596"/>
      <c r="CN9" s="1074">
        <f>CM10/CJ10</f>
        <v>1.0102028053958647</v>
      </c>
      <c r="CO9" s="1074"/>
      <c r="CP9" s="1075">
        <f>CM10/CL10</f>
        <v>1.0056386360943774</v>
      </c>
      <c r="CQ9" s="513"/>
      <c r="CR9" s="1333"/>
      <c r="CS9" s="1333"/>
      <c r="CT9" s="514"/>
      <c r="CU9" s="1076">
        <f>CT10/CQ10</f>
        <v>0.96894640006199628</v>
      </c>
      <c r="CV9" s="1076"/>
      <c r="CW9" s="1075">
        <f>CT10/CS10</f>
        <v>0.99654232303931989</v>
      </c>
      <c r="CX9" s="708"/>
      <c r="CY9" s="709"/>
      <c r="CZ9" s="555"/>
      <c r="DA9" s="555"/>
      <c r="DB9" s="555"/>
      <c r="DC9" s="516"/>
      <c r="DD9" s="516"/>
    </row>
    <row r="10" spans="1:108">
      <c r="A10" s="647" t="s">
        <v>323</v>
      </c>
      <c r="B10" s="661"/>
      <c r="C10" s="661"/>
      <c r="D10" s="660"/>
      <c r="E10" s="710">
        <f t="shared" ref="E10:G12" si="14">E77/1.17</f>
        <v>60512.820512820515</v>
      </c>
      <c r="F10" s="711">
        <f>F77/1.17</f>
        <v>61367.521367521374</v>
      </c>
      <c r="G10" s="711">
        <f t="shared" si="14"/>
        <v>88170.535897435911</v>
      </c>
      <c r="H10" s="521">
        <f>G10-F10</f>
        <v>26803.014529914537</v>
      </c>
      <c r="I10" s="710">
        <f t="shared" ref="I10:K12" si="15">I77/1.17</f>
        <v>67264.957264957266</v>
      </c>
      <c r="J10" s="711">
        <f t="shared" si="15"/>
        <v>76068.376068376077</v>
      </c>
      <c r="K10" s="711">
        <f t="shared" si="15"/>
        <v>78683.979794871819</v>
      </c>
      <c r="L10" s="521">
        <f>K10-J10</f>
        <v>2615.6037264957413</v>
      </c>
      <c r="M10" s="710">
        <f t="shared" ref="M10:O12" si="16">M77/1.17</f>
        <v>67863.247863247874</v>
      </c>
      <c r="N10" s="711">
        <f t="shared" si="16"/>
        <v>86324.786324786328</v>
      </c>
      <c r="O10" s="711">
        <f t="shared" si="16"/>
        <v>78085.193615384618</v>
      </c>
      <c r="P10" s="521">
        <f>O10-N10</f>
        <v>-8239.5927094017097</v>
      </c>
      <c r="Q10" s="713">
        <f>E10+I10+M10</f>
        <v>195641.02564102566</v>
      </c>
      <c r="R10" s="714">
        <f>R77/1.17</f>
        <v>210769.23076923078</v>
      </c>
      <c r="S10" s="715">
        <f>G10+J10+N10</f>
        <v>250563.69829059829</v>
      </c>
      <c r="T10" s="520">
        <f>G10+K10+O10</f>
        <v>244939.70930769236</v>
      </c>
      <c r="U10" s="518">
        <f>T10-Q10</f>
        <v>49298.683666666708</v>
      </c>
      <c r="V10" s="517">
        <f t="shared" ref="V10:V31" si="17">T10-R10</f>
        <v>34170.478538461583</v>
      </c>
      <c r="W10" s="521">
        <f>T10-S10</f>
        <v>-5623.9889829059248</v>
      </c>
      <c r="X10" s="710">
        <f t="shared" ref="X10:Z12" si="18">X77/1.17</f>
        <v>67863.247863247874</v>
      </c>
      <c r="Y10" s="711">
        <f t="shared" si="18"/>
        <v>78632.355555555565</v>
      </c>
      <c r="Z10" s="711">
        <f t="shared" si="18"/>
        <v>94556.86324786325</v>
      </c>
      <c r="AA10" s="521">
        <f>Z10-Y10</f>
        <v>15924.507692307685</v>
      </c>
      <c r="AB10" s="710">
        <f t="shared" ref="AB10:AD12" si="19">AB77/1.17</f>
        <v>73931.623931623937</v>
      </c>
      <c r="AC10" s="712">
        <f t="shared" si="19"/>
        <v>75555.555555555562</v>
      </c>
      <c r="AD10" s="711">
        <f t="shared" si="19"/>
        <v>79101.781358974345</v>
      </c>
      <c r="AE10" s="716">
        <f>AD10-AC10</f>
        <v>3546.2258034187835</v>
      </c>
      <c r="AF10" s="710">
        <f t="shared" ref="AF10:AH12" si="20">AF77/1.17</f>
        <v>79487.179487179499</v>
      </c>
      <c r="AG10" s="712">
        <f t="shared" si="20"/>
        <v>75042.735042735047</v>
      </c>
      <c r="AH10" s="711">
        <f t="shared" si="20"/>
        <v>78587.268179487175</v>
      </c>
      <c r="AI10" s="716">
        <f>AH10-AG10</f>
        <v>3544.5331367521285</v>
      </c>
      <c r="AJ10" s="713">
        <f>X10+AB10+AF10</f>
        <v>221282.05128205131</v>
      </c>
      <c r="AK10" s="714">
        <f>AK77/1.17</f>
        <v>229230.76923076925</v>
      </c>
      <c r="AL10" s="715">
        <f>Y10+AC10+AG10</f>
        <v>229230.64615384617</v>
      </c>
      <c r="AM10" s="520">
        <f t="shared" ref="AL10:AM12" si="21">Z10+AD10+AH10</f>
        <v>252245.91278632477</v>
      </c>
      <c r="AN10" s="536">
        <f>AM10-AJ10</f>
        <v>30963.86150427346</v>
      </c>
      <c r="AO10" s="517">
        <f>AM10-AK10</f>
        <v>23015.143555555522</v>
      </c>
      <c r="AP10" s="521">
        <f>AM10-AL10</f>
        <v>23015.266632478597</v>
      </c>
      <c r="AQ10" s="519">
        <f>SUM(Q10,AJ10)</f>
        <v>416923.07692307699</v>
      </c>
      <c r="AR10" s="714">
        <f>AR77/1.17</f>
        <v>440000</v>
      </c>
      <c r="AS10" s="520">
        <f>S10+AL10</f>
        <v>479794.34444444446</v>
      </c>
      <c r="AT10" s="520">
        <f>SUM(T10,AM10)</f>
        <v>497185.6220940171</v>
      </c>
      <c r="AU10" s="517">
        <f>AT10-AQ10</f>
        <v>80262.54517094011</v>
      </c>
      <c r="AV10" s="517">
        <f t="shared" ref="AV10:AV29" si="22">AT10-AR10</f>
        <v>57185.622094017104</v>
      </c>
      <c r="AW10" s="521">
        <f>AT10-AS10</f>
        <v>17391.277649572643</v>
      </c>
      <c r="AX10" s="708">
        <f>AQ10/6</f>
        <v>69487.179487179499</v>
      </c>
      <c r="AY10" s="709">
        <f>AR10/6</f>
        <v>73333.333333333328</v>
      </c>
      <c r="AZ10" s="709">
        <f>AT10/6</f>
        <v>82864.270349002851</v>
      </c>
      <c r="BA10" s="1239">
        <f>AZ10/AX10</f>
        <v>1.1925116397088968</v>
      </c>
      <c r="BB10" s="516">
        <f>AZ10-AX10</f>
        <v>13377.090861823352</v>
      </c>
      <c r="BC10" s="516">
        <f>AZ10-AY10</f>
        <v>9530.9370156695222</v>
      </c>
      <c r="BD10" s="516">
        <f>AW10/6</f>
        <v>2898.546274928774</v>
      </c>
      <c r="BE10" s="710">
        <f t="shared" ref="BE10:BG12" si="23">BE77/1.17</f>
        <v>81025.641025641031</v>
      </c>
      <c r="BF10" s="711">
        <f t="shared" si="23"/>
        <v>81025.641025641031</v>
      </c>
      <c r="BG10" s="711">
        <f t="shared" si="23"/>
        <v>81143.475999999995</v>
      </c>
      <c r="BH10" s="521">
        <f>BG10-BF10</f>
        <v>117.83497435896425</v>
      </c>
      <c r="BI10" s="710">
        <f t="shared" ref="BI10:BK12" si="24">BI77/1.17</f>
        <v>85042.735042735047</v>
      </c>
      <c r="BJ10" s="711">
        <f t="shared" si="24"/>
        <v>75641.025641025641</v>
      </c>
      <c r="BK10" s="711">
        <f t="shared" si="24"/>
        <v>73149.438641025641</v>
      </c>
      <c r="BL10" s="521">
        <f>BK10-BJ10</f>
        <v>-2491.5869999999995</v>
      </c>
      <c r="BM10" s="710">
        <f t="shared" ref="BM10:BO12" si="25">BM77/1.17</f>
        <v>78034.188034188046</v>
      </c>
      <c r="BN10" s="712">
        <f t="shared" si="25"/>
        <v>75213.675213675218</v>
      </c>
      <c r="BO10" s="711">
        <f t="shared" si="25"/>
        <v>75236.954316239324</v>
      </c>
      <c r="BP10" s="521">
        <f>BO10-BN10</f>
        <v>23.279102564105415</v>
      </c>
      <c r="BQ10" s="713">
        <f>BE10+BI10+BM10</f>
        <v>244102.56410256412</v>
      </c>
      <c r="BR10" s="714"/>
      <c r="BS10" s="714">
        <f t="shared" ref="BS10:BT12" si="26">BF10+BJ10+BN10</f>
        <v>231880.3418803419</v>
      </c>
      <c r="BT10" s="520">
        <f t="shared" si="26"/>
        <v>229529.86895726499</v>
      </c>
      <c r="BU10" s="518">
        <f>BT10-BQ10</f>
        <v>-14572.695145299134</v>
      </c>
      <c r="BV10" s="517"/>
      <c r="BW10" s="521">
        <f>BT10-BS10</f>
        <v>-2350.4729230769153</v>
      </c>
      <c r="BX10" s="710">
        <f t="shared" ref="BX10:BZ12" si="27">BX77/1.17</f>
        <v>79230.769230769234</v>
      </c>
      <c r="BY10" s="712">
        <f t="shared" si="27"/>
        <v>79914.529914529921</v>
      </c>
      <c r="BZ10" s="711">
        <f t="shared" si="27"/>
        <v>80874.543854700853</v>
      </c>
      <c r="CA10" s="716">
        <f>BZ10-BY10</f>
        <v>960.01394017093116</v>
      </c>
      <c r="CB10" s="710">
        <f t="shared" ref="CB10:CD12" si="28">CB77/1.17</f>
        <v>55384.61538461539</v>
      </c>
      <c r="CC10" s="712">
        <f t="shared" si="28"/>
        <v>54957.264957264961</v>
      </c>
      <c r="CD10" s="711">
        <f t="shared" si="28"/>
        <v>54957.264957264961</v>
      </c>
      <c r="CE10" s="716">
        <f>CD10-CC10</f>
        <v>0</v>
      </c>
      <c r="CF10" s="710">
        <f t="shared" ref="CF10:CH12" si="29">CF77/1.17</f>
        <v>34871.794871794875</v>
      </c>
      <c r="CG10" s="712">
        <f t="shared" si="29"/>
        <v>35384.61538461539</v>
      </c>
      <c r="CH10" s="711">
        <f t="shared" si="29"/>
        <v>35384.61538461539</v>
      </c>
      <c r="CI10" s="716">
        <f>CH10-CG10</f>
        <v>0</v>
      </c>
      <c r="CJ10" s="713">
        <f>BX10+CB10+CF10</f>
        <v>169487.1794871795</v>
      </c>
      <c r="CK10" s="714"/>
      <c r="CL10" s="714">
        <f t="shared" ref="CL10:CM12" si="30">BY10+CC10+CG10</f>
        <v>170256.41025641025</v>
      </c>
      <c r="CM10" s="520">
        <f t="shared" si="30"/>
        <v>171216.42419658118</v>
      </c>
      <c r="CN10" s="536">
        <f>CM10-CJ10</f>
        <v>1729.2447094016825</v>
      </c>
      <c r="CO10" s="536"/>
      <c r="CP10" s="521">
        <f>CM10-CL10</f>
        <v>960.01394017093116</v>
      </c>
      <c r="CQ10" s="519">
        <f>SUM(BQ10,CJ10)</f>
        <v>413589.74358974362</v>
      </c>
      <c r="CR10" s="1334"/>
      <c r="CS10" s="1334">
        <f>BS10+CL10</f>
        <v>402136.75213675213</v>
      </c>
      <c r="CT10" s="520">
        <f>SUM(BT10,CM10)</f>
        <v>400746.29315384617</v>
      </c>
      <c r="CU10" s="517">
        <f>CT10-CQ10</f>
        <v>-12843.450435897452</v>
      </c>
      <c r="CV10" s="517"/>
      <c r="CW10" s="521">
        <f>CT10-CS10</f>
        <v>-1390.4589829059551</v>
      </c>
      <c r="CX10" s="708">
        <f>CQ10/6</f>
        <v>68931.623931623937</v>
      </c>
      <c r="CY10" s="709">
        <f>CT10/6</f>
        <v>66791.048858974362</v>
      </c>
      <c r="CZ10" s="1386">
        <f>CY10/CX10</f>
        <v>0.96894640006199628</v>
      </c>
      <c r="DA10" s="555">
        <f>CY10-CX10</f>
        <v>-2140.5750726495753</v>
      </c>
      <c r="DB10" s="555">
        <f>CW10/6</f>
        <v>-231.74316381765917</v>
      </c>
      <c r="DC10" s="516"/>
      <c r="DD10" s="516"/>
    </row>
    <row r="11" spans="1:108">
      <c r="A11" s="646"/>
      <c r="B11" s="662"/>
      <c r="C11" s="994" t="s">
        <v>324</v>
      </c>
      <c r="D11" s="995"/>
      <c r="E11" s="702">
        <f t="shared" si="14"/>
        <v>7675.2136752136757</v>
      </c>
      <c r="F11" s="717">
        <f>F78/1.17</f>
        <v>9743.5897435897441</v>
      </c>
      <c r="G11" s="717">
        <f t="shared" si="14"/>
        <v>9050.3504273504277</v>
      </c>
      <c r="H11" s="688">
        <f>G11-F11</f>
        <v>-693.23931623931639</v>
      </c>
      <c r="I11" s="702">
        <f t="shared" si="15"/>
        <v>8324.7863247863261</v>
      </c>
      <c r="J11" s="717">
        <f t="shared" si="15"/>
        <v>7307.6923076923085</v>
      </c>
      <c r="K11" s="717">
        <f t="shared" si="15"/>
        <v>10335.897435897437</v>
      </c>
      <c r="L11" s="688">
        <f>K11-J11</f>
        <v>3028.2051282051289</v>
      </c>
      <c r="M11" s="702">
        <f t="shared" si="16"/>
        <v>8333.3333333333339</v>
      </c>
      <c r="N11" s="717">
        <f t="shared" si="16"/>
        <v>7307.6923076923085</v>
      </c>
      <c r="O11" s="717">
        <f t="shared" si="16"/>
        <v>7231.0393162393175</v>
      </c>
      <c r="P11" s="688">
        <f>O11-N11</f>
        <v>-76.652991452991046</v>
      </c>
      <c r="Q11" s="718">
        <f>E11+I11+M11</f>
        <v>24333.333333333336</v>
      </c>
      <c r="R11" s="719">
        <f>R78/1.17</f>
        <v>25982.905982905984</v>
      </c>
      <c r="S11" s="720">
        <f>G11+J11+N11</f>
        <v>23665.735042735047</v>
      </c>
      <c r="T11" s="526">
        <f>G11+K11+O11</f>
        <v>26617.287179487183</v>
      </c>
      <c r="U11" s="699">
        <f>T11-Q11</f>
        <v>2283.9538461538468</v>
      </c>
      <c r="V11" s="717">
        <f t="shared" si="17"/>
        <v>634.38119658119831</v>
      </c>
      <c r="W11" s="688">
        <f>T11-S11</f>
        <v>2951.552136752136</v>
      </c>
      <c r="X11" s="702">
        <f t="shared" si="18"/>
        <v>7094.0170940170947</v>
      </c>
      <c r="Y11" s="717">
        <f t="shared" si="18"/>
        <v>6089.7435897435898</v>
      </c>
      <c r="Z11" s="717">
        <f t="shared" si="18"/>
        <v>7063.1025641025644</v>
      </c>
      <c r="AA11" s="688">
        <f>Z11-Y11</f>
        <v>973.35897435897459</v>
      </c>
      <c r="AB11" s="702">
        <f t="shared" si="19"/>
        <v>6581.196581196582</v>
      </c>
      <c r="AC11" s="699">
        <f t="shared" si="19"/>
        <v>4871.7948717948721</v>
      </c>
      <c r="AD11" s="717">
        <f t="shared" si="19"/>
        <v>5805.8752136752137</v>
      </c>
      <c r="AE11" s="688">
        <f>AD11-AC11</f>
        <v>934.08034188034162</v>
      </c>
      <c r="AF11" s="702">
        <f t="shared" si="20"/>
        <v>5452.9914529914531</v>
      </c>
      <c r="AG11" s="699">
        <f t="shared" si="20"/>
        <v>4384.6153846153848</v>
      </c>
      <c r="AH11" s="717">
        <f t="shared" si="20"/>
        <v>7569.305982905983</v>
      </c>
      <c r="AI11" s="688">
        <f>AH11-AG11</f>
        <v>3184.6905982905982</v>
      </c>
      <c r="AJ11" s="718">
        <f>X11+AB11+AF11</f>
        <v>19128.205128205129</v>
      </c>
      <c r="AK11" s="719">
        <f>AK78/1.17</f>
        <v>17478.63247863248</v>
      </c>
      <c r="AL11" s="720">
        <f t="shared" si="21"/>
        <v>15346.153846153846</v>
      </c>
      <c r="AM11" s="526">
        <f t="shared" si="21"/>
        <v>20438.28376068376</v>
      </c>
      <c r="AN11" s="721">
        <f>AM11-AJ11</f>
        <v>1310.0786324786313</v>
      </c>
      <c r="AO11" s="717">
        <f>AM11-AK11</f>
        <v>2959.6512820512798</v>
      </c>
      <c r="AP11" s="688">
        <f>AM11-AL11</f>
        <v>5092.1299145299145</v>
      </c>
      <c r="AQ11" s="525">
        <f>SUM(Q11,AJ11)</f>
        <v>43461.538461538468</v>
      </c>
      <c r="AR11" s="719">
        <f>AR78/1.17</f>
        <v>43461.538461538461</v>
      </c>
      <c r="AS11" s="526">
        <f>S11+AL11</f>
        <v>39011.888888888891</v>
      </c>
      <c r="AT11" s="526">
        <f>SUM(T11,AM11)</f>
        <v>47055.570940170946</v>
      </c>
      <c r="AU11" s="523">
        <f>AT11-AQ11</f>
        <v>3594.0324786324782</v>
      </c>
      <c r="AV11" s="717">
        <f t="shared" si="22"/>
        <v>3594.0324786324854</v>
      </c>
      <c r="AW11" s="508">
        <f>AT11-AS11</f>
        <v>8043.6820512820559</v>
      </c>
      <c r="AX11" s="722"/>
      <c r="AY11" s="723"/>
      <c r="AZ11" s="723"/>
      <c r="BE11" s="702">
        <f t="shared" si="23"/>
        <v>6529.9145299145302</v>
      </c>
      <c r="BF11" s="717">
        <f t="shared" si="23"/>
        <v>6529.9145299145302</v>
      </c>
      <c r="BG11" s="717">
        <f t="shared" si="23"/>
        <v>11464.528205128205</v>
      </c>
      <c r="BH11" s="688">
        <f>BG11-BF11</f>
        <v>4934.6136752136745</v>
      </c>
      <c r="BI11" s="702">
        <f t="shared" si="24"/>
        <v>5076.9230769230771</v>
      </c>
      <c r="BJ11" s="717">
        <f t="shared" si="24"/>
        <v>4316.2393162393164</v>
      </c>
      <c r="BK11" s="717">
        <f t="shared" si="24"/>
        <v>7162.0854700854698</v>
      </c>
      <c r="BL11" s="688">
        <f>BK11-BJ11</f>
        <v>2845.8461538461534</v>
      </c>
      <c r="BM11" s="702">
        <f t="shared" si="25"/>
        <v>6162.393162393163</v>
      </c>
      <c r="BN11" s="699">
        <f t="shared" si="25"/>
        <v>6162.393162393163</v>
      </c>
      <c r="BO11" s="717">
        <f t="shared" si="25"/>
        <v>7912.6188034188035</v>
      </c>
      <c r="BP11" s="688">
        <f>BO11-BN11</f>
        <v>1750.2256410256405</v>
      </c>
      <c r="BQ11" s="718">
        <f>BE11+BI11+BM11</f>
        <v>17769.23076923077</v>
      </c>
      <c r="BR11" s="719"/>
      <c r="BS11" s="719">
        <f t="shared" si="26"/>
        <v>17008.547008547012</v>
      </c>
      <c r="BT11" s="526">
        <f t="shared" si="26"/>
        <v>26539.232478632475</v>
      </c>
      <c r="BU11" s="699">
        <f>BT11-BQ11</f>
        <v>8770.0017094017057</v>
      </c>
      <c r="BV11" s="717"/>
      <c r="BW11" s="688">
        <f>BT11-BS11</f>
        <v>9530.6854700854637</v>
      </c>
      <c r="BX11" s="702">
        <f t="shared" si="27"/>
        <v>6615.3846153846162</v>
      </c>
      <c r="BY11" s="699">
        <f t="shared" si="27"/>
        <v>7606.8376068376074</v>
      </c>
      <c r="BZ11" s="717">
        <f t="shared" si="27"/>
        <v>7774.0042735042734</v>
      </c>
      <c r="CA11" s="688">
        <f>BZ11-BY11</f>
        <v>167.16666666666606</v>
      </c>
      <c r="CB11" s="702">
        <f t="shared" si="28"/>
        <v>5880.3418803418808</v>
      </c>
      <c r="CC11" s="699">
        <f t="shared" si="28"/>
        <v>7692.3076923076924</v>
      </c>
      <c r="CD11" s="717">
        <f t="shared" si="28"/>
        <v>5521.3675213675215</v>
      </c>
      <c r="CE11" s="688">
        <f>CD11-CC11</f>
        <v>-2170.9401709401709</v>
      </c>
      <c r="CF11" s="702">
        <f t="shared" si="29"/>
        <v>5521.3675213675215</v>
      </c>
      <c r="CG11" s="699">
        <f t="shared" si="29"/>
        <v>5521.3675213675215</v>
      </c>
      <c r="CH11" s="717">
        <f t="shared" si="29"/>
        <v>0</v>
      </c>
      <c r="CI11" s="688">
        <f>CH11-CG11</f>
        <v>-5521.3675213675215</v>
      </c>
      <c r="CJ11" s="718">
        <f>BX11+CB11+CF11</f>
        <v>18017.094017094016</v>
      </c>
      <c r="CK11" s="719"/>
      <c r="CL11" s="719">
        <f t="shared" si="30"/>
        <v>20820.51282051282</v>
      </c>
      <c r="CM11" s="526">
        <f t="shared" si="30"/>
        <v>13295.371794871795</v>
      </c>
      <c r="CN11" s="721">
        <f>CM11-CJ11</f>
        <v>-4721.7222222222208</v>
      </c>
      <c r="CO11" s="721"/>
      <c r="CP11" s="688">
        <f>CM11-CL11</f>
        <v>-7525.1410256410254</v>
      </c>
      <c r="CQ11" s="525">
        <f>SUM(BQ11,CJ11)</f>
        <v>35786.324786324782</v>
      </c>
      <c r="CR11" s="605"/>
      <c r="CS11" s="605">
        <f>BS11+CL11</f>
        <v>37829.059829059828</v>
      </c>
      <c r="CT11" s="526">
        <f>SUM(BT11,CM11)</f>
        <v>39834.604273504272</v>
      </c>
      <c r="CU11" s="523">
        <f>CT11-CQ11</f>
        <v>4048.2794871794904</v>
      </c>
      <c r="CV11" s="523"/>
      <c r="CW11" s="508">
        <f>CT11-CS11</f>
        <v>2005.5444444444438</v>
      </c>
      <c r="CX11" s="722"/>
      <c r="CY11" s="723"/>
      <c r="CZ11" s="556"/>
      <c r="DA11" s="556"/>
      <c r="DB11" s="556"/>
      <c r="DC11" s="493"/>
      <c r="DD11" s="493"/>
    </row>
    <row r="12" spans="1:108">
      <c r="A12" s="646"/>
      <c r="B12" s="662"/>
      <c r="C12" s="994" t="s">
        <v>325</v>
      </c>
      <c r="D12" s="996"/>
      <c r="E12" s="692">
        <f t="shared" si="14"/>
        <v>136008.54700854703</v>
      </c>
      <c r="F12" s="724">
        <f>F79/1.17</f>
        <v>185128.20512820513</v>
      </c>
      <c r="G12" s="724">
        <f t="shared" si="14"/>
        <v>202806.69230769231</v>
      </c>
      <c r="H12" s="694">
        <f>G12-F12</f>
        <v>17678.487179487187</v>
      </c>
      <c r="I12" s="692">
        <f t="shared" si="15"/>
        <v>150470.08547008547</v>
      </c>
      <c r="J12" s="724">
        <f t="shared" si="15"/>
        <v>236282.05128205131</v>
      </c>
      <c r="K12" s="724">
        <f t="shared" si="15"/>
        <v>244577.77777777778</v>
      </c>
      <c r="L12" s="694">
        <f>K12-J12</f>
        <v>8295.7264957264706</v>
      </c>
      <c r="M12" s="692">
        <f t="shared" si="16"/>
        <v>150470.08547008547</v>
      </c>
      <c r="N12" s="724">
        <f t="shared" si="16"/>
        <v>236282.05128205131</v>
      </c>
      <c r="O12" s="724">
        <f t="shared" si="16"/>
        <v>230923.73837606836</v>
      </c>
      <c r="P12" s="694">
        <f>O12-N12</f>
        <v>-5358.3129059829516</v>
      </c>
      <c r="Q12" s="725">
        <f>E12+I12+M12</f>
        <v>436948.717948718</v>
      </c>
      <c r="R12" s="726">
        <f>R79/1.17</f>
        <v>491965.811965812</v>
      </c>
      <c r="S12" s="727">
        <f>G12+J12+N12</f>
        <v>675370.79487179499</v>
      </c>
      <c r="T12" s="727">
        <f>G12+K12+O12</f>
        <v>678308.20846153842</v>
      </c>
      <c r="U12" s="685">
        <f>T12-Q12</f>
        <v>241359.49051282043</v>
      </c>
      <c r="V12" s="724">
        <f t="shared" si="17"/>
        <v>186342.39649572643</v>
      </c>
      <c r="W12" s="694">
        <f>T12-S12</f>
        <v>2937.4135897434317</v>
      </c>
      <c r="X12" s="692">
        <f t="shared" si="18"/>
        <v>126495.7264957265</v>
      </c>
      <c r="Y12" s="724">
        <f t="shared" si="18"/>
        <v>196901.70940170941</v>
      </c>
      <c r="Z12" s="724">
        <f t="shared" si="18"/>
        <v>194049.69059829062</v>
      </c>
      <c r="AA12" s="694">
        <f>Z12-Y12</f>
        <v>-2852.0188034187886</v>
      </c>
      <c r="AB12" s="692">
        <f t="shared" si="19"/>
        <v>119658.11965811967</v>
      </c>
      <c r="AC12" s="685">
        <f t="shared" si="19"/>
        <v>157521.36752136753</v>
      </c>
      <c r="AD12" s="724">
        <f t="shared" si="19"/>
        <v>157762.82230769232</v>
      </c>
      <c r="AE12" s="694">
        <f>AD12-AC12</f>
        <v>241.45478632478626</v>
      </c>
      <c r="AF12" s="692">
        <f t="shared" si="20"/>
        <v>97153.846153846156</v>
      </c>
      <c r="AG12" s="685">
        <f t="shared" si="20"/>
        <v>141769.23076923078</v>
      </c>
      <c r="AH12" s="724">
        <f t="shared" si="20"/>
        <v>136409.97435897437</v>
      </c>
      <c r="AI12" s="694">
        <f>AH12-AG12</f>
        <v>-5359.2564102564065</v>
      </c>
      <c r="AJ12" s="725">
        <f>X12+AB12+AF12</f>
        <v>343307.69230769237</v>
      </c>
      <c r="AK12" s="726">
        <f>AK79/1.17</f>
        <v>353247.86324786325</v>
      </c>
      <c r="AL12" s="727">
        <f t="shared" si="21"/>
        <v>496192.30769230775</v>
      </c>
      <c r="AM12" s="727">
        <f t="shared" si="21"/>
        <v>488222.48726495728</v>
      </c>
      <c r="AN12" s="693">
        <f>AM12-AJ12</f>
        <v>144914.79495726491</v>
      </c>
      <c r="AO12" s="724">
        <f t="shared" ref="AO12:AO29" si="31">AM12-AK12</f>
        <v>134974.62401709403</v>
      </c>
      <c r="AP12" s="694">
        <f>AM12-AL12</f>
        <v>-7969.8204273504671</v>
      </c>
      <c r="AQ12" s="529">
        <f>SUM(Q12,AJ12)</f>
        <v>780256.41025641037</v>
      </c>
      <c r="AR12" s="726">
        <f>AR79/1.17</f>
        <v>845213.67521367525</v>
      </c>
      <c r="AS12" s="727">
        <f>S12+AL12</f>
        <v>1171563.1025641027</v>
      </c>
      <c r="AT12" s="727">
        <f>SUM(T12,AM12)</f>
        <v>1166530.6957264957</v>
      </c>
      <c r="AU12" s="640">
        <f>AT12-AQ12</f>
        <v>386274.28547008533</v>
      </c>
      <c r="AV12" s="724">
        <f t="shared" si="22"/>
        <v>321317.02051282045</v>
      </c>
      <c r="AW12" s="528">
        <f>AT12-AS12</f>
        <v>-5032.4068376070354</v>
      </c>
      <c r="AX12" s="722"/>
      <c r="AY12" s="723"/>
      <c r="AZ12" s="723">
        <f>AT12/6</f>
        <v>194421.78262108262</v>
      </c>
      <c r="BE12" s="692">
        <f t="shared" si="23"/>
        <v>135393.16239316241</v>
      </c>
      <c r="BF12" s="724">
        <f t="shared" si="23"/>
        <v>135393.16239316241</v>
      </c>
      <c r="BG12" s="724">
        <f t="shared" si="23"/>
        <v>73433.021367521374</v>
      </c>
      <c r="BH12" s="694">
        <f>BG12-BF12</f>
        <v>-61960.141025641031</v>
      </c>
      <c r="BI12" s="692">
        <f t="shared" si="24"/>
        <v>105307.69230769231</v>
      </c>
      <c r="BJ12" s="724">
        <f t="shared" si="24"/>
        <v>89512.820512820515</v>
      </c>
      <c r="BK12" s="724">
        <f t="shared" si="24"/>
        <v>85742.417094017102</v>
      </c>
      <c r="BL12" s="694">
        <f>BK12-BJ12</f>
        <v>-3770.4034188034129</v>
      </c>
      <c r="BM12" s="692">
        <f t="shared" si="25"/>
        <v>127871.79487179487</v>
      </c>
      <c r="BN12" s="685">
        <f t="shared" si="25"/>
        <v>127871.79487179487</v>
      </c>
      <c r="BO12" s="724">
        <f t="shared" si="25"/>
        <v>116530.68547008547</v>
      </c>
      <c r="BP12" s="694">
        <f>BO12-BN12</f>
        <v>-11341.1094017094</v>
      </c>
      <c r="BQ12" s="725">
        <f>BE12+BI12+BM12</f>
        <v>368572.64957264962</v>
      </c>
      <c r="BR12" s="726"/>
      <c r="BS12" s="726">
        <f t="shared" si="26"/>
        <v>352777.77777777781</v>
      </c>
      <c r="BT12" s="727">
        <f t="shared" si="26"/>
        <v>275706.12393162394</v>
      </c>
      <c r="BU12" s="685">
        <f>BT12-BQ12</f>
        <v>-92866.525641025684</v>
      </c>
      <c r="BV12" s="724"/>
      <c r="BW12" s="694">
        <f>BT12-BS12</f>
        <v>-77071.653846153873</v>
      </c>
      <c r="BX12" s="692">
        <f t="shared" si="27"/>
        <v>135299.14529914531</v>
      </c>
      <c r="BY12" s="685">
        <f t="shared" si="27"/>
        <v>155598.29059829059</v>
      </c>
      <c r="BZ12" s="724">
        <f t="shared" si="27"/>
        <v>159151.21282051282</v>
      </c>
      <c r="CA12" s="694">
        <f>BZ12-BY12</f>
        <v>3552.9222222222306</v>
      </c>
      <c r="CB12" s="692">
        <f t="shared" si="28"/>
        <v>120264.95726495727</v>
      </c>
      <c r="CC12" s="685">
        <f t="shared" si="28"/>
        <v>158119.65811965812</v>
      </c>
      <c r="CD12" s="724">
        <f t="shared" si="28"/>
        <v>112752.13675213676</v>
      </c>
      <c r="CE12" s="694">
        <f>CD12-CC12</f>
        <v>-45367.52136752136</v>
      </c>
      <c r="CF12" s="692">
        <f t="shared" si="29"/>
        <v>112752.13675213676</v>
      </c>
      <c r="CG12" s="685">
        <f t="shared" si="29"/>
        <v>112752.13675213676</v>
      </c>
      <c r="CH12" s="724">
        <f t="shared" si="29"/>
        <v>81196.581196581203</v>
      </c>
      <c r="CI12" s="694">
        <f>CH12-CG12</f>
        <v>-31555.555555555562</v>
      </c>
      <c r="CJ12" s="725">
        <f>BX12+CB12+CF12</f>
        <v>368316.23931623931</v>
      </c>
      <c r="CK12" s="726"/>
      <c r="CL12" s="726">
        <f t="shared" si="30"/>
        <v>426470.0854700855</v>
      </c>
      <c r="CM12" s="727">
        <f t="shared" si="30"/>
        <v>353099.93076923076</v>
      </c>
      <c r="CN12" s="693">
        <f>CM12-CJ12</f>
        <v>-15216.30854700855</v>
      </c>
      <c r="CO12" s="693"/>
      <c r="CP12" s="694">
        <f>CM12-CL12</f>
        <v>-73370.154700854735</v>
      </c>
      <c r="CQ12" s="529">
        <f>SUM(BQ12,CJ12)</f>
        <v>736888.88888888899</v>
      </c>
      <c r="CR12" s="531"/>
      <c r="CS12" s="1335">
        <f>BS12+CL12</f>
        <v>779247.86324786325</v>
      </c>
      <c r="CT12" s="727">
        <f>SUM(BT12,CM12)</f>
        <v>628806.0547008547</v>
      </c>
      <c r="CU12" s="640">
        <f>CT12-CQ12</f>
        <v>-108082.83418803429</v>
      </c>
      <c r="CV12" s="640"/>
      <c r="CW12" s="528">
        <f>CT12-CS12</f>
        <v>-150441.80854700855</v>
      </c>
      <c r="CX12" s="722"/>
      <c r="CY12" s="723">
        <f>CT12/6</f>
        <v>104801.00911680912</v>
      </c>
      <c r="CZ12" s="556"/>
      <c r="DA12" s="556"/>
      <c r="DB12" s="556"/>
      <c r="DC12" s="493"/>
      <c r="DD12" s="493"/>
    </row>
    <row r="13" spans="1:108">
      <c r="A13" s="646"/>
      <c r="B13" s="662"/>
      <c r="C13" s="662"/>
      <c r="D13" s="619"/>
      <c r="E13" s="728"/>
      <c r="F13" s="729"/>
      <c r="G13" s="729"/>
      <c r="H13" s="705">
        <f>G14/F14</f>
        <v>1.1311699041666667</v>
      </c>
      <c r="I13" s="728"/>
      <c r="J13" s="729"/>
      <c r="K13" s="729"/>
      <c r="L13" s="1068">
        <f>K14/J14</f>
        <v>1.0290300000000001</v>
      </c>
      <c r="M13" s="728"/>
      <c r="N13" s="729"/>
      <c r="O13" s="729"/>
      <c r="P13" s="1068">
        <f>O14/N14</f>
        <v>1.0034684750999998</v>
      </c>
      <c r="Q13" s="535"/>
      <c r="R13" s="731"/>
      <c r="S13" s="732"/>
      <c r="T13" s="514"/>
      <c r="U13" s="1077">
        <f>T14/Q14</f>
        <v>1.5193626198793104</v>
      </c>
      <c r="V13" s="1070">
        <f>T14/R14</f>
        <v>1.3855822634119497</v>
      </c>
      <c r="W13" s="1068">
        <f>T14/S14</f>
        <v>1.0111873294136926</v>
      </c>
      <c r="X13" s="728"/>
      <c r="Y13" s="729"/>
      <c r="Z13" s="729"/>
      <c r="AA13" s="1068">
        <f>Z14/Y14</f>
        <v>1.0056082240000002</v>
      </c>
      <c r="AB13" s="728"/>
      <c r="AC13" s="730"/>
      <c r="AD13" s="729"/>
      <c r="AE13" s="1073">
        <f>AD14/AC14</f>
        <v>1.00197880965</v>
      </c>
      <c r="AF13" s="728"/>
      <c r="AG13" s="730"/>
      <c r="AH13" s="729"/>
      <c r="AI13" s="1073">
        <f>AH14/AG14</f>
        <v>1.0002121916666666</v>
      </c>
      <c r="AJ13" s="535"/>
      <c r="AK13" s="731"/>
      <c r="AL13" s="732"/>
      <c r="AM13" s="514"/>
      <c r="AN13" s="1074">
        <f>AM14/AJ14</f>
        <v>1.3735565487608696</v>
      </c>
      <c r="AO13" s="1070">
        <f>AM14/AK14</f>
        <v>1.3163250258958332</v>
      </c>
      <c r="AP13" s="1078">
        <f>AM14/AL14</f>
        <v>1.0029143054444445</v>
      </c>
      <c r="AQ13" s="535"/>
      <c r="AR13" s="731"/>
      <c r="AS13" s="532"/>
      <c r="AT13" s="532"/>
      <c r="AU13" s="1076">
        <f>AT14/AQ14</f>
        <v>1.4548714730384615</v>
      </c>
      <c r="AV13" s="1070">
        <f>AT14/AR14</f>
        <v>1.3557942042652329</v>
      </c>
      <c r="AW13" s="1078">
        <f>AT14/AS14</f>
        <v>1.0077160861047771</v>
      </c>
      <c r="AX13" s="708"/>
      <c r="AY13" s="709"/>
      <c r="AZ13" s="709"/>
      <c r="BA13" s="516"/>
      <c r="BB13" s="516"/>
      <c r="BC13" s="516"/>
      <c r="BD13" s="516"/>
      <c r="BE13" s="728"/>
      <c r="BF13" s="729"/>
      <c r="BG13" s="729"/>
      <c r="BH13" s="1068">
        <f>BG14/BF14</f>
        <v>0.64593528333333328</v>
      </c>
      <c r="BI13" s="728"/>
      <c r="BJ13" s="729"/>
      <c r="BK13" s="729"/>
      <c r="BL13" s="1068">
        <f>BK14/BJ14</f>
        <v>0.97874935833333321</v>
      </c>
      <c r="BM13" s="728"/>
      <c r="BN13" s="730"/>
      <c r="BO13" s="729"/>
      <c r="BP13" s="1068">
        <f>BO14/BN14</f>
        <v>0.94150375882352932</v>
      </c>
      <c r="BQ13" s="535"/>
      <c r="BR13" s="1336"/>
      <c r="BS13" s="731"/>
      <c r="BT13" s="514"/>
      <c r="BU13" s="1077">
        <f>BT14/BQ14</f>
        <v>0.80362023061224497</v>
      </c>
      <c r="BV13" s="1076"/>
      <c r="BW13" s="1068">
        <f>BT14/BS14</f>
        <v>0.83781683617021274</v>
      </c>
      <c r="BX13" s="728"/>
      <c r="BY13" s="730"/>
      <c r="BZ13" s="729"/>
      <c r="CA13" s="1072">
        <f>BZ14/BY14</f>
        <v>1.0010042714285714</v>
      </c>
      <c r="CB13" s="728"/>
      <c r="CC13" s="730"/>
      <c r="CD13" s="729"/>
      <c r="CE13" s="1073">
        <f>CD14/CC14</f>
        <v>0.70093457943925241</v>
      </c>
      <c r="CF13" s="728"/>
      <c r="CG13" s="730"/>
      <c r="CH13" s="729"/>
      <c r="CI13" s="1073">
        <f>CH14/CG14</f>
        <v>0.65573770491803274</v>
      </c>
      <c r="CJ13" s="535"/>
      <c r="CK13" s="1336"/>
      <c r="CL13" s="731"/>
      <c r="CM13" s="514"/>
      <c r="CN13" s="1074">
        <f>CM14/CJ14</f>
        <v>0.93920591224489802</v>
      </c>
      <c r="CO13" s="1086"/>
      <c r="CP13" s="1078">
        <f>CM14/CL14</f>
        <v>0.79828429661751965</v>
      </c>
      <c r="CQ13" s="535"/>
      <c r="CR13" s="1337"/>
      <c r="CS13" s="1337"/>
      <c r="CT13" s="532"/>
      <c r="CU13" s="1076">
        <f>CT14/CQ14</f>
        <v>0.87141307142857138</v>
      </c>
      <c r="CV13" s="1076"/>
      <c r="CW13" s="1078">
        <f>CT14/CS14</f>
        <v>0.81603899665551849</v>
      </c>
      <c r="CX13" s="708"/>
      <c r="CY13" s="709"/>
      <c r="CZ13" s="555"/>
      <c r="DA13" s="555"/>
      <c r="DB13" s="555"/>
      <c r="DC13" s="516"/>
      <c r="DD13" s="516"/>
    </row>
    <row r="14" spans="1:108">
      <c r="A14" s="647" t="s">
        <v>326</v>
      </c>
      <c r="B14" s="661"/>
      <c r="C14" s="661"/>
      <c r="D14" s="660"/>
      <c r="E14" s="710">
        <f>E81/1.17</f>
        <v>153846.15384615384</v>
      </c>
      <c r="F14" s="711">
        <f>F81/1.17</f>
        <v>205128.20512820515</v>
      </c>
      <c r="G14" s="711">
        <f>G81/1.17</f>
        <v>232034.85213675216</v>
      </c>
      <c r="H14" s="521">
        <f>G14-F14</f>
        <v>26906.647008547006</v>
      </c>
      <c r="I14" s="710">
        <f>I81/1.17</f>
        <v>170940.17094017094</v>
      </c>
      <c r="J14" s="711">
        <f>J81/1.17</f>
        <v>256410.25641025644</v>
      </c>
      <c r="K14" s="711">
        <f>K81/1.17</f>
        <v>263853.84615384619</v>
      </c>
      <c r="L14" s="521">
        <f>K14-J14</f>
        <v>7443.5897435897496</v>
      </c>
      <c r="M14" s="710">
        <f>M81/1.17</f>
        <v>170940.17094017094</v>
      </c>
      <c r="N14" s="711">
        <f>N81/1.17</f>
        <v>256410.25641025644</v>
      </c>
      <c r="O14" s="1233">
        <v>257299.609</v>
      </c>
      <c r="P14" s="521">
        <f>O14-N14</f>
        <v>889.35258974356111</v>
      </c>
      <c r="Q14" s="713">
        <f>E14+I14+M14</f>
        <v>495726.49572649569</v>
      </c>
      <c r="R14" s="714">
        <f>R81/1.17</f>
        <v>543589.74358974362</v>
      </c>
      <c r="S14" s="715">
        <f>G14+J14+N14</f>
        <v>744855.36495726509</v>
      </c>
      <c r="T14" s="520">
        <f>G14+K14+O14</f>
        <v>753188.30729059828</v>
      </c>
      <c r="U14" s="518">
        <f>T14-Q14</f>
        <v>257461.81156410259</v>
      </c>
      <c r="V14" s="517">
        <f t="shared" si="17"/>
        <v>209598.56370085466</v>
      </c>
      <c r="W14" s="521">
        <f>T14-S14</f>
        <v>8332.9423333331943</v>
      </c>
      <c r="X14" s="710">
        <f>X81/1.17</f>
        <v>145299.14529914531</v>
      </c>
      <c r="Y14" s="711">
        <f>Y81/1.17</f>
        <v>213675.21367521369</v>
      </c>
      <c r="Z14" s="711">
        <f>Z81/1.17</f>
        <v>214873.55213675217</v>
      </c>
      <c r="AA14" s="521">
        <f>Z14-Y14</f>
        <v>1198.3384615384857</v>
      </c>
      <c r="AB14" s="710">
        <f>AB81/1.17</f>
        <v>136752.13675213675</v>
      </c>
      <c r="AC14" s="712">
        <f>AC81/1.17</f>
        <v>170940.17094017094</v>
      </c>
      <c r="AD14" s="1240">
        <v>171278.429</v>
      </c>
      <c r="AE14" s="716">
        <f>AD14-AC14</f>
        <v>338.25805982906604</v>
      </c>
      <c r="AF14" s="710">
        <f>AF81/1.17</f>
        <v>111111.11111111112</v>
      </c>
      <c r="AG14" s="712">
        <f>AG81/1.17</f>
        <v>153846.15384615384</v>
      </c>
      <c r="AH14" s="711">
        <f>AH81/1.17</f>
        <v>153878.79871794872</v>
      </c>
      <c r="AI14" s="716">
        <f>AH14-AG14</f>
        <v>32.644871794880601</v>
      </c>
      <c r="AJ14" s="713">
        <f>X14+AB14+AF14</f>
        <v>393162.39316239319</v>
      </c>
      <c r="AK14" s="714">
        <f>AK81/1.17</f>
        <v>410256.41025641031</v>
      </c>
      <c r="AL14" s="715">
        <f t="shared" ref="AL14:AM17" si="32">Y14+AC14+AG14</f>
        <v>538461.5384615385</v>
      </c>
      <c r="AM14" s="520">
        <f t="shared" si="32"/>
        <v>540030.7798547009</v>
      </c>
      <c r="AN14" s="536">
        <f>AM14-AJ14</f>
        <v>146868.38669230771</v>
      </c>
      <c r="AO14" s="517">
        <f t="shared" si="31"/>
        <v>129774.36959829059</v>
      </c>
      <c r="AP14" s="521">
        <f>AM14-AL14</f>
        <v>1569.2413931624033</v>
      </c>
      <c r="AQ14" s="519">
        <f>SUM(Q14,AJ14)</f>
        <v>888888.88888888888</v>
      </c>
      <c r="AR14" s="714">
        <f>AR81/1.17</f>
        <v>953846.15384615387</v>
      </c>
      <c r="AS14" s="520">
        <f>S14+AL14</f>
        <v>1283316.9034188036</v>
      </c>
      <c r="AT14" s="520">
        <f>SUM(T14,AM14)</f>
        <v>1293219.0871452992</v>
      </c>
      <c r="AU14" s="517">
        <f>AT14-AQ14</f>
        <v>404330.19825641031</v>
      </c>
      <c r="AV14" s="517">
        <f t="shared" si="22"/>
        <v>339372.93329914531</v>
      </c>
      <c r="AW14" s="521">
        <f>AT14-AS14</f>
        <v>9902.1837264955975</v>
      </c>
      <c r="AX14" s="708">
        <f>AQ14/6</f>
        <v>148148.14814814815</v>
      </c>
      <c r="AY14" s="709">
        <f>AR14/6</f>
        <v>158974.35897435897</v>
      </c>
      <c r="AZ14" s="709">
        <f>AT14/6</f>
        <v>215536.51452421653</v>
      </c>
      <c r="BA14" s="1239">
        <f>AZ14/AX14</f>
        <v>1.4548714730384615</v>
      </c>
      <c r="BB14" s="516">
        <f>AZ14-AX14</f>
        <v>67388.366376068385</v>
      </c>
      <c r="BC14" s="516">
        <f>AZ14-AY14</f>
        <v>56562.155549857562</v>
      </c>
      <c r="BD14" s="516">
        <f>AW14/6</f>
        <v>1650.363954415933</v>
      </c>
      <c r="BE14" s="710">
        <f>BE81/1.17</f>
        <v>153846.15384615384</v>
      </c>
      <c r="BF14" s="711">
        <f>BF81/1.17</f>
        <v>153846.15384615384</v>
      </c>
      <c r="BG14" s="711">
        <f>BG81/1.17</f>
        <v>99374.658974358972</v>
      </c>
      <c r="BH14" s="521">
        <f>BG14-BF14</f>
        <v>-54471.494871794872</v>
      </c>
      <c r="BI14" s="710">
        <f>BI81/1.17</f>
        <v>119658.11965811967</v>
      </c>
      <c r="BJ14" s="711">
        <f>BJ81/1.17</f>
        <v>102564.10256410258</v>
      </c>
      <c r="BK14" s="711">
        <f>BK81/1.17</f>
        <v>100384.54957264957</v>
      </c>
      <c r="BL14" s="521">
        <f>BK14-BJ14</f>
        <v>-2179.5529914530052</v>
      </c>
      <c r="BM14" s="710">
        <f>BM81/1.17</f>
        <v>145299.14529914531</v>
      </c>
      <c r="BN14" s="712">
        <f>BN81/1.17</f>
        <v>145299.14529914531</v>
      </c>
      <c r="BO14" s="711">
        <f>BO81/1.17</f>
        <v>136799.69145299145</v>
      </c>
      <c r="BP14" s="521">
        <f>BO14-BN14</f>
        <v>-8499.4538461538614</v>
      </c>
      <c r="BQ14" s="713">
        <f>BE14+BI14+BM14</f>
        <v>418803.41880341881</v>
      </c>
      <c r="BR14" s="714"/>
      <c r="BS14" s="714">
        <f t="shared" ref="BS14:BT17" si="33">BF14+BJ14+BN14</f>
        <v>401709.40170940175</v>
      </c>
      <c r="BT14" s="520">
        <f t="shared" si="33"/>
        <v>336558.9</v>
      </c>
      <c r="BU14" s="518">
        <f>BT14-BQ14</f>
        <v>-82244.518803418789</v>
      </c>
      <c r="BV14" s="517"/>
      <c r="BW14" s="521">
        <f>BT14-BS14</f>
        <v>-65150.501709401724</v>
      </c>
      <c r="BX14" s="710">
        <f>BX81/1.17</f>
        <v>153846.15384615384</v>
      </c>
      <c r="BY14" s="712">
        <f>BY81/1.17</f>
        <v>179487.1794871795</v>
      </c>
      <c r="BZ14" s="711">
        <f>BZ81/1.17</f>
        <v>179667.43333333335</v>
      </c>
      <c r="CA14" s="716">
        <f>BZ14-BY14</f>
        <v>180.25384615384974</v>
      </c>
      <c r="CB14" s="710">
        <f>CB81/1.17</f>
        <v>136752.13675213675</v>
      </c>
      <c r="CC14" s="712">
        <f>CC81/1.17</f>
        <v>182905.98290598291</v>
      </c>
      <c r="CD14" s="711">
        <f>CD81/1.17</f>
        <v>128205.12820512822</v>
      </c>
      <c r="CE14" s="716">
        <f>CD14-CC14</f>
        <v>-54700.854700854688</v>
      </c>
      <c r="CF14" s="710">
        <f>CF81/1.17</f>
        <v>128205.12820512822</v>
      </c>
      <c r="CG14" s="712">
        <f>CG81/1.17</f>
        <v>130341.88034188034</v>
      </c>
      <c r="CH14" s="711">
        <f>CH81/1.17</f>
        <v>85470.085470085469</v>
      </c>
      <c r="CI14" s="716">
        <f>CH14-CG14</f>
        <v>-44871.794871794875</v>
      </c>
      <c r="CJ14" s="713">
        <f>BX14+CB14+CF14</f>
        <v>418803.41880341887</v>
      </c>
      <c r="CK14" s="714"/>
      <c r="CL14" s="714">
        <f t="shared" ref="CL14:CM17" si="34">BY14+CC14+CG14</f>
        <v>492735.04273504275</v>
      </c>
      <c r="CM14" s="520">
        <f t="shared" si="34"/>
        <v>393342.64700854709</v>
      </c>
      <c r="CN14" s="536">
        <f>CM14-CJ14</f>
        <v>-25460.771794871776</v>
      </c>
      <c r="CO14" s="536"/>
      <c r="CP14" s="521">
        <f>CM14-CL14</f>
        <v>-99392.395726495655</v>
      </c>
      <c r="CQ14" s="519">
        <f>SUM(BQ14,CJ14)</f>
        <v>837606.83760683774</v>
      </c>
      <c r="CR14" s="1334"/>
      <c r="CS14" s="1334">
        <f>BS14+CL14</f>
        <v>894444.4444444445</v>
      </c>
      <c r="CT14" s="520">
        <f>SUM(BT14,CM14)</f>
        <v>729901.54700854712</v>
      </c>
      <c r="CU14" s="517">
        <f>CT14-CQ14</f>
        <v>-107705.29059829062</v>
      </c>
      <c r="CV14" s="517"/>
      <c r="CW14" s="521">
        <f>CT14-CS14</f>
        <v>-164542.89743589738</v>
      </c>
      <c r="CX14" s="708">
        <f>CQ14/6</f>
        <v>139601.13960113961</v>
      </c>
      <c r="CY14" s="709">
        <f>CT14/6</f>
        <v>121650.25783475785</v>
      </c>
      <c r="CZ14" s="1386">
        <f>CY14/CX14</f>
        <v>0.8714130714285715</v>
      </c>
      <c r="DA14" s="555">
        <f>CY14-CX14</f>
        <v>-17950.881766381761</v>
      </c>
      <c r="DB14" s="555">
        <f>CW14/6</f>
        <v>-27423.816239316231</v>
      </c>
      <c r="DC14" s="516"/>
      <c r="DD14" s="516"/>
    </row>
    <row r="15" spans="1:108">
      <c r="A15" s="646"/>
      <c r="B15" s="620"/>
      <c r="C15" s="670" t="s">
        <v>327</v>
      </c>
      <c r="D15" s="668"/>
      <c r="E15" s="702">
        <f>E84/1.17</f>
        <v>38105.128205128211</v>
      </c>
      <c r="F15" s="717">
        <f>F84/1.17</f>
        <v>38105.128205128211</v>
      </c>
      <c r="G15" s="717">
        <f>G84/1.17</f>
        <v>62123.076923076929</v>
      </c>
      <c r="H15" s="508">
        <f>G15-F15</f>
        <v>24017.948717948719</v>
      </c>
      <c r="I15" s="702">
        <f>I84/1.17</f>
        <v>38105.128205128211</v>
      </c>
      <c r="J15" s="717">
        <f>J84/1.17</f>
        <v>47008.547008547008</v>
      </c>
      <c r="K15" s="717">
        <f>K84/1.17</f>
        <v>42208.547008547008</v>
      </c>
      <c r="L15" s="508">
        <f>K15-J15</f>
        <v>-4800</v>
      </c>
      <c r="M15" s="702">
        <f>M84/1.17</f>
        <v>38105.128205128211</v>
      </c>
      <c r="N15" s="717">
        <f>N84/1.17</f>
        <v>47008.547008547008</v>
      </c>
      <c r="O15" s="717">
        <f>O84/1.17</f>
        <v>63293.162393162398</v>
      </c>
      <c r="P15" s="508">
        <f>O15-N15</f>
        <v>16284.61538461539</v>
      </c>
      <c r="Q15" s="718">
        <f>E15+I15+M15</f>
        <v>114315.38461538462</v>
      </c>
      <c r="R15" s="719">
        <f>R84/1.17</f>
        <v>114315.38461538462</v>
      </c>
      <c r="S15" s="720">
        <f>G15+J15+N15</f>
        <v>156140.17094017094</v>
      </c>
      <c r="T15" s="526">
        <f>G15+K15+O15</f>
        <v>167624.78632478634</v>
      </c>
      <c r="U15" s="524">
        <f>T15-Q15</f>
        <v>53309.401709401718</v>
      </c>
      <c r="V15" s="523">
        <f t="shared" si="17"/>
        <v>53309.401709401718</v>
      </c>
      <c r="W15" s="508">
        <f>T15-S15</f>
        <v>11484.615384615405</v>
      </c>
      <c r="X15" s="702">
        <f>X84/1.17</f>
        <v>38105.128205128211</v>
      </c>
      <c r="Y15" s="717">
        <f>Y84/1.17</f>
        <v>47008.547008547008</v>
      </c>
      <c r="Z15" s="717">
        <f>Z84/1.17</f>
        <v>50875.213675213679</v>
      </c>
      <c r="AA15" s="508">
        <f>Z15-Y15</f>
        <v>3866.6666666666715</v>
      </c>
      <c r="AB15" s="702">
        <f>AB84/1.17</f>
        <v>38105.128205128211</v>
      </c>
      <c r="AC15" s="699">
        <f>AC84/1.17</f>
        <v>47008.547008547008</v>
      </c>
      <c r="AD15" s="717">
        <f>AD84/1.17</f>
        <v>46814.957264957266</v>
      </c>
      <c r="AE15" s="688">
        <f>AD15-AC15</f>
        <v>-193.58974358974228</v>
      </c>
      <c r="AF15" s="702">
        <f>AF84/1.17</f>
        <v>38105.128205128211</v>
      </c>
      <c r="AG15" s="699">
        <f>AG84/1.17</f>
        <v>47008.547008547008</v>
      </c>
      <c r="AH15" s="717">
        <f>AH84/1.17</f>
        <v>43409.558119658119</v>
      </c>
      <c r="AI15" s="688">
        <f>AH15-AG15</f>
        <v>-3598.9888888888891</v>
      </c>
      <c r="AJ15" s="718">
        <f>X15+AB15+AF15</f>
        <v>114315.38461538462</v>
      </c>
      <c r="AK15" s="719">
        <f>AK84/1.17</f>
        <v>114315.38461538462</v>
      </c>
      <c r="AL15" s="720">
        <f t="shared" si="32"/>
        <v>141025.64102564103</v>
      </c>
      <c r="AM15" s="526">
        <f t="shared" si="32"/>
        <v>141099.72905982906</v>
      </c>
      <c r="AN15" s="527">
        <f>AM15-AJ15</f>
        <v>26784.344444444432</v>
      </c>
      <c r="AO15" s="523">
        <f t="shared" si="31"/>
        <v>26784.344444444432</v>
      </c>
      <c r="AP15" s="508">
        <f>AM15-AL15</f>
        <v>74.088034188025631</v>
      </c>
      <c r="AQ15" s="718">
        <f>SUM(Q15,AJ15)</f>
        <v>228630.76923076925</v>
      </c>
      <c r="AR15" s="719">
        <f>AR84/1.17</f>
        <v>228630.76923076925</v>
      </c>
      <c r="AS15" s="720">
        <f>S15+AL15</f>
        <v>297165.811965812</v>
      </c>
      <c r="AT15" s="720">
        <f>SUM(T15,AM15)</f>
        <v>308724.5153846154</v>
      </c>
      <c r="AU15" s="717">
        <f>AT15-AQ15</f>
        <v>80093.74615384615</v>
      </c>
      <c r="AV15" s="523">
        <f t="shared" si="22"/>
        <v>80093.74615384615</v>
      </c>
      <c r="AW15" s="508">
        <f>AT15-AS15</f>
        <v>11558.703418803401</v>
      </c>
      <c r="AX15" s="722"/>
      <c r="AY15" s="723"/>
      <c r="AZ15" s="723"/>
      <c r="BE15" s="702">
        <f>BE84/1.17</f>
        <v>47961.538461538461</v>
      </c>
      <c r="BF15" s="717">
        <f>BF84/1.17</f>
        <v>48717.948717948719</v>
      </c>
      <c r="BG15" s="717">
        <f>BG84/1.17</f>
        <v>37575.570940170939</v>
      </c>
      <c r="BH15" s="508">
        <f>BG15-BF15</f>
        <v>-11142.37777777778</v>
      </c>
      <c r="BI15" s="702">
        <f>BI84/1.17</f>
        <v>47961.538461538461</v>
      </c>
      <c r="BJ15" s="717">
        <f>BJ84/1.17</f>
        <v>42735.042735042734</v>
      </c>
      <c r="BK15" s="717">
        <f>BK84/1.17</f>
        <v>45775.405982905984</v>
      </c>
      <c r="BL15" s="508">
        <f>BK15-BJ15</f>
        <v>3040.3632478632499</v>
      </c>
      <c r="BM15" s="702">
        <f>BM84/1.17</f>
        <v>47961.538461538461</v>
      </c>
      <c r="BN15" s="699">
        <f>BN84/1.17</f>
        <v>34188.034188034188</v>
      </c>
      <c r="BO15" s="717">
        <f>BO84/1.17</f>
        <v>35682.64444444445</v>
      </c>
      <c r="BP15" s="508">
        <f>BO15-BN15</f>
        <v>1494.6102564102621</v>
      </c>
      <c r="BQ15" s="718">
        <f>BE15+BI15+BM15</f>
        <v>143884.61538461538</v>
      </c>
      <c r="BR15" s="719"/>
      <c r="BS15" s="719">
        <f t="shared" si="33"/>
        <v>125641.02564102564</v>
      </c>
      <c r="BT15" s="526">
        <f t="shared" si="33"/>
        <v>119033.62136752138</v>
      </c>
      <c r="BU15" s="524">
        <f>BT15-BQ15</f>
        <v>-24850.994017093995</v>
      </c>
      <c r="BV15" s="523"/>
      <c r="BW15" s="508">
        <f>BT15-BS15</f>
        <v>-6607.4042735042603</v>
      </c>
      <c r="BX15" s="702">
        <f>BX84/1.17</f>
        <v>48141.025641025641</v>
      </c>
      <c r="BY15" s="699">
        <f>BY84/1.17</f>
        <v>35042.735042735047</v>
      </c>
      <c r="BZ15" s="717">
        <f>BZ84/1.17</f>
        <v>24075.141880341882</v>
      </c>
      <c r="CA15" s="688">
        <f>BZ15-BY15</f>
        <v>-10967.593162393165</v>
      </c>
      <c r="CB15" s="702">
        <f>CB84/1.17</f>
        <v>48141.025641025641</v>
      </c>
      <c r="CC15" s="699">
        <f>CC84/1.17</f>
        <v>51282.051282051289</v>
      </c>
      <c r="CD15" s="717">
        <f>CD84/1.17</f>
        <v>32478.63247863248</v>
      </c>
      <c r="CE15" s="688">
        <f>CD15-CC15</f>
        <v>-18803.418803418808</v>
      </c>
      <c r="CF15" s="702">
        <f>CF84/1.17</f>
        <v>48141.025641025641</v>
      </c>
      <c r="CG15" s="699">
        <f>CG84/1.17</f>
        <v>41880.341880341883</v>
      </c>
      <c r="CH15" s="717">
        <f>CH84/1.17</f>
        <v>24786.324786324789</v>
      </c>
      <c r="CI15" s="688">
        <f>CH15-CG15</f>
        <v>-17094.017094017094</v>
      </c>
      <c r="CJ15" s="718">
        <f>BX15+CB15+CF15</f>
        <v>144423.07692307694</v>
      </c>
      <c r="CK15" s="719"/>
      <c r="CL15" s="719">
        <f t="shared" si="34"/>
        <v>128205.12820512822</v>
      </c>
      <c r="CM15" s="526">
        <f t="shared" si="34"/>
        <v>81340.099145299144</v>
      </c>
      <c r="CN15" s="527">
        <f>CM15-CJ15</f>
        <v>-63082.977777777793</v>
      </c>
      <c r="CO15" s="527"/>
      <c r="CP15" s="508">
        <f>CM15-CL15</f>
        <v>-46865.029059829074</v>
      </c>
      <c r="CQ15" s="718">
        <f>SUM(BQ15,CJ15)</f>
        <v>288307.69230769231</v>
      </c>
      <c r="CR15" s="937"/>
      <c r="CS15" s="937">
        <f>BS15+CL15</f>
        <v>253846.15384615387</v>
      </c>
      <c r="CT15" s="720">
        <f>SUM(BT15,CM15)</f>
        <v>200373.72051282052</v>
      </c>
      <c r="CU15" s="717">
        <f>CT15-CQ15</f>
        <v>-87933.971794871788</v>
      </c>
      <c r="CV15" s="717"/>
      <c r="CW15" s="508">
        <f>CT15-CS15</f>
        <v>-53472.433333333349</v>
      </c>
      <c r="CX15" s="722"/>
      <c r="CY15" s="723"/>
      <c r="CZ15" s="556"/>
      <c r="DA15" s="556"/>
      <c r="DB15" s="556"/>
      <c r="DC15" s="493"/>
      <c r="DD15" s="493"/>
    </row>
    <row r="16" spans="1:108">
      <c r="A16" s="646"/>
      <c r="B16" s="620"/>
      <c r="C16" s="670" t="s">
        <v>328</v>
      </c>
      <c r="D16" s="668"/>
      <c r="E16" s="702">
        <f>E87/1.17</f>
        <v>48717.948717948719</v>
      </c>
      <c r="F16" s="717">
        <f>F19-F15</f>
        <v>48717.948717948711</v>
      </c>
      <c r="G16" s="717">
        <f>G19-G15</f>
        <v>59583.321076923072</v>
      </c>
      <c r="H16" s="508">
        <f>G16-F16</f>
        <v>10865.37235897436</v>
      </c>
      <c r="I16" s="702">
        <f>I87/1.17</f>
        <v>48717.948717948719</v>
      </c>
      <c r="J16" s="717">
        <f>J87/1.17</f>
        <v>66666.666666666672</v>
      </c>
      <c r="K16" s="717">
        <f>K87/1.17</f>
        <v>92276.068376068375</v>
      </c>
      <c r="L16" s="508">
        <f>K16-J16</f>
        <v>25609.401709401704</v>
      </c>
      <c r="M16" s="702">
        <f>M87/1.17</f>
        <v>48717.948717948719</v>
      </c>
      <c r="N16" s="717">
        <f>N19-N15</f>
        <v>72649.572649572656</v>
      </c>
      <c r="O16" s="1234">
        <f>O19-O15</f>
        <v>86788.529606837605</v>
      </c>
      <c r="P16" s="508">
        <f>O16-N16</f>
        <v>14138.956957264949</v>
      </c>
      <c r="Q16" s="718">
        <f>E16+I16+M16</f>
        <v>146153.84615384616</v>
      </c>
      <c r="R16" s="719">
        <f>R19-R15</f>
        <v>223743.58974358975</v>
      </c>
      <c r="S16" s="720">
        <f>G16+J16+N16</f>
        <v>198899.56039316239</v>
      </c>
      <c r="T16" s="526">
        <f>G16+K16+O16</f>
        <v>238647.91905982906</v>
      </c>
      <c r="U16" s="524">
        <f>T16-Q16</f>
        <v>92494.072905982903</v>
      </c>
      <c r="V16" s="523">
        <f t="shared" si="17"/>
        <v>14904.329316239309</v>
      </c>
      <c r="W16" s="508">
        <f>T16-S16</f>
        <v>39748.358666666667</v>
      </c>
      <c r="X16" s="702">
        <f>X87/1.17</f>
        <v>58404.273504273508</v>
      </c>
      <c r="Y16" s="717">
        <f>Y19-Y15</f>
        <v>70940.170940170938</v>
      </c>
      <c r="Z16" s="717">
        <f>Z19-Z15</f>
        <v>79058.974358974374</v>
      </c>
      <c r="AA16" s="508">
        <f>Z16-Y16</f>
        <v>8118.8034188034362</v>
      </c>
      <c r="AB16" s="702">
        <f>AB87/1.17</f>
        <v>58404.273504273508</v>
      </c>
      <c r="AC16" s="699">
        <f>AC19-AC15</f>
        <v>70940.170940170938</v>
      </c>
      <c r="AD16" s="717">
        <f>AD19-AD15</f>
        <v>64498.803418803436</v>
      </c>
      <c r="AE16" s="688">
        <f>AD16-AC16</f>
        <v>-6441.3675213675015</v>
      </c>
      <c r="AF16" s="702">
        <f>AF87/1.17</f>
        <v>58404.273504273508</v>
      </c>
      <c r="AG16" s="699">
        <f>AG19-AG15</f>
        <v>68376.068376068375</v>
      </c>
      <c r="AH16" s="1253">
        <f>AH19-AH15</f>
        <v>90038.464880341868</v>
      </c>
      <c r="AI16" s="688">
        <f>AH16-AG16</f>
        <v>21662.396504273493</v>
      </c>
      <c r="AJ16" s="718">
        <f>X16+AB16+AF16</f>
        <v>175212.82051282053</v>
      </c>
      <c r="AK16" s="719">
        <f>AK19-AK15</f>
        <v>223743.58974358975</v>
      </c>
      <c r="AL16" s="720">
        <f t="shared" si="32"/>
        <v>210256.41025641025</v>
      </c>
      <c r="AM16" s="526">
        <f t="shared" si="32"/>
        <v>233596.24265811968</v>
      </c>
      <c r="AN16" s="527">
        <f>AM16-AJ16</f>
        <v>58383.422145299148</v>
      </c>
      <c r="AO16" s="523">
        <f t="shared" si="31"/>
        <v>9852.6529145299282</v>
      </c>
      <c r="AP16" s="508">
        <f>AM16-AL16</f>
        <v>23339.832401709427</v>
      </c>
      <c r="AQ16" s="718">
        <f>SUM(Q16,AJ16)</f>
        <v>321366.66666666669</v>
      </c>
      <c r="AR16" s="719">
        <f>AR19-AR15</f>
        <v>447487.1794871795</v>
      </c>
      <c r="AS16" s="720">
        <f>S16+AL16</f>
        <v>409155.97064957267</v>
      </c>
      <c r="AT16" s="720">
        <f>SUM(T16,AM16)</f>
        <v>472244.16171794874</v>
      </c>
      <c r="AU16" s="717">
        <f>AT16-AQ16</f>
        <v>150877.49505128205</v>
      </c>
      <c r="AV16" s="523">
        <f t="shared" si="22"/>
        <v>24756.982230769238</v>
      </c>
      <c r="AW16" s="508">
        <f>AT16-AS16</f>
        <v>63088.191068376065</v>
      </c>
      <c r="AX16" s="722"/>
      <c r="AY16" s="723"/>
      <c r="AZ16" s="723"/>
      <c r="BE16" s="702">
        <f>BE87/1.17</f>
        <v>76923.076923076922</v>
      </c>
      <c r="BF16" s="717">
        <f>BF19-BF15</f>
        <v>79487.179487179499</v>
      </c>
      <c r="BG16" s="1234">
        <f>BG19-BG15</f>
        <v>92542.263059829071</v>
      </c>
      <c r="BH16" s="508">
        <f>BG16-BF16</f>
        <v>13055.083572649572</v>
      </c>
      <c r="BI16" s="702">
        <f>BI87/1.17</f>
        <v>76923.076923076922</v>
      </c>
      <c r="BJ16" s="717">
        <f>BJ87/1.17</f>
        <v>78632.47863247864</v>
      </c>
      <c r="BK16" s="1234">
        <f>BK19-BK15</f>
        <v>69449.050017094021</v>
      </c>
      <c r="BL16" s="508">
        <f>BK16-BJ16</f>
        <v>-9183.4286153846188</v>
      </c>
      <c r="BM16" s="702">
        <f>BM87/1.17</f>
        <v>76923.076923076922</v>
      </c>
      <c r="BN16" s="699">
        <f>BN19-BN15</f>
        <v>90598.290598290609</v>
      </c>
      <c r="BO16" s="1234">
        <f>BO19-BO15</f>
        <v>58701.936555555556</v>
      </c>
      <c r="BP16" s="508">
        <f>BO16-BN16</f>
        <v>-31896.354042735053</v>
      </c>
      <c r="BQ16" s="718">
        <f>BE16+BI16+BM16</f>
        <v>230769.23076923075</v>
      </c>
      <c r="BR16" s="719"/>
      <c r="BS16" s="719">
        <f t="shared" si="33"/>
        <v>248717.94871794875</v>
      </c>
      <c r="BT16" s="526">
        <f t="shared" si="33"/>
        <v>220693.24963247863</v>
      </c>
      <c r="BU16" s="524">
        <f>BT16-BQ16</f>
        <v>-10075.981136752118</v>
      </c>
      <c r="BV16" s="523"/>
      <c r="BW16" s="508">
        <f>BT16-BS16</f>
        <v>-28024.699085470114</v>
      </c>
      <c r="BX16" s="702">
        <f>BX87/1.17</f>
        <v>76923.076923076922</v>
      </c>
      <c r="BY16" s="699">
        <f>BY19-BY15</f>
        <v>109829.05982905983</v>
      </c>
      <c r="BZ16" s="717">
        <f>BZ19-BZ15</f>
        <v>124995.47950427349</v>
      </c>
      <c r="CA16" s="688">
        <f>BZ16-BY16</f>
        <v>15166.419675213663</v>
      </c>
      <c r="CB16" s="702">
        <f>CB87/1.17</f>
        <v>76923.076923076922</v>
      </c>
      <c r="CC16" s="699">
        <f>CC19-CC15</f>
        <v>94017.09401709403</v>
      </c>
      <c r="CD16" s="717">
        <f>CD19-CD15</f>
        <v>64957.264957264953</v>
      </c>
      <c r="CE16" s="688">
        <f>CD16-CC16</f>
        <v>-29059.829059829077</v>
      </c>
      <c r="CF16" s="702">
        <f>CF87/1.17</f>
        <v>76923.076923076922</v>
      </c>
      <c r="CG16" s="699">
        <f>CG19-CG15</f>
        <v>88888.888888888905</v>
      </c>
      <c r="CH16" s="717">
        <f>CH19-CH15</f>
        <v>57264.957264957273</v>
      </c>
      <c r="CI16" s="688">
        <f>CH16-CG16</f>
        <v>-31623.931623931632</v>
      </c>
      <c r="CJ16" s="718">
        <f>BX16+CB16+CF16</f>
        <v>230769.23076923075</v>
      </c>
      <c r="CK16" s="719"/>
      <c r="CL16" s="719">
        <f t="shared" si="34"/>
        <v>292735.04273504275</v>
      </c>
      <c r="CM16" s="526">
        <f t="shared" si="34"/>
        <v>247217.70172649572</v>
      </c>
      <c r="CN16" s="527">
        <f>CM16-CJ16</f>
        <v>16448.470957264974</v>
      </c>
      <c r="CO16" s="527"/>
      <c r="CP16" s="508">
        <f>CM16-CL16</f>
        <v>-45517.341008547024</v>
      </c>
      <c r="CQ16" s="718">
        <f>SUM(BQ16,CJ16)</f>
        <v>461538.4615384615</v>
      </c>
      <c r="CR16" s="937"/>
      <c r="CS16" s="937">
        <f>BS16+CL16</f>
        <v>541452.9914529915</v>
      </c>
      <c r="CT16" s="720">
        <f>SUM(BT16,CM16)</f>
        <v>467910.95135897433</v>
      </c>
      <c r="CU16" s="717">
        <f>CT16-CQ16</f>
        <v>6372.4898205128266</v>
      </c>
      <c r="CV16" s="717"/>
      <c r="CW16" s="508">
        <f>CT16-CS16</f>
        <v>-73542.040094017168</v>
      </c>
      <c r="CX16" s="722"/>
      <c r="CY16" s="723"/>
      <c r="CZ16" s="556"/>
      <c r="DA16" s="556"/>
      <c r="DB16" s="556"/>
      <c r="DC16" s="493"/>
      <c r="DD16" s="493"/>
    </row>
    <row r="17" spans="1:108">
      <c r="A17" s="646"/>
      <c r="B17" s="620"/>
      <c r="C17" s="670" t="s">
        <v>470</v>
      </c>
      <c r="D17" s="668"/>
      <c r="E17" s="702">
        <f>E89/1.17</f>
        <v>0</v>
      </c>
      <c r="F17" s="717">
        <f>F89/1.17</f>
        <v>0</v>
      </c>
      <c r="G17" s="717">
        <f>G89/1.17</f>
        <v>0</v>
      </c>
      <c r="H17" s="508">
        <f>G17-F17</f>
        <v>0</v>
      </c>
      <c r="I17" s="702">
        <f>I89/1.17</f>
        <v>0</v>
      </c>
      <c r="J17" s="717">
        <f>J89/1.17</f>
        <v>0</v>
      </c>
      <c r="K17" s="717">
        <f>K89/1.17</f>
        <v>0</v>
      </c>
      <c r="L17" s="508">
        <f>K17-J17</f>
        <v>0</v>
      </c>
      <c r="M17" s="702">
        <f>M89/1.17</f>
        <v>0</v>
      </c>
      <c r="N17" s="717">
        <f>N89/1.17</f>
        <v>0</v>
      </c>
      <c r="O17" s="717">
        <f>O89/1.17</f>
        <v>0</v>
      </c>
      <c r="P17" s="508">
        <f>O17-N17</f>
        <v>0</v>
      </c>
      <c r="Q17" s="718">
        <f>E17+I17+M17</f>
        <v>0</v>
      </c>
      <c r="R17" s="719">
        <f>R89/1.17</f>
        <v>0</v>
      </c>
      <c r="S17" s="720">
        <f>G17+J17+N17</f>
        <v>0</v>
      </c>
      <c r="T17" s="526">
        <f>G17+K17+O17</f>
        <v>0</v>
      </c>
      <c r="U17" s="524">
        <f>T17-Q17</f>
        <v>0</v>
      </c>
      <c r="V17" s="523">
        <f t="shared" si="17"/>
        <v>0</v>
      </c>
      <c r="W17" s="508">
        <f>T17-S17</f>
        <v>0</v>
      </c>
      <c r="X17" s="702">
        <f>X89/1.17</f>
        <v>0</v>
      </c>
      <c r="Y17" s="717">
        <f>Y89/1.17</f>
        <v>0</v>
      </c>
      <c r="Z17" s="717">
        <f>Z89/1.17</f>
        <v>0</v>
      </c>
      <c r="AA17" s="508">
        <f>Z17-Y17</f>
        <v>0</v>
      </c>
      <c r="AB17" s="702">
        <f>AB89/1.17</f>
        <v>0</v>
      </c>
      <c r="AC17" s="699">
        <f>AC89/1.17</f>
        <v>0</v>
      </c>
      <c r="AD17" s="717">
        <f>AD89/1.17</f>
        <v>0</v>
      </c>
      <c r="AE17" s="688">
        <f>AD17-AC17</f>
        <v>0</v>
      </c>
      <c r="AF17" s="702">
        <f>AF89/1.17</f>
        <v>0</v>
      </c>
      <c r="AG17" s="699">
        <f>AG89/1.17</f>
        <v>0</v>
      </c>
      <c r="AH17" s="717">
        <f>AH89/1.17</f>
        <v>0</v>
      </c>
      <c r="AI17" s="688">
        <f>AH17-AG17</f>
        <v>0</v>
      </c>
      <c r="AJ17" s="718">
        <f>X17+AB17+AF17</f>
        <v>0</v>
      </c>
      <c r="AK17" s="719">
        <f>AK89/1.17</f>
        <v>0</v>
      </c>
      <c r="AL17" s="720">
        <f t="shared" si="32"/>
        <v>0</v>
      </c>
      <c r="AM17" s="526">
        <f t="shared" si="32"/>
        <v>0</v>
      </c>
      <c r="AN17" s="527">
        <f>AM17-AJ17</f>
        <v>0</v>
      </c>
      <c r="AO17" s="523">
        <f t="shared" si="31"/>
        <v>0</v>
      </c>
      <c r="AP17" s="508">
        <f>AM17-AL17</f>
        <v>0</v>
      </c>
      <c r="AQ17" s="718">
        <f>SUM(Q17,AJ17)</f>
        <v>0</v>
      </c>
      <c r="AR17" s="719">
        <f>AR89/1.17</f>
        <v>0</v>
      </c>
      <c r="AS17" s="720">
        <f>S17+AL17</f>
        <v>0</v>
      </c>
      <c r="AT17" s="720">
        <f>SUM(T17,AM17)</f>
        <v>0</v>
      </c>
      <c r="AU17" s="717">
        <f>AT17-AQ17</f>
        <v>0</v>
      </c>
      <c r="AV17" s="523">
        <f t="shared" si="22"/>
        <v>0</v>
      </c>
      <c r="AW17" s="508">
        <f>AT17-AS17</f>
        <v>0</v>
      </c>
      <c r="AX17" s="722"/>
      <c r="AY17" s="723"/>
      <c r="AZ17" s="723"/>
      <c r="BE17" s="702">
        <f>BE89/1.17</f>
        <v>0</v>
      </c>
      <c r="BF17" s="717">
        <f>BF89/1.17</f>
        <v>13076.923076923078</v>
      </c>
      <c r="BG17" s="717">
        <f>BG89/1.17</f>
        <v>3095.4700854700855</v>
      </c>
      <c r="BH17" s="508">
        <f>BG17-BF17</f>
        <v>-9981.4529914529921</v>
      </c>
      <c r="BI17" s="702">
        <f>BI89/1.17</f>
        <v>0</v>
      </c>
      <c r="BJ17" s="717">
        <f>BJ89/1.17</f>
        <v>15769.23076923077</v>
      </c>
      <c r="BK17" s="717">
        <f>BK89/1.17</f>
        <v>3957.2649572649575</v>
      </c>
      <c r="BL17" s="508">
        <f>BK17-BJ17</f>
        <v>-11811.965811965812</v>
      </c>
      <c r="BM17" s="702">
        <f>BM89/1.17</f>
        <v>0</v>
      </c>
      <c r="BN17" s="699">
        <f>BN89/1.17</f>
        <v>12307.692307692309</v>
      </c>
      <c r="BO17" s="717">
        <f>BO89/1.17</f>
        <v>328.71794871794873</v>
      </c>
      <c r="BP17" s="508">
        <f>BO17-BN17</f>
        <v>-11978.974358974359</v>
      </c>
      <c r="BQ17" s="718">
        <f>BE17+BI17+BM17</f>
        <v>0</v>
      </c>
      <c r="BR17" s="719"/>
      <c r="BS17" s="719">
        <f t="shared" si="33"/>
        <v>41153.846153846156</v>
      </c>
      <c r="BT17" s="526">
        <f t="shared" si="33"/>
        <v>7381.4529914529921</v>
      </c>
      <c r="BU17" s="524">
        <f>BT17-BQ17</f>
        <v>7381.4529914529921</v>
      </c>
      <c r="BV17" s="523"/>
      <c r="BW17" s="508">
        <f>BT17-BS17</f>
        <v>-33772.393162393164</v>
      </c>
      <c r="BX17" s="702">
        <f>BX89/1.17</f>
        <v>0</v>
      </c>
      <c r="BY17" s="699">
        <f>BY89/1.17</f>
        <v>5324.7863247863252</v>
      </c>
      <c r="BZ17" s="717">
        <f>BZ89/1.17</f>
        <v>13106.410256410258</v>
      </c>
      <c r="CA17" s="688">
        <f>BZ17-BY17</f>
        <v>7781.6239316239325</v>
      </c>
      <c r="CB17" s="702">
        <f>CB89/1.17</f>
        <v>0</v>
      </c>
      <c r="CC17" s="699">
        <f>CC89/1.17</f>
        <v>11410.25641025641</v>
      </c>
      <c r="CD17" s="717">
        <f>CD89/1.17</f>
        <v>5324.7863247863252</v>
      </c>
      <c r="CE17" s="688">
        <f>CD17-CC17</f>
        <v>-6085.470085470085</v>
      </c>
      <c r="CF17" s="702">
        <f>CF89/1.17</f>
        <v>0</v>
      </c>
      <c r="CG17" s="699">
        <f>CG89/1.17</f>
        <v>11410.25641025641</v>
      </c>
      <c r="CH17" s="717">
        <f>CH89/1.17</f>
        <v>5324.7863247863252</v>
      </c>
      <c r="CI17" s="688">
        <f>CH17-CG17</f>
        <v>-6085.470085470085</v>
      </c>
      <c r="CJ17" s="718">
        <f>BX17+CB17+CF17</f>
        <v>0</v>
      </c>
      <c r="CK17" s="719"/>
      <c r="CL17" s="719">
        <f t="shared" si="34"/>
        <v>28145.299145299145</v>
      </c>
      <c r="CM17" s="526">
        <f t="shared" si="34"/>
        <v>23755.982905982906</v>
      </c>
      <c r="CN17" s="527">
        <f>CM17-CJ17</f>
        <v>23755.982905982906</v>
      </c>
      <c r="CO17" s="527"/>
      <c r="CP17" s="508">
        <f>CM17-CL17</f>
        <v>-4389.3162393162384</v>
      </c>
      <c r="CQ17" s="718">
        <f>SUM(BQ17,CJ17)</f>
        <v>0</v>
      </c>
      <c r="CR17" s="937"/>
      <c r="CS17" s="937">
        <f>BS17+CL17</f>
        <v>69299.145299145297</v>
      </c>
      <c r="CT17" s="720">
        <f>SUM(BT17,CM17)</f>
        <v>31137.435897435898</v>
      </c>
      <c r="CU17" s="717">
        <f>CT17-CQ17</f>
        <v>31137.435897435898</v>
      </c>
      <c r="CV17" s="717"/>
      <c r="CW17" s="508">
        <f>CT17-CS17</f>
        <v>-38161.709401709399</v>
      </c>
      <c r="CX17" s="722"/>
      <c r="CY17" s="723"/>
      <c r="CZ17" s="556"/>
      <c r="DA17" s="556"/>
      <c r="DB17" s="556"/>
      <c r="DC17" s="493"/>
      <c r="DD17" s="493"/>
    </row>
    <row r="18" spans="1:108">
      <c r="A18" s="646"/>
      <c r="B18" s="662"/>
      <c r="C18" s="662"/>
      <c r="D18" s="619"/>
      <c r="E18" s="733"/>
      <c r="F18" s="734"/>
      <c r="G18" s="734"/>
      <c r="H18" s="705">
        <f>G19/F19</f>
        <v>1.4017747621157084</v>
      </c>
      <c r="I18" s="733"/>
      <c r="J18" s="734"/>
      <c r="K18" s="734"/>
      <c r="L18" s="1068">
        <f>K19/J19</f>
        <v>1.1830601503759399</v>
      </c>
      <c r="M18" s="733"/>
      <c r="N18" s="734"/>
      <c r="O18" s="734"/>
      <c r="P18" s="1068">
        <f>O19/N19</f>
        <v>1.2542541402857141</v>
      </c>
      <c r="Q18" s="533"/>
      <c r="R18" s="736"/>
      <c r="S18" s="737"/>
      <c r="T18" s="596"/>
      <c r="U18" s="1069">
        <f>T19/Q19</f>
        <v>1.5597723546262665</v>
      </c>
      <c r="V18" s="1070">
        <f>T19/R19</f>
        <v>1.2017805655211125</v>
      </c>
      <c r="W18" s="1071">
        <f>T19/S19</f>
        <v>1.1443020865830404</v>
      </c>
      <c r="X18" s="733"/>
      <c r="Y18" s="734"/>
      <c r="Z18" s="734"/>
      <c r="AA18" s="1068">
        <f>Z19/Y19</f>
        <v>1.1016159420289855</v>
      </c>
      <c r="AB18" s="733"/>
      <c r="AC18" s="735"/>
      <c r="AD18" s="734"/>
      <c r="AE18" s="1080">
        <f>AD19/AC19</f>
        <v>0.94374710144927543</v>
      </c>
      <c r="AF18" s="733"/>
      <c r="AG18" s="735"/>
      <c r="AH18" s="734"/>
      <c r="AI18" s="1080">
        <f>AH19/AG19</f>
        <v>1.1565495326666666</v>
      </c>
      <c r="AJ18" s="533"/>
      <c r="AK18" s="736"/>
      <c r="AL18" s="737"/>
      <c r="AM18" s="596"/>
      <c r="AN18" s="1074">
        <f>AM19/AJ19</f>
        <v>1.2941605172871871</v>
      </c>
      <c r="AO18" s="1070">
        <f>AM19/AK19</f>
        <v>1.1083745740767428</v>
      </c>
      <c r="AP18" s="1075">
        <f>AM19/AL19</f>
        <v>1.0666527662043794</v>
      </c>
      <c r="AQ18" s="738"/>
      <c r="AR18" s="736"/>
      <c r="AS18" s="732"/>
      <c r="AT18" s="732"/>
      <c r="AU18" s="1076">
        <f>AT19/AQ19</f>
        <v>1.4199496690893665</v>
      </c>
      <c r="AV18" s="1070">
        <f>AT19/AR19</f>
        <v>1.1550775697989275</v>
      </c>
      <c r="AW18" s="1081">
        <f>AT19/AS19</f>
        <v>1.1056839762335733</v>
      </c>
      <c r="AX18" s="708"/>
      <c r="AY18" s="709"/>
      <c r="AZ18" s="709"/>
      <c r="BA18" s="516"/>
      <c r="BB18" s="516"/>
      <c r="BC18" s="516"/>
      <c r="BD18" s="516"/>
      <c r="BE18" s="733"/>
      <c r="BF18" s="734"/>
      <c r="BG18" s="734"/>
      <c r="BH18" s="1068">
        <f>BG19/BF19</f>
        <v>1.0149191051999999</v>
      </c>
      <c r="BI18" s="733"/>
      <c r="BJ18" s="734"/>
      <c r="BK18" s="734"/>
      <c r="BL18" s="1068">
        <f>BK19/BJ19</f>
        <v>0.94938460225352117</v>
      </c>
      <c r="BM18" s="733"/>
      <c r="BN18" s="735"/>
      <c r="BO18" s="734"/>
      <c r="BP18" s="1071">
        <f>BO19/BN19</f>
        <v>0.75636958746575345</v>
      </c>
      <c r="BQ18" s="533"/>
      <c r="BR18" s="1338"/>
      <c r="BS18" s="736"/>
      <c r="BT18" s="596"/>
      <c r="BU18" s="1069">
        <f>BT19/BQ19</f>
        <v>0.90677534606303256</v>
      </c>
      <c r="BV18" s="1070"/>
      <c r="BW18" s="1071">
        <f>BT19/BS19</f>
        <v>0.90748958691780834</v>
      </c>
      <c r="BX18" s="733"/>
      <c r="BY18" s="735"/>
      <c r="BZ18" s="734"/>
      <c r="CA18" s="1079">
        <f>BZ19/BY19</f>
        <v>1.0289830502654866</v>
      </c>
      <c r="CB18" s="733"/>
      <c r="CC18" s="735"/>
      <c r="CD18" s="734"/>
      <c r="CE18" s="1080">
        <f>CD19/CC19</f>
        <v>0.6705882352941176</v>
      </c>
      <c r="CF18" s="733"/>
      <c r="CG18" s="735"/>
      <c r="CH18" s="734"/>
      <c r="CI18" s="1080">
        <f>CH19/CG19</f>
        <v>0.62745098039215685</v>
      </c>
      <c r="CJ18" s="533"/>
      <c r="CK18" s="1338"/>
      <c r="CL18" s="736"/>
      <c r="CM18" s="596"/>
      <c r="CN18" s="1074">
        <f>CM19/CJ19</f>
        <v>0.87570505614214922</v>
      </c>
      <c r="CO18" s="1074"/>
      <c r="CP18" s="1075">
        <f>CM19/CL19</f>
        <v>0.7805332528324872</v>
      </c>
      <c r="CQ18" s="738"/>
      <c r="CR18" s="1339"/>
      <c r="CS18" s="1339"/>
      <c r="CT18" s="732"/>
      <c r="CU18" s="1076">
        <f>CT19/CQ19</f>
        <v>0.89122904537682923</v>
      </c>
      <c r="CV18" s="1076"/>
      <c r="CW18" s="1081">
        <f>CT19/CS19</f>
        <v>0.84029346167651786</v>
      </c>
      <c r="CX18" s="708"/>
      <c r="CY18" s="709"/>
      <c r="CZ18" s="555"/>
      <c r="DA18" s="555"/>
      <c r="DB18" s="555"/>
      <c r="DC18" s="516"/>
      <c r="DD18" s="516"/>
    </row>
    <row r="19" spans="1:108">
      <c r="A19" s="647" t="s">
        <v>157</v>
      </c>
      <c r="B19" s="661"/>
      <c r="C19" s="997"/>
      <c r="D19" s="995"/>
      <c r="E19" s="710">
        <f>E93/1.17</f>
        <v>86823.076923076922</v>
      </c>
      <c r="F19" s="711">
        <f>F93/1.17</f>
        <v>86823.076923076922</v>
      </c>
      <c r="G19" s="711">
        <v>121706.398</v>
      </c>
      <c r="H19" s="521">
        <f>G19-F19</f>
        <v>34883.321076923079</v>
      </c>
      <c r="I19" s="710">
        <f>I93/1.17</f>
        <v>86823.076923076922</v>
      </c>
      <c r="J19" s="711">
        <f>J93/1.17</f>
        <v>113675.21367521369</v>
      </c>
      <c r="K19" s="711">
        <f>K93/1.17</f>
        <v>134484.6153846154</v>
      </c>
      <c r="L19" s="521">
        <f>K19-J19</f>
        <v>20809.401709401718</v>
      </c>
      <c r="M19" s="710">
        <f>M93/1.17</f>
        <v>86823.076923076922</v>
      </c>
      <c r="N19" s="711">
        <f>N93/1.17</f>
        <v>119658.11965811967</v>
      </c>
      <c r="O19" s="1233">
        <v>150081.69200000001</v>
      </c>
      <c r="P19" s="521">
        <f>O19-N19</f>
        <v>30423.572341880339</v>
      </c>
      <c r="Q19" s="713">
        <f>E19+I19+M19</f>
        <v>260469.23076923075</v>
      </c>
      <c r="R19" s="714">
        <f>R93/1.17</f>
        <v>338058.97435897437</v>
      </c>
      <c r="S19" s="715">
        <f>G19+J19+N19</f>
        <v>355039.73133333336</v>
      </c>
      <c r="T19" s="520">
        <f>G19+K19+O19</f>
        <v>406272.70538461546</v>
      </c>
      <c r="U19" s="712">
        <f>T19-Q19</f>
        <v>145803.47461538471</v>
      </c>
      <c r="V19" s="711">
        <f t="shared" si="17"/>
        <v>68213.731025641086</v>
      </c>
      <c r="W19" s="521">
        <f>T19-S19</f>
        <v>51232.974051282101</v>
      </c>
      <c r="X19" s="710">
        <f>X93/1.17</f>
        <v>96509.401709401718</v>
      </c>
      <c r="Y19" s="711">
        <f>Y93/1.17</f>
        <v>117948.71794871795</v>
      </c>
      <c r="Z19" s="711">
        <f>Z93/1.17</f>
        <v>129934.18803418805</v>
      </c>
      <c r="AA19" s="521">
        <f>Z19-Y19</f>
        <v>11985.470085470093</v>
      </c>
      <c r="AB19" s="710">
        <f>AB93/1.17</f>
        <v>96509.401709401718</v>
      </c>
      <c r="AC19" s="712">
        <f>AC93/1.17</f>
        <v>117948.71794871795</v>
      </c>
      <c r="AD19" s="711">
        <f>AD93/1.17</f>
        <v>111313.7606837607</v>
      </c>
      <c r="AE19" s="716">
        <f>AD19-AC19</f>
        <v>-6634.957264957251</v>
      </c>
      <c r="AF19" s="710">
        <f>AF93/1.17</f>
        <v>96509.401709401718</v>
      </c>
      <c r="AG19" s="712">
        <f>AG93/1.17</f>
        <v>115384.61538461539</v>
      </c>
      <c r="AH19" s="711">
        <v>133448.02299999999</v>
      </c>
      <c r="AI19" s="716">
        <f>AH19-AG19</f>
        <v>18063.407615384596</v>
      </c>
      <c r="AJ19" s="713">
        <f>X19+AB19+AF19</f>
        <v>289528.20512820513</v>
      </c>
      <c r="AK19" s="714">
        <f>AK93/1.17</f>
        <v>338058.97435897437</v>
      </c>
      <c r="AL19" s="715">
        <f t="shared" ref="AL19:AM21" si="35">Y19+AC19+AG19</f>
        <v>351282.05128205131</v>
      </c>
      <c r="AM19" s="520">
        <f t="shared" si="35"/>
        <v>374695.97171794873</v>
      </c>
      <c r="AN19" s="739">
        <f>AM19-AJ19</f>
        <v>85167.766589743609</v>
      </c>
      <c r="AO19" s="711">
        <f t="shared" si="31"/>
        <v>36636.99735897436</v>
      </c>
      <c r="AP19" s="521">
        <f>AM19-AL19</f>
        <v>23413.920435897424</v>
      </c>
      <c r="AQ19" s="713">
        <f>SUM(Q19,AJ19)</f>
        <v>549997.43589743588</v>
      </c>
      <c r="AR19" s="714">
        <f>AR93/1.17</f>
        <v>676117.94871794875</v>
      </c>
      <c r="AS19" s="715">
        <f>S19+AL19</f>
        <v>706321.78261538467</v>
      </c>
      <c r="AT19" s="715">
        <f>SUM(T19,AM19)</f>
        <v>780968.67710256414</v>
      </c>
      <c r="AU19" s="711">
        <f>AT19-AQ19</f>
        <v>230971.24120512826</v>
      </c>
      <c r="AV19" s="711">
        <f t="shared" si="22"/>
        <v>104850.72838461539</v>
      </c>
      <c r="AW19" s="521">
        <f>AT19-AS19</f>
        <v>74646.894487179467</v>
      </c>
      <c r="AX19" s="708">
        <f>AQ19/6</f>
        <v>91666.239316239313</v>
      </c>
      <c r="AY19" s="709">
        <f>AR19/6</f>
        <v>112686.3247863248</v>
      </c>
      <c r="AZ19" s="709">
        <f>AT19/6</f>
        <v>130161.44618376069</v>
      </c>
      <c r="BA19" s="1239">
        <f>AZ19/AX19</f>
        <v>1.4199496690893665</v>
      </c>
      <c r="BB19" s="516">
        <f>AZ19-AX19</f>
        <v>38495.206867521381</v>
      </c>
      <c r="BC19" s="516">
        <f>AZ19-AY19</f>
        <v>17475.121397435898</v>
      </c>
      <c r="BD19" s="516">
        <f>AW19/6</f>
        <v>12441.149081196578</v>
      </c>
      <c r="BE19" s="710">
        <f>BE93/1.17</f>
        <v>124884.61538461539</v>
      </c>
      <c r="BF19" s="711">
        <f>BF93/1.17</f>
        <v>128205.12820512822</v>
      </c>
      <c r="BG19" s="1233">
        <v>130117.834</v>
      </c>
      <c r="BH19" s="521">
        <f>BG19-BF19</f>
        <v>1912.7057948717847</v>
      </c>
      <c r="BI19" s="710">
        <f>BI93/1.17</f>
        <v>124884.61538461539</v>
      </c>
      <c r="BJ19" s="711">
        <f>BJ93/1.17</f>
        <v>121367.52136752137</v>
      </c>
      <c r="BK19" s="1233">
        <v>115224.45600000001</v>
      </c>
      <c r="BL19" s="521">
        <f>BK19-BJ19</f>
        <v>-6143.0653675213689</v>
      </c>
      <c r="BM19" s="710">
        <f>BM93/1.17</f>
        <v>124884.61538461539</v>
      </c>
      <c r="BN19" s="712">
        <f>BN93/1.17</f>
        <v>124786.3247863248</v>
      </c>
      <c r="BO19" s="1233">
        <v>94384.581000000006</v>
      </c>
      <c r="BP19" s="521">
        <f>BO19-BN19</f>
        <v>-30401.743786324791</v>
      </c>
      <c r="BQ19" s="713">
        <f>BE19+BI19+BM19</f>
        <v>374653.84615384619</v>
      </c>
      <c r="BR19" s="714"/>
      <c r="BS19" s="714">
        <f t="shared" ref="BS19:BT21" si="36">BF19+BJ19+BN19</f>
        <v>374358.97435897437</v>
      </c>
      <c r="BT19" s="520">
        <f t="shared" si="36"/>
        <v>339726.87100000004</v>
      </c>
      <c r="BU19" s="712">
        <f>BT19-BQ19</f>
        <v>-34926.975153846142</v>
      </c>
      <c r="BV19" s="711"/>
      <c r="BW19" s="521">
        <f>BT19-BS19</f>
        <v>-34632.103358974331</v>
      </c>
      <c r="BX19" s="710">
        <f>BX93/1.17</f>
        <v>125064.10256410258</v>
      </c>
      <c r="BY19" s="712">
        <f>BY93/1.17</f>
        <v>144871.79487179487</v>
      </c>
      <c r="BZ19" s="711">
        <f>BZ93/1.17</f>
        <v>149070.62138461537</v>
      </c>
      <c r="CA19" s="716">
        <f>BZ19-BY19</f>
        <v>4198.8265128204948</v>
      </c>
      <c r="CB19" s="710">
        <f>CB93/1.17</f>
        <v>125064.10256410258</v>
      </c>
      <c r="CC19" s="712">
        <f>CC93/1.17</f>
        <v>145299.14529914531</v>
      </c>
      <c r="CD19" s="711">
        <f>CD93/1.17</f>
        <v>97435.897435897437</v>
      </c>
      <c r="CE19" s="716">
        <f>CD19-CC19</f>
        <v>-47863.247863247874</v>
      </c>
      <c r="CF19" s="710">
        <f>CF93/1.17</f>
        <v>125064.10256410258</v>
      </c>
      <c r="CG19" s="712">
        <f>CG93/1.17</f>
        <v>130769.23076923078</v>
      </c>
      <c r="CH19" s="711">
        <f>CH93/1.17</f>
        <v>82051.282051282062</v>
      </c>
      <c r="CI19" s="716">
        <f>CH19-CG19</f>
        <v>-48717.948717948719</v>
      </c>
      <c r="CJ19" s="713">
        <f>BX19+CB19+CF19</f>
        <v>375192.30769230775</v>
      </c>
      <c r="CK19" s="714"/>
      <c r="CL19" s="714">
        <f t="shared" ref="CL19:CM21" si="37">BY19+CC19+CG19</f>
        <v>420940.170940171</v>
      </c>
      <c r="CM19" s="520">
        <f t="shared" si="37"/>
        <v>328557.80087179487</v>
      </c>
      <c r="CN19" s="739">
        <f>CM19-CJ19</f>
        <v>-46634.506820512877</v>
      </c>
      <c r="CO19" s="739"/>
      <c r="CP19" s="521">
        <f>CM19-CL19</f>
        <v>-92382.370068376127</v>
      </c>
      <c r="CQ19" s="713">
        <f>SUM(BQ19,CJ19)</f>
        <v>749846.15384615399</v>
      </c>
      <c r="CR19" s="1340"/>
      <c r="CS19" s="1340">
        <f>BS19+CL19</f>
        <v>795299.14529914537</v>
      </c>
      <c r="CT19" s="715">
        <f>SUM(BT19,CM19)</f>
        <v>668284.67187179485</v>
      </c>
      <c r="CU19" s="711">
        <f>CT19-CQ19</f>
        <v>-81561.481974359136</v>
      </c>
      <c r="CV19" s="711"/>
      <c r="CW19" s="521">
        <f>CT19-CS19</f>
        <v>-127014.47342735052</v>
      </c>
      <c r="CX19" s="708">
        <f>CQ19/6</f>
        <v>124974.358974359</v>
      </c>
      <c r="CY19" s="709">
        <f>CT19/6</f>
        <v>111380.77864529914</v>
      </c>
      <c r="CZ19" s="1386">
        <f>CY19/CX19</f>
        <v>0.89122904537682923</v>
      </c>
      <c r="DA19" s="555">
        <f>CY19-CX19</f>
        <v>-13593.580329059856</v>
      </c>
      <c r="DB19" s="555">
        <f>CW19/6</f>
        <v>-21169.078904558421</v>
      </c>
      <c r="DC19" s="516"/>
      <c r="DD19" s="516"/>
    </row>
    <row r="20" spans="1:108">
      <c r="A20" s="998"/>
      <c r="B20" s="664"/>
      <c r="C20" s="999" t="s">
        <v>329</v>
      </c>
      <c r="D20" s="1000"/>
      <c r="E20" s="702">
        <f>E95/1.17</f>
        <v>0</v>
      </c>
      <c r="F20" s="717">
        <f>F95/1.17</f>
        <v>0</v>
      </c>
      <c r="G20" s="717">
        <f>G95/1.17</f>
        <v>0</v>
      </c>
      <c r="H20" s="508">
        <f>G20-F20</f>
        <v>0</v>
      </c>
      <c r="I20" s="702">
        <f>I95/1.17</f>
        <v>0</v>
      </c>
      <c r="J20" s="717">
        <f>J95/1.17</f>
        <v>0</v>
      </c>
      <c r="K20" s="717">
        <f>K95/1.17</f>
        <v>0</v>
      </c>
      <c r="L20" s="508">
        <f>K20-J20</f>
        <v>0</v>
      </c>
      <c r="M20" s="702">
        <f>M95/1.17</f>
        <v>0</v>
      </c>
      <c r="N20" s="717">
        <f>N95/1.17</f>
        <v>0</v>
      </c>
      <c r="O20" s="717">
        <f>O95/1.17</f>
        <v>0</v>
      </c>
      <c r="P20" s="508">
        <f>O20-N20</f>
        <v>0</v>
      </c>
      <c r="Q20" s="718">
        <f>E20+I20+M20</f>
        <v>0</v>
      </c>
      <c r="R20" s="719">
        <f>R95/1.17</f>
        <v>0</v>
      </c>
      <c r="S20" s="720">
        <f>G20+J20+N20</f>
        <v>0</v>
      </c>
      <c r="T20" s="526">
        <f>G20+K20+O20</f>
        <v>0</v>
      </c>
      <c r="U20" s="699">
        <f>T20-Q20</f>
        <v>0</v>
      </c>
      <c r="V20" s="717">
        <f t="shared" si="17"/>
        <v>0</v>
      </c>
      <c r="W20" s="508">
        <f>T20-S20</f>
        <v>0</v>
      </c>
      <c r="X20" s="702">
        <f>X95/1.17</f>
        <v>0</v>
      </c>
      <c r="Y20" s="717">
        <f>Y95/1.17</f>
        <v>0</v>
      </c>
      <c r="Z20" s="717">
        <f>Z95/1.17</f>
        <v>0</v>
      </c>
      <c r="AA20" s="508">
        <f>Z20-Y20</f>
        <v>0</v>
      </c>
      <c r="AB20" s="702">
        <f>AB95/1.17</f>
        <v>0</v>
      </c>
      <c r="AC20" s="699">
        <f>AC95/1.17</f>
        <v>0</v>
      </c>
      <c r="AD20" s="717">
        <f>AD95/1.17</f>
        <v>0</v>
      </c>
      <c r="AE20" s="688">
        <f>AD20-AC20</f>
        <v>0</v>
      </c>
      <c r="AF20" s="702">
        <f>AF95/1.17</f>
        <v>0</v>
      </c>
      <c r="AG20" s="699">
        <f>AG95/1.17</f>
        <v>0</v>
      </c>
      <c r="AH20" s="717">
        <f>AH95/1.17</f>
        <v>0</v>
      </c>
      <c r="AI20" s="688">
        <f>AH20-AG20</f>
        <v>0</v>
      </c>
      <c r="AJ20" s="718">
        <f>X20+AB20+AF20</f>
        <v>0</v>
      </c>
      <c r="AK20" s="719">
        <f>AK95/1.17</f>
        <v>0</v>
      </c>
      <c r="AL20" s="720">
        <f t="shared" si="35"/>
        <v>0</v>
      </c>
      <c r="AM20" s="526">
        <f t="shared" si="35"/>
        <v>0</v>
      </c>
      <c r="AN20" s="721">
        <f>AM20-AJ20</f>
        <v>0</v>
      </c>
      <c r="AO20" s="717">
        <f t="shared" si="31"/>
        <v>0</v>
      </c>
      <c r="AP20" s="508">
        <f>AM20-AL20</f>
        <v>0</v>
      </c>
      <c r="AQ20" s="718">
        <f>SUM(Q20,AJ20)</f>
        <v>0</v>
      </c>
      <c r="AR20" s="719">
        <f>AR95/1.17</f>
        <v>0</v>
      </c>
      <c r="AS20" s="720">
        <f>S20+AL20</f>
        <v>0</v>
      </c>
      <c r="AT20" s="720">
        <f>SUM(T20,AM20)</f>
        <v>0</v>
      </c>
      <c r="AU20" s="717">
        <f>AT20-AQ20</f>
        <v>0</v>
      </c>
      <c r="AV20" s="717">
        <f t="shared" si="22"/>
        <v>0</v>
      </c>
      <c r="AW20" s="508">
        <f>AT20-AS20</f>
        <v>0</v>
      </c>
      <c r="AX20" s="722"/>
      <c r="AY20" s="723"/>
      <c r="AZ20" s="723"/>
      <c r="BE20" s="702">
        <f>BE95/1.17</f>
        <v>0</v>
      </c>
      <c r="BF20" s="717">
        <f>BF95/1.17</f>
        <v>0</v>
      </c>
      <c r="BG20" s="717">
        <f>BG95/1.17</f>
        <v>0</v>
      </c>
      <c r="BH20" s="508">
        <f>BG20-BF20</f>
        <v>0</v>
      </c>
      <c r="BI20" s="702">
        <f>BI95/1.17</f>
        <v>0</v>
      </c>
      <c r="BJ20" s="717">
        <f>BJ95/1.17</f>
        <v>0</v>
      </c>
      <c r="BK20" s="717">
        <f>BK95/1.17</f>
        <v>0</v>
      </c>
      <c r="BL20" s="508">
        <f>BK20-BJ20</f>
        <v>0</v>
      </c>
      <c r="BM20" s="702">
        <f>BM95/1.17</f>
        <v>0</v>
      </c>
      <c r="BN20" s="699">
        <f>BN95/1.17</f>
        <v>0</v>
      </c>
      <c r="BO20" s="717">
        <f>BO95/1.17</f>
        <v>0</v>
      </c>
      <c r="BP20" s="508">
        <f>BO20-BN20</f>
        <v>0</v>
      </c>
      <c r="BQ20" s="718">
        <f>BE20+BI20+BM20</f>
        <v>0</v>
      </c>
      <c r="BR20" s="719"/>
      <c r="BS20" s="719">
        <f t="shared" si="36"/>
        <v>0</v>
      </c>
      <c r="BT20" s="526">
        <f t="shared" si="36"/>
        <v>0</v>
      </c>
      <c r="BU20" s="699">
        <f>BT20-BQ20</f>
        <v>0</v>
      </c>
      <c r="BV20" s="717"/>
      <c r="BW20" s="508">
        <f>BT20-BS20</f>
        <v>0</v>
      </c>
      <c r="BX20" s="702">
        <f>BX95/1.17</f>
        <v>0</v>
      </c>
      <c r="BY20" s="699">
        <f>BY95/1.17</f>
        <v>0</v>
      </c>
      <c r="BZ20" s="717">
        <f>BZ95/1.17</f>
        <v>0</v>
      </c>
      <c r="CA20" s="688">
        <f>BZ20-BY20</f>
        <v>0</v>
      </c>
      <c r="CB20" s="702">
        <f>CB95/1.17</f>
        <v>0</v>
      </c>
      <c r="CC20" s="699">
        <f>CC95/1.17</f>
        <v>0</v>
      </c>
      <c r="CD20" s="717">
        <f>CD95/1.17</f>
        <v>0</v>
      </c>
      <c r="CE20" s="688">
        <f>CD20-CC20</f>
        <v>0</v>
      </c>
      <c r="CF20" s="702">
        <f>CF95/1.17</f>
        <v>0</v>
      </c>
      <c r="CG20" s="699">
        <f>CG95/1.17</f>
        <v>0</v>
      </c>
      <c r="CH20" s="717">
        <f>CH95/1.17</f>
        <v>0</v>
      </c>
      <c r="CI20" s="688">
        <f>CH20-CG20</f>
        <v>0</v>
      </c>
      <c r="CJ20" s="718">
        <f>BX20+CB20+CF20</f>
        <v>0</v>
      </c>
      <c r="CK20" s="719"/>
      <c r="CL20" s="719">
        <f t="shared" si="37"/>
        <v>0</v>
      </c>
      <c r="CM20" s="526">
        <f t="shared" si="37"/>
        <v>0</v>
      </c>
      <c r="CN20" s="721">
        <f>CM20-CJ20</f>
        <v>0</v>
      </c>
      <c r="CO20" s="721"/>
      <c r="CP20" s="508">
        <f>CM20-CL20</f>
        <v>0</v>
      </c>
      <c r="CQ20" s="718">
        <f>SUM(BQ20,CJ20)</f>
        <v>0</v>
      </c>
      <c r="CR20" s="937"/>
      <c r="CS20" s="937">
        <f>BS20+CL20</f>
        <v>0</v>
      </c>
      <c r="CT20" s="720">
        <f>SUM(BT20,CM20)</f>
        <v>0</v>
      </c>
      <c r="CU20" s="717">
        <f>CT20-CQ20</f>
        <v>0</v>
      </c>
      <c r="CV20" s="717"/>
      <c r="CW20" s="508">
        <f>CT20-CS20</f>
        <v>0</v>
      </c>
      <c r="CX20" s="722"/>
      <c r="CY20" s="723"/>
      <c r="CZ20" s="556"/>
      <c r="DA20" s="556"/>
      <c r="DB20" s="556"/>
      <c r="DC20" s="493"/>
      <c r="DD20" s="493"/>
    </row>
    <row r="21" spans="1:108">
      <c r="A21" s="998"/>
      <c r="B21" s="664"/>
      <c r="C21" s="999" t="s">
        <v>330</v>
      </c>
      <c r="D21" s="1001"/>
      <c r="E21" s="692">
        <f>E97/1.17</f>
        <v>0</v>
      </c>
      <c r="F21" s="724">
        <f>F97/1.17</f>
        <v>0</v>
      </c>
      <c r="G21" s="724">
        <f>G97/1.17</f>
        <v>0</v>
      </c>
      <c r="H21" s="528">
        <f>G21-F21</f>
        <v>0</v>
      </c>
      <c r="I21" s="692">
        <f>I97/1.17</f>
        <v>0</v>
      </c>
      <c r="J21" s="724">
        <f>J97/1.17</f>
        <v>0</v>
      </c>
      <c r="K21" s="724">
        <f>K97/1.17</f>
        <v>0</v>
      </c>
      <c r="L21" s="528">
        <f>K21-J21</f>
        <v>0</v>
      </c>
      <c r="M21" s="692">
        <f>M97/1.17</f>
        <v>0</v>
      </c>
      <c r="N21" s="724">
        <f>N97/1.17</f>
        <v>0</v>
      </c>
      <c r="O21" s="724">
        <f>O97/1.17</f>
        <v>0</v>
      </c>
      <c r="P21" s="528">
        <f>O21-N21</f>
        <v>0</v>
      </c>
      <c r="Q21" s="725">
        <f>E21+I21+M21</f>
        <v>0</v>
      </c>
      <c r="R21" s="726">
        <f>R97/1.17</f>
        <v>0</v>
      </c>
      <c r="S21" s="727">
        <f>G21+J21+N21</f>
        <v>0</v>
      </c>
      <c r="T21" s="530">
        <f>G21+K21+O21</f>
        <v>0</v>
      </c>
      <c r="U21" s="685">
        <f>T21-Q21</f>
        <v>0</v>
      </c>
      <c r="V21" s="724">
        <f t="shared" si="17"/>
        <v>0</v>
      </c>
      <c r="W21" s="528">
        <f>T21-S21</f>
        <v>0</v>
      </c>
      <c r="X21" s="692">
        <f>X97/1.17</f>
        <v>0</v>
      </c>
      <c r="Y21" s="724">
        <f>Y97/1.17</f>
        <v>0</v>
      </c>
      <c r="Z21" s="724">
        <f>Z97/1.17</f>
        <v>0</v>
      </c>
      <c r="AA21" s="528">
        <f>Z21-Y21</f>
        <v>0</v>
      </c>
      <c r="AB21" s="692">
        <f>AB97/1.17</f>
        <v>0</v>
      </c>
      <c r="AC21" s="685">
        <f>AC97/1.17</f>
        <v>0</v>
      </c>
      <c r="AD21" s="724">
        <f>AD97/1.17</f>
        <v>0</v>
      </c>
      <c r="AE21" s="694">
        <f>AD21-AC21</f>
        <v>0</v>
      </c>
      <c r="AF21" s="692">
        <f>AF97/1.17</f>
        <v>0</v>
      </c>
      <c r="AG21" s="685">
        <f>AG97/1.17</f>
        <v>0</v>
      </c>
      <c r="AH21" s="724">
        <f>AH97/1.17</f>
        <v>0</v>
      </c>
      <c r="AI21" s="694">
        <f>AH21-AG21</f>
        <v>0</v>
      </c>
      <c r="AJ21" s="725">
        <f>X21+AB21+AF21</f>
        <v>0</v>
      </c>
      <c r="AK21" s="726">
        <f>AK97/1.17</f>
        <v>0</v>
      </c>
      <c r="AL21" s="727">
        <f t="shared" si="35"/>
        <v>0</v>
      </c>
      <c r="AM21" s="530">
        <f t="shared" si="35"/>
        <v>0</v>
      </c>
      <c r="AN21" s="693">
        <f>AM21-AJ21</f>
        <v>0</v>
      </c>
      <c r="AO21" s="724">
        <f t="shared" si="31"/>
        <v>0</v>
      </c>
      <c r="AP21" s="528">
        <f>AM21-AL21</f>
        <v>0</v>
      </c>
      <c r="AQ21" s="725">
        <f>SUM(Q21,AJ21)</f>
        <v>0</v>
      </c>
      <c r="AR21" s="726">
        <f>AR97/1.17</f>
        <v>0</v>
      </c>
      <c r="AS21" s="727">
        <f>S21+AL21</f>
        <v>0</v>
      </c>
      <c r="AT21" s="727">
        <f>SUM(T21,AM21)</f>
        <v>0</v>
      </c>
      <c r="AU21" s="724">
        <f>AT21-AQ21</f>
        <v>0</v>
      </c>
      <c r="AV21" s="724">
        <f t="shared" si="22"/>
        <v>0</v>
      </c>
      <c r="AW21" s="528">
        <f>AT21-AS21</f>
        <v>0</v>
      </c>
      <c r="AX21" s="722"/>
      <c r="AY21" s="723"/>
      <c r="AZ21" s="723"/>
      <c r="BE21" s="692">
        <f>BE97/1.17</f>
        <v>0</v>
      </c>
      <c r="BF21" s="724">
        <f>BF97/1.17</f>
        <v>0</v>
      </c>
      <c r="BG21" s="724">
        <f>BG97/1.17</f>
        <v>0</v>
      </c>
      <c r="BH21" s="528">
        <f>BG21-BF21</f>
        <v>0</v>
      </c>
      <c r="BI21" s="692">
        <f>BI97/1.17</f>
        <v>0</v>
      </c>
      <c r="BJ21" s="724">
        <f>BJ97/1.17</f>
        <v>0</v>
      </c>
      <c r="BK21" s="724">
        <f>BK97/1.17</f>
        <v>0</v>
      </c>
      <c r="BL21" s="528">
        <f>BK21-BJ21</f>
        <v>0</v>
      </c>
      <c r="BM21" s="692">
        <f>BM97/1.17</f>
        <v>0</v>
      </c>
      <c r="BN21" s="685">
        <f>BN23-BN20</f>
        <v>0</v>
      </c>
      <c r="BO21" s="724">
        <f>BO23-BO20</f>
        <v>0</v>
      </c>
      <c r="BP21" s="528">
        <f>BO21-BN21</f>
        <v>0</v>
      </c>
      <c r="BQ21" s="725">
        <f>BE21+BI21+BM21</f>
        <v>0</v>
      </c>
      <c r="BR21" s="726"/>
      <c r="BS21" s="726">
        <f t="shared" si="36"/>
        <v>0</v>
      </c>
      <c r="BT21" s="530">
        <f t="shared" si="36"/>
        <v>0</v>
      </c>
      <c r="BU21" s="685">
        <f>BT21-BQ21</f>
        <v>0</v>
      </c>
      <c r="BV21" s="724"/>
      <c r="BW21" s="528">
        <f>BT21-BS21</f>
        <v>0</v>
      </c>
      <c r="BX21" s="692">
        <f>BX97/1.17</f>
        <v>0</v>
      </c>
      <c r="BY21" s="685">
        <f>BY97/1.17</f>
        <v>0</v>
      </c>
      <c r="BZ21" s="724">
        <f>BZ97/1.17</f>
        <v>0</v>
      </c>
      <c r="CA21" s="694">
        <f>BZ21-BY21</f>
        <v>0</v>
      </c>
      <c r="CB21" s="692">
        <f>CB97/1.17</f>
        <v>0</v>
      </c>
      <c r="CC21" s="685">
        <f>CC97/1.17</f>
        <v>0</v>
      </c>
      <c r="CD21" s="724">
        <f>CD97/1.17</f>
        <v>0</v>
      </c>
      <c r="CE21" s="694">
        <f>CD21-CC21</f>
        <v>0</v>
      </c>
      <c r="CF21" s="692">
        <f>CF97/1.17</f>
        <v>0</v>
      </c>
      <c r="CG21" s="685">
        <f>CG97/1.17</f>
        <v>0</v>
      </c>
      <c r="CH21" s="724">
        <f>CH97/1.17</f>
        <v>0</v>
      </c>
      <c r="CI21" s="694">
        <f>CH21-CG21</f>
        <v>0</v>
      </c>
      <c r="CJ21" s="725">
        <f>BX21+CB21+CF21</f>
        <v>0</v>
      </c>
      <c r="CK21" s="726"/>
      <c r="CL21" s="726">
        <f t="shared" si="37"/>
        <v>0</v>
      </c>
      <c r="CM21" s="530">
        <f t="shared" si="37"/>
        <v>0</v>
      </c>
      <c r="CN21" s="693">
        <f>CM21-CJ21</f>
        <v>0</v>
      </c>
      <c r="CO21" s="693"/>
      <c r="CP21" s="528">
        <f>CM21-CL21</f>
        <v>0</v>
      </c>
      <c r="CQ21" s="725">
        <f>SUM(BQ21,CJ21)</f>
        <v>0</v>
      </c>
      <c r="CR21" s="1335"/>
      <c r="CS21" s="1335">
        <f>BS21+CL21</f>
        <v>0</v>
      </c>
      <c r="CT21" s="727">
        <f>SUM(BT21,CM21)</f>
        <v>0</v>
      </c>
      <c r="CU21" s="724">
        <f>CT21-CQ21</f>
        <v>0</v>
      </c>
      <c r="CV21" s="724"/>
      <c r="CW21" s="528">
        <f>CT21-CS21</f>
        <v>0</v>
      </c>
      <c r="CX21" s="722"/>
      <c r="CY21" s="723"/>
      <c r="CZ21" s="556"/>
      <c r="DA21" s="556"/>
      <c r="DB21" s="556"/>
      <c r="DC21" s="493"/>
      <c r="DD21" s="493"/>
    </row>
    <row r="22" spans="1:108">
      <c r="A22" s="646"/>
      <c r="B22" s="662"/>
      <c r="C22" s="662"/>
      <c r="D22" s="619"/>
      <c r="E22" s="728"/>
      <c r="F22" s="729"/>
      <c r="G22" s="729"/>
      <c r="H22" s="705" t="e">
        <f>G23/F23</f>
        <v>#DIV/0!</v>
      </c>
      <c r="I22" s="728"/>
      <c r="J22" s="729"/>
      <c r="K22" s="729"/>
      <c r="L22" s="1068" t="e">
        <f>K23/J23</f>
        <v>#DIV/0!</v>
      </c>
      <c r="M22" s="728"/>
      <c r="N22" s="729"/>
      <c r="O22" s="729"/>
      <c r="P22" s="1068">
        <f>O23/N23</f>
        <v>23.278688524590166</v>
      </c>
      <c r="Q22" s="535"/>
      <c r="R22" s="731"/>
      <c r="S22" s="532"/>
      <c r="T22" s="532"/>
      <c r="U22" s="1077" t="e">
        <f>T23/Q23</f>
        <v>#DIV/0!</v>
      </c>
      <c r="V22" s="1070" t="e">
        <f>T23/R23</f>
        <v>#DIV/0!</v>
      </c>
      <c r="W22" s="1068">
        <f>T23/S23</f>
        <v>1.8797540055025086</v>
      </c>
      <c r="X22" s="728"/>
      <c r="Y22" s="729"/>
      <c r="Z22" s="729"/>
      <c r="AA22" s="1068">
        <f>Z23/Y23</f>
        <v>1.4617354939884994</v>
      </c>
      <c r="AB22" s="728"/>
      <c r="AC22" s="730"/>
      <c r="AD22" s="729"/>
      <c r="AE22" s="1073">
        <f>AD23/AC23</f>
        <v>0</v>
      </c>
      <c r="AF22" s="728"/>
      <c r="AG22" s="730"/>
      <c r="AH22" s="729"/>
      <c r="AI22" s="1073">
        <f>AH23/AG23</f>
        <v>0</v>
      </c>
      <c r="AJ22" s="535"/>
      <c r="AK22" s="731"/>
      <c r="AL22" s="532"/>
      <c r="AM22" s="532"/>
      <c r="AN22" s="1074" t="e">
        <f>AM23/AJ23</f>
        <v>#DIV/0!</v>
      </c>
      <c r="AO22" s="1070" t="e">
        <f>AM23/AK23</f>
        <v>#DIV/0!</v>
      </c>
      <c r="AP22" s="1078">
        <f>AM23/AL23</f>
        <v>0.52140592951706133</v>
      </c>
      <c r="AQ22" s="738"/>
      <c r="AR22" s="731"/>
      <c r="AS22" s="732"/>
      <c r="AT22" s="732"/>
      <c r="AU22" s="1076" t="e">
        <f>AT23/AQ23</f>
        <v>#DIV/0!</v>
      </c>
      <c r="AV22" s="1070" t="e">
        <f>AT23/AR23</f>
        <v>#DIV/0!</v>
      </c>
      <c r="AW22" s="1078">
        <f>AT23/AS23</f>
        <v>1.7712730630053759</v>
      </c>
      <c r="AX22" s="708"/>
      <c r="AY22" s="709"/>
      <c r="AZ22" s="709"/>
      <c r="BA22" s="516"/>
      <c r="BB22" s="516"/>
      <c r="BC22" s="516"/>
      <c r="BD22" s="516"/>
      <c r="BE22" s="728"/>
      <c r="BF22" s="729"/>
      <c r="BG22" s="729"/>
      <c r="BH22" s="1068">
        <f>BG23/BF23</f>
        <v>0</v>
      </c>
      <c r="BI22" s="728"/>
      <c r="BJ22" s="729"/>
      <c r="BK22" s="729"/>
      <c r="BL22" s="1068">
        <f>BK23/BJ23</f>
        <v>2.4848484848484849</v>
      </c>
      <c r="BM22" s="728"/>
      <c r="BN22" s="730"/>
      <c r="BO22" s="729"/>
      <c r="BP22" s="1068" t="e">
        <f>BO23/BN23</f>
        <v>#DIV/0!</v>
      </c>
      <c r="BQ22" s="535"/>
      <c r="BR22" s="1336"/>
      <c r="BS22" s="1336"/>
      <c r="BT22" s="532"/>
      <c r="BU22" s="1077" t="e">
        <f>BT23/BQ23</f>
        <v>#DIV/0!</v>
      </c>
      <c r="BV22" s="1076"/>
      <c r="BW22" s="1068">
        <f>BT23/BS23</f>
        <v>0.71304347826086956</v>
      </c>
      <c r="BX22" s="728"/>
      <c r="BY22" s="730"/>
      <c r="BZ22" s="729"/>
      <c r="CA22" s="1072" t="e">
        <f>BZ23/BY23</f>
        <v>#DIV/0!</v>
      </c>
      <c r="CB22" s="728"/>
      <c r="CC22" s="730"/>
      <c r="CD22" s="729"/>
      <c r="CE22" s="1073" t="e">
        <f>CD23/CC23</f>
        <v>#DIV/0!</v>
      </c>
      <c r="CF22" s="728"/>
      <c r="CG22" s="730"/>
      <c r="CH22" s="729"/>
      <c r="CI22" s="1073" t="e">
        <f>CH23/CG23</f>
        <v>#DIV/0!</v>
      </c>
      <c r="CJ22" s="535"/>
      <c r="CK22" s="1336"/>
      <c r="CL22" s="1336"/>
      <c r="CM22" s="532"/>
      <c r="CN22" s="1074" t="e">
        <f>CM23/CJ23</f>
        <v>#DIV/0!</v>
      </c>
      <c r="CO22" s="1086"/>
      <c r="CP22" s="1078" t="e">
        <f>CM23/CL23</f>
        <v>#DIV/0!</v>
      </c>
      <c r="CQ22" s="738"/>
      <c r="CR22" s="1339"/>
      <c r="CS22" s="1339"/>
      <c r="CT22" s="732"/>
      <c r="CU22" s="1076" t="e">
        <f>CT23/CQ23</f>
        <v>#DIV/0!</v>
      </c>
      <c r="CV22" s="1076"/>
      <c r="CW22" s="1078">
        <f>CT23/CS23</f>
        <v>1.2788405797101448</v>
      </c>
      <c r="CX22" s="708"/>
      <c r="CY22" s="709"/>
      <c r="CZ22" s="555"/>
      <c r="DA22" s="555"/>
      <c r="DB22" s="555"/>
      <c r="DC22" s="516"/>
      <c r="DD22" s="516"/>
    </row>
    <row r="23" spans="1:108">
      <c r="A23" s="647" t="s">
        <v>331</v>
      </c>
      <c r="B23" s="661"/>
      <c r="C23" s="661"/>
      <c r="D23" s="660"/>
      <c r="E23" s="710">
        <f>E100/1.17</f>
        <v>0</v>
      </c>
      <c r="F23" s="711">
        <f>F100/1.17</f>
        <v>0</v>
      </c>
      <c r="G23" s="711">
        <f>G100/1.17</f>
        <v>5072.6495726495732</v>
      </c>
      <c r="H23" s="521">
        <f>G23-F23</f>
        <v>5072.6495726495732</v>
      </c>
      <c r="I23" s="710">
        <f>I100/1.17</f>
        <v>0</v>
      </c>
      <c r="J23" s="711">
        <f>J100/1.17</f>
        <v>0</v>
      </c>
      <c r="K23" s="711">
        <f>K100/1.17</f>
        <v>0</v>
      </c>
      <c r="L23" s="521">
        <f>K23-J23</f>
        <v>0</v>
      </c>
      <c r="M23" s="710">
        <f>M100/1.17</f>
        <v>0</v>
      </c>
      <c r="N23" s="711">
        <f>N100/1.17</f>
        <v>208.54700854700857</v>
      </c>
      <c r="O23" s="711">
        <f>O100/1.17</f>
        <v>4854.7008547008554</v>
      </c>
      <c r="P23" s="521">
        <f>O23-N23</f>
        <v>4646.1538461538466</v>
      </c>
      <c r="Q23" s="713">
        <f>E23+I23+M23</f>
        <v>0</v>
      </c>
      <c r="R23" s="714">
        <f>R20+R21</f>
        <v>0</v>
      </c>
      <c r="S23" s="715">
        <f>G23+J23+N23</f>
        <v>5281.196581196582</v>
      </c>
      <c r="T23" s="520">
        <f>G23+K23+O23</f>
        <v>9927.3504273504295</v>
      </c>
      <c r="U23" s="518">
        <f>T23-Q23</f>
        <v>9927.3504273504295</v>
      </c>
      <c r="V23" s="517">
        <f t="shared" si="17"/>
        <v>9927.3504273504295</v>
      </c>
      <c r="W23" s="521">
        <f>T23-S23</f>
        <v>4646.1538461538476</v>
      </c>
      <c r="X23" s="710">
        <f>X100/1.17</f>
        <v>0</v>
      </c>
      <c r="Y23" s="711">
        <f>Y100/1.17</f>
        <v>163.50427350427353</v>
      </c>
      <c r="Z23" s="1240">
        <v>239</v>
      </c>
      <c r="AA23" s="521">
        <f>Z23-Y23</f>
        <v>75.495726495726473</v>
      </c>
      <c r="AB23" s="710">
        <f>AB100/1.17</f>
        <v>0</v>
      </c>
      <c r="AC23" s="712">
        <f>AC100/1.17</f>
        <v>84.615384615384627</v>
      </c>
      <c r="AD23" s="711">
        <f>AD100/1.17</f>
        <v>0</v>
      </c>
      <c r="AE23" s="716">
        <f>AD23-AC23</f>
        <v>-84.615384615384627</v>
      </c>
      <c r="AF23" s="710">
        <f>AF100/1.17</f>
        <v>0</v>
      </c>
      <c r="AG23" s="712">
        <f>AG100/1.17</f>
        <v>210.25641025641028</v>
      </c>
      <c r="AH23" s="711">
        <f>AH100/1.17</f>
        <v>0</v>
      </c>
      <c r="AI23" s="716">
        <f>AH23-AG23</f>
        <v>-210.25641025641028</v>
      </c>
      <c r="AJ23" s="713">
        <f>X23+AB23+AF23</f>
        <v>0</v>
      </c>
      <c r="AK23" s="714">
        <f>AK20+AK21</f>
        <v>0</v>
      </c>
      <c r="AL23" s="715">
        <f>Y23+AC23+AG23</f>
        <v>458.37606837606842</v>
      </c>
      <c r="AM23" s="520">
        <f>Z23+AD23+AH23</f>
        <v>239</v>
      </c>
      <c r="AN23" s="536">
        <f>AM23-AJ23</f>
        <v>239</v>
      </c>
      <c r="AO23" s="517">
        <f t="shared" si="31"/>
        <v>239</v>
      </c>
      <c r="AP23" s="521">
        <f>AM23-AL23</f>
        <v>-219.37606837606842</v>
      </c>
      <c r="AQ23" s="519">
        <f>SUM(Q23,AJ23)</f>
        <v>0</v>
      </c>
      <c r="AR23" s="714">
        <f>AR20+AR21</f>
        <v>0</v>
      </c>
      <c r="AS23" s="520">
        <f>S23+AL23</f>
        <v>5739.5726495726503</v>
      </c>
      <c r="AT23" s="520">
        <f>SUM(T23,AM23)</f>
        <v>10166.35042735043</v>
      </c>
      <c r="AU23" s="517">
        <f>AT23-AQ23</f>
        <v>10166.35042735043</v>
      </c>
      <c r="AV23" s="517">
        <f t="shared" si="22"/>
        <v>10166.35042735043</v>
      </c>
      <c r="AW23" s="521">
        <f>AT23-AS23</f>
        <v>4426.7777777777792</v>
      </c>
      <c r="AX23" s="708">
        <f>AQ23/6</f>
        <v>0</v>
      </c>
      <c r="AY23" s="709">
        <f>AR23/6</f>
        <v>0</v>
      </c>
      <c r="AZ23" s="709">
        <f>AT23/6</f>
        <v>1694.3917378917383</v>
      </c>
      <c r="BA23" s="1239" t="e">
        <f>AZ23/AX23</f>
        <v>#DIV/0!</v>
      </c>
      <c r="BB23" s="516">
        <f>AZ23-AX23</f>
        <v>1694.3917378917383</v>
      </c>
      <c r="BC23" s="516">
        <f>AZ23-AY23</f>
        <v>1694.3917378917383</v>
      </c>
      <c r="BD23" s="516">
        <f>AW23/6</f>
        <v>737.79629629629653</v>
      </c>
      <c r="BE23" s="710">
        <f>BE100/1.17</f>
        <v>0</v>
      </c>
      <c r="BF23" s="711">
        <f>BF100/1.17</f>
        <v>210.25641025641028</v>
      </c>
      <c r="BG23" s="711">
        <f>BG100/1.17</f>
        <v>0</v>
      </c>
      <c r="BH23" s="521">
        <f>BG23-BF23</f>
        <v>-210.25641025641028</v>
      </c>
      <c r="BI23" s="710">
        <f>BI100/1.17</f>
        <v>0</v>
      </c>
      <c r="BJ23" s="711">
        <f>BJ100/1.17</f>
        <v>84.615384615384627</v>
      </c>
      <c r="BK23" s="711">
        <f>BK100/1.17</f>
        <v>210.25641025641028</v>
      </c>
      <c r="BL23" s="521">
        <f>BK23-BJ23</f>
        <v>125.64102564102565</v>
      </c>
      <c r="BM23" s="710">
        <f>BM100/1.17</f>
        <v>0</v>
      </c>
      <c r="BN23" s="712">
        <f>BN100/1.17</f>
        <v>0</v>
      </c>
      <c r="BO23" s="711">
        <f>BO100/1.17</f>
        <v>0</v>
      </c>
      <c r="BP23" s="521">
        <f>BO23-BN23</f>
        <v>0</v>
      </c>
      <c r="BQ23" s="713">
        <f>BE23+BI23+BM23</f>
        <v>0</v>
      </c>
      <c r="BR23" s="714"/>
      <c r="BS23" s="714">
        <f>BF23+BJ23+BN23</f>
        <v>294.87179487179492</v>
      </c>
      <c r="BT23" s="520">
        <f>BG23+BK23+BO23</f>
        <v>210.25641025641028</v>
      </c>
      <c r="BU23" s="518">
        <f>BT23-BQ23</f>
        <v>210.25641025641028</v>
      </c>
      <c r="BV23" s="517"/>
      <c r="BW23" s="521">
        <f>BT23-BS23</f>
        <v>-84.615384615384642</v>
      </c>
      <c r="BX23" s="710">
        <f>BX100/1.17</f>
        <v>0</v>
      </c>
      <c r="BY23" s="712">
        <f>BY100/1.17</f>
        <v>0</v>
      </c>
      <c r="BZ23" s="711">
        <f>BZ100/1.17</f>
        <v>166.83760683760684</v>
      </c>
      <c r="CA23" s="716">
        <f>BZ23-BY23</f>
        <v>166.83760683760684</v>
      </c>
      <c r="CB23" s="710">
        <f>CB100/1.17</f>
        <v>0</v>
      </c>
      <c r="CC23" s="712">
        <f>CC100/1.17</f>
        <v>0</v>
      </c>
      <c r="CD23" s="711">
        <f>CD100/1.17</f>
        <v>0</v>
      </c>
      <c r="CE23" s="716">
        <f>CD23-CC23</f>
        <v>0</v>
      </c>
      <c r="CF23" s="710">
        <f>CF100/1.17</f>
        <v>0</v>
      </c>
      <c r="CG23" s="712">
        <f>CG100/1.17</f>
        <v>0</v>
      </c>
      <c r="CH23" s="711">
        <f>CH100/1.17</f>
        <v>0</v>
      </c>
      <c r="CI23" s="716">
        <f>CH23-CG23</f>
        <v>0</v>
      </c>
      <c r="CJ23" s="713">
        <f>BX23+CB23+CF23</f>
        <v>0</v>
      </c>
      <c r="CK23" s="714"/>
      <c r="CL23" s="714">
        <f>BY23+CC23+CG23</f>
        <v>0</v>
      </c>
      <c r="CM23" s="520">
        <f>BZ23+CD23+CH23</f>
        <v>166.83760683760684</v>
      </c>
      <c r="CN23" s="536">
        <f>CM23-CJ23</f>
        <v>166.83760683760684</v>
      </c>
      <c r="CO23" s="536"/>
      <c r="CP23" s="521">
        <f>CM23-CL23</f>
        <v>166.83760683760684</v>
      </c>
      <c r="CQ23" s="519">
        <f>SUM(BQ23,CJ23)</f>
        <v>0</v>
      </c>
      <c r="CR23" s="1334"/>
      <c r="CS23" s="1334">
        <f>BS23+CL23</f>
        <v>294.87179487179492</v>
      </c>
      <c r="CT23" s="520">
        <f>SUM(BT23,CM23)</f>
        <v>377.09401709401709</v>
      </c>
      <c r="CU23" s="517">
        <f>CT23-CQ23</f>
        <v>377.09401709401709</v>
      </c>
      <c r="CV23" s="517"/>
      <c r="CW23" s="521">
        <f>CT23-CS23</f>
        <v>82.222222222222172</v>
      </c>
      <c r="CX23" s="708">
        <f>CQ23/6</f>
        <v>0</v>
      </c>
      <c r="CY23" s="709">
        <f>CT23/6</f>
        <v>62.849002849002851</v>
      </c>
      <c r="CZ23" s="1386" t="e">
        <f>CY23/CX23</f>
        <v>#DIV/0!</v>
      </c>
      <c r="DA23" s="555">
        <f>CY23-CX23</f>
        <v>62.849002849002851</v>
      </c>
      <c r="DB23" s="555">
        <f>CW23/6</f>
        <v>13.703703703703695</v>
      </c>
      <c r="DC23" s="516"/>
      <c r="DD23" s="516"/>
    </row>
    <row r="24" spans="1:108">
      <c r="A24" s="646"/>
      <c r="B24" s="662"/>
      <c r="C24" s="662"/>
      <c r="D24" s="619"/>
      <c r="E24" s="733"/>
      <c r="F24" s="734"/>
      <c r="G24" s="734"/>
      <c r="H24" s="705">
        <f>G25/F25</f>
        <v>1.5081143119266054</v>
      </c>
      <c r="I24" s="733"/>
      <c r="J24" s="734"/>
      <c r="K24" s="734"/>
      <c r="L24" s="1068">
        <f>K25/J25</f>
        <v>1.5324160799999997</v>
      </c>
      <c r="M24" s="733"/>
      <c r="N24" s="734"/>
      <c r="O24" s="734"/>
      <c r="P24" s="1068">
        <f>O25/N25</f>
        <v>1.3822138228782288</v>
      </c>
      <c r="Q24" s="533"/>
      <c r="R24" s="736"/>
      <c r="S24" s="737"/>
      <c r="T24" s="596"/>
      <c r="U24" s="1069">
        <f>T25/Q25</f>
        <v>1.4275903665987779</v>
      </c>
      <c r="V24" s="1070">
        <f>T25/R25</f>
        <v>1.4275903665987779</v>
      </c>
      <c r="W24" s="1071">
        <f>T25/S25</f>
        <v>1.2637268394888255</v>
      </c>
      <c r="X24" s="733"/>
      <c r="Y24" s="734"/>
      <c r="Z24" s="734"/>
      <c r="AA24" s="1068">
        <f>Z25/Y25</f>
        <v>1.5694958915304604</v>
      </c>
      <c r="AB24" s="733"/>
      <c r="AC24" s="735"/>
      <c r="AD24" s="734"/>
      <c r="AE24" s="1080">
        <f>AD25/AC25</f>
        <v>2.2451409</v>
      </c>
      <c r="AF24" s="733"/>
      <c r="AG24" s="735"/>
      <c r="AH24" s="734"/>
      <c r="AI24" s="1080">
        <f>AH25/AG25</f>
        <v>2.1383820108695648</v>
      </c>
      <c r="AJ24" s="533"/>
      <c r="AK24" s="736"/>
      <c r="AL24" s="737"/>
      <c r="AM24" s="596"/>
      <c r="AN24" s="1074">
        <f>AM25/AJ25</f>
        <v>1.7685960903651743</v>
      </c>
      <c r="AO24" s="1070">
        <f>AM25/AK25</f>
        <v>1.7685960903651743</v>
      </c>
      <c r="AP24" s="1075">
        <f>AM25/AL25</f>
        <v>1.992651150627615</v>
      </c>
      <c r="AQ24" s="535"/>
      <c r="AR24" s="736"/>
      <c r="AS24" s="532"/>
      <c r="AT24" s="532"/>
      <c r="AU24" s="1076">
        <f>AT25/AQ25</f>
        <v>1.6059688193395207</v>
      </c>
      <c r="AV24" s="1070">
        <f>AT25/AR25</f>
        <v>1.6059688193395207</v>
      </c>
      <c r="AW24" s="1075">
        <f>AT25/AS25</f>
        <v>1.6011308709150376</v>
      </c>
      <c r="AX24" s="708"/>
      <c r="AY24" s="709"/>
      <c r="AZ24" s="709"/>
      <c r="BA24" s="516"/>
      <c r="BB24" s="516"/>
      <c r="BC24" s="516"/>
      <c r="BD24" s="516"/>
      <c r="BE24" s="733"/>
      <c r="BF24" s="734"/>
      <c r="BG24" s="734"/>
      <c r="BH24" s="1068">
        <f>BG25/BF25</f>
        <v>1.6886287694300517</v>
      </c>
      <c r="BI24" s="733"/>
      <c r="BJ24" s="734"/>
      <c r="BK24" s="734"/>
      <c r="BL24" s="1068">
        <f>BK25/BJ25</f>
        <v>1.588427936694021</v>
      </c>
      <c r="BM24" s="733"/>
      <c r="BN24" s="735"/>
      <c r="BO24" s="734"/>
      <c r="BP24" s="1071">
        <f>BO25/BN25</f>
        <v>1.3988693406593407</v>
      </c>
      <c r="BQ24" s="533"/>
      <c r="BR24" s="1338"/>
      <c r="BS24" s="736"/>
      <c r="BT24" s="596"/>
      <c r="BU24" s="1069">
        <f>BT25/BQ25</f>
        <v>2.1175853737890691</v>
      </c>
      <c r="BV24" s="1070"/>
      <c r="BW24" s="1071">
        <f>BT25/BS25</f>
        <v>1.5302218438779551</v>
      </c>
      <c r="BX24" s="733"/>
      <c r="BY24" s="735"/>
      <c r="BZ24" s="734"/>
      <c r="CA24" s="1079">
        <f>BZ25/BY25</f>
        <v>1.3907255108359131</v>
      </c>
      <c r="CB24" s="733"/>
      <c r="CC24" s="735"/>
      <c r="CD24" s="734"/>
      <c r="CE24" s="1080">
        <f>CD25/CC25</f>
        <v>1</v>
      </c>
      <c r="CF24" s="733"/>
      <c r="CG24" s="735"/>
      <c r="CH24" s="734"/>
      <c r="CI24" s="1080">
        <f>CH25/CG25</f>
        <v>1</v>
      </c>
      <c r="CJ24" s="533"/>
      <c r="CK24" s="1338"/>
      <c r="CL24" s="736"/>
      <c r="CM24" s="596"/>
      <c r="CN24" s="1074">
        <f>CM25/CJ25</f>
        <v>1.0519882654331969</v>
      </c>
      <c r="CO24" s="1074"/>
      <c r="CP24" s="1075">
        <f>CM25/CL25</f>
        <v>1.1468630799069044</v>
      </c>
      <c r="CQ24" s="535"/>
      <c r="CR24" s="1337"/>
      <c r="CS24" s="1337"/>
      <c r="CT24" s="532"/>
      <c r="CU24" s="1076">
        <f>CT25/CQ25</f>
        <v>1.577581646231518</v>
      </c>
      <c r="CV24" s="1076"/>
      <c r="CW24" s="1075">
        <f>CT25/CS25</f>
        <v>1.3749144040229433</v>
      </c>
      <c r="CX24" s="708"/>
      <c r="CY24" s="709"/>
      <c r="CZ24" s="555"/>
      <c r="DA24" s="555"/>
      <c r="DB24" s="555"/>
      <c r="DC24" s="516"/>
      <c r="DD24" s="516"/>
    </row>
    <row r="25" spans="1:108">
      <c r="A25" s="647" t="s">
        <v>332</v>
      </c>
      <c r="B25" s="661"/>
      <c r="C25" s="661"/>
      <c r="D25" s="660"/>
      <c r="E25" s="710">
        <f>E102/1.17</f>
        <v>1211.1111111111111</v>
      </c>
      <c r="F25" s="711">
        <f>F102/1.17</f>
        <v>1211.1111111111111</v>
      </c>
      <c r="G25" s="740">
        <v>1826.4939999999999</v>
      </c>
      <c r="H25" s="521">
        <f>G25-F25</f>
        <v>615.38288888888883</v>
      </c>
      <c r="I25" s="710">
        <f>I102/1.17</f>
        <v>1211.1111111111111</v>
      </c>
      <c r="J25" s="711">
        <f>J102/1.17</f>
        <v>1282.0512820512822</v>
      </c>
      <c r="K25" s="740">
        <v>1964.636</v>
      </c>
      <c r="L25" s="521">
        <f>K25-J25</f>
        <v>682.58471794871775</v>
      </c>
      <c r="M25" s="710">
        <f>M102/1.17</f>
        <v>1354.7008547008547</v>
      </c>
      <c r="N25" s="711">
        <f>N102/1.17</f>
        <v>1158.1196581196582</v>
      </c>
      <c r="O25" s="1233">
        <v>1600.769</v>
      </c>
      <c r="P25" s="521">
        <f>O25-N25</f>
        <v>442.64934188034181</v>
      </c>
      <c r="Q25" s="713">
        <f>E25+I25+M25</f>
        <v>3776.9230769230771</v>
      </c>
      <c r="R25" s="714">
        <f>R102/1.17</f>
        <v>3776.9230769230771</v>
      </c>
      <c r="S25" s="715">
        <f>G25+J25+N25</f>
        <v>4266.6649401709401</v>
      </c>
      <c r="T25" s="520">
        <f>G25+K25+O25</f>
        <v>5391.8990000000003</v>
      </c>
      <c r="U25" s="518">
        <f>T25-Q25</f>
        <v>1614.9759230769232</v>
      </c>
      <c r="V25" s="517">
        <f t="shared" si="17"/>
        <v>1614.9759230769232</v>
      </c>
      <c r="W25" s="521">
        <f>T25-S25</f>
        <v>1125.2340598290602</v>
      </c>
      <c r="X25" s="710">
        <f>X102/1.17</f>
        <v>1411.1111111111111</v>
      </c>
      <c r="Y25" s="711">
        <f>Y102/1.17</f>
        <v>1150.4273504273506</v>
      </c>
      <c r="Z25" s="1240">
        <v>1805.5909999999999</v>
      </c>
      <c r="AA25" s="521">
        <f>Z25-Y25</f>
        <v>655.16364957264932</v>
      </c>
      <c r="AB25" s="710">
        <f>AB102/1.17</f>
        <v>1400.8547008547009</v>
      </c>
      <c r="AC25" s="712">
        <f>AC102/1.17</f>
        <v>1111.1111111111111</v>
      </c>
      <c r="AD25" s="1240">
        <v>2494.6010000000001</v>
      </c>
      <c r="AE25" s="716">
        <f>AD25-AC25</f>
        <v>1383.489888888889</v>
      </c>
      <c r="AF25" s="710">
        <f>AF102/1.17</f>
        <v>1330.7692307692309</v>
      </c>
      <c r="AG25" s="712">
        <f>AG102/1.17</f>
        <v>1415.3846153846155</v>
      </c>
      <c r="AH25" s="1240">
        <v>3026.6329999999998</v>
      </c>
      <c r="AI25" s="716">
        <f>AH25-AG25</f>
        <v>1611.2483846153843</v>
      </c>
      <c r="AJ25" s="713">
        <f>X25+AB25+AF25</f>
        <v>4142.735042735043</v>
      </c>
      <c r="AK25" s="714">
        <f>AK102/1.17</f>
        <v>4142.735042735043</v>
      </c>
      <c r="AL25" s="715">
        <f>Y25+AC25+AG25</f>
        <v>3676.9230769230771</v>
      </c>
      <c r="AM25" s="520">
        <f>Z25+AD25+AH25</f>
        <v>7326.8249999999998</v>
      </c>
      <c r="AN25" s="536">
        <f>AM25-AJ25</f>
        <v>3184.0899572649569</v>
      </c>
      <c r="AO25" s="517">
        <f t="shared" si="31"/>
        <v>3184.0899572649569</v>
      </c>
      <c r="AP25" s="521">
        <f>AM25-AL25</f>
        <v>3649.9019230769227</v>
      </c>
      <c r="AQ25" s="519">
        <f>SUM(Q25,AJ25)</f>
        <v>7919.6581196581201</v>
      </c>
      <c r="AR25" s="714">
        <f>AR102/1.17</f>
        <v>7919.6581196581201</v>
      </c>
      <c r="AS25" s="520">
        <f>S25+AL25</f>
        <v>7943.5880170940172</v>
      </c>
      <c r="AT25" s="520">
        <f>SUM(T25,AM25)</f>
        <v>12718.724</v>
      </c>
      <c r="AU25" s="517">
        <f>AT25-AQ25</f>
        <v>4799.0658803418801</v>
      </c>
      <c r="AV25" s="517">
        <f t="shared" si="22"/>
        <v>4799.0658803418801</v>
      </c>
      <c r="AW25" s="521">
        <f>AT25-AS25</f>
        <v>4775.1359829059829</v>
      </c>
      <c r="AX25" s="708">
        <f>AQ25/6</f>
        <v>1319.9430199430201</v>
      </c>
      <c r="AY25" s="709">
        <f>AR25/6</f>
        <v>1319.9430199430201</v>
      </c>
      <c r="AZ25" s="709">
        <f>AT25/6</f>
        <v>2119.7873333333332</v>
      </c>
      <c r="BA25" s="1239">
        <f>AZ25/AX25</f>
        <v>1.6059688193395205</v>
      </c>
      <c r="BB25" s="516">
        <f>AZ25-AX25</f>
        <v>799.84431339031312</v>
      </c>
      <c r="BC25" s="516">
        <f>AZ25-AY25</f>
        <v>799.84431339031312</v>
      </c>
      <c r="BD25" s="516">
        <f>AW25/6</f>
        <v>795.85599715099715</v>
      </c>
      <c r="BE25" s="710">
        <f>BE102/1.17</f>
        <v>1637.6068376068376</v>
      </c>
      <c r="BF25" s="711">
        <f>BF102/1.17</f>
        <v>1979.4871794871797</v>
      </c>
      <c r="BG25" s="1233">
        <v>3342.6190000000001</v>
      </c>
      <c r="BH25" s="521">
        <f>BG25-BF25</f>
        <v>1363.1318205128205</v>
      </c>
      <c r="BI25" s="710">
        <f>BI102/1.17</f>
        <v>1458.1196581196582</v>
      </c>
      <c r="BJ25" s="711">
        <f>BJ102/1.17</f>
        <v>1458.1196581196582</v>
      </c>
      <c r="BK25" s="1233">
        <v>2316.1179999999999</v>
      </c>
      <c r="BL25" s="521">
        <f>BK25-BJ25</f>
        <v>857.99834188034174</v>
      </c>
      <c r="BM25" s="710">
        <f>BM102/1.17</f>
        <v>1580.3418803418804</v>
      </c>
      <c r="BN25" s="712">
        <f>BN102/1.17</f>
        <v>3033.3333333333335</v>
      </c>
      <c r="BO25" s="1233">
        <v>4243.2370000000001</v>
      </c>
      <c r="BP25" s="521">
        <f>BO25-BN25</f>
        <v>1209.9036666666666</v>
      </c>
      <c r="BQ25" s="713">
        <f>BE25+BI25+BM25</f>
        <v>4676.0683760683769</v>
      </c>
      <c r="BR25" s="714"/>
      <c r="BS25" s="714">
        <f>BF25+BJ25+BN25</f>
        <v>6470.9401709401718</v>
      </c>
      <c r="BT25" s="520">
        <f>BG25+BK25+BO25</f>
        <v>9901.9740000000002</v>
      </c>
      <c r="BU25" s="518">
        <f>BT25-BQ25</f>
        <v>5225.9056239316233</v>
      </c>
      <c r="BV25" s="517"/>
      <c r="BW25" s="521">
        <f>BT25-BS25</f>
        <v>3431.0338290598283</v>
      </c>
      <c r="BX25" s="710">
        <f>BX102/1.17</f>
        <v>1656.4102564102566</v>
      </c>
      <c r="BY25" s="712">
        <f>BY102/1.17</f>
        <v>1656.4102564102566</v>
      </c>
      <c r="BZ25" s="1233">
        <v>2303.6120000000001</v>
      </c>
      <c r="CA25" s="716">
        <f>BZ25-BY25</f>
        <v>647.2017435897435</v>
      </c>
      <c r="CB25" s="710">
        <f>CB102/1.17</f>
        <v>1810.2564102564104</v>
      </c>
      <c r="CC25" s="712">
        <f>CC102/1.17</f>
        <v>1810.2564102564104</v>
      </c>
      <c r="CD25" s="711">
        <f>CD102/1.17</f>
        <v>1810.2564102564104</v>
      </c>
      <c r="CE25" s="716">
        <f>CD25-CC25</f>
        <v>0</v>
      </c>
      <c r="CF25" s="710">
        <f>CF102/1.17</f>
        <v>1337.6068376068376</v>
      </c>
      <c r="CG25" s="712">
        <f>CG102/1.17</f>
        <v>940.17094017094018</v>
      </c>
      <c r="CH25" s="711">
        <f>CH102/1.17</f>
        <v>940.17094017094018</v>
      </c>
      <c r="CI25" s="716">
        <f>CH25-CG25</f>
        <v>0</v>
      </c>
      <c r="CJ25" s="713">
        <f>BX25+CB25+CF25</f>
        <v>4804.2735042735048</v>
      </c>
      <c r="CK25" s="714"/>
      <c r="CL25" s="714">
        <f>BY25+CC25+CG25</f>
        <v>4406.8376068376074</v>
      </c>
      <c r="CM25" s="520">
        <f>BZ25+CD25+CH25</f>
        <v>5054.0393504273507</v>
      </c>
      <c r="CN25" s="536">
        <f>CM25-CJ25</f>
        <v>249.76584615384581</v>
      </c>
      <c r="CO25" s="536"/>
      <c r="CP25" s="521">
        <f>CM25-CL25</f>
        <v>647.20174358974327</v>
      </c>
      <c r="CQ25" s="519">
        <f>SUM(BQ25,CJ25)</f>
        <v>9480.3418803418826</v>
      </c>
      <c r="CR25" s="1334"/>
      <c r="CS25" s="1334">
        <f>BS25+CL25</f>
        <v>10877.777777777779</v>
      </c>
      <c r="CT25" s="520">
        <f>SUM(BT25,CM25)</f>
        <v>14956.013350427351</v>
      </c>
      <c r="CU25" s="517">
        <f>CT25-CQ25</f>
        <v>5475.6714700854682</v>
      </c>
      <c r="CV25" s="517"/>
      <c r="CW25" s="521">
        <f>CT25-CS25</f>
        <v>4078.2355726495716</v>
      </c>
      <c r="CX25" s="708">
        <f>CQ25/6</f>
        <v>1580.0569800569804</v>
      </c>
      <c r="CY25" s="709">
        <f>CT25/6</f>
        <v>2492.668891737892</v>
      </c>
      <c r="CZ25" s="1386">
        <f>CY25/CX25</f>
        <v>1.577581646231518</v>
      </c>
      <c r="DA25" s="555">
        <f>CY25-CX25</f>
        <v>912.61191168091159</v>
      </c>
      <c r="DB25" s="555">
        <f>CW25/6</f>
        <v>679.70592877492857</v>
      </c>
      <c r="DC25" s="516"/>
      <c r="DD25" s="516"/>
    </row>
    <row r="26" spans="1:108">
      <c r="A26" s="646"/>
      <c r="B26" s="662"/>
      <c r="C26" s="662"/>
      <c r="D26" s="619"/>
      <c r="E26" s="733"/>
      <c r="F26" s="734"/>
      <c r="G26" s="734"/>
      <c r="H26" s="705" t="e">
        <f>G27/F27</f>
        <v>#DIV/0!</v>
      </c>
      <c r="I26" s="733"/>
      <c r="J26" s="734"/>
      <c r="K26" s="734"/>
      <c r="L26" s="1068" t="e">
        <f>K27/J27</f>
        <v>#DIV/0!</v>
      </c>
      <c r="M26" s="733"/>
      <c r="N26" s="734"/>
      <c r="O26" s="734"/>
      <c r="P26" s="1068" t="e">
        <f>O27/N27</f>
        <v>#DIV/0!</v>
      </c>
      <c r="Q26" s="533"/>
      <c r="R26" s="736"/>
      <c r="S26" s="737"/>
      <c r="T26" s="596"/>
      <c r="U26" s="1069" t="e">
        <f>T27/Q27</f>
        <v>#DIV/0!</v>
      </c>
      <c r="V26" s="1070" t="e">
        <f>T27/R27</f>
        <v>#DIV/0!</v>
      </c>
      <c r="W26" s="1071">
        <f>T27/S27</f>
        <v>1.1071428571428572</v>
      </c>
      <c r="X26" s="733"/>
      <c r="Y26" s="734"/>
      <c r="Z26" s="734"/>
      <c r="AA26" s="1068" t="e">
        <f>Z27/Y27</f>
        <v>#DIV/0!</v>
      </c>
      <c r="AB26" s="733"/>
      <c r="AC26" s="735"/>
      <c r="AD26" s="734"/>
      <c r="AE26" s="1080">
        <f>AD27/AC27</f>
        <v>1</v>
      </c>
      <c r="AF26" s="733"/>
      <c r="AG26" s="735"/>
      <c r="AH26" s="734"/>
      <c r="AI26" s="1080">
        <f>AH27/AG27</f>
        <v>1.4153333333333331</v>
      </c>
      <c r="AJ26" s="533"/>
      <c r="AK26" s="736"/>
      <c r="AL26" s="737"/>
      <c r="AM26" s="596"/>
      <c r="AN26" s="1074" t="e">
        <f>AM27/AJ27</f>
        <v>#DIV/0!</v>
      </c>
      <c r="AO26" s="1070" t="e">
        <f>AM27/AK27</f>
        <v>#DIV/0!</v>
      </c>
      <c r="AP26" s="1075">
        <f>AM27/AL27</f>
        <v>1.1245999999999998</v>
      </c>
      <c r="AQ26" s="535"/>
      <c r="AR26" s="736"/>
      <c r="AS26" s="532"/>
      <c r="AT26" s="532"/>
      <c r="AU26" s="1076" t="e">
        <f>AT27/AQ27</f>
        <v>#DIV/0!</v>
      </c>
      <c r="AV26" s="1070" t="e">
        <f>AT27/AR27</f>
        <v>#DIV/0!</v>
      </c>
      <c r="AW26" s="1075">
        <f>AT27/AS27</f>
        <v>1.1190454545454545</v>
      </c>
      <c r="AX26" s="708"/>
      <c r="AY26" s="709"/>
      <c r="AZ26" s="709"/>
      <c r="BA26" s="516"/>
      <c r="BB26" s="516"/>
      <c r="BC26" s="516"/>
      <c r="BD26" s="516"/>
      <c r="BE26" s="733"/>
      <c r="BF26" s="734"/>
      <c r="BG26" s="734"/>
      <c r="BH26" s="1068" t="e">
        <f>BG27/BF27</f>
        <v>#DIV/0!</v>
      </c>
      <c r="BI26" s="733"/>
      <c r="BJ26" s="734"/>
      <c r="BK26" s="734"/>
      <c r="BL26" s="1068" t="e">
        <f>BK27/BJ27</f>
        <v>#DIV/0!</v>
      </c>
      <c r="BM26" s="733"/>
      <c r="BN26" s="735"/>
      <c r="BO26" s="734"/>
      <c r="BP26" s="1071" t="e">
        <f>BO27/BN27</f>
        <v>#DIV/0!</v>
      </c>
      <c r="BQ26" s="533"/>
      <c r="BR26" s="1338"/>
      <c r="BS26" s="736"/>
      <c r="BT26" s="596"/>
      <c r="BU26" s="1069" t="e">
        <f>BT27/BQ27</f>
        <v>#DIV/0!</v>
      </c>
      <c r="BV26" s="1070"/>
      <c r="BW26" s="1071" t="e">
        <f>BT27/BS27</f>
        <v>#DIV/0!</v>
      </c>
      <c r="BX26" s="733"/>
      <c r="BY26" s="735"/>
      <c r="BZ26" s="734"/>
      <c r="CA26" s="1079" t="e">
        <f>BZ27/BY27</f>
        <v>#DIV/0!</v>
      </c>
      <c r="CB26" s="733"/>
      <c r="CC26" s="735"/>
      <c r="CD26" s="734"/>
      <c r="CE26" s="1080" t="e">
        <f>CD27/CC27</f>
        <v>#DIV/0!</v>
      </c>
      <c r="CF26" s="733"/>
      <c r="CG26" s="735"/>
      <c r="CH26" s="734"/>
      <c r="CI26" s="1080" t="e">
        <f>CH27/CG27</f>
        <v>#DIV/0!</v>
      </c>
      <c r="CJ26" s="533"/>
      <c r="CK26" s="1338"/>
      <c r="CL26" s="736"/>
      <c r="CM26" s="596"/>
      <c r="CN26" s="1074" t="e">
        <f>CM27/CJ27</f>
        <v>#DIV/0!</v>
      </c>
      <c r="CO26" s="1074"/>
      <c r="CP26" s="1075" t="e">
        <f>CM27/CL27</f>
        <v>#DIV/0!</v>
      </c>
      <c r="CQ26" s="535"/>
      <c r="CR26" s="1337"/>
      <c r="CS26" s="1337"/>
      <c r="CT26" s="532"/>
      <c r="CU26" s="1076" t="e">
        <f>CT27/CQ27</f>
        <v>#DIV/0!</v>
      </c>
      <c r="CV26" s="1076"/>
      <c r="CW26" s="1075" t="e">
        <f>CT27/CS27</f>
        <v>#DIV/0!</v>
      </c>
      <c r="CX26" s="708"/>
      <c r="CY26" s="709"/>
      <c r="CZ26" s="555"/>
      <c r="DA26" s="555"/>
      <c r="DB26" s="555"/>
      <c r="DC26" s="516"/>
      <c r="DD26" s="516"/>
    </row>
    <row r="27" spans="1:108">
      <c r="A27" s="647" t="s">
        <v>333</v>
      </c>
      <c r="B27" s="661"/>
      <c r="C27" s="661"/>
      <c r="D27" s="660"/>
      <c r="E27" s="710">
        <f>E105/1.17</f>
        <v>0</v>
      </c>
      <c r="F27" s="711">
        <f>F105/1.17</f>
        <v>0</v>
      </c>
      <c r="G27" s="711">
        <f>G105/1.17</f>
        <v>119.65811965811966</v>
      </c>
      <c r="H27" s="521">
        <f>G27-F27</f>
        <v>119.65811965811966</v>
      </c>
      <c r="I27" s="710">
        <f>I105/1.17</f>
        <v>0</v>
      </c>
      <c r="J27" s="711">
        <f>J105/1.17</f>
        <v>0</v>
      </c>
      <c r="K27" s="711">
        <f>K105/1.17</f>
        <v>12.820512820512821</v>
      </c>
      <c r="L27" s="521">
        <f>K27-J27</f>
        <v>12.820512820512821</v>
      </c>
      <c r="M27" s="710">
        <f>M105/1.17</f>
        <v>0</v>
      </c>
      <c r="N27" s="711">
        <f>N105/1.17</f>
        <v>0</v>
      </c>
      <c r="O27" s="711">
        <f>O105/1.17</f>
        <v>0</v>
      </c>
      <c r="P27" s="521">
        <f>O27-N27</f>
        <v>0</v>
      </c>
      <c r="Q27" s="713">
        <f>E27+I27+M27</f>
        <v>0</v>
      </c>
      <c r="R27" s="714">
        <f>R105/1.17</f>
        <v>0</v>
      </c>
      <c r="S27" s="715">
        <f>G27+J27+N27</f>
        <v>119.65811965811966</v>
      </c>
      <c r="T27" s="520">
        <f>G27+K27+O27</f>
        <v>132.47863247863248</v>
      </c>
      <c r="U27" s="518">
        <f>T27-Q27</f>
        <v>132.47863247863248</v>
      </c>
      <c r="V27" s="517">
        <f t="shared" si="17"/>
        <v>132.47863247863248</v>
      </c>
      <c r="W27" s="521">
        <f>T27-S27</f>
        <v>12.820512820512818</v>
      </c>
      <c r="X27" s="710">
        <f>X105/1.17</f>
        <v>0</v>
      </c>
      <c r="Y27" s="711">
        <f>Y105/1.17</f>
        <v>0</v>
      </c>
      <c r="Z27" s="711">
        <f>Z105/1.17</f>
        <v>0</v>
      </c>
      <c r="AA27" s="521">
        <f>Z27-Y27</f>
        <v>0</v>
      </c>
      <c r="AB27" s="710">
        <f>AB105/1.17</f>
        <v>0</v>
      </c>
      <c r="AC27" s="712">
        <f>AC105/1.17</f>
        <v>179.4871794871795</v>
      </c>
      <c r="AD27" s="711">
        <f>AD105/1.17</f>
        <v>179.4871794871795</v>
      </c>
      <c r="AE27" s="716">
        <f>AD27-AC27</f>
        <v>0</v>
      </c>
      <c r="AF27" s="710">
        <f>AF105/1.17</f>
        <v>0</v>
      </c>
      <c r="AG27" s="712">
        <f>AG105/1.17</f>
        <v>76.923076923076934</v>
      </c>
      <c r="AH27" s="711">
        <f>AH105/1.17</f>
        <v>108.87179487179488</v>
      </c>
      <c r="AI27" s="716">
        <f>AH27-AG27</f>
        <v>31.948717948717942</v>
      </c>
      <c r="AJ27" s="713">
        <f>X27+AB27+AF27</f>
        <v>0</v>
      </c>
      <c r="AK27" s="714">
        <f>AK105/1.17</f>
        <v>0</v>
      </c>
      <c r="AL27" s="715">
        <f>Y27+AC27+AG27</f>
        <v>256.41025641025647</v>
      </c>
      <c r="AM27" s="520">
        <f>Z27+AD27+AH27</f>
        <v>288.35897435897436</v>
      </c>
      <c r="AN27" s="536">
        <f>AM27-AJ27</f>
        <v>288.35897435897436</v>
      </c>
      <c r="AO27" s="517">
        <f t="shared" si="31"/>
        <v>288.35897435897436</v>
      </c>
      <c r="AP27" s="521">
        <f>AM27-AL27</f>
        <v>31.948717948717899</v>
      </c>
      <c r="AQ27" s="519">
        <f>SUM(Q27,AJ27)</f>
        <v>0</v>
      </c>
      <c r="AR27" s="714">
        <f>AR105/1.17</f>
        <v>0</v>
      </c>
      <c r="AS27" s="520">
        <f>S27+AL27</f>
        <v>376.0683760683761</v>
      </c>
      <c r="AT27" s="520">
        <f>SUM(T27,AM27)</f>
        <v>420.83760683760681</v>
      </c>
      <c r="AU27" s="517">
        <f>AT27-AQ27</f>
        <v>420.83760683760681</v>
      </c>
      <c r="AV27" s="517">
        <f t="shared" si="22"/>
        <v>420.83760683760681</v>
      </c>
      <c r="AW27" s="521">
        <f>AT27-AS27</f>
        <v>44.769230769230717</v>
      </c>
      <c r="AX27" s="708">
        <f>AQ27/6</f>
        <v>0</v>
      </c>
      <c r="AY27" s="709">
        <f>AR27/6</f>
        <v>0</v>
      </c>
      <c r="AZ27" s="709">
        <f>AT27/6</f>
        <v>70.13960113960114</v>
      </c>
      <c r="BA27" s="1239" t="e">
        <f>AZ27/AX27</f>
        <v>#DIV/0!</v>
      </c>
      <c r="BB27" s="516">
        <f>AZ27-AX27</f>
        <v>70.13960113960114</v>
      </c>
      <c r="BC27" s="516">
        <f>AZ27-AY27</f>
        <v>70.13960113960114</v>
      </c>
      <c r="BD27" s="516">
        <f>AW27/6</f>
        <v>7.4615384615384528</v>
      </c>
      <c r="BE27" s="710">
        <f>BE105/1.17</f>
        <v>0</v>
      </c>
      <c r="BF27" s="711">
        <f>BF105/1.17</f>
        <v>0</v>
      </c>
      <c r="BG27" s="711">
        <f>BG105/1.17</f>
        <v>141.02564102564102</v>
      </c>
      <c r="BH27" s="521">
        <f>BG27-BF27</f>
        <v>141.02564102564102</v>
      </c>
      <c r="BI27" s="710">
        <f>BI105/1.17</f>
        <v>0</v>
      </c>
      <c r="BJ27" s="711">
        <f>BJ105/1.17</f>
        <v>0</v>
      </c>
      <c r="BK27" s="711">
        <f>BK105/1.17</f>
        <v>0</v>
      </c>
      <c r="BL27" s="521">
        <f>BK27-BJ27</f>
        <v>0</v>
      </c>
      <c r="BM27" s="710">
        <f>BM105/1.17</f>
        <v>0</v>
      </c>
      <c r="BN27" s="712">
        <f>BN105/1.17</f>
        <v>0</v>
      </c>
      <c r="BO27" s="711">
        <f>BO105/1.17</f>
        <v>0</v>
      </c>
      <c r="BP27" s="521">
        <f>BO27-BN27</f>
        <v>0</v>
      </c>
      <c r="BQ27" s="713">
        <f>BE27+BI27+BM27</f>
        <v>0</v>
      </c>
      <c r="BR27" s="714"/>
      <c r="BS27" s="714">
        <f>BF27+BJ27+BN27</f>
        <v>0</v>
      </c>
      <c r="BT27" s="520">
        <f>BG27+BK27+BO27</f>
        <v>141.02564102564102</v>
      </c>
      <c r="BU27" s="518">
        <f>BT27-BQ27</f>
        <v>141.02564102564102</v>
      </c>
      <c r="BV27" s="517"/>
      <c r="BW27" s="521">
        <f>BT27-BS27</f>
        <v>141.02564102564102</v>
      </c>
      <c r="BX27" s="710">
        <f>BX105/1.17</f>
        <v>0</v>
      </c>
      <c r="BY27" s="712">
        <f>BY105/1.17</f>
        <v>0</v>
      </c>
      <c r="BZ27" s="711">
        <f>BZ105/1.17</f>
        <v>130.48632478632481</v>
      </c>
      <c r="CA27" s="716">
        <f>BZ27-BY27</f>
        <v>130.48632478632481</v>
      </c>
      <c r="CB27" s="710">
        <f>CB105/1.17</f>
        <v>0</v>
      </c>
      <c r="CC27" s="712">
        <f>CC105/1.17</f>
        <v>0</v>
      </c>
      <c r="CD27" s="711">
        <f>CD105/1.17</f>
        <v>85.470085470085479</v>
      </c>
      <c r="CE27" s="716">
        <f>CD27-CC27</f>
        <v>85.470085470085479</v>
      </c>
      <c r="CF27" s="710">
        <f>CF105/1.17</f>
        <v>0</v>
      </c>
      <c r="CG27" s="712">
        <f>CG105/1.17</f>
        <v>0</v>
      </c>
      <c r="CH27" s="711">
        <f>CH105/1.17</f>
        <v>0</v>
      </c>
      <c r="CI27" s="716">
        <f>CH27-CG27</f>
        <v>0</v>
      </c>
      <c r="CJ27" s="713">
        <f>BX27+CB27+CF27</f>
        <v>0</v>
      </c>
      <c r="CK27" s="714"/>
      <c r="CL27" s="714">
        <f>BY27+CC27+CG27</f>
        <v>0</v>
      </c>
      <c r="CM27" s="520">
        <f>BZ27+CD27+CH27</f>
        <v>215.95641025641029</v>
      </c>
      <c r="CN27" s="536">
        <f>CM27-CJ27</f>
        <v>215.95641025641029</v>
      </c>
      <c r="CO27" s="536"/>
      <c r="CP27" s="521">
        <f>CM27-CL27</f>
        <v>215.95641025641029</v>
      </c>
      <c r="CQ27" s="519">
        <f>SUM(BQ27,CJ27)</f>
        <v>0</v>
      </c>
      <c r="CR27" s="1334"/>
      <c r="CS27" s="1334">
        <f>BS27+CL27</f>
        <v>0</v>
      </c>
      <c r="CT27" s="520">
        <f>SUM(BT27,CM27)</f>
        <v>356.98205128205132</v>
      </c>
      <c r="CU27" s="517">
        <f>CT27-CQ27</f>
        <v>356.98205128205132</v>
      </c>
      <c r="CV27" s="517"/>
      <c r="CW27" s="521">
        <f>CT27-CS27</f>
        <v>356.98205128205132</v>
      </c>
      <c r="CX27" s="708">
        <f>CQ27/6</f>
        <v>0</v>
      </c>
      <c r="CY27" s="709">
        <f>CT27/6</f>
        <v>59.497008547008555</v>
      </c>
      <c r="CZ27" s="1386" t="e">
        <f>CY27/CX27</f>
        <v>#DIV/0!</v>
      </c>
      <c r="DA27" s="555">
        <f>CY27-CX27</f>
        <v>59.497008547008555</v>
      </c>
      <c r="DB27" s="555">
        <f>CW27/6</f>
        <v>59.497008547008555</v>
      </c>
      <c r="DC27" s="516"/>
      <c r="DD27" s="516"/>
    </row>
    <row r="28" spans="1:108">
      <c r="A28" s="646"/>
      <c r="B28" s="662"/>
      <c r="C28" s="662"/>
      <c r="D28" s="619"/>
      <c r="E28" s="733"/>
      <c r="F28" s="734"/>
      <c r="G28" s="734"/>
      <c r="H28" s="705">
        <f>G29/F29</f>
        <v>1</v>
      </c>
      <c r="I28" s="733"/>
      <c r="J28" s="734"/>
      <c r="K28" s="734"/>
      <c r="L28" s="1068">
        <f>K29/J29</f>
        <v>2.0945945945945947</v>
      </c>
      <c r="M28" s="733"/>
      <c r="N28" s="734"/>
      <c r="O28" s="734"/>
      <c r="P28" s="1068">
        <f>O29/N29</f>
        <v>9.0144230769230768E-2</v>
      </c>
      <c r="Q28" s="533"/>
      <c r="R28" s="736"/>
      <c r="S28" s="737"/>
      <c r="T28" s="596"/>
      <c r="U28" s="1069">
        <f>T29/Q29</f>
        <v>2.8417508417508421</v>
      </c>
      <c r="V28" s="1070">
        <f>T29/R29</f>
        <v>2.8417508417508421</v>
      </c>
      <c r="W28" s="1071">
        <f>T29/S29</f>
        <v>0.25645700395016713</v>
      </c>
      <c r="X28" s="733"/>
      <c r="Y28" s="734"/>
      <c r="Z28" s="734"/>
      <c r="AA28" s="1068">
        <f>Z29/Y29</f>
        <v>0</v>
      </c>
      <c r="AB28" s="733"/>
      <c r="AC28" s="735"/>
      <c r="AD28" s="734"/>
      <c r="AE28" s="1080">
        <f>AD29/AC29</f>
        <v>5.3066666666666666</v>
      </c>
      <c r="AF28" s="733"/>
      <c r="AG28" s="735"/>
      <c r="AH28" s="734"/>
      <c r="AI28" s="1080">
        <f>AH29/AG29</f>
        <v>0.15533333333333335</v>
      </c>
      <c r="AJ28" s="533"/>
      <c r="AK28" s="736"/>
      <c r="AL28" s="737"/>
      <c r="AM28" s="596"/>
      <c r="AN28" s="1074">
        <f>AM29/AJ29</f>
        <v>3.322222222222222</v>
      </c>
      <c r="AO28" s="1070">
        <f>AM29/AK29</f>
        <v>3.322222222222222</v>
      </c>
      <c r="AP28" s="1075">
        <f>AM29/AL29</f>
        <v>0.31145833333333334</v>
      </c>
      <c r="AQ28" s="535"/>
      <c r="AR28" s="736"/>
      <c r="AS28" s="532"/>
      <c r="AT28" s="532"/>
      <c r="AU28" s="1076">
        <f>AT29/AQ29</f>
        <v>3.1311914323962515</v>
      </c>
      <c r="AV28" s="1070">
        <f>AT29/AR29</f>
        <v>3.131191432396252</v>
      </c>
      <c r="AW28" s="1075">
        <f>AT29/AS29</f>
        <v>0.28908663947596097</v>
      </c>
      <c r="AX28" s="708"/>
      <c r="AY28" s="709"/>
      <c r="AZ28" s="709"/>
      <c r="BA28" s="516"/>
      <c r="BB28" s="516"/>
      <c r="BC28" s="516"/>
      <c r="BD28" s="516"/>
      <c r="BE28" s="733"/>
      <c r="BF28" s="734"/>
      <c r="BG28" s="734"/>
      <c r="BH28" s="1068">
        <f>BG29/BF29</f>
        <v>6.0578947368421052E-2</v>
      </c>
      <c r="BI28" s="733"/>
      <c r="BJ28" s="734"/>
      <c r="BK28" s="734"/>
      <c r="BL28" s="1068">
        <f>BK29/BJ29</f>
        <v>0.43357894736842106</v>
      </c>
      <c r="BM28" s="733"/>
      <c r="BN28" s="735"/>
      <c r="BO28" s="734"/>
      <c r="BP28" s="1075">
        <f>BO29/BN29</f>
        <v>1.7658978336079074</v>
      </c>
      <c r="BQ28" s="533"/>
      <c r="BR28" s="1338"/>
      <c r="BS28" s="736"/>
      <c r="BT28" s="596"/>
      <c r="BU28" s="1069">
        <f>BT29/BQ29</f>
        <v>0.39038245298245616</v>
      </c>
      <c r="BV28" s="1070"/>
      <c r="BW28" s="1071">
        <f>BT29/BS29</f>
        <v>0.49138326605423549</v>
      </c>
      <c r="BX28" s="733"/>
      <c r="BY28" s="735"/>
      <c r="BZ28" s="734"/>
      <c r="CA28" s="1080">
        <f>BZ29/BY29</f>
        <v>0.78870617814000865</v>
      </c>
      <c r="CB28" s="733"/>
      <c r="CC28" s="735"/>
      <c r="CD28" s="734"/>
      <c r="CE28" s="1080">
        <f>CD29/CC29</f>
        <v>0.56640820410205106</v>
      </c>
      <c r="CF28" s="733"/>
      <c r="CG28" s="735"/>
      <c r="CH28" s="734"/>
      <c r="CI28" s="1080">
        <f>CH29/CG29</f>
        <v>2.1692</v>
      </c>
      <c r="CJ28" s="533"/>
      <c r="CK28" s="1338"/>
      <c r="CL28" s="736"/>
      <c r="CM28" s="596"/>
      <c r="CN28" s="1074">
        <f>CM29/CJ29</f>
        <v>2.1656368460526312</v>
      </c>
      <c r="CO28" s="1074"/>
      <c r="CP28" s="1075">
        <f>CM29/CL29</f>
        <v>1.1453452304073708</v>
      </c>
      <c r="CQ28" s="535"/>
      <c r="CR28" s="1337"/>
      <c r="CS28" s="1337"/>
      <c r="CT28" s="532"/>
      <c r="CU28" s="1076">
        <f>CT29/CQ29</f>
        <v>1.1004842102105263</v>
      </c>
      <c r="CV28" s="1076"/>
      <c r="CW28" s="1075">
        <f>CT29/CS29</f>
        <v>0.89252571793230029</v>
      </c>
      <c r="CX28" s="708"/>
      <c r="CY28" s="709"/>
      <c r="CZ28" s="555"/>
      <c r="DA28" s="555"/>
      <c r="DB28" s="555"/>
      <c r="DC28" s="516"/>
      <c r="DD28" s="516"/>
    </row>
    <row r="29" spans="1:108">
      <c r="A29" s="647" t="s">
        <v>334</v>
      </c>
      <c r="B29" s="661"/>
      <c r="C29" s="661"/>
      <c r="D29" s="660"/>
      <c r="E29" s="710">
        <f>E108/1.17</f>
        <v>84.615384615384627</v>
      </c>
      <c r="F29" s="711">
        <f>F108/1.17</f>
        <v>165.81196581196582</v>
      </c>
      <c r="G29" s="711">
        <f>G108/1.17</f>
        <v>165.81196581196582</v>
      </c>
      <c r="H29" s="521">
        <f>G29-F29</f>
        <v>0</v>
      </c>
      <c r="I29" s="710">
        <f>I108/1.17</f>
        <v>84.615384615384627</v>
      </c>
      <c r="J29" s="711">
        <f>J108/1.17</f>
        <v>158.11965811965814</v>
      </c>
      <c r="K29" s="711">
        <f>K108/1.17</f>
        <v>331.19658119658123</v>
      </c>
      <c r="L29" s="521">
        <f>K29-J29</f>
        <v>173.07692307692309</v>
      </c>
      <c r="M29" s="710">
        <f>M108/1.17</f>
        <v>84.615384615384627</v>
      </c>
      <c r="N29" s="711">
        <f>N108/1.17</f>
        <v>2488.8888888888891</v>
      </c>
      <c r="O29" s="711">
        <f>O108/1.17</f>
        <v>224.35897435897436</v>
      </c>
      <c r="P29" s="521">
        <f>O29-N29</f>
        <v>-2264.529914529915</v>
      </c>
      <c r="Q29" s="713">
        <f>E29+I29+M29</f>
        <v>253.84615384615387</v>
      </c>
      <c r="R29" s="714">
        <f>R108/1.17</f>
        <v>253.84615384615387</v>
      </c>
      <c r="S29" s="715">
        <f>G29+J29+N29</f>
        <v>2812.8205128205132</v>
      </c>
      <c r="T29" s="520">
        <f>G29+K29+O29</f>
        <v>721.36752136752148</v>
      </c>
      <c r="U29" s="518">
        <f>T29-Q29</f>
        <v>467.52136752136761</v>
      </c>
      <c r="V29" s="517">
        <f t="shared" si="17"/>
        <v>467.52136752136761</v>
      </c>
      <c r="W29" s="521">
        <f>T29-S29</f>
        <v>-2091.4529914529917</v>
      </c>
      <c r="X29" s="710">
        <f>X108/1.17</f>
        <v>128.2051282051282</v>
      </c>
      <c r="Y29" s="711">
        <f>Y108/1.17</f>
        <v>128.2051282051282</v>
      </c>
      <c r="Z29" s="711">
        <f>Z108/1.17</f>
        <v>0</v>
      </c>
      <c r="AA29" s="521">
        <f>Z29-Y29</f>
        <v>-128.2051282051282</v>
      </c>
      <c r="AB29" s="710">
        <f>AB108/1.17</f>
        <v>128.2051282051282</v>
      </c>
      <c r="AC29" s="712">
        <f>AC108/1.17</f>
        <v>128.2051282051282</v>
      </c>
      <c r="AD29" s="711">
        <f>AD108/1.17</f>
        <v>680.34188034188037</v>
      </c>
      <c r="AE29" s="716">
        <f>AD29-AC29</f>
        <v>552.13675213675219</v>
      </c>
      <c r="AF29" s="710">
        <f>AF108/1.17</f>
        <v>128.2051282051282</v>
      </c>
      <c r="AG29" s="712">
        <f>AG108/1.17</f>
        <v>3846.1538461538462</v>
      </c>
      <c r="AH29" s="711">
        <f>AH108/1.17</f>
        <v>597.43589743589746</v>
      </c>
      <c r="AI29" s="716">
        <f>AH29-AG29</f>
        <v>-3248.7179487179487</v>
      </c>
      <c r="AJ29" s="713">
        <f>X29+AB29+AF29</f>
        <v>384.61538461538464</v>
      </c>
      <c r="AK29" s="714">
        <f>AK108/1.17</f>
        <v>384.61538461538464</v>
      </c>
      <c r="AL29" s="715">
        <f>Y29+AC29+AG29</f>
        <v>4102.5641025641025</v>
      </c>
      <c r="AM29" s="520">
        <f>Z29+AD29+AH29</f>
        <v>1277.7777777777778</v>
      </c>
      <c r="AN29" s="536">
        <f>AM29-AJ29</f>
        <v>893.16239316239319</v>
      </c>
      <c r="AO29" s="517">
        <f t="shared" si="31"/>
        <v>893.16239316239319</v>
      </c>
      <c r="AP29" s="521">
        <f>AM29-AL29</f>
        <v>-2824.7863247863247</v>
      </c>
      <c r="AQ29" s="519">
        <f>SUM(Q29,AJ29)</f>
        <v>638.46153846153857</v>
      </c>
      <c r="AR29" s="714">
        <f>AR108/1.17</f>
        <v>638.46153846153845</v>
      </c>
      <c r="AS29" s="520">
        <f>S29+AL29</f>
        <v>6915.3846153846152</v>
      </c>
      <c r="AT29" s="520">
        <f>SUM(T29,AM29)</f>
        <v>1999.1452991452993</v>
      </c>
      <c r="AU29" s="517">
        <f>AT29-AQ29</f>
        <v>1360.6837606837607</v>
      </c>
      <c r="AV29" s="517">
        <f t="shared" si="22"/>
        <v>1360.6837606837607</v>
      </c>
      <c r="AW29" s="521">
        <f>AT29-AS29</f>
        <v>-4916.2393162393164</v>
      </c>
      <c r="AX29" s="708">
        <f>AQ29/6</f>
        <v>106.41025641025642</v>
      </c>
      <c r="AY29" s="709">
        <f>AR29/6</f>
        <v>106.41025641025641</v>
      </c>
      <c r="AZ29" s="709">
        <f>AT29/6</f>
        <v>333.1908831908832</v>
      </c>
      <c r="BA29" s="1239">
        <f>AZ29/AX29</f>
        <v>3.1311914323962515</v>
      </c>
      <c r="BB29" s="516">
        <f>AZ29-AX29</f>
        <v>226.78062678062679</v>
      </c>
      <c r="BC29" s="516">
        <f>AZ29-AY29</f>
        <v>226.78062678062679</v>
      </c>
      <c r="BD29" s="516">
        <f>AW29/6</f>
        <v>-819.3732193732194</v>
      </c>
      <c r="BE29" s="710">
        <f>BE108/1.17</f>
        <v>16239.31623931624</v>
      </c>
      <c r="BF29" s="711">
        <f>BF108/1.17</f>
        <v>16239.31623931624</v>
      </c>
      <c r="BG29" s="711">
        <f>BG108/1.17</f>
        <v>983.76068376068383</v>
      </c>
      <c r="BH29" s="521">
        <f>BG29-BF29</f>
        <v>-15255.555555555557</v>
      </c>
      <c r="BI29" s="710">
        <f>BI108/1.17</f>
        <v>16239.31623931624</v>
      </c>
      <c r="BJ29" s="711">
        <f>BJ108/1.17</f>
        <v>16239.31623931624</v>
      </c>
      <c r="BK29" s="711">
        <f>BK108/1.17</f>
        <v>7041.0256410256416</v>
      </c>
      <c r="BL29" s="521">
        <f>BK29-BJ29</f>
        <v>-9198.2905982905977</v>
      </c>
      <c r="BM29" s="710">
        <f>BM108/1.17</f>
        <v>16239.31623931624</v>
      </c>
      <c r="BN29" s="712">
        <f>BN108/1.17</f>
        <v>6225.6410256410263</v>
      </c>
      <c r="BO29" s="1233">
        <v>10993.846</v>
      </c>
      <c r="BP29" s="521">
        <f>BO29-BN29</f>
        <v>4768.2049743589732</v>
      </c>
      <c r="BQ29" s="713">
        <f>BE29+BI29+BM29</f>
        <v>48717.948717948719</v>
      </c>
      <c r="BR29" s="714"/>
      <c r="BS29" s="714">
        <f>BF29+BJ29+BN29</f>
        <v>38704.273504273508</v>
      </c>
      <c r="BT29" s="520">
        <f>BG29+BK29+BO29</f>
        <v>19018.632324786326</v>
      </c>
      <c r="BU29" s="518">
        <f>BT29-BQ29</f>
        <v>-29699.316393162393</v>
      </c>
      <c r="BV29" s="517"/>
      <c r="BW29" s="521">
        <f>BT29-BS29</f>
        <v>-19685.641179487182</v>
      </c>
      <c r="BX29" s="710">
        <f>BX108/1.17</f>
        <v>16239.31623931624</v>
      </c>
      <c r="BY29" s="712">
        <f>BY108/1.17</f>
        <v>5872.6495726495732</v>
      </c>
      <c r="BZ29" s="1233">
        <v>4631.7950000000001</v>
      </c>
      <c r="CA29" s="716">
        <f>BZ29-BY29</f>
        <v>-1240.8545726495731</v>
      </c>
      <c r="CB29" s="710">
        <f>CB108/1.17</f>
        <v>9743.5897435897441</v>
      </c>
      <c r="CC29" s="712">
        <f>CC108/1.17</f>
        <v>34170.940170940172</v>
      </c>
      <c r="CD29" s="711">
        <f>CD108/1.17</f>
        <v>19354.700854700855</v>
      </c>
      <c r="CE29" s="716">
        <f>CD29-CC29</f>
        <v>-14816.239316239316</v>
      </c>
      <c r="CF29" s="710">
        <f>CF108/1.17</f>
        <v>6495.7264957264961</v>
      </c>
      <c r="CG29" s="712">
        <f>CG108/1.17</f>
        <v>21367.521367521367</v>
      </c>
      <c r="CH29" s="711">
        <f>CH108/1.17</f>
        <v>46350.427350427351</v>
      </c>
      <c r="CI29" s="716">
        <f>CH29-CG29</f>
        <v>24982.905982905984</v>
      </c>
      <c r="CJ29" s="713">
        <f>BX29+CB29+CF29</f>
        <v>32478.63247863248</v>
      </c>
      <c r="CK29" s="714"/>
      <c r="CL29" s="714">
        <f>BY29+CC29+CG29</f>
        <v>61411.111111111109</v>
      </c>
      <c r="CM29" s="520">
        <f>BZ29+CD29+CH29</f>
        <v>70336.923205128202</v>
      </c>
      <c r="CN29" s="536">
        <f>CM29-CJ29</f>
        <v>37858.290726495718</v>
      </c>
      <c r="CO29" s="536"/>
      <c r="CP29" s="521">
        <f>CM29-CL29</f>
        <v>8925.812094017092</v>
      </c>
      <c r="CQ29" s="519">
        <f>SUM(BQ29,CJ29)</f>
        <v>81196.581196581203</v>
      </c>
      <c r="CR29" s="1334"/>
      <c r="CS29" s="1334">
        <f>BS29+CL29</f>
        <v>100115.38461538462</v>
      </c>
      <c r="CT29" s="520">
        <f>SUM(BT29,CM29)</f>
        <v>89355.555529914534</v>
      </c>
      <c r="CU29" s="517">
        <f>CT29-CQ29</f>
        <v>8158.9743333333317</v>
      </c>
      <c r="CV29" s="517"/>
      <c r="CW29" s="521">
        <f>CT29-CS29</f>
        <v>-10759.82908547009</v>
      </c>
      <c r="CX29" s="708">
        <f>CQ29/6</f>
        <v>13532.763532763534</v>
      </c>
      <c r="CY29" s="709">
        <f>CT29/6</f>
        <v>14892.592588319088</v>
      </c>
      <c r="CZ29" s="1386">
        <f>CY29/CX29</f>
        <v>1.1004842102105261</v>
      </c>
      <c r="DA29" s="555">
        <f>CY29-CX29</f>
        <v>1359.8290555555541</v>
      </c>
      <c r="DB29" s="555">
        <f>CW29/6</f>
        <v>-1793.3048475783482</v>
      </c>
      <c r="DC29" s="516"/>
      <c r="DD29" s="516"/>
    </row>
    <row r="30" spans="1:108">
      <c r="A30" s="664"/>
      <c r="B30" s="664"/>
      <c r="C30" s="664"/>
      <c r="D30" s="665"/>
      <c r="E30" s="700"/>
      <c r="F30" s="734"/>
      <c r="G30" s="734"/>
      <c r="H30" s="705">
        <f>G31/F31</f>
        <v>1.2661455048506725</v>
      </c>
      <c r="I30" s="700"/>
      <c r="J30" s="734"/>
      <c r="K30" s="734"/>
      <c r="L30" s="1068">
        <f>K31/J31</f>
        <v>1.070905946284503</v>
      </c>
      <c r="M30" s="700"/>
      <c r="N30" s="734"/>
      <c r="O30" s="734"/>
      <c r="P30" s="1068">
        <f>O31/N31</f>
        <v>1.0555446149206889</v>
      </c>
      <c r="Q30" s="607"/>
      <c r="R30" s="742"/>
      <c r="S30" s="743"/>
      <c r="T30" s="534"/>
      <c r="U30" s="1069">
        <f>T31/Q31</f>
        <v>1.4861618224372188</v>
      </c>
      <c r="V30" s="1070">
        <f>T31/R31</f>
        <v>1.2956135515592295</v>
      </c>
      <c r="W30" s="1071">
        <f>T31/S31</f>
        <v>1.042287055496623</v>
      </c>
      <c r="X30" s="700"/>
      <c r="Y30" s="734"/>
      <c r="Z30" s="734"/>
      <c r="AA30" s="1068">
        <f>Z31/Y31</f>
        <v>1.0721663449751608</v>
      </c>
      <c r="AB30" s="700"/>
      <c r="AC30" s="741"/>
      <c r="AD30" s="734"/>
      <c r="AE30" s="1082">
        <f>AD31/AC31</f>
        <v>0.99754210302714652</v>
      </c>
      <c r="AF30" s="700"/>
      <c r="AG30" s="741"/>
      <c r="AH30" s="734"/>
      <c r="AI30" s="1082">
        <f>AH31/AG31</f>
        <v>1.0566710949395541</v>
      </c>
      <c r="AJ30" s="607"/>
      <c r="AK30" s="742"/>
      <c r="AL30" s="743"/>
      <c r="AM30" s="534"/>
      <c r="AN30" s="1074">
        <f>AM31/AJ31</f>
        <v>1.2945565504800343</v>
      </c>
      <c r="AO30" s="1070">
        <f>AM31/AK31</f>
        <v>1.1975729117965999</v>
      </c>
      <c r="AP30" s="1083">
        <f>AM31/AL31</f>
        <v>1.0431374502292845</v>
      </c>
      <c r="AQ30" s="563"/>
      <c r="AR30" s="742"/>
      <c r="AS30" s="571"/>
      <c r="AT30" s="532"/>
      <c r="AU30" s="1076">
        <f>AT31/AQ31</f>
        <v>1.3927932201750326</v>
      </c>
      <c r="AV30" s="1070">
        <f>AT31/AR31</f>
        <v>1.2492906815780938</v>
      </c>
      <c r="AW30" s="1083">
        <f>AT31/AS31</f>
        <v>1.0426720500110329</v>
      </c>
      <c r="AX30" s="722"/>
      <c r="AY30" s="723"/>
      <c r="AZ30" s="723"/>
      <c r="BE30" s="700"/>
      <c r="BF30" s="734"/>
      <c r="BG30" s="734"/>
      <c r="BH30" s="1068">
        <f>BG31/BF31</f>
        <v>0.8259460884439086</v>
      </c>
      <c r="BI30" s="700"/>
      <c r="BJ30" s="734"/>
      <c r="BK30" s="734"/>
      <c r="BL30" s="1068">
        <f>BK31/BJ31</f>
        <v>0.94003915322982456</v>
      </c>
      <c r="BM30" s="700"/>
      <c r="BN30" s="741"/>
      <c r="BO30" s="734"/>
      <c r="BP30" s="1071">
        <f>BO31/BN31</f>
        <v>0.90720897910725518</v>
      </c>
      <c r="BQ30" s="607"/>
      <c r="BR30" s="773"/>
      <c r="BS30" s="742"/>
      <c r="BT30" s="534"/>
      <c r="BU30" s="1069">
        <f>BT31/BQ31</f>
        <v>0.85712840339669816</v>
      </c>
      <c r="BV30" s="1070"/>
      <c r="BW30" s="1071">
        <f>BT31/BS31</f>
        <v>0.88766929667342787</v>
      </c>
      <c r="BX30" s="700"/>
      <c r="BY30" s="741"/>
      <c r="BZ30" s="734"/>
      <c r="CA30" s="1079">
        <f>BZ31/BY31</f>
        <v>1.0122455900989811</v>
      </c>
      <c r="CB30" s="700"/>
      <c r="CC30" s="741"/>
      <c r="CD30" s="734"/>
      <c r="CE30" s="1082">
        <f>CD31/CC31</f>
        <v>0.72015587339263198</v>
      </c>
      <c r="CF30" s="700"/>
      <c r="CG30" s="741"/>
      <c r="CH30" s="734"/>
      <c r="CI30" s="1082">
        <f>CH31/CG31</f>
        <v>0.78479892761394088</v>
      </c>
      <c r="CJ30" s="607"/>
      <c r="CK30" s="773"/>
      <c r="CL30" s="742"/>
      <c r="CM30" s="534"/>
      <c r="CN30" s="1074">
        <f>CM31/CJ31</f>
        <v>0.96814920840108765</v>
      </c>
      <c r="CO30" s="1074"/>
      <c r="CP30" s="1083">
        <f>CM31/CL31</f>
        <v>0.84269709830531669</v>
      </c>
      <c r="CQ30" s="563"/>
      <c r="CR30" s="606"/>
      <c r="CS30" s="606"/>
      <c r="CT30" s="532"/>
      <c r="CU30" s="1076">
        <f>CT31/CQ31</f>
        <v>0.91024538091996421</v>
      </c>
      <c r="CV30" s="1076"/>
      <c r="CW30" s="1083">
        <f>CT31/CS31</f>
        <v>0.86420002105359528</v>
      </c>
      <c r="CX30" s="722"/>
      <c r="CY30" s="723"/>
      <c r="CZ30" s="556"/>
      <c r="DA30" s="556"/>
      <c r="DB30" s="556"/>
      <c r="DC30" s="493"/>
      <c r="DD30" s="493"/>
    </row>
    <row r="31" spans="1:108" ht="16.5" thickBot="1">
      <c r="A31" s="661" t="s">
        <v>335</v>
      </c>
      <c r="B31" s="661"/>
      <c r="C31" s="997"/>
      <c r="D31" s="995"/>
      <c r="E31" s="744">
        <f>E10+E14+E25+E19+E23+E27+E29</f>
        <v>302477.77777777781</v>
      </c>
      <c r="F31" s="745">
        <f>F10+F14+F25+F19+F23+F27+F29</f>
        <v>354695.7264957265</v>
      </c>
      <c r="G31" s="745">
        <f>G10+G14+G25+G19+G23+G27+G29</f>
        <v>449096.39969230769</v>
      </c>
      <c r="H31" s="543">
        <f>G31-F31</f>
        <v>94400.673196581192</v>
      </c>
      <c r="I31" s="744">
        <f>I10+I14+I25+I19+I23+I27+I29</f>
        <v>326323.93162393162</v>
      </c>
      <c r="J31" s="745">
        <f>J10+J14+J25+J19+J23+J27+J29</f>
        <v>447594.01709401718</v>
      </c>
      <c r="K31" s="745">
        <f>K10+K14+K25+K19+K23+K27+K29</f>
        <v>479331.0944273505</v>
      </c>
      <c r="L31" s="543">
        <f>K31-J31</f>
        <v>31737.07733333332</v>
      </c>
      <c r="M31" s="744">
        <f>M10+M14+M25+M19+M23+M27+M29</f>
        <v>327065.81196581194</v>
      </c>
      <c r="N31" s="745">
        <f>N10+N14+N25+N19+N23+N27+N29</f>
        <v>466248.717948718</v>
      </c>
      <c r="O31" s="745">
        <f>O10+O14+O25+O19+O23+O27+O29</f>
        <v>492146.32344444445</v>
      </c>
      <c r="P31" s="543">
        <f>O31-N31</f>
        <v>25897.605495726457</v>
      </c>
      <c r="Q31" s="539">
        <f>Q10+Q14+Q25+Q19+Q23+Q27+Q29</f>
        <v>955867.52136752137</v>
      </c>
      <c r="R31" s="747">
        <f>R10+R14+R25+R19+R23+R27+R29</f>
        <v>1096448.7179487182</v>
      </c>
      <c r="S31" s="746">
        <f>S10+S14+S25+S19+S23+S27+S29</f>
        <v>1362939.1347350427</v>
      </c>
      <c r="T31" s="746">
        <f>T10+T14+T25+T19+T23+T27+T29</f>
        <v>1420573.8175641028</v>
      </c>
      <c r="U31" s="746">
        <f>T31-Q31</f>
        <v>464706.29619658145</v>
      </c>
      <c r="V31" s="745">
        <f t="shared" si="17"/>
        <v>324125.09961538459</v>
      </c>
      <c r="W31" s="748">
        <f>T31-S31</f>
        <v>57634.682829060126</v>
      </c>
      <c r="X31" s="744">
        <f>X10+X14+X25+X19+X23+X27+X29</f>
        <v>311211.11111111112</v>
      </c>
      <c r="Y31" s="745">
        <f>Y10+Y14+Y25+Y19+Y23+Y27+Y29</f>
        <v>411698.42393162393</v>
      </c>
      <c r="Z31" s="1241">
        <f>Z10+Z14+Z25+Z19+Z23+Z27+Z29</f>
        <v>441409.1944188035</v>
      </c>
      <c r="AA31" s="543">
        <f>Z31-Y31</f>
        <v>29710.770487179572</v>
      </c>
      <c r="AB31" s="744">
        <f>AB10+AB14+AB25+AB19+AB23+AB27+AB29</f>
        <v>308722.22222222225</v>
      </c>
      <c r="AC31" s="746">
        <f>AC10+AC14+AC25+AC19+AC23+AC27+AC29</f>
        <v>365947.86324786325</v>
      </c>
      <c r="AD31" s="745">
        <f>AD10+AD14+AD25+AD19+AD23+AD27+AD29</f>
        <v>365048.40110256412</v>
      </c>
      <c r="AE31" s="748">
        <f>AD31-AC31</f>
        <v>-899.46214529912686</v>
      </c>
      <c r="AF31" s="744">
        <f>AF10+AF14+AF25+AF19+AF23+AF27+AF29</f>
        <v>288566.66666666669</v>
      </c>
      <c r="AG31" s="746">
        <f>AG10+AG14+AG25+AG19+AG23+AG27+AG29</f>
        <v>349822.22222222225</v>
      </c>
      <c r="AH31" s="745">
        <f>AH10+AH14+AH25+AH19+AH23+AH27+AH29</f>
        <v>369647.03058974358</v>
      </c>
      <c r="AI31" s="748">
        <f>AH31-AG31</f>
        <v>19824.808367521327</v>
      </c>
      <c r="AJ31" s="539">
        <f>AJ10+AJ14+AJ25+AJ19+AJ23+AJ27+AJ29</f>
        <v>908500</v>
      </c>
      <c r="AK31" s="747">
        <f>AK10+AK14+AK25+AK19+AK23+AK27+AK29</f>
        <v>982073.50427350425</v>
      </c>
      <c r="AL31" s="746">
        <f>AL10+AL14+AL25+AL19+AL23+AL27+AL29</f>
        <v>1127468.5094017093</v>
      </c>
      <c r="AM31" s="746">
        <f>AM10+AM14+AM25+AM19+AM23+AM27+AM29</f>
        <v>1176104.6261111111</v>
      </c>
      <c r="AN31" s="747">
        <f>AM31-AJ31</f>
        <v>267604.62611111114</v>
      </c>
      <c r="AO31" s="745">
        <f>AM31-AK31</f>
        <v>194031.12183760689</v>
      </c>
      <c r="AP31" s="748">
        <f>AM31-AL31</f>
        <v>48636.116709401831</v>
      </c>
      <c r="AQ31" s="539">
        <f>AQ10+AQ14+AQ25+AQ19+AQ23+AQ27+AQ29</f>
        <v>1864367.5213675215</v>
      </c>
      <c r="AR31" s="747">
        <f>AR10+AR14+AR25+AR19+AR23+AR27+AR29</f>
        <v>2078522.2222222222</v>
      </c>
      <c r="AS31" s="746">
        <f>AS10+AS14+AS25+AS19+AS23+AS27+AS29</f>
        <v>2490407.644136752</v>
      </c>
      <c r="AT31" s="746">
        <f>AT10+AT14+AT25+AT19+AT23+AT27+AT29</f>
        <v>2596678.443675214</v>
      </c>
      <c r="AU31" s="540">
        <f>AT31-AQ31</f>
        <v>732310.92230769247</v>
      </c>
      <c r="AV31" s="745">
        <f>AT31-AR31</f>
        <v>518156.22145299171</v>
      </c>
      <c r="AW31" s="748">
        <f>AT31-AS31</f>
        <v>106270.79953846196</v>
      </c>
      <c r="AX31" s="708">
        <f>AX10+AX14+AX25+AX19+AX23+AX27+AX29</f>
        <v>310727.92022792023</v>
      </c>
      <c r="AY31" s="709">
        <f>AR31/6</f>
        <v>346420.37037037039</v>
      </c>
      <c r="AZ31" s="709">
        <f>AZ10+AZ14+AZ25+AZ19+AZ23+AZ27+AZ29</f>
        <v>432779.74061253562</v>
      </c>
      <c r="BA31" s="1239">
        <f>AZ31/AX31</f>
        <v>1.3927932201750324</v>
      </c>
      <c r="BB31" s="516">
        <f>AZ31-AX31</f>
        <v>122051.82038461539</v>
      </c>
      <c r="BC31" s="516">
        <f>AZ31-AY31</f>
        <v>86359.370242165227</v>
      </c>
      <c r="BD31" s="516">
        <f>AW31/6</f>
        <v>17711.799923076993</v>
      </c>
      <c r="BE31" s="744">
        <f>BE10+BE14+BE25+BE19+BE23+BE27+BE29</f>
        <v>377633.33333333337</v>
      </c>
      <c r="BF31" s="745">
        <f>BF10+BF14+BF25+BF19+BF23+BF27+BF29</f>
        <v>381505.98290598294</v>
      </c>
      <c r="BG31" s="745">
        <f>BG10+BG14+BG25+BG19+BG23+BG27+BG29</f>
        <v>315103.37429914525</v>
      </c>
      <c r="BH31" s="543">
        <f>BG31-BF31</f>
        <v>-66402.60860683769</v>
      </c>
      <c r="BI31" s="744">
        <f>BI10+BI14+BI25+BI19+BI23+BI27+BI29</f>
        <v>347282.905982906</v>
      </c>
      <c r="BJ31" s="745">
        <f>BJ10+BJ14+BJ25+BJ19+BJ23+BJ27+BJ29</f>
        <v>317354.70085470087</v>
      </c>
      <c r="BK31" s="745">
        <f>BK10+BK14+BK25+BK19+BK23+BK27+BK29</f>
        <v>298325.8442649573</v>
      </c>
      <c r="BL31" s="543">
        <f>BK31-BJ31</f>
        <v>-19028.856589743576</v>
      </c>
      <c r="BM31" s="744">
        <f>BM10+BM14+BM25+BM19+BM23+BM27+BM29</f>
        <v>366037.60683760687</v>
      </c>
      <c r="BN31" s="746">
        <f>BN10+BN14+BN25+BN19+BN23+BN27+BN29</f>
        <v>354558.11965811969</v>
      </c>
      <c r="BO31" s="1372">
        <f>BO10+BO14+BO25+BO19+BO23+BO27+BO29</f>
        <v>321658.30976923078</v>
      </c>
      <c r="BP31" s="543">
        <f>BO31-BN31</f>
        <v>-32899.809888888907</v>
      </c>
      <c r="BQ31" s="539">
        <f>BQ10+BQ14+BQ25+BQ19+BQ23+BQ27+BQ29</f>
        <v>1090953.8461538462</v>
      </c>
      <c r="BR31" s="542"/>
      <c r="BS31" s="747">
        <f>BS10+BS14+BS25+BS19+BS23+BS27+BS29</f>
        <v>1053418.8034188035</v>
      </c>
      <c r="BT31" s="746">
        <f>BT10+BT14+BT25+BT19+BT23+BT27+BT29</f>
        <v>935087.52833333332</v>
      </c>
      <c r="BU31" s="746">
        <f>BT31-BQ31</f>
        <v>-155866.31782051292</v>
      </c>
      <c r="BV31" s="745"/>
      <c r="BW31" s="748">
        <f>BT31-BS31</f>
        <v>-118331.27508547017</v>
      </c>
      <c r="BX31" s="744">
        <f t="shared" ref="BX31:CJ31" si="38">BX10+BX14+BX25+BX19+BX23+BX27+BX29</f>
        <v>376036.75213675213</v>
      </c>
      <c r="BY31" s="746">
        <f t="shared" si="38"/>
        <v>411802.56410256412</v>
      </c>
      <c r="BZ31" s="745">
        <f t="shared" si="38"/>
        <v>416845.32950427354</v>
      </c>
      <c r="CA31" s="748">
        <f t="shared" si="38"/>
        <v>5042.7654017093773</v>
      </c>
      <c r="CB31" s="744">
        <f t="shared" si="38"/>
        <v>328754.70085470087</v>
      </c>
      <c r="CC31" s="746">
        <f t="shared" si="38"/>
        <v>419143.58974358981</v>
      </c>
      <c r="CD31" s="745">
        <f t="shared" si="38"/>
        <v>301848.71794871794</v>
      </c>
      <c r="CE31" s="748">
        <f t="shared" si="38"/>
        <v>-117294.8717948718</v>
      </c>
      <c r="CF31" s="744">
        <f t="shared" si="38"/>
        <v>295974.358974359</v>
      </c>
      <c r="CG31" s="746">
        <f t="shared" si="38"/>
        <v>318803.41880341887</v>
      </c>
      <c r="CH31" s="745">
        <f t="shared" si="38"/>
        <v>250196.58119658122</v>
      </c>
      <c r="CI31" s="748">
        <f t="shared" si="38"/>
        <v>-68606.837606837609</v>
      </c>
      <c r="CJ31" s="539">
        <f t="shared" si="38"/>
        <v>1000765.8119658121</v>
      </c>
      <c r="CK31" s="542"/>
      <c r="CL31" s="747">
        <f>CL10+CL14+CL25+CL19+CL23+CL27+CL29</f>
        <v>1149749.5726495725</v>
      </c>
      <c r="CM31" s="746">
        <f>CM10+CM14+CM25+CM19+CM23+CM27+CM29</f>
        <v>968890.62864957273</v>
      </c>
      <c r="CN31" s="747">
        <f>CN10+CN14+CN25+CN19+CN23+CN27+CN29</f>
        <v>-31875.183316239403</v>
      </c>
      <c r="CO31" s="747"/>
      <c r="CP31" s="748">
        <f>CP10+CP14+CP25+CP19+CP23+CP27+CP29</f>
        <v>-180858.94400000002</v>
      </c>
      <c r="CQ31" s="539">
        <f>CQ10+CQ14+CQ25+CQ19+CQ23+CQ27+CQ29</f>
        <v>2091719.6581196587</v>
      </c>
      <c r="CR31" s="542"/>
      <c r="CS31" s="747">
        <f>CS10+CS14+CS25+CS19+CS23+CS27+CS29</f>
        <v>2203168.376068376</v>
      </c>
      <c r="CT31" s="746">
        <f>CT10+CT14+CT25+CT19+CT23+CT27+CT29</f>
        <v>1903978.1569829059</v>
      </c>
      <c r="CU31" s="540">
        <f>CU10+CU14+CU25+CU19+CU23+CU27+CU29</f>
        <v>-187741.50113675237</v>
      </c>
      <c r="CV31" s="540"/>
      <c r="CW31" s="748">
        <f>CT31-CS31</f>
        <v>-299190.21908547007</v>
      </c>
      <c r="CX31" s="708">
        <f>CX10+CX14+CX25+CX19+CX23+CX27+CX29</f>
        <v>348619.94301994302</v>
      </c>
      <c r="CY31" s="709">
        <f>CY10+CY14+CY25+CY19+CY23+CY27+CY29</f>
        <v>317329.69283048436</v>
      </c>
      <c r="CZ31" s="1386">
        <f>CY31/CX31</f>
        <v>0.91024538091996454</v>
      </c>
      <c r="DA31" s="555">
        <f>CY31-CX31</f>
        <v>-31290.25018945866</v>
      </c>
      <c r="DB31" s="555">
        <f>CW31/6</f>
        <v>-49865.03651424501</v>
      </c>
      <c r="DC31" s="516"/>
      <c r="DD31" s="516"/>
    </row>
    <row r="32" spans="1:108">
      <c r="A32" s="989"/>
      <c r="B32" s="989"/>
      <c r="C32" s="989"/>
      <c r="D32" s="989"/>
      <c r="E32" s="697"/>
      <c r="F32" s="697"/>
      <c r="G32" s="697"/>
      <c r="H32" s="655"/>
      <c r="Q32" s="544"/>
      <c r="R32" s="544"/>
      <c r="S32" s="544"/>
      <c r="T32" s="544"/>
      <c r="U32" s="544"/>
      <c r="V32" s="544"/>
      <c r="AJ32" s="544"/>
      <c r="AK32" s="544"/>
      <c r="AL32" s="544"/>
      <c r="AM32" s="544"/>
      <c r="AN32" s="544"/>
      <c r="AO32" s="544"/>
      <c r="AR32" s="723"/>
      <c r="AV32" s="544"/>
      <c r="AX32" s="697"/>
      <c r="AY32" s="697"/>
      <c r="AZ32" s="697"/>
      <c r="BQ32" s="544"/>
      <c r="BR32" s="544"/>
      <c r="BS32" s="544"/>
      <c r="BT32" s="544"/>
      <c r="BU32" s="544"/>
      <c r="BV32" s="544"/>
      <c r="CF32" s="697"/>
      <c r="CH32" s="697"/>
      <c r="CI32" s="697"/>
      <c r="CJ32" s="544"/>
      <c r="CK32" s="544"/>
      <c r="CL32" s="544"/>
      <c r="CM32" s="544"/>
      <c r="CN32" s="544"/>
      <c r="CO32" s="544"/>
      <c r="CP32" s="697"/>
      <c r="CQ32" s="655"/>
      <c r="CR32" s="655"/>
      <c r="CS32" s="655"/>
      <c r="CT32" s="655"/>
      <c r="CU32" s="655"/>
      <c r="CV32" s="655"/>
      <c r="CW32" s="697"/>
      <c r="CX32" s="697"/>
      <c r="CY32" s="723"/>
      <c r="CZ32" s="556"/>
      <c r="DA32" s="556"/>
      <c r="DB32" s="556"/>
      <c r="DC32" s="493"/>
      <c r="DD32" s="493"/>
    </row>
    <row r="33" spans="1:108" ht="20.25" thickBot="1">
      <c r="A33" s="990" t="s">
        <v>336</v>
      </c>
      <c r="B33" s="989"/>
      <c r="C33" s="989"/>
      <c r="D33" s="989"/>
      <c r="E33" s="697"/>
      <c r="F33" s="697"/>
      <c r="G33" s="697"/>
      <c r="H33" s="655"/>
      <c r="Q33" s="494"/>
      <c r="R33" s="494"/>
      <c r="S33" s="494"/>
      <c r="AJ33" s="494"/>
      <c r="AK33" s="494"/>
      <c r="AL33" s="494"/>
      <c r="AQ33" s="749"/>
      <c r="AR33" s="749"/>
      <c r="AS33" s="545"/>
      <c r="AT33" s="749"/>
      <c r="AW33" s="750" t="s">
        <v>179</v>
      </c>
      <c r="AX33" s="697"/>
      <c r="AY33" s="697"/>
      <c r="BQ33" s="494"/>
      <c r="BR33" s="494"/>
      <c r="BS33" s="494"/>
      <c r="BT33" s="655"/>
      <c r="BU33" s="655"/>
      <c r="BV33" s="655"/>
      <c r="CF33" s="697"/>
      <c r="CH33" s="697"/>
      <c r="CI33" s="697"/>
      <c r="CJ33" s="494"/>
      <c r="CK33" s="494"/>
      <c r="CL33" s="494"/>
      <c r="CM33" s="655"/>
      <c r="CN33" s="655"/>
      <c r="CO33" s="655"/>
      <c r="CP33" s="697"/>
      <c r="CQ33" s="749"/>
      <c r="CR33" s="749"/>
      <c r="CS33" s="545"/>
      <c r="CT33" s="749"/>
      <c r="CU33" s="655"/>
      <c r="CV33" s="655"/>
      <c r="CW33" s="750" t="s">
        <v>179</v>
      </c>
      <c r="CX33" s="697"/>
      <c r="CY33" s="544"/>
      <c r="CZ33" s="556"/>
      <c r="DA33" s="556"/>
      <c r="DB33" s="556"/>
      <c r="DC33" s="493"/>
      <c r="DD33" s="493"/>
    </row>
    <row r="34" spans="1:108">
      <c r="A34" s="991"/>
      <c r="B34" s="991"/>
      <c r="C34" s="991"/>
      <c r="D34" s="617"/>
      <c r="E34" s="1403" t="str">
        <f>E3</f>
        <v>17/3</v>
      </c>
      <c r="F34" s="1404"/>
      <c r="G34" s="1404"/>
      <c r="H34" s="1405">
        <v>0</v>
      </c>
      <c r="I34" s="1403" t="str">
        <f>I3</f>
        <v>17/4</v>
      </c>
      <c r="J34" s="1404"/>
      <c r="K34" s="1404"/>
      <c r="L34" s="1405">
        <v>0</v>
      </c>
      <c r="M34" s="1403" t="str">
        <f>M3</f>
        <v>17/5</v>
      </c>
      <c r="N34" s="1404"/>
      <c r="O34" s="1404"/>
      <c r="P34" s="1405">
        <v>0</v>
      </c>
      <c r="Q34" s="1403" t="str">
        <f>Q3</f>
        <v>17/3-17/5累計</v>
      </c>
      <c r="R34" s="1404"/>
      <c r="S34" s="1404"/>
      <c r="T34" s="1406"/>
      <c r="U34" s="1404"/>
      <c r="V34" s="1404"/>
      <c r="W34" s="1405"/>
      <c r="X34" s="1403" t="str">
        <f>X3</f>
        <v>17/6</v>
      </c>
      <c r="Y34" s="1404"/>
      <c r="Z34" s="1404"/>
      <c r="AA34" s="1405">
        <v>0</v>
      </c>
      <c r="AB34" s="1403" t="str">
        <f>AB3</f>
        <v>17/7</v>
      </c>
      <c r="AC34" s="1404"/>
      <c r="AD34" s="1404"/>
      <c r="AE34" s="1405">
        <v>0</v>
      </c>
      <c r="AF34" s="1403" t="str">
        <f>AF3</f>
        <v>17/8</v>
      </c>
      <c r="AG34" s="1404"/>
      <c r="AH34" s="1404"/>
      <c r="AI34" s="1405">
        <v>0</v>
      </c>
      <c r="AJ34" s="1403" t="str">
        <f>AJ3</f>
        <v>17/6-17/8累計</v>
      </c>
      <c r="AK34" s="1404"/>
      <c r="AL34" s="1404"/>
      <c r="AM34" s="1406"/>
      <c r="AN34" s="1404"/>
      <c r="AO34" s="1404"/>
      <c r="AP34" s="1405"/>
      <c r="AQ34" s="1407" t="str">
        <f>AQ3</f>
        <v>17/上(17/3-17/8)累計</v>
      </c>
      <c r="AR34" s="1408"/>
      <c r="AS34" s="1408"/>
      <c r="AT34" s="1408"/>
      <c r="AU34" s="1408"/>
      <c r="AV34" s="1408"/>
      <c r="AW34" s="1409"/>
      <c r="AX34" s="674"/>
      <c r="AY34" s="675"/>
      <c r="AZ34" s="676"/>
      <c r="BA34" s="495"/>
      <c r="BB34" s="495"/>
      <c r="BC34" s="495"/>
      <c r="BD34" s="495"/>
      <c r="BE34" s="1403" t="str">
        <f>BE3</f>
        <v>17/9</v>
      </c>
      <c r="BF34" s="1404"/>
      <c r="BG34" s="1404"/>
      <c r="BH34" s="1405">
        <v>0</v>
      </c>
      <c r="BI34" s="1403" t="str">
        <f>BI3</f>
        <v>17/10</v>
      </c>
      <c r="BJ34" s="1404"/>
      <c r="BK34" s="1404"/>
      <c r="BL34" s="1405">
        <v>0</v>
      </c>
      <c r="BM34" s="1403" t="str">
        <f>BM3</f>
        <v>17/11</v>
      </c>
      <c r="BN34" s="1404"/>
      <c r="BO34" s="1404"/>
      <c r="BP34" s="1405">
        <v>0</v>
      </c>
      <c r="BQ34" s="1403" t="str">
        <f>BQ3</f>
        <v>17/9-17/11累計</v>
      </c>
      <c r="BR34" s="1404"/>
      <c r="BS34" s="1404"/>
      <c r="BT34" s="1406"/>
      <c r="BU34" s="1404"/>
      <c r="BV34" s="1404"/>
      <c r="BW34" s="1405"/>
      <c r="BX34" s="1403" t="str">
        <f>BX3</f>
        <v>17/12</v>
      </c>
      <c r="BY34" s="1404"/>
      <c r="BZ34" s="1404"/>
      <c r="CA34" s="1405">
        <v>0</v>
      </c>
      <c r="CB34" s="1403" t="str">
        <f>CB3</f>
        <v>18/1</v>
      </c>
      <c r="CC34" s="1404"/>
      <c r="CD34" s="1404"/>
      <c r="CE34" s="1405">
        <v>0</v>
      </c>
      <c r="CF34" s="1403" t="str">
        <f>CF3</f>
        <v>18/2</v>
      </c>
      <c r="CG34" s="1404"/>
      <c r="CH34" s="1404"/>
      <c r="CI34" s="1405">
        <v>0</v>
      </c>
      <c r="CJ34" s="1403" t="str">
        <f>CJ3</f>
        <v>17/12-18/2累計</v>
      </c>
      <c r="CK34" s="1404"/>
      <c r="CL34" s="1404"/>
      <c r="CM34" s="1406"/>
      <c r="CN34" s="1404"/>
      <c r="CO34" s="1404"/>
      <c r="CP34" s="1405"/>
      <c r="CQ34" s="1407" t="str">
        <f>CQ3</f>
        <v>17/下(17/12-18/2)累計</v>
      </c>
      <c r="CR34" s="1408"/>
      <c r="CS34" s="1408"/>
      <c r="CT34" s="1408"/>
      <c r="CU34" s="1408"/>
      <c r="CV34" s="1408"/>
      <c r="CW34" s="1409"/>
      <c r="CX34" s="674"/>
      <c r="CY34" s="675"/>
      <c r="CZ34" s="1383"/>
      <c r="DA34" s="1383"/>
      <c r="DB34" s="1384"/>
      <c r="DC34" s="495"/>
      <c r="DD34" s="495"/>
    </row>
    <row r="35" spans="1:108">
      <c r="A35" s="491"/>
      <c r="B35" s="491"/>
      <c r="C35" s="491"/>
      <c r="D35" s="652"/>
      <c r="E35" s="677" t="str">
        <f t="shared" ref="E35:Q35" si="39">E114</f>
        <v>予算</v>
      </c>
      <c r="F35" s="751" t="str">
        <f>F114</f>
        <v>今回計画</v>
      </c>
      <c r="G35" s="751" t="str">
        <f t="shared" si="39"/>
        <v>実績</v>
      </c>
      <c r="H35" s="681" t="str">
        <f t="shared" si="39"/>
        <v>計画差異</v>
      </c>
      <c r="I35" s="677" t="str">
        <f t="shared" si="39"/>
        <v>予算</v>
      </c>
      <c r="J35" s="751" t="str">
        <f t="shared" si="39"/>
        <v>前回計画</v>
      </c>
      <c r="K35" s="751" t="str">
        <f t="shared" si="39"/>
        <v>実績</v>
      </c>
      <c r="L35" s="681" t="str">
        <f t="shared" si="39"/>
        <v>計画差異</v>
      </c>
      <c r="M35" s="677" t="str">
        <f t="shared" si="39"/>
        <v>予算</v>
      </c>
      <c r="N35" s="751" t="str">
        <f t="shared" si="39"/>
        <v>前回計画</v>
      </c>
      <c r="O35" s="751" t="str">
        <f t="shared" si="39"/>
        <v>実績</v>
      </c>
      <c r="P35" s="681" t="str">
        <f t="shared" si="39"/>
        <v>計画差異</v>
      </c>
      <c r="Q35" s="499" t="str">
        <f t="shared" si="39"/>
        <v>予算</v>
      </c>
      <c r="R35" s="500" t="s">
        <v>421</v>
      </c>
      <c r="S35" s="497" t="s">
        <v>422</v>
      </c>
      <c r="T35" s="498" t="str">
        <f>T4</f>
        <v>今回見通</v>
      </c>
      <c r="U35" s="497" t="s">
        <v>425</v>
      </c>
      <c r="V35" s="502" t="str">
        <f>V4</f>
        <v>目標差異</v>
      </c>
      <c r="W35" s="501" t="str">
        <f t="shared" ref="W35:AJ35" si="40">W114</f>
        <v>計画差異</v>
      </c>
      <c r="X35" s="677" t="str">
        <f t="shared" si="40"/>
        <v>予算</v>
      </c>
      <c r="Y35" s="751" t="str">
        <f t="shared" si="40"/>
        <v>計画</v>
      </c>
      <c r="Z35" s="751" t="str">
        <f t="shared" si="40"/>
        <v>実績</v>
      </c>
      <c r="AA35" s="681" t="str">
        <f t="shared" si="40"/>
        <v>計画差異</v>
      </c>
      <c r="AB35" s="677" t="str">
        <f t="shared" si="40"/>
        <v>予算</v>
      </c>
      <c r="AC35" s="752" t="str">
        <f t="shared" si="40"/>
        <v>今回計画</v>
      </c>
      <c r="AD35" s="751" t="str">
        <f t="shared" si="40"/>
        <v>実績</v>
      </c>
      <c r="AE35" s="681" t="str">
        <f t="shared" si="40"/>
        <v>計画差異</v>
      </c>
      <c r="AF35" s="677" t="str">
        <f t="shared" si="40"/>
        <v>予算</v>
      </c>
      <c r="AG35" s="752" t="str">
        <f t="shared" si="40"/>
        <v>前回計画</v>
      </c>
      <c r="AH35" s="751" t="str">
        <f t="shared" si="40"/>
        <v>実績</v>
      </c>
      <c r="AI35" s="681" t="str">
        <f t="shared" si="40"/>
        <v>計画差異</v>
      </c>
      <c r="AJ35" s="499" t="str">
        <f t="shared" si="40"/>
        <v>予算</v>
      </c>
      <c r="AK35" s="500" t="s">
        <v>421</v>
      </c>
      <c r="AL35" s="497" t="s">
        <v>239</v>
      </c>
      <c r="AM35" s="498" t="str">
        <f>AM4</f>
        <v>今回見通</v>
      </c>
      <c r="AN35" s="500" t="s">
        <v>238</v>
      </c>
      <c r="AO35" s="502" t="str">
        <f>AO4</f>
        <v>目標差異</v>
      </c>
      <c r="AP35" s="501" t="str">
        <f>AP114</f>
        <v>計画差異</v>
      </c>
      <c r="AQ35" s="496" t="str">
        <f>AQ114</f>
        <v>予算</v>
      </c>
      <c r="AR35" s="680" t="s">
        <v>421</v>
      </c>
      <c r="AS35" s="497" t="str">
        <f>AS4</f>
        <v>前回見通</v>
      </c>
      <c r="AT35" s="498" t="str">
        <f>AT4</f>
        <v>今回見通</v>
      </c>
      <c r="AU35" s="546" t="str">
        <f>AU114</f>
        <v>予算差異</v>
      </c>
      <c r="AV35" s="502" t="str">
        <f>AV4</f>
        <v>目標差異</v>
      </c>
      <c r="AW35" s="501" t="str">
        <f>AW114</f>
        <v>計画差異</v>
      </c>
      <c r="AX35" s="677" t="str">
        <f>AX114</f>
        <v>予算平均</v>
      </c>
      <c r="AY35" s="682" t="s">
        <v>438</v>
      </c>
      <c r="AZ35" s="683" t="str">
        <f>AZ4</f>
        <v>見通し平均</v>
      </c>
      <c r="BA35" s="547"/>
      <c r="BB35" s="493" t="s">
        <v>439</v>
      </c>
      <c r="BC35" s="493" t="s">
        <v>440</v>
      </c>
      <c r="BD35" s="493" t="s">
        <v>441</v>
      </c>
      <c r="BE35" s="677" t="str">
        <f>BE114</f>
        <v>予算</v>
      </c>
      <c r="BF35" s="751" t="str">
        <f>BF114</f>
        <v>前回計画</v>
      </c>
      <c r="BG35" s="751" t="str">
        <f>BG114</f>
        <v>実績</v>
      </c>
      <c r="BH35" s="681" t="str">
        <f>BH114</f>
        <v>計画差異</v>
      </c>
      <c r="BI35" s="677" t="str">
        <f t="shared" ref="BI35:BQ35" si="41">BI114</f>
        <v>レビュー</v>
      </c>
      <c r="BJ35" s="751" t="str">
        <f t="shared" si="41"/>
        <v>前回計画</v>
      </c>
      <c r="BK35" s="751" t="str">
        <f t="shared" si="41"/>
        <v>実績</v>
      </c>
      <c r="BL35" s="681" t="str">
        <f t="shared" si="41"/>
        <v>計画差異</v>
      </c>
      <c r="BM35" s="677" t="str">
        <f t="shared" si="41"/>
        <v>レビュー</v>
      </c>
      <c r="BN35" s="752" t="str">
        <f t="shared" si="41"/>
        <v>計画</v>
      </c>
      <c r="BO35" s="751" t="str">
        <f t="shared" si="41"/>
        <v>実績</v>
      </c>
      <c r="BP35" s="681" t="str">
        <f t="shared" si="41"/>
        <v>計画差異</v>
      </c>
      <c r="BQ35" s="499" t="str">
        <f t="shared" si="41"/>
        <v>レビュー</v>
      </c>
      <c r="BR35" s="500"/>
      <c r="BS35" s="500" t="s">
        <v>501</v>
      </c>
      <c r="BT35" s="498" t="str">
        <f>BT4</f>
        <v>実績</v>
      </c>
      <c r="BU35" s="497" t="s">
        <v>502</v>
      </c>
      <c r="BV35" s="502"/>
      <c r="BW35" s="501" t="str">
        <f t="shared" ref="BW35:CJ35" si="42">BW114</f>
        <v>計画差異</v>
      </c>
      <c r="BX35" s="677" t="str">
        <f t="shared" si="42"/>
        <v>レビュー</v>
      </c>
      <c r="BY35" s="752" t="str">
        <f t="shared" si="42"/>
        <v>前回計画</v>
      </c>
      <c r="BZ35" s="751" t="str">
        <f t="shared" si="42"/>
        <v>実績</v>
      </c>
      <c r="CA35" s="681" t="str">
        <f t="shared" si="42"/>
        <v>計画差異</v>
      </c>
      <c r="CB35" s="677" t="str">
        <f t="shared" si="42"/>
        <v>レビュー</v>
      </c>
      <c r="CC35" s="752" t="str">
        <f t="shared" si="42"/>
        <v>前回計画</v>
      </c>
      <c r="CD35" s="751" t="str">
        <f t="shared" si="42"/>
        <v>今回計画</v>
      </c>
      <c r="CE35" s="681" t="str">
        <f t="shared" si="42"/>
        <v>計画差異</v>
      </c>
      <c r="CF35" s="677" t="str">
        <f t="shared" si="42"/>
        <v>レビュー</v>
      </c>
      <c r="CG35" s="752" t="str">
        <f t="shared" si="42"/>
        <v>前回計画</v>
      </c>
      <c r="CH35" s="751" t="str">
        <f t="shared" si="42"/>
        <v>今回計画</v>
      </c>
      <c r="CI35" s="681" t="str">
        <f t="shared" si="42"/>
        <v>計画差異</v>
      </c>
      <c r="CJ35" s="499" t="str">
        <f t="shared" si="42"/>
        <v>レビュー</v>
      </c>
      <c r="CK35" s="500"/>
      <c r="CL35" s="500" t="s">
        <v>532</v>
      </c>
      <c r="CM35" s="498" t="str">
        <f>CM4</f>
        <v>今回見通</v>
      </c>
      <c r="CN35" s="500" t="str">
        <f>CN4</f>
        <v>レビュー差異</v>
      </c>
      <c r="CO35" s="500"/>
      <c r="CP35" s="501" t="str">
        <f>CP114</f>
        <v>計画差異</v>
      </c>
      <c r="CQ35" s="496" t="str">
        <f>CQ114</f>
        <v>レビュー</v>
      </c>
      <c r="CR35" s="548"/>
      <c r="CS35" s="548" t="str">
        <f>CS4</f>
        <v>前回見通</v>
      </c>
      <c r="CT35" s="498" t="str">
        <f>CT4</f>
        <v>今回見通</v>
      </c>
      <c r="CU35" s="546" t="str">
        <f>CU4</f>
        <v>レビュー差異</v>
      </c>
      <c r="CV35" s="546"/>
      <c r="CW35" s="501" t="str">
        <f>CW114</f>
        <v>計画差異</v>
      </c>
      <c r="CX35" s="677" t="str">
        <f>CX114</f>
        <v>予算平均</v>
      </c>
      <c r="CY35" s="683" t="str">
        <f>CY4</f>
        <v>見通し平均</v>
      </c>
      <c r="CZ35" s="547"/>
      <c r="DA35" s="556" t="s">
        <v>512</v>
      </c>
      <c r="DB35" s="556" t="s">
        <v>513</v>
      </c>
      <c r="DC35" s="493"/>
      <c r="DD35" s="493"/>
    </row>
    <row r="36" spans="1:108">
      <c r="A36" s="625"/>
      <c r="B36" s="1410" t="s">
        <v>337</v>
      </c>
      <c r="C36" s="1411"/>
      <c r="D36" s="654"/>
      <c r="E36" s="691">
        <f t="shared" ref="E36:G37" si="43">E115/1.17</f>
        <v>5982.9059829059834</v>
      </c>
      <c r="F36" s="753">
        <f t="shared" si="43"/>
        <v>6837.6068376068379</v>
      </c>
      <c r="G36" s="753">
        <f t="shared" si="43"/>
        <v>7725.4737435897441</v>
      </c>
      <c r="H36" s="550">
        <f>G36-F36</f>
        <v>887.86690598290625</v>
      </c>
      <c r="I36" s="691">
        <f t="shared" ref="I36:K41" si="44">I115/1.17</f>
        <v>6581.196581196582</v>
      </c>
      <c r="J36" s="753">
        <f t="shared" si="44"/>
        <v>8547.0085470085469</v>
      </c>
      <c r="K36" s="753">
        <f t="shared" si="44"/>
        <v>7420.5501794871798</v>
      </c>
      <c r="L36" s="550">
        <f t="shared" ref="L36:L41" si="45">K36-J36</f>
        <v>-1126.4583675213671</v>
      </c>
      <c r="M36" s="691">
        <f t="shared" ref="M36:O41" si="46">M115/1.17</f>
        <v>7179.4871794871797</v>
      </c>
      <c r="N36" s="753">
        <f t="shared" si="46"/>
        <v>9401.7094017094023</v>
      </c>
      <c r="O36" s="753">
        <f t="shared" si="46"/>
        <v>10744.897435897437</v>
      </c>
      <c r="P36" s="550">
        <f t="shared" ref="P36:P41" si="47">O36-N36</f>
        <v>1343.1880341880351</v>
      </c>
      <c r="Q36" s="639">
        <f t="shared" ref="Q36:Q41" si="48">E36+I36+M36</f>
        <v>19743.589743589746</v>
      </c>
      <c r="R36" s="641">
        <f t="shared" ref="R36:R41" si="49">R115/1.17</f>
        <v>19743.589743589746</v>
      </c>
      <c r="S36" s="685">
        <f t="shared" ref="S36:S41" si="50">G36+J36+N36</f>
        <v>25674.191692307693</v>
      </c>
      <c r="T36" s="685">
        <f>G36+K36+O36</f>
        <v>25890.921358974359</v>
      </c>
      <c r="U36" s="754">
        <f t="shared" ref="U36:U41" si="51">T36-Q36</f>
        <v>6147.3316153846135</v>
      </c>
      <c r="V36" s="755">
        <f>T36-R36</f>
        <v>6147.3316153846135</v>
      </c>
      <c r="W36" s="550">
        <f t="shared" ref="W36:W41" si="52">T36-S36</f>
        <v>216.72966666666616</v>
      </c>
      <c r="X36" s="691">
        <f t="shared" ref="X36:Z40" si="53">X115/1.17</f>
        <v>7179.4871794871797</v>
      </c>
      <c r="Y36" s="753">
        <f t="shared" si="53"/>
        <v>7692.1846153846154</v>
      </c>
      <c r="Z36" s="753">
        <f t="shared" si="53"/>
        <v>8520.4577777777795</v>
      </c>
      <c r="AA36" s="550">
        <f t="shared" ref="AA36:AA41" si="54">Z36-Y36</f>
        <v>828.27316239316406</v>
      </c>
      <c r="AB36" s="691">
        <f t="shared" ref="AB36:AD40" si="55">AB115/1.17</f>
        <v>7179.4871794871797</v>
      </c>
      <c r="AC36" s="753">
        <f t="shared" si="55"/>
        <v>7692.3076923076924</v>
      </c>
      <c r="AD36" s="753">
        <f t="shared" si="55"/>
        <v>7677.9127521367509</v>
      </c>
      <c r="AE36" s="756">
        <f t="shared" ref="AE36:AE41" si="56">AD36-AC36</f>
        <v>-14.394940170941481</v>
      </c>
      <c r="AF36" s="691">
        <f t="shared" ref="AF36:AH40" si="57">AF115/1.17</f>
        <v>6666.666666666667</v>
      </c>
      <c r="AG36" s="753">
        <f t="shared" si="57"/>
        <v>5811.9658119658125</v>
      </c>
      <c r="AH36" s="753">
        <f t="shared" si="57"/>
        <v>5426.5881367521379</v>
      </c>
      <c r="AI36" s="756">
        <f t="shared" ref="AI36:AI41" si="58">AH36-AG36</f>
        <v>-385.37767521367459</v>
      </c>
      <c r="AJ36" s="639">
        <f t="shared" ref="AJ36:AJ41" si="59">X36+AB36+AF36</f>
        <v>21025.641025641027</v>
      </c>
      <c r="AK36" s="641">
        <f t="shared" ref="AK36:AK41" si="60">AK115/1.17</f>
        <v>21025.641025641027</v>
      </c>
      <c r="AL36" s="685">
        <f t="shared" ref="AL36:AM40" si="61">Y36+AC36+AG36</f>
        <v>21196.45811965812</v>
      </c>
      <c r="AM36" s="685">
        <f t="shared" si="61"/>
        <v>21624.958666666666</v>
      </c>
      <c r="AN36" s="757">
        <f t="shared" ref="AN36:AN41" si="62">AM36-AJ36</f>
        <v>599.3176410256383</v>
      </c>
      <c r="AO36" s="755">
        <f>AM36-AK36</f>
        <v>599.3176410256383</v>
      </c>
      <c r="AP36" s="756">
        <f t="shared" ref="AP36:AP41" si="63">AM36-AL36</f>
        <v>428.50054700854525</v>
      </c>
      <c r="AQ36" s="639">
        <f t="shared" ref="AQ36:AQ41" si="64">SUM(Q36,AJ36)</f>
        <v>40769.230769230773</v>
      </c>
      <c r="AR36" s="693">
        <f t="shared" ref="AR36:AR41" si="65">AR115/1.17</f>
        <v>40769.230769230773</v>
      </c>
      <c r="AS36" s="526">
        <f t="shared" ref="AS36:AT41" si="66">S36+AL36</f>
        <v>46870.649811965814</v>
      </c>
      <c r="AT36" s="637">
        <f t="shared" si="66"/>
        <v>47515.880025641025</v>
      </c>
      <c r="AU36" s="640">
        <f t="shared" ref="AU36:AU41" si="67">AT36-AQ36</f>
        <v>6746.6492564102518</v>
      </c>
      <c r="AV36" s="755">
        <f>AT36-AR36</f>
        <v>6746.6492564102518</v>
      </c>
      <c r="AW36" s="758">
        <f t="shared" ref="AW36:AW41" si="68">AT36-AS36</f>
        <v>645.23021367521142</v>
      </c>
      <c r="AX36" s="689"/>
      <c r="AY36" s="690"/>
      <c r="AZ36" s="690"/>
      <c r="BA36" s="510"/>
      <c r="BB36" s="510"/>
      <c r="BC36" s="510"/>
      <c r="BD36" s="510"/>
      <c r="BE36" s="691">
        <f t="shared" ref="BE36:BG41" si="69">BE115/1.17</f>
        <v>7008.5470085470088</v>
      </c>
      <c r="BF36" s="753">
        <f t="shared" si="69"/>
        <v>7008.5470085470088</v>
      </c>
      <c r="BG36" s="753">
        <f t="shared" si="69"/>
        <v>5470.5776752136762</v>
      </c>
      <c r="BH36" s="550">
        <f t="shared" ref="BH36:BH41" si="70">BG36-BF36</f>
        <v>-1537.9693333333325</v>
      </c>
      <c r="BI36" s="691">
        <f t="shared" ref="BI36:BK41" si="71">BI115/1.17</f>
        <v>5555.5555555555557</v>
      </c>
      <c r="BJ36" s="753">
        <f t="shared" si="71"/>
        <v>4700.8547008547012</v>
      </c>
      <c r="BK36" s="753">
        <f t="shared" si="71"/>
        <v>4521.5470769230769</v>
      </c>
      <c r="BL36" s="550">
        <f t="shared" ref="BL36:BL41" si="72">BK36-BJ36</f>
        <v>-179.30762393162422</v>
      </c>
      <c r="BM36" s="691">
        <f t="shared" ref="BM36:BO41" si="73">BM115/1.17</f>
        <v>5384.6153846153848</v>
      </c>
      <c r="BN36" s="753">
        <f t="shared" si="73"/>
        <v>6410.2564102564111</v>
      </c>
      <c r="BO36" s="753">
        <f t="shared" si="73"/>
        <v>6358.4774358974346</v>
      </c>
      <c r="BP36" s="550">
        <f t="shared" ref="BP36:BP41" si="74">BO36-BN36</f>
        <v>-51.778974358976484</v>
      </c>
      <c r="BQ36" s="639">
        <f t="shared" ref="BQ36:BQ41" si="75">BE36+BI36+BM36</f>
        <v>17948.717948717949</v>
      </c>
      <c r="BR36" s="641"/>
      <c r="BS36" s="724">
        <f t="shared" ref="BS36:BT38" si="76">BF36+BJ36+BN36</f>
        <v>18119.658119658121</v>
      </c>
      <c r="BT36" s="685">
        <f t="shared" si="76"/>
        <v>16350.602188034187</v>
      </c>
      <c r="BU36" s="754">
        <f t="shared" ref="BU36:BU41" si="77">BT36-BQ36</f>
        <v>-1598.1157606837623</v>
      </c>
      <c r="BV36" s="755"/>
      <c r="BW36" s="550">
        <f t="shared" ref="BW36:BW41" si="78">BT36-BS36</f>
        <v>-1769.0559316239342</v>
      </c>
      <c r="BX36" s="691">
        <f t="shared" ref="BX36:BZ41" si="79">BX115/1.17</f>
        <v>5384.6153846153848</v>
      </c>
      <c r="BY36" s="753">
        <f t="shared" si="79"/>
        <v>5982.9059829059834</v>
      </c>
      <c r="BZ36" s="753">
        <f t="shared" si="79"/>
        <v>5488.6737435897421</v>
      </c>
      <c r="CA36" s="756">
        <f t="shared" ref="CA36:CA41" si="80">BZ36-BY36</f>
        <v>-494.23223931624125</v>
      </c>
      <c r="CB36" s="691">
        <f t="shared" ref="CB36:CD41" si="81">CB115/1.17</f>
        <v>4700.8547008547012</v>
      </c>
      <c r="CC36" s="753">
        <f t="shared" si="81"/>
        <v>4273.5042735042734</v>
      </c>
      <c r="CD36" s="753">
        <f t="shared" si="81"/>
        <v>4273.5042735042734</v>
      </c>
      <c r="CE36" s="756">
        <f t="shared" ref="CE36:CE41" si="82">CD36-CC36</f>
        <v>0</v>
      </c>
      <c r="CF36" s="691">
        <f t="shared" ref="CF36:CH41" si="83">CF115/1.17</f>
        <v>2991.4529914529917</v>
      </c>
      <c r="CG36" s="753">
        <f t="shared" si="83"/>
        <v>3418.8034188034189</v>
      </c>
      <c r="CH36" s="753">
        <f t="shared" si="83"/>
        <v>3418.8034188034189</v>
      </c>
      <c r="CI36" s="756">
        <f t="shared" ref="CI36:CI41" si="84">CH36-CG36</f>
        <v>0</v>
      </c>
      <c r="CJ36" s="639">
        <f t="shared" ref="CJ36:CJ41" si="85">BX36+CB36+CF36</f>
        <v>13076.923076923078</v>
      </c>
      <c r="CK36" s="641"/>
      <c r="CL36" s="724">
        <f t="shared" ref="CL36:CM38" si="86">BY36+CC36+CG36</f>
        <v>13675.213675213676</v>
      </c>
      <c r="CM36" s="685">
        <f t="shared" si="86"/>
        <v>13180.981435897433</v>
      </c>
      <c r="CN36" s="757">
        <f t="shared" ref="CN36:CN41" si="87">CM36-CJ36</f>
        <v>104.05835897435463</v>
      </c>
      <c r="CO36" s="757"/>
      <c r="CP36" s="756">
        <f t="shared" ref="CP36:CP41" si="88">CM36-CL36</f>
        <v>-494.23223931624307</v>
      </c>
      <c r="CQ36" s="639">
        <f t="shared" ref="CQ36:CQ41" si="89">SUM(BQ36,CJ36)</f>
        <v>31025.641025641027</v>
      </c>
      <c r="CR36" s="1341"/>
      <c r="CS36" s="605">
        <f t="shared" ref="CS36:CT41" si="90">BS36+CL36</f>
        <v>31794.871794871797</v>
      </c>
      <c r="CT36" s="637">
        <f t="shared" si="90"/>
        <v>29531.58362393162</v>
      </c>
      <c r="CU36" s="640">
        <f t="shared" ref="CU36:CU41" si="91">CT36-CQ36</f>
        <v>-1494.0574017094077</v>
      </c>
      <c r="CV36" s="638"/>
      <c r="CW36" s="758">
        <f t="shared" ref="CW36:CW41" si="92">CT36-CS36</f>
        <v>-2263.2881709401772</v>
      </c>
      <c r="CX36" s="689"/>
      <c r="CY36" s="690"/>
      <c r="CZ36" s="1385"/>
      <c r="DA36" s="1385"/>
      <c r="DB36" s="1385"/>
      <c r="DC36" s="510"/>
      <c r="DD36" s="510"/>
    </row>
    <row r="37" spans="1:108">
      <c r="A37" s="624"/>
      <c r="B37" s="625"/>
      <c r="C37" s="634" t="s">
        <v>158</v>
      </c>
      <c r="D37" s="665"/>
      <c r="E37" s="759">
        <f t="shared" si="43"/>
        <v>341.88034188034192</v>
      </c>
      <c r="F37" s="753">
        <f t="shared" si="43"/>
        <v>341.88034188034192</v>
      </c>
      <c r="G37" s="753">
        <f t="shared" si="43"/>
        <v>431.97008547008545</v>
      </c>
      <c r="H37" s="550">
        <f>G37-F37</f>
        <v>90.089743589743534</v>
      </c>
      <c r="I37" s="759">
        <f t="shared" si="44"/>
        <v>341.88034188034192</v>
      </c>
      <c r="J37" s="753">
        <f t="shared" si="44"/>
        <v>427.35042735042737</v>
      </c>
      <c r="K37" s="753">
        <f t="shared" si="44"/>
        <v>118.9664188034188</v>
      </c>
      <c r="L37" s="550">
        <f t="shared" si="45"/>
        <v>-308.38400854700853</v>
      </c>
      <c r="M37" s="759">
        <f t="shared" si="46"/>
        <v>341.88034188034192</v>
      </c>
      <c r="N37" s="753">
        <f t="shared" si="46"/>
        <v>341.88034188034192</v>
      </c>
      <c r="O37" s="753">
        <f t="shared" si="46"/>
        <v>261.20905128205129</v>
      </c>
      <c r="P37" s="550">
        <f t="shared" si="47"/>
        <v>-80.671290598290625</v>
      </c>
      <c r="Q37" s="656">
        <f t="shared" si="48"/>
        <v>1025.6410256410259</v>
      </c>
      <c r="R37" s="657">
        <f t="shared" si="49"/>
        <v>1025.6410256410256</v>
      </c>
      <c r="S37" s="760">
        <f t="shared" si="50"/>
        <v>1201.2008547008547</v>
      </c>
      <c r="T37" s="760">
        <f>G37+K37+O37</f>
        <v>812.14555555555557</v>
      </c>
      <c r="U37" s="760">
        <f t="shared" si="51"/>
        <v>-213.49547008547029</v>
      </c>
      <c r="V37" s="761">
        <f t="shared" ref="V37:V67" si="93">T37-R37</f>
        <v>-213.49547008547006</v>
      </c>
      <c r="W37" s="762">
        <f t="shared" si="52"/>
        <v>-389.05529914529916</v>
      </c>
      <c r="X37" s="759">
        <f t="shared" si="53"/>
        <v>427.35042735042737</v>
      </c>
      <c r="Y37" s="753">
        <f t="shared" si="53"/>
        <v>427.35042735042737</v>
      </c>
      <c r="Z37" s="753">
        <f t="shared" si="53"/>
        <v>205.86516239316239</v>
      </c>
      <c r="AA37" s="550">
        <f t="shared" si="54"/>
        <v>-221.48526495726497</v>
      </c>
      <c r="AB37" s="759">
        <f t="shared" si="55"/>
        <v>427.35042735042737</v>
      </c>
      <c r="AC37" s="753">
        <f t="shared" si="55"/>
        <v>213.67521367521368</v>
      </c>
      <c r="AD37" s="753">
        <f t="shared" si="55"/>
        <v>256.8566153846154</v>
      </c>
      <c r="AE37" s="756">
        <f t="shared" si="56"/>
        <v>43.181401709401712</v>
      </c>
      <c r="AF37" s="759">
        <f t="shared" si="57"/>
        <v>427.35042735042737</v>
      </c>
      <c r="AG37" s="753">
        <f t="shared" si="57"/>
        <v>213.67521367521368</v>
      </c>
      <c r="AH37" s="753">
        <f t="shared" si="57"/>
        <v>324.31292307692308</v>
      </c>
      <c r="AI37" s="756">
        <f t="shared" si="58"/>
        <v>110.6377094017094</v>
      </c>
      <c r="AJ37" s="656">
        <f t="shared" si="59"/>
        <v>1282.0512820512822</v>
      </c>
      <c r="AK37" s="657">
        <f t="shared" si="60"/>
        <v>1282.0512820512822</v>
      </c>
      <c r="AL37" s="760">
        <f t="shared" si="61"/>
        <v>854.70085470085473</v>
      </c>
      <c r="AM37" s="760">
        <f t="shared" si="61"/>
        <v>787.03470085470087</v>
      </c>
      <c r="AN37" s="696">
        <f t="shared" si="62"/>
        <v>-495.01658119658134</v>
      </c>
      <c r="AO37" s="761">
        <f t="shared" ref="AO37:AO65" si="94">AM37-AK37</f>
        <v>-495.01658119658134</v>
      </c>
      <c r="AP37" s="762">
        <f t="shared" si="63"/>
        <v>-67.666153846153861</v>
      </c>
      <c r="AQ37" s="639">
        <f t="shared" si="64"/>
        <v>2307.6923076923081</v>
      </c>
      <c r="AR37" s="696">
        <f t="shared" si="65"/>
        <v>2307.6923076923076</v>
      </c>
      <c r="AS37" s="526">
        <f t="shared" si="66"/>
        <v>2055.9017094017095</v>
      </c>
      <c r="AT37" s="637">
        <f t="shared" si="66"/>
        <v>1599.1802564102563</v>
      </c>
      <c r="AU37" s="640">
        <f t="shared" si="67"/>
        <v>-708.51205128205174</v>
      </c>
      <c r="AV37" s="761">
        <f t="shared" ref="AV37:AV65" si="95">AT37-AR37</f>
        <v>-708.51205128205129</v>
      </c>
      <c r="AW37" s="758">
        <f t="shared" si="68"/>
        <v>-456.72145299145313</v>
      </c>
      <c r="AX37" s="689"/>
      <c r="AY37" s="690"/>
      <c r="AZ37" s="690"/>
      <c r="BA37" s="510"/>
      <c r="BB37" s="510"/>
      <c r="BC37" s="510"/>
      <c r="BD37" s="510"/>
      <c r="BE37" s="759">
        <f t="shared" si="69"/>
        <v>213.67521367521368</v>
      </c>
      <c r="BF37" s="753">
        <f t="shared" si="69"/>
        <v>213.67521367521368</v>
      </c>
      <c r="BG37" s="753">
        <f t="shared" si="69"/>
        <v>192.27018803418804</v>
      </c>
      <c r="BH37" s="550">
        <f t="shared" si="70"/>
        <v>-21.405025641025645</v>
      </c>
      <c r="BI37" s="759">
        <f t="shared" si="71"/>
        <v>213.67521367521368</v>
      </c>
      <c r="BJ37" s="753">
        <f t="shared" si="71"/>
        <v>213.67521367521368</v>
      </c>
      <c r="BK37" s="753">
        <f t="shared" si="71"/>
        <v>77.458222222222233</v>
      </c>
      <c r="BL37" s="550">
        <f t="shared" si="72"/>
        <v>-136.21699145299146</v>
      </c>
      <c r="BM37" s="759">
        <f t="shared" si="73"/>
        <v>213.67521367521368</v>
      </c>
      <c r="BN37" s="753">
        <f t="shared" si="73"/>
        <v>213.67521367521368</v>
      </c>
      <c r="BO37" s="753">
        <f t="shared" si="73"/>
        <v>443.22343589743593</v>
      </c>
      <c r="BP37" s="550">
        <f t="shared" si="74"/>
        <v>229.54822222222225</v>
      </c>
      <c r="BQ37" s="656">
        <f t="shared" si="75"/>
        <v>641.02564102564111</v>
      </c>
      <c r="BR37" s="657"/>
      <c r="BS37" s="696">
        <f t="shared" si="76"/>
        <v>641.02564102564111</v>
      </c>
      <c r="BT37" s="760">
        <f t="shared" si="76"/>
        <v>712.95184615384619</v>
      </c>
      <c r="BU37" s="760">
        <f t="shared" si="77"/>
        <v>71.926205128205083</v>
      </c>
      <c r="BV37" s="761"/>
      <c r="BW37" s="762">
        <f t="shared" si="78"/>
        <v>71.926205128205083</v>
      </c>
      <c r="BX37" s="759">
        <f t="shared" si="79"/>
        <v>205.12820512820514</v>
      </c>
      <c r="BY37" s="753">
        <f t="shared" si="79"/>
        <v>213.67521367521368</v>
      </c>
      <c r="BZ37" s="753">
        <f t="shared" si="79"/>
        <v>632.48119658119663</v>
      </c>
      <c r="CA37" s="756">
        <f t="shared" si="80"/>
        <v>418.80598290598294</v>
      </c>
      <c r="CB37" s="759">
        <f t="shared" si="81"/>
        <v>128.2051282051282</v>
      </c>
      <c r="CC37" s="753">
        <f t="shared" si="81"/>
        <v>128.2051282051282</v>
      </c>
      <c r="CD37" s="753">
        <f t="shared" si="81"/>
        <v>128.2051282051282</v>
      </c>
      <c r="CE37" s="756">
        <f t="shared" si="82"/>
        <v>0</v>
      </c>
      <c r="CF37" s="759">
        <f t="shared" si="83"/>
        <v>128.2051282051282</v>
      </c>
      <c r="CG37" s="753">
        <f t="shared" si="83"/>
        <v>128.2051282051282</v>
      </c>
      <c r="CH37" s="753">
        <f t="shared" si="83"/>
        <v>128.2051282051282</v>
      </c>
      <c r="CI37" s="756">
        <f t="shared" si="84"/>
        <v>0</v>
      </c>
      <c r="CJ37" s="656">
        <f t="shared" si="85"/>
        <v>461.53846153846155</v>
      </c>
      <c r="CK37" s="657"/>
      <c r="CL37" s="696">
        <f t="shared" si="86"/>
        <v>470.08547008547009</v>
      </c>
      <c r="CM37" s="760">
        <f t="shared" si="86"/>
        <v>888.89145299145298</v>
      </c>
      <c r="CN37" s="696">
        <f t="shared" si="87"/>
        <v>427.35299145299143</v>
      </c>
      <c r="CO37" s="696"/>
      <c r="CP37" s="762">
        <f t="shared" si="88"/>
        <v>418.80598290598289</v>
      </c>
      <c r="CQ37" s="639">
        <f t="shared" si="89"/>
        <v>1102.5641025641025</v>
      </c>
      <c r="CR37" s="1341"/>
      <c r="CS37" s="605">
        <f t="shared" si="90"/>
        <v>1111.1111111111113</v>
      </c>
      <c r="CT37" s="637">
        <f t="shared" si="90"/>
        <v>1601.8432991452992</v>
      </c>
      <c r="CU37" s="640">
        <f t="shared" si="91"/>
        <v>499.27919658119663</v>
      </c>
      <c r="CV37" s="638"/>
      <c r="CW37" s="758">
        <f t="shared" si="92"/>
        <v>490.73218803418786</v>
      </c>
      <c r="CX37" s="689"/>
      <c r="CY37" s="690"/>
      <c r="CZ37" s="1385"/>
      <c r="DA37" s="1385"/>
      <c r="DB37" s="1385"/>
      <c r="DC37" s="510"/>
      <c r="DD37" s="510"/>
    </row>
    <row r="38" spans="1:108">
      <c r="A38" s="624"/>
      <c r="B38" s="998"/>
      <c r="C38" s="1002"/>
      <c r="D38" s="1003" t="s">
        <v>338</v>
      </c>
      <c r="E38" s="691"/>
      <c r="F38" s="754"/>
      <c r="G38" s="754"/>
      <c r="H38" s="552"/>
      <c r="I38" s="691">
        <f t="shared" si="44"/>
        <v>7735.0427350427353</v>
      </c>
      <c r="J38" s="754">
        <f t="shared" si="44"/>
        <v>1880.3418803418804</v>
      </c>
      <c r="K38" s="754">
        <f t="shared" si="44"/>
        <v>54.142735042735048</v>
      </c>
      <c r="L38" s="552">
        <f t="shared" si="45"/>
        <v>-1826.1991452991454</v>
      </c>
      <c r="M38" s="691">
        <f t="shared" si="46"/>
        <v>7735.0427350427353</v>
      </c>
      <c r="N38" s="754">
        <f t="shared" si="46"/>
        <v>854.70085470085473</v>
      </c>
      <c r="O38" s="754">
        <f t="shared" si="46"/>
        <v>1438.5384615384617</v>
      </c>
      <c r="P38" s="552">
        <f t="shared" si="47"/>
        <v>583.83760683760693</v>
      </c>
      <c r="Q38" s="639">
        <f t="shared" si="48"/>
        <v>15470.085470085471</v>
      </c>
      <c r="R38" s="641">
        <f t="shared" si="49"/>
        <v>27059.829059829062</v>
      </c>
      <c r="S38" s="637">
        <f t="shared" si="50"/>
        <v>2735.0427350427353</v>
      </c>
      <c r="T38" s="685">
        <f>G38+K38+O38</f>
        <v>1492.6811965811967</v>
      </c>
      <c r="U38" s="685">
        <f t="shared" si="51"/>
        <v>-13977.404273504275</v>
      </c>
      <c r="V38" s="724">
        <f t="shared" si="93"/>
        <v>-25567.147863247865</v>
      </c>
      <c r="W38" s="694">
        <f t="shared" si="52"/>
        <v>-1242.3615384615387</v>
      </c>
      <c r="X38" s="691">
        <f t="shared" si="53"/>
        <v>15470.085470085471</v>
      </c>
      <c r="Y38" s="754">
        <f t="shared" si="53"/>
        <v>3418.8034188034189</v>
      </c>
      <c r="Z38" s="754">
        <f t="shared" si="53"/>
        <v>4025.5333333333333</v>
      </c>
      <c r="AA38" s="552">
        <f t="shared" si="54"/>
        <v>606.72991452991437</v>
      </c>
      <c r="AB38" s="691">
        <f t="shared" si="55"/>
        <v>17777.777777777777</v>
      </c>
      <c r="AC38" s="755">
        <f t="shared" si="55"/>
        <v>7264.9572649572656</v>
      </c>
      <c r="AD38" s="754">
        <f t="shared" si="55"/>
        <v>5604.393162393163</v>
      </c>
      <c r="AE38" s="763">
        <f t="shared" si="56"/>
        <v>-1660.5641025641025</v>
      </c>
      <c r="AF38" s="691">
        <f t="shared" si="57"/>
        <v>20256.410256410258</v>
      </c>
      <c r="AG38" s="755">
        <f t="shared" si="57"/>
        <v>10683.760683760684</v>
      </c>
      <c r="AH38" s="754">
        <f t="shared" si="57"/>
        <v>5945.6538461538466</v>
      </c>
      <c r="AI38" s="763">
        <f t="shared" si="58"/>
        <v>-4738.106837606837</v>
      </c>
      <c r="AJ38" s="639">
        <f t="shared" si="59"/>
        <v>53504.273504273508</v>
      </c>
      <c r="AK38" s="641">
        <f t="shared" si="60"/>
        <v>63247.86324786325</v>
      </c>
      <c r="AL38" s="637">
        <f t="shared" si="61"/>
        <v>21367.521367521367</v>
      </c>
      <c r="AM38" s="685">
        <f t="shared" si="61"/>
        <v>15575.580341880344</v>
      </c>
      <c r="AN38" s="693">
        <f t="shared" si="62"/>
        <v>-37928.69316239316</v>
      </c>
      <c r="AO38" s="724">
        <f t="shared" si="94"/>
        <v>-47672.282905982909</v>
      </c>
      <c r="AP38" s="694">
        <f t="shared" si="63"/>
        <v>-5791.9410256410229</v>
      </c>
      <c r="AQ38" s="639">
        <f t="shared" si="64"/>
        <v>68974.358974358984</v>
      </c>
      <c r="AR38" s="693">
        <f t="shared" si="65"/>
        <v>90307.692307692312</v>
      </c>
      <c r="AS38" s="526">
        <f t="shared" si="66"/>
        <v>24102.564102564102</v>
      </c>
      <c r="AT38" s="637">
        <f t="shared" si="66"/>
        <v>17068.261538461542</v>
      </c>
      <c r="AU38" s="640">
        <f t="shared" si="67"/>
        <v>-51906.097435897442</v>
      </c>
      <c r="AV38" s="724">
        <f t="shared" si="95"/>
        <v>-73239.430769230763</v>
      </c>
      <c r="AW38" s="758">
        <f t="shared" si="68"/>
        <v>-7034.3025641025597</v>
      </c>
      <c r="AX38" s="689"/>
      <c r="AY38" s="690"/>
      <c r="AZ38" s="690"/>
      <c r="BA38" s="510"/>
      <c r="BB38" s="510"/>
      <c r="BC38" s="510"/>
      <c r="BD38" s="510"/>
      <c r="BE38" s="691">
        <f t="shared" si="69"/>
        <v>15384.615384615385</v>
      </c>
      <c r="BF38" s="754">
        <f t="shared" si="69"/>
        <v>15384.615384615385</v>
      </c>
      <c r="BG38" s="754">
        <f t="shared" si="69"/>
        <v>7610.5897435897432</v>
      </c>
      <c r="BH38" s="552">
        <f t="shared" si="70"/>
        <v>-7774.0256410256416</v>
      </c>
      <c r="BI38" s="691">
        <f t="shared" si="71"/>
        <v>17094.017094017094</v>
      </c>
      <c r="BJ38" s="754">
        <f t="shared" si="71"/>
        <v>10256.410256410258</v>
      </c>
      <c r="BK38" s="754">
        <f t="shared" si="71"/>
        <v>7994.7666666666673</v>
      </c>
      <c r="BL38" s="552">
        <f t="shared" si="72"/>
        <v>-2261.6435897435904</v>
      </c>
      <c r="BM38" s="691">
        <f t="shared" si="73"/>
        <v>18803.418803418805</v>
      </c>
      <c r="BN38" s="755">
        <f t="shared" si="73"/>
        <v>10256.410256410258</v>
      </c>
      <c r="BO38" s="754">
        <f t="shared" si="73"/>
        <v>8415.3435897435902</v>
      </c>
      <c r="BP38" s="552">
        <f t="shared" si="74"/>
        <v>-1841.0666666666675</v>
      </c>
      <c r="BQ38" s="639">
        <f t="shared" si="75"/>
        <v>51282.051282051281</v>
      </c>
      <c r="BR38" s="641"/>
      <c r="BS38" s="641">
        <f t="shared" si="76"/>
        <v>35897.435897435898</v>
      </c>
      <c r="BT38" s="685">
        <f t="shared" si="76"/>
        <v>24020.7</v>
      </c>
      <c r="BU38" s="685">
        <f t="shared" si="77"/>
        <v>-27261.351282051281</v>
      </c>
      <c r="BV38" s="724"/>
      <c r="BW38" s="694">
        <f t="shared" si="78"/>
        <v>-11876.735897435898</v>
      </c>
      <c r="BX38" s="691">
        <f t="shared" si="79"/>
        <v>18803.418803418805</v>
      </c>
      <c r="BY38" s="755">
        <f t="shared" si="79"/>
        <v>11965.811965811967</v>
      </c>
      <c r="BZ38" s="754">
        <f t="shared" si="79"/>
        <v>9313.3128205128196</v>
      </c>
      <c r="CA38" s="763">
        <f t="shared" si="80"/>
        <v>-2652.4991452991471</v>
      </c>
      <c r="CB38" s="691">
        <f t="shared" si="81"/>
        <v>13675.213675213676</v>
      </c>
      <c r="CC38" s="755">
        <f t="shared" si="81"/>
        <v>10256.410256410258</v>
      </c>
      <c r="CD38" s="754">
        <f t="shared" si="81"/>
        <v>10256.410256410258</v>
      </c>
      <c r="CE38" s="763">
        <f t="shared" si="82"/>
        <v>0</v>
      </c>
      <c r="CF38" s="691">
        <f t="shared" si="83"/>
        <v>8547.0085470085469</v>
      </c>
      <c r="CG38" s="755">
        <f t="shared" si="83"/>
        <v>7692.3076923076924</v>
      </c>
      <c r="CH38" s="754">
        <f t="shared" si="83"/>
        <v>7692.3076923076924</v>
      </c>
      <c r="CI38" s="763">
        <f t="shared" si="84"/>
        <v>0</v>
      </c>
      <c r="CJ38" s="639">
        <f t="shared" si="85"/>
        <v>41025.641025641031</v>
      </c>
      <c r="CK38" s="641"/>
      <c r="CL38" s="641">
        <f t="shared" si="86"/>
        <v>29914.529914529918</v>
      </c>
      <c r="CM38" s="685">
        <f t="shared" si="86"/>
        <v>27262.030769230769</v>
      </c>
      <c r="CN38" s="693">
        <f t="shared" si="87"/>
        <v>-13763.610256410262</v>
      </c>
      <c r="CO38" s="693"/>
      <c r="CP38" s="694">
        <f t="shared" si="88"/>
        <v>-2652.4991452991489</v>
      </c>
      <c r="CQ38" s="639">
        <f t="shared" si="89"/>
        <v>92307.692307692312</v>
      </c>
      <c r="CR38" s="1341"/>
      <c r="CS38" s="605">
        <f t="shared" si="90"/>
        <v>65811.965811965812</v>
      </c>
      <c r="CT38" s="637">
        <f t="shared" si="90"/>
        <v>51282.730769230766</v>
      </c>
      <c r="CU38" s="640">
        <f t="shared" si="91"/>
        <v>-41024.961538461546</v>
      </c>
      <c r="CV38" s="638"/>
      <c r="CW38" s="758">
        <f t="shared" si="92"/>
        <v>-14529.235042735047</v>
      </c>
      <c r="CX38" s="689"/>
      <c r="CY38" s="690"/>
      <c r="CZ38" s="1385"/>
      <c r="DA38" s="1385"/>
      <c r="DB38" s="1385"/>
      <c r="DC38" s="510"/>
      <c r="DD38" s="510"/>
    </row>
    <row r="39" spans="1:108">
      <c r="A39" s="624"/>
      <c r="B39" s="998"/>
      <c r="C39" s="1002"/>
      <c r="D39" s="1003" t="s">
        <v>315</v>
      </c>
      <c r="E39" s="691"/>
      <c r="F39" s="754"/>
      <c r="G39" s="754"/>
      <c r="H39" s="552"/>
      <c r="I39" s="691">
        <f t="shared" si="44"/>
        <v>3974.3589743589746</v>
      </c>
      <c r="J39" s="754">
        <f t="shared" si="44"/>
        <v>1470.0854700854702</v>
      </c>
      <c r="K39" s="754">
        <f t="shared" si="44"/>
        <v>0</v>
      </c>
      <c r="L39" s="552">
        <f t="shared" si="45"/>
        <v>-1470.0854700854702</v>
      </c>
      <c r="M39" s="691">
        <f t="shared" si="46"/>
        <v>3974.3589743589746</v>
      </c>
      <c r="N39" s="754">
        <f t="shared" si="46"/>
        <v>1452.9914529914531</v>
      </c>
      <c r="O39" s="754">
        <f t="shared" si="46"/>
        <v>33.230769230769234</v>
      </c>
      <c r="P39" s="552">
        <f t="shared" si="47"/>
        <v>-1419.7606837606838</v>
      </c>
      <c r="Q39" s="639">
        <f t="shared" si="48"/>
        <v>7948.7179487179492</v>
      </c>
      <c r="R39" s="641">
        <f t="shared" si="49"/>
        <v>14700.854700854701</v>
      </c>
      <c r="S39" s="637">
        <f t="shared" si="50"/>
        <v>2923.0769230769233</v>
      </c>
      <c r="T39" s="685">
        <f>G39+K39+O39</f>
        <v>33.230769230769234</v>
      </c>
      <c r="U39" s="685">
        <f t="shared" si="51"/>
        <v>-7915.4871794871797</v>
      </c>
      <c r="V39" s="724">
        <f t="shared" si="93"/>
        <v>-14667.623931623932</v>
      </c>
      <c r="W39" s="694">
        <f t="shared" si="52"/>
        <v>-2889.8461538461543</v>
      </c>
      <c r="X39" s="691">
        <f t="shared" si="53"/>
        <v>6495.7264957264961</v>
      </c>
      <c r="Y39" s="754">
        <f t="shared" si="53"/>
        <v>854.70085470085473</v>
      </c>
      <c r="Z39" s="754">
        <f t="shared" si="53"/>
        <v>516.77692307692314</v>
      </c>
      <c r="AA39" s="552">
        <f t="shared" si="54"/>
        <v>-337.92393162393159</v>
      </c>
      <c r="AB39" s="691">
        <f t="shared" si="55"/>
        <v>7863.2478632478633</v>
      </c>
      <c r="AC39" s="755">
        <f t="shared" si="55"/>
        <v>1709.4017094017095</v>
      </c>
      <c r="AD39" s="754">
        <f t="shared" si="55"/>
        <v>442.66923076923081</v>
      </c>
      <c r="AE39" s="763">
        <f t="shared" si="56"/>
        <v>-1266.7324786324787</v>
      </c>
      <c r="AF39" s="691">
        <f t="shared" si="57"/>
        <v>9213.6752136752148</v>
      </c>
      <c r="AG39" s="755">
        <f t="shared" si="57"/>
        <v>3418.8034188034189</v>
      </c>
      <c r="AH39" s="754">
        <f t="shared" si="57"/>
        <v>823.73589743589741</v>
      </c>
      <c r="AI39" s="763">
        <f t="shared" si="58"/>
        <v>-2595.0675213675213</v>
      </c>
      <c r="AJ39" s="639">
        <f t="shared" si="59"/>
        <v>23572.649572649574</v>
      </c>
      <c r="AK39" s="641">
        <f t="shared" si="60"/>
        <v>34188.034188034188</v>
      </c>
      <c r="AL39" s="637">
        <f t="shared" si="61"/>
        <v>5982.9059829059834</v>
      </c>
      <c r="AM39" s="685">
        <f t="shared" si="61"/>
        <v>1783.1820512820514</v>
      </c>
      <c r="AN39" s="693">
        <f t="shared" si="62"/>
        <v>-21789.467521367522</v>
      </c>
      <c r="AO39" s="724">
        <f t="shared" si="94"/>
        <v>-32404.852136752135</v>
      </c>
      <c r="AP39" s="694">
        <f t="shared" si="63"/>
        <v>-4199.723931623932</v>
      </c>
      <c r="AQ39" s="639">
        <f t="shared" si="64"/>
        <v>31521.367521367523</v>
      </c>
      <c r="AR39" s="693">
        <f t="shared" si="65"/>
        <v>48888.888888888891</v>
      </c>
      <c r="AS39" s="526">
        <f t="shared" si="66"/>
        <v>8905.9829059829062</v>
      </c>
      <c r="AT39" s="637">
        <f t="shared" si="66"/>
        <v>1816.4128205128206</v>
      </c>
      <c r="AU39" s="640">
        <f t="shared" si="67"/>
        <v>-29704.954700854702</v>
      </c>
      <c r="AV39" s="724">
        <f t="shared" si="95"/>
        <v>-47072.476068376069</v>
      </c>
      <c r="AW39" s="758">
        <f t="shared" si="68"/>
        <v>-7089.5700854700854</v>
      </c>
      <c r="AX39" s="689"/>
      <c r="AY39" s="690"/>
      <c r="AZ39" s="690"/>
      <c r="BA39" s="510"/>
      <c r="BB39" s="510"/>
      <c r="BC39" s="510"/>
      <c r="BD39" s="510"/>
      <c r="BE39" s="691">
        <f t="shared" si="69"/>
        <v>5982.9059829059834</v>
      </c>
      <c r="BF39" s="754">
        <f t="shared" si="69"/>
        <v>5982.9059829059834</v>
      </c>
      <c r="BG39" s="754">
        <f t="shared" si="69"/>
        <v>598.31367521367531</v>
      </c>
      <c r="BH39" s="552">
        <f t="shared" si="70"/>
        <v>-5384.5923076923082</v>
      </c>
      <c r="BI39" s="691">
        <f t="shared" si="71"/>
        <v>7777.7777777777783</v>
      </c>
      <c r="BJ39" s="754">
        <f t="shared" si="71"/>
        <v>1111.1111111111111</v>
      </c>
      <c r="BK39" s="754">
        <f t="shared" si="71"/>
        <v>660.47606837606838</v>
      </c>
      <c r="BL39" s="552">
        <f t="shared" si="72"/>
        <v>-450.6350427350427</v>
      </c>
      <c r="BM39" s="691">
        <f t="shared" si="73"/>
        <v>7777.7777777777783</v>
      </c>
      <c r="BN39" s="755">
        <f t="shared" si="73"/>
        <v>1623.931623931624</v>
      </c>
      <c r="BO39" s="754">
        <f t="shared" si="73"/>
        <v>858.71452991452998</v>
      </c>
      <c r="BP39" s="552">
        <f t="shared" si="74"/>
        <v>-765.21709401709404</v>
      </c>
      <c r="BQ39" s="639">
        <f t="shared" si="75"/>
        <v>21538.461538461539</v>
      </c>
      <c r="BR39" s="641"/>
      <c r="BS39" s="641">
        <f>BF39+BJ39+BN39</f>
        <v>8717.9487179487187</v>
      </c>
      <c r="BT39" s="685">
        <f>BG39+BK39+BO39</f>
        <v>2117.5042735042734</v>
      </c>
      <c r="BU39" s="685">
        <f t="shared" si="77"/>
        <v>-19420.957264957266</v>
      </c>
      <c r="BV39" s="724"/>
      <c r="BW39" s="694">
        <f t="shared" si="78"/>
        <v>-6600.4444444444453</v>
      </c>
      <c r="BX39" s="691">
        <f t="shared" si="79"/>
        <v>7692.3076923076924</v>
      </c>
      <c r="BY39" s="755">
        <f t="shared" si="79"/>
        <v>1709.4017094017095</v>
      </c>
      <c r="BZ39" s="754">
        <f t="shared" si="79"/>
        <v>844.87008547008554</v>
      </c>
      <c r="CA39" s="763">
        <f t="shared" si="80"/>
        <v>-864.53162393162393</v>
      </c>
      <c r="CB39" s="691">
        <f t="shared" si="81"/>
        <v>5982.9059829059834</v>
      </c>
      <c r="CC39" s="755">
        <f t="shared" si="81"/>
        <v>1709.4017094017095</v>
      </c>
      <c r="CD39" s="754">
        <f t="shared" si="81"/>
        <v>1709.4017094017095</v>
      </c>
      <c r="CE39" s="763">
        <f t="shared" si="82"/>
        <v>0</v>
      </c>
      <c r="CF39" s="691">
        <f t="shared" si="83"/>
        <v>3760.6837606837607</v>
      </c>
      <c r="CG39" s="755">
        <f t="shared" si="83"/>
        <v>1196.5811965811968</v>
      </c>
      <c r="CH39" s="754">
        <f t="shared" si="83"/>
        <v>1196.5811965811968</v>
      </c>
      <c r="CI39" s="763">
        <f t="shared" si="84"/>
        <v>0</v>
      </c>
      <c r="CJ39" s="639">
        <f t="shared" si="85"/>
        <v>17435.897435897437</v>
      </c>
      <c r="CK39" s="641"/>
      <c r="CL39" s="641">
        <f>BY39+CC39+CG39</f>
        <v>4615.3846153846152</v>
      </c>
      <c r="CM39" s="685">
        <f>BZ39+CD39+CH39</f>
        <v>3750.8529914529918</v>
      </c>
      <c r="CN39" s="693">
        <f t="shared" si="87"/>
        <v>-13685.044444444446</v>
      </c>
      <c r="CO39" s="693"/>
      <c r="CP39" s="694">
        <f t="shared" si="88"/>
        <v>-864.53162393162347</v>
      </c>
      <c r="CQ39" s="639">
        <f t="shared" si="89"/>
        <v>38974.358974358976</v>
      </c>
      <c r="CR39" s="1341"/>
      <c r="CS39" s="605">
        <f t="shared" si="90"/>
        <v>13333.333333333334</v>
      </c>
      <c r="CT39" s="637">
        <f t="shared" si="90"/>
        <v>5868.3572649572652</v>
      </c>
      <c r="CU39" s="640">
        <f t="shared" si="91"/>
        <v>-33106.001709401709</v>
      </c>
      <c r="CV39" s="638"/>
      <c r="CW39" s="758">
        <f t="shared" si="92"/>
        <v>-7464.9760683760687</v>
      </c>
      <c r="CX39" s="689"/>
      <c r="CY39" s="690"/>
      <c r="CZ39" s="1385"/>
      <c r="DA39" s="1385"/>
      <c r="DB39" s="1385"/>
      <c r="DC39" s="510"/>
      <c r="DD39" s="510"/>
    </row>
    <row r="40" spans="1:108">
      <c r="A40" s="624"/>
      <c r="B40" s="622"/>
      <c r="C40" s="670" t="s">
        <v>339</v>
      </c>
      <c r="D40" s="635"/>
      <c r="E40" s="691">
        <f t="shared" ref="E40:G41" si="96">E119/1.17</f>
        <v>54188.034188034195</v>
      </c>
      <c r="F40" s="754">
        <f>F119/1.17</f>
        <v>54188.034188034195</v>
      </c>
      <c r="G40" s="754">
        <f t="shared" si="96"/>
        <v>62027.775692307696</v>
      </c>
      <c r="H40" s="552">
        <f>G40-F40</f>
        <v>7839.7415042735011</v>
      </c>
      <c r="I40" s="691">
        <f t="shared" si="44"/>
        <v>60341.880341880344</v>
      </c>
      <c r="J40" s="754">
        <f t="shared" si="44"/>
        <v>67948.717948717953</v>
      </c>
      <c r="K40" s="754">
        <f t="shared" si="44"/>
        <v>70953.846153846156</v>
      </c>
      <c r="L40" s="552">
        <f t="shared" si="45"/>
        <v>3005.1282051282033</v>
      </c>
      <c r="M40" s="691">
        <f t="shared" si="46"/>
        <v>60341.880341880344</v>
      </c>
      <c r="N40" s="754">
        <f t="shared" si="46"/>
        <v>70598.290598290609</v>
      </c>
      <c r="O40" s="754">
        <f t="shared" si="46"/>
        <v>71248.097982905994</v>
      </c>
      <c r="P40" s="552">
        <f t="shared" si="47"/>
        <v>649.80738461538567</v>
      </c>
      <c r="Q40" s="639">
        <f t="shared" si="48"/>
        <v>174871.79487179487</v>
      </c>
      <c r="R40" s="641">
        <f t="shared" si="49"/>
        <v>190000</v>
      </c>
      <c r="S40" s="637">
        <f t="shared" si="50"/>
        <v>200574.78423931624</v>
      </c>
      <c r="T40" s="685">
        <f>G40+K40+O40</f>
        <v>204229.71982905985</v>
      </c>
      <c r="U40" s="685">
        <f t="shared" si="51"/>
        <v>29357.924957264971</v>
      </c>
      <c r="V40" s="724">
        <f t="shared" si="93"/>
        <v>14229.719829059846</v>
      </c>
      <c r="W40" s="694">
        <f t="shared" si="52"/>
        <v>3654.9355897436035</v>
      </c>
      <c r="X40" s="691">
        <f t="shared" si="53"/>
        <v>60256.410256410258</v>
      </c>
      <c r="Y40" s="754">
        <f t="shared" si="53"/>
        <v>63675.213675213679</v>
      </c>
      <c r="Z40" s="754">
        <f t="shared" si="53"/>
        <v>70830.389264957252</v>
      </c>
      <c r="AA40" s="552">
        <f t="shared" si="54"/>
        <v>7155.1755897435723</v>
      </c>
      <c r="AB40" s="691">
        <f t="shared" si="55"/>
        <v>66324.786324786328</v>
      </c>
      <c r="AC40" s="755">
        <f t="shared" si="55"/>
        <v>68162.393162393171</v>
      </c>
      <c r="AD40" s="754">
        <f t="shared" si="55"/>
        <v>68742.850555555546</v>
      </c>
      <c r="AE40" s="763">
        <f t="shared" si="56"/>
        <v>580.4573931623745</v>
      </c>
      <c r="AF40" s="691">
        <f t="shared" si="57"/>
        <v>72393.162393162391</v>
      </c>
      <c r="AG40" s="755">
        <f t="shared" si="57"/>
        <v>72435.897435897437</v>
      </c>
      <c r="AH40" s="754">
        <f t="shared" si="57"/>
        <v>72985.083760683759</v>
      </c>
      <c r="AI40" s="763">
        <f t="shared" si="58"/>
        <v>549.18632478632207</v>
      </c>
      <c r="AJ40" s="639">
        <f t="shared" si="59"/>
        <v>198974.358974359</v>
      </c>
      <c r="AK40" s="641">
        <f t="shared" si="60"/>
        <v>206923.07692307694</v>
      </c>
      <c r="AL40" s="637">
        <f t="shared" si="61"/>
        <v>204273.50427350428</v>
      </c>
      <c r="AM40" s="685">
        <f t="shared" si="61"/>
        <v>212558.32358119654</v>
      </c>
      <c r="AN40" s="693">
        <f t="shared" si="62"/>
        <v>13583.964606837544</v>
      </c>
      <c r="AO40" s="724">
        <f t="shared" si="94"/>
        <v>5635.2466581196059</v>
      </c>
      <c r="AP40" s="694">
        <f t="shared" si="63"/>
        <v>8284.8193076922616</v>
      </c>
      <c r="AQ40" s="639">
        <f t="shared" si="64"/>
        <v>373846.15384615387</v>
      </c>
      <c r="AR40" s="693">
        <f t="shared" si="65"/>
        <v>396923.07692307694</v>
      </c>
      <c r="AS40" s="526">
        <f t="shared" si="66"/>
        <v>404848.28851282049</v>
      </c>
      <c r="AT40" s="637">
        <f t="shared" si="66"/>
        <v>416788.04341025639</v>
      </c>
      <c r="AU40" s="640">
        <f t="shared" si="67"/>
        <v>42941.889564102516</v>
      </c>
      <c r="AV40" s="724">
        <f t="shared" si="95"/>
        <v>19864.966487179452</v>
      </c>
      <c r="AW40" s="758">
        <f t="shared" si="68"/>
        <v>11939.754897435894</v>
      </c>
      <c r="AX40" s="689"/>
      <c r="AY40" s="690"/>
      <c r="AZ40" s="690"/>
      <c r="BA40" s="510"/>
      <c r="BB40" s="510"/>
      <c r="BC40" s="510"/>
      <c r="BD40" s="510"/>
      <c r="BE40" s="691">
        <f t="shared" si="69"/>
        <v>78461.538461538468</v>
      </c>
      <c r="BF40" s="754">
        <f t="shared" si="69"/>
        <v>78418.803418803422</v>
      </c>
      <c r="BG40" s="754">
        <f t="shared" si="69"/>
        <v>80002.635606837604</v>
      </c>
      <c r="BH40" s="552">
        <f t="shared" si="70"/>
        <v>1583.8321880341828</v>
      </c>
      <c r="BI40" s="691">
        <f t="shared" si="71"/>
        <v>76794.871794871797</v>
      </c>
      <c r="BJ40" s="754">
        <f t="shared" si="71"/>
        <v>76709.401709401718</v>
      </c>
      <c r="BK40" s="754">
        <f t="shared" si="71"/>
        <v>77162.8738974359</v>
      </c>
      <c r="BL40" s="552">
        <f t="shared" si="72"/>
        <v>453.47218803418218</v>
      </c>
      <c r="BM40" s="691">
        <f t="shared" si="73"/>
        <v>74230.769230769234</v>
      </c>
      <c r="BN40" s="755">
        <f t="shared" si="73"/>
        <v>74145.299145299155</v>
      </c>
      <c r="BO40" s="754">
        <f t="shared" si="73"/>
        <v>74258.141230769252</v>
      </c>
      <c r="BP40" s="552">
        <f t="shared" si="74"/>
        <v>112.84208547009621</v>
      </c>
      <c r="BQ40" s="639">
        <f t="shared" si="75"/>
        <v>229487.1794871795</v>
      </c>
      <c r="BR40" s="641"/>
      <c r="BS40" s="641">
        <f>BF40+BJ40+BN40</f>
        <v>229273.50427350428</v>
      </c>
      <c r="BT40" s="685">
        <f>BG40+BK40+BO40</f>
        <v>231423.65073504276</v>
      </c>
      <c r="BU40" s="685">
        <f t="shared" si="77"/>
        <v>1936.4712478632573</v>
      </c>
      <c r="BV40" s="724"/>
      <c r="BW40" s="694">
        <f t="shared" si="78"/>
        <v>2150.1464615384757</v>
      </c>
      <c r="BX40" s="691">
        <f t="shared" si="79"/>
        <v>74017.094017094016</v>
      </c>
      <c r="BY40" s="755">
        <f t="shared" si="79"/>
        <v>74145.299145299155</v>
      </c>
      <c r="BZ40" s="754">
        <f t="shared" si="79"/>
        <v>74377.868376068393</v>
      </c>
      <c r="CA40" s="763">
        <f t="shared" si="80"/>
        <v>232.56923076923704</v>
      </c>
      <c r="CB40" s="691">
        <f t="shared" si="81"/>
        <v>62222.222222222226</v>
      </c>
      <c r="CC40" s="755">
        <f t="shared" si="81"/>
        <v>62264.957264957266</v>
      </c>
      <c r="CD40" s="754">
        <f t="shared" si="81"/>
        <v>62264.957264957266</v>
      </c>
      <c r="CE40" s="763">
        <f t="shared" si="82"/>
        <v>0</v>
      </c>
      <c r="CF40" s="691">
        <f t="shared" si="83"/>
        <v>31965.811965811969</v>
      </c>
      <c r="CG40" s="755">
        <f t="shared" si="83"/>
        <v>31837.60683760684</v>
      </c>
      <c r="CH40" s="754">
        <f t="shared" si="83"/>
        <v>31837.60683760684</v>
      </c>
      <c r="CI40" s="763">
        <f t="shared" si="84"/>
        <v>0</v>
      </c>
      <c r="CJ40" s="639">
        <f t="shared" si="85"/>
        <v>168205.12820512822</v>
      </c>
      <c r="CK40" s="641"/>
      <c r="CL40" s="641">
        <f>BY40+CC40+CG40</f>
        <v>168247.86324786328</v>
      </c>
      <c r="CM40" s="685">
        <f>BZ40+CD40+CH40</f>
        <v>168480.43247863252</v>
      </c>
      <c r="CN40" s="693">
        <f t="shared" si="87"/>
        <v>275.30427350429818</v>
      </c>
      <c r="CO40" s="693"/>
      <c r="CP40" s="694">
        <f t="shared" si="88"/>
        <v>232.56923076923704</v>
      </c>
      <c r="CQ40" s="639">
        <f t="shared" si="89"/>
        <v>397692.30769230775</v>
      </c>
      <c r="CR40" s="1341"/>
      <c r="CS40" s="605">
        <f t="shared" si="90"/>
        <v>397521.36752136756</v>
      </c>
      <c r="CT40" s="637">
        <f t="shared" si="90"/>
        <v>399904.0832136753</v>
      </c>
      <c r="CU40" s="640">
        <f t="shared" si="91"/>
        <v>2211.7755213675555</v>
      </c>
      <c r="CV40" s="638"/>
      <c r="CW40" s="758">
        <f t="shared" si="92"/>
        <v>2382.7156923077418</v>
      </c>
      <c r="CX40" s="689"/>
      <c r="CY40" s="690"/>
      <c r="CZ40" s="1385"/>
      <c r="DA40" s="1385"/>
      <c r="DB40" s="1385"/>
      <c r="DC40" s="510"/>
      <c r="DD40" s="510"/>
    </row>
    <row r="41" spans="1:108">
      <c r="A41" s="998"/>
      <c r="B41" s="1412" t="s">
        <v>340</v>
      </c>
      <c r="C41" s="1413"/>
      <c r="D41" s="1004"/>
      <c r="E41" s="691">
        <f t="shared" si="96"/>
        <v>54529.914529914531</v>
      </c>
      <c r="F41" s="754">
        <f>F120/1.17</f>
        <v>54529.914529914531</v>
      </c>
      <c r="G41" s="754">
        <f t="shared" si="96"/>
        <v>62459.745777777782</v>
      </c>
      <c r="H41" s="552">
        <f>G41-F41</f>
        <v>7929.8312478632506</v>
      </c>
      <c r="I41" s="691">
        <f>I120/1.17</f>
        <v>60683.760683760687</v>
      </c>
      <c r="J41" s="754">
        <f t="shared" si="44"/>
        <v>68376.068376068375</v>
      </c>
      <c r="K41" s="754">
        <f>K120/1.17</f>
        <v>71072.812572649578</v>
      </c>
      <c r="L41" s="552">
        <f t="shared" si="45"/>
        <v>2696.7441965812031</v>
      </c>
      <c r="M41" s="691">
        <f>M120/1.17</f>
        <v>60683.760683760687</v>
      </c>
      <c r="N41" s="754">
        <f t="shared" si="46"/>
        <v>70940.170940170938</v>
      </c>
      <c r="O41" s="754">
        <f>O120/1.17</f>
        <v>71509.307034188038</v>
      </c>
      <c r="P41" s="552">
        <f t="shared" si="47"/>
        <v>569.13609401709982</v>
      </c>
      <c r="Q41" s="639">
        <f t="shared" si="48"/>
        <v>175897.43589743591</v>
      </c>
      <c r="R41" s="527">
        <f t="shared" si="49"/>
        <v>191025.64102564103</v>
      </c>
      <c r="S41" s="699">
        <f t="shared" si="50"/>
        <v>201775.98509401709</v>
      </c>
      <c r="T41" s="699">
        <f>T37+T40</f>
        <v>205041.8653846154</v>
      </c>
      <c r="U41" s="685">
        <f t="shared" si="51"/>
        <v>29144.429487179499</v>
      </c>
      <c r="V41" s="724">
        <f t="shared" si="93"/>
        <v>14016.224358974374</v>
      </c>
      <c r="W41" s="694">
        <f t="shared" si="52"/>
        <v>3265.8802905983175</v>
      </c>
      <c r="X41" s="691">
        <f>X120/1.17</f>
        <v>60683.760683760687</v>
      </c>
      <c r="Y41" s="754">
        <f>Y120/1.17</f>
        <v>64102.564102564109</v>
      </c>
      <c r="Z41" s="754">
        <f>Z120/1.17</f>
        <v>71036.254427350417</v>
      </c>
      <c r="AA41" s="552">
        <f t="shared" si="54"/>
        <v>6933.6903247863083</v>
      </c>
      <c r="AB41" s="691">
        <f>AB120/1.17</f>
        <v>66752.13675213675</v>
      </c>
      <c r="AC41" s="755">
        <f>AC120/1.17</f>
        <v>68376.068376068375</v>
      </c>
      <c r="AD41" s="754">
        <f>AD120/1.17</f>
        <v>68999.707170940164</v>
      </c>
      <c r="AE41" s="763">
        <f t="shared" si="56"/>
        <v>623.63879487178929</v>
      </c>
      <c r="AF41" s="691">
        <f>AF120/1.17</f>
        <v>72820.512820512828</v>
      </c>
      <c r="AG41" s="755">
        <f>AG120/1.17</f>
        <v>72649.572649572656</v>
      </c>
      <c r="AH41" s="754">
        <f>AH120/1.17</f>
        <v>73309.396683760671</v>
      </c>
      <c r="AI41" s="763">
        <f t="shared" si="58"/>
        <v>659.8240341880155</v>
      </c>
      <c r="AJ41" s="639">
        <f t="shared" si="59"/>
        <v>200256.41025641025</v>
      </c>
      <c r="AK41" s="527">
        <f t="shared" si="60"/>
        <v>208205.12820512822</v>
      </c>
      <c r="AL41" s="699">
        <f>Y41+AC41+AG41</f>
        <v>205128.20512820515</v>
      </c>
      <c r="AM41" s="699">
        <f>AM37+AM40</f>
        <v>213345.35828205125</v>
      </c>
      <c r="AN41" s="693">
        <f t="shared" si="62"/>
        <v>13088.948025641002</v>
      </c>
      <c r="AO41" s="724">
        <f t="shared" si="94"/>
        <v>5140.2300769230351</v>
      </c>
      <c r="AP41" s="694">
        <f t="shared" si="63"/>
        <v>8217.1531538460986</v>
      </c>
      <c r="AQ41" s="639">
        <f t="shared" si="64"/>
        <v>376153.84615384613</v>
      </c>
      <c r="AR41" s="721">
        <f t="shared" si="65"/>
        <v>399230.76923076925</v>
      </c>
      <c r="AS41" s="578">
        <f t="shared" si="66"/>
        <v>406904.19022222224</v>
      </c>
      <c r="AT41" s="637">
        <f t="shared" si="66"/>
        <v>418387.22366666666</v>
      </c>
      <c r="AU41" s="640">
        <f t="shared" si="67"/>
        <v>42233.377512820531</v>
      </c>
      <c r="AV41" s="724">
        <f t="shared" si="95"/>
        <v>19156.454435897409</v>
      </c>
      <c r="AW41" s="758">
        <f t="shared" si="68"/>
        <v>11483.033444444416</v>
      </c>
      <c r="AX41" s="695"/>
      <c r="AY41" s="696"/>
      <c r="AZ41" s="696"/>
      <c r="BA41" s="697"/>
      <c r="BB41" s="697"/>
      <c r="BC41" s="697"/>
      <c r="BD41" s="697"/>
      <c r="BE41" s="691">
        <f t="shared" si="69"/>
        <v>78675.213675213687</v>
      </c>
      <c r="BF41" s="754">
        <f t="shared" si="69"/>
        <v>78632.47863247864</v>
      </c>
      <c r="BG41" s="754">
        <f t="shared" si="69"/>
        <v>80194.905794871796</v>
      </c>
      <c r="BH41" s="552">
        <f t="shared" si="70"/>
        <v>1562.4271623931563</v>
      </c>
      <c r="BI41" s="691">
        <f t="shared" si="71"/>
        <v>77008.547008547015</v>
      </c>
      <c r="BJ41" s="754">
        <f t="shared" si="71"/>
        <v>76923.076923076922</v>
      </c>
      <c r="BK41" s="754">
        <f t="shared" si="71"/>
        <v>77240.332119658124</v>
      </c>
      <c r="BL41" s="552">
        <f t="shared" si="72"/>
        <v>317.25519658120174</v>
      </c>
      <c r="BM41" s="691">
        <f t="shared" si="73"/>
        <v>74444.444444444453</v>
      </c>
      <c r="BN41" s="755">
        <f t="shared" si="73"/>
        <v>74358.974358974359</v>
      </c>
      <c r="BO41" s="754">
        <f t="shared" si="73"/>
        <v>74701.364666666675</v>
      </c>
      <c r="BP41" s="552">
        <f t="shared" si="74"/>
        <v>342.39030769231613</v>
      </c>
      <c r="BQ41" s="639">
        <f t="shared" si="75"/>
        <v>230128.20512820513</v>
      </c>
      <c r="BR41" s="527"/>
      <c r="BS41" s="721">
        <f>BF41+BJ41+BN41</f>
        <v>229914.52991452994</v>
      </c>
      <c r="BT41" s="699">
        <f>BT37+BT40</f>
        <v>232136.60258119661</v>
      </c>
      <c r="BU41" s="685">
        <f t="shared" si="77"/>
        <v>2008.3974529914849</v>
      </c>
      <c r="BV41" s="724"/>
      <c r="BW41" s="694">
        <f t="shared" si="78"/>
        <v>2222.0726666666742</v>
      </c>
      <c r="BX41" s="691">
        <f t="shared" si="79"/>
        <v>74222.222222222234</v>
      </c>
      <c r="BY41" s="755">
        <f t="shared" si="79"/>
        <v>74358.974358974359</v>
      </c>
      <c r="BZ41" s="754">
        <f t="shared" si="79"/>
        <v>75010.349572649575</v>
      </c>
      <c r="CA41" s="763">
        <f t="shared" si="80"/>
        <v>651.37521367521549</v>
      </c>
      <c r="CB41" s="691">
        <f t="shared" si="81"/>
        <v>62350.427350427351</v>
      </c>
      <c r="CC41" s="755">
        <f t="shared" si="81"/>
        <v>62393.162393162398</v>
      </c>
      <c r="CD41" s="754">
        <f t="shared" si="81"/>
        <v>62393.162393162398</v>
      </c>
      <c r="CE41" s="763">
        <f t="shared" si="82"/>
        <v>0</v>
      </c>
      <c r="CF41" s="691">
        <f t="shared" si="83"/>
        <v>32094.017094017097</v>
      </c>
      <c r="CG41" s="755">
        <f t="shared" si="83"/>
        <v>31965.811965811969</v>
      </c>
      <c r="CH41" s="754">
        <f t="shared" si="83"/>
        <v>31965.811965811969</v>
      </c>
      <c r="CI41" s="763">
        <f t="shared" si="84"/>
        <v>0</v>
      </c>
      <c r="CJ41" s="639">
        <f t="shared" si="85"/>
        <v>168666.66666666669</v>
      </c>
      <c r="CK41" s="527"/>
      <c r="CL41" s="721">
        <f>BY41+CC41+CG41</f>
        <v>168717.94871794872</v>
      </c>
      <c r="CM41" s="699">
        <f>CM37+CM40</f>
        <v>169369.32393162398</v>
      </c>
      <c r="CN41" s="693">
        <f t="shared" si="87"/>
        <v>702.65726495729177</v>
      </c>
      <c r="CO41" s="693"/>
      <c r="CP41" s="694">
        <f t="shared" si="88"/>
        <v>651.37521367525915</v>
      </c>
      <c r="CQ41" s="639">
        <f t="shared" si="89"/>
        <v>398794.87179487181</v>
      </c>
      <c r="CR41" s="1342"/>
      <c r="CS41" s="512">
        <f t="shared" si="90"/>
        <v>398632.47863247863</v>
      </c>
      <c r="CT41" s="637">
        <f t="shared" si="90"/>
        <v>401505.92651282059</v>
      </c>
      <c r="CU41" s="640">
        <f t="shared" si="91"/>
        <v>2711.0547179487767</v>
      </c>
      <c r="CV41" s="638"/>
      <c r="CW41" s="758">
        <f t="shared" si="92"/>
        <v>2873.4478803419624</v>
      </c>
      <c r="CX41" s="695"/>
      <c r="CY41" s="696"/>
      <c r="CZ41" s="723"/>
      <c r="DA41" s="723"/>
      <c r="DB41" s="723"/>
      <c r="DC41" s="697"/>
      <c r="DD41" s="697"/>
    </row>
    <row r="42" spans="1:108">
      <c r="A42" s="624"/>
      <c r="B42" s="628"/>
      <c r="C42" s="1005"/>
      <c r="D42" s="636"/>
      <c r="E42" s="764"/>
      <c r="F42" s="765"/>
      <c r="G42" s="765"/>
      <c r="H42" s="705">
        <f>G43/F43</f>
        <v>1.1436867247910865</v>
      </c>
      <c r="I42" s="764"/>
      <c r="J42" s="765"/>
      <c r="K42" s="765"/>
      <c r="L42" s="1068">
        <f>K43/J43</f>
        <v>1.0204137157777777</v>
      </c>
      <c r="M42" s="764"/>
      <c r="N42" s="765"/>
      <c r="O42" s="765"/>
      <c r="P42" s="1068">
        <f>O43/N43</f>
        <v>1.0238023322340426</v>
      </c>
      <c r="Q42" s="553"/>
      <c r="R42" s="629"/>
      <c r="S42" s="766"/>
      <c r="T42" s="706"/>
      <c r="U42" s="1077">
        <f>T43/Q43</f>
        <v>1.1803903909567497</v>
      </c>
      <c r="V42" s="1070">
        <f>T43/R43</f>
        <v>1.0956665064476887</v>
      </c>
      <c r="W42" s="1068">
        <f>T43/S43</f>
        <v>1.0153115289091934</v>
      </c>
      <c r="X42" s="764"/>
      <c r="Y42" s="765"/>
      <c r="Z42" s="765"/>
      <c r="AA42" s="1068">
        <f>Z43/Y43</f>
        <v>1.1081132481941396</v>
      </c>
      <c r="AB42" s="764"/>
      <c r="AC42" s="765"/>
      <c r="AD42" s="765"/>
      <c r="AE42" s="1085">
        <f>AD43/AC43</f>
        <v>1.0080091607865167</v>
      </c>
      <c r="AF42" s="764"/>
      <c r="AG42" s="765"/>
      <c r="AH42" s="765"/>
      <c r="AI42" s="1085">
        <f>AH43/AG43</f>
        <v>1.0034978457516339</v>
      </c>
      <c r="AJ42" s="553"/>
      <c r="AK42" s="629"/>
      <c r="AL42" s="766"/>
      <c r="AM42" s="706"/>
      <c r="AN42" s="1086">
        <f>AM43/AJ43</f>
        <v>1.0618589062572419</v>
      </c>
      <c r="AO42" s="1070">
        <f>AM43/AK43</f>
        <v>1.0250382954138701</v>
      </c>
      <c r="AP42" s="1087">
        <f>AM43/AL43</f>
        <v>1.0382002278354712</v>
      </c>
      <c r="AQ42" s="553"/>
      <c r="AR42" s="690"/>
      <c r="AS42" s="554"/>
      <c r="AT42" s="514"/>
      <c r="AU42" s="1076">
        <f>AT43/AQ43</f>
        <v>1.1174797690036899</v>
      </c>
      <c r="AV42" s="1070">
        <f>AT43/AR43</f>
        <v>1.0588706902097902</v>
      </c>
      <c r="AW42" s="1088">
        <f>AT43/AS43</f>
        <v>1.026727492553809</v>
      </c>
      <c r="AX42" s="722"/>
      <c r="AY42" s="723"/>
      <c r="AZ42" s="723"/>
      <c r="BA42" s="510"/>
      <c r="BB42" s="510"/>
      <c r="BC42" s="510"/>
      <c r="BD42" s="510"/>
      <c r="BE42" s="764"/>
      <c r="BF42" s="765"/>
      <c r="BG42" s="765"/>
      <c r="BH42" s="1068">
        <f>BG43/BF43</f>
        <v>1.0002855854291417</v>
      </c>
      <c r="BI42" s="764"/>
      <c r="BJ42" s="765"/>
      <c r="BK42" s="765"/>
      <c r="BL42" s="1068">
        <f>BK43/BJ43</f>
        <v>1.0016900383246075</v>
      </c>
      <c r="BM42" s="764"/>
      <c r="BN42" s="765"/>
      <c r="BO42" s="765"/>
      <c r="BP42" s="1274">
        <f>BO43/BN43</f>
        <v>1.0035980450793651</v>
      </c>
      <c r="BQ42" s="553"/>
      <c r="BR42" s="629"/>
      <c r="BS42" s="690"/>
      <c r="BT42" s="706"/>
      <c r="BU42" s="1077">
        <f>BT43/BQ43</f>
        <v>1.0016538486821707</v>
      </c>
      <c r="BV42" s="1076"/>
      <c r="BW42" s="1068">
        <f>BT43/BS43</f>
        <v>1.001826428600965</v>
      </c>
      <c r="BX42" s="764"/>
      <c r="BY42" s="765"/>
      <c r="BZ42" s="765"/>
      <c r="CA42" s="1084">
        <f>BZ43/BY43</f>
        <v>1.0019559285106383</v>
      </c>
      <c r="CB42" s="764"/>
      <c r="CC42" s="765"/>
      <c r="CD42" s="765"/>
      <c r="CE42" s="1085">
        <f>CD43/CC43</f>
        <v>1</v>
      </c>
      <c r="CF42" s="764"/>
      <c r="CG42" s="765"/>
      <c r="CH42" s="765"/>
      <c r="CI42" s="1085">
        <f>CH43/CG43</f>
        <v>1</v>
      </c>
      <c r="CJ42" s="553"/>
      <c r="CK42" s="629"/>
      <c r="CL42" s="690"/>
      <c r="CM42" s="706"/>
      <c r="CN42" s="1086">
        <f>CM43/CJ43</f>
        <v>1.0044387569601201</v>
      </c>
      <c r="CO42" s="1086"/>
      <c r="CP42" s="1087">
        <f>CM43/CL43</f>
        <v>1.0008615617619494</v>
      </c>
      <c r="CQ42" s="553"/>
      <c r="CR42" s="1343"/>
      <c r="CS42" s="1343"/>
      <c r="CT42" s="514"/>
      <c r="CU42" s="1076">
        <f>CT43/CQ43</f>
        <v>1.0028314081807155</v>
      </c>
      <c r="CV42" s="1076"/>
      <c r="CW42" s="1088">
        <f>CT43/CS43</f>
        <v>1.0014175672359016</v>
      </c>
      <c r="CX42" s="722"/>
      <c r="CY42" s="723"/>
      <c r="CZ42" s="1385"/>
      <c r="DA42" s="1385"/>
      <c r="DB42" s="1385"/>
      <c r="DC42" s="510"/>
      <c r="DD42" s="510"/>
    </row>
    <row r="43" spans="1:108">
      <c r="A43" s="647" t="s">
        <v>341</v>
      </c>
      <c r="B43" s="661"/>
      <c r="C43" s="997"/>
      <c r="D43" s="995"/>
      <c r="E43" s="710">
        <f t="shared" ref="E43:G48" si="97">E122/1.17</f>
        <v>60512.820512820515</v>
      </c>
      <c r="F43" s="711">
        <f t="shared" si="97"/>
        <v>61367.521367521374</v>
      </c>
      <c r="G43" s="711">
        <f t="shared" si="97"/>
        <v>70185.21952136753</v>
      </c>
      <c r="H43" s="521">
        <f t="shared" ref="H43:H48" si="98">G43-F43</f>
        <v>8817.698153846155</v>
      </c>
      <c r="I43" s="710">
        <f t="shared" ref="I43:K48" si="99">I122/1.17</f>
        <v>67264.957264957266</v>
      </c>
      <c r="J43" s="711">
        <f t="shared" si="99"/>
        <v>76923.076923076922</v>
      </c>
      <c r="K43" s="711">
        <f t="shared" si="99"/>
        <v>78493.362752136745</v>
      </c>
      <c r="L43" s="521">
        <f t="shared" ref="L43:L48" si="100">K43-J43</f>
        <v>1570.2858290598233</v>
      </c>
      <c r="M43" s="710">
        <f t="shared" ref="M43:O48" si="101">M122/1.17</f>
        <v>67863.247863247874</v>
      </c>
      <c r="N43" s="711">
        <f t="shared" si="101"/>
        <v>80341.880341880344</v>
      </c>
      <c r="O43" s="711">
        <f t="shared" si="101"/>
        <v>82254.204470085475</v>
      </c>
      <c r="P43" s="521">
        <f t="shared" ref="P43:P48" si="102">O43-N43</f>
        <v>1912.3241282051313</v>
      </c>
      <c r="Q43" s="713">
        <f t="shared" ref="Q43:Q48" si="103">E43+I43+M43</f>
        <v>195641.02564102566</v>
      </c>
      <c r="R43" s="714">
        <f t="shared" ref="R43:R48" si="104">R122/1.17</f>
        <v>210769.23076923078</v>
      </c>
      <c r="S43" s="712">
        <f t="shared" ref="S43:S48" si="105">G43+J43+N43</f>
        <v>227450.1767863248</v>
      </c>
      <c r="T43" s="520">
        <f t="shared" ref="T43:T48" si="106">G43+K43+O43</f>
        <v>230932.78674358976</v>
      </c>
      <c r="U43" s="712">
        <f t="shared" ref="U43:U48" si="107">T43-Q43</f>
        <v>35291.761102564109</v>
      </c>
      <c r="V43" s="711">
        <f t="shared" si="93"/>
        <v>20163.555974358984</v>
      </c>
      <c r="W43" s="521">
        <f t="shared" ref="W43:W48" si="108">T43-S43</f>
        <v>3482.6099572649691</v>
      </c>
      <c r="X43" s="710">
        <f t="shared" ref="X43:Z48" si="109">X122/1.17</f>
        <v>67863.247863247874</v>
      </c>
      <c r="Y43" s="711">
        <f t="shared" si="109"/>
        <v>71794.748717948722</v>
      </c>
      <c r="Z43" s="711">
        <f t="shared" si="109"/>
        <v>79556.712205128191</v>
      </c>
      <c r="AA43" s="521">
        <f t="shared" ref="AA43:AA48" si="110">Z43-Y43</f>
        <v>7761.9634871794697</v>
      </c>
      <c r="AB43" s="710">
        <f t="shared" ref="AB43:AD48" si="111">AB122/1.17</f>
        <v>73931.623931623937</v>
      </c>
      <c r="AC43" s="712">
        <f t="shared" si="111"/>
        <v>76068.376068376077</v>
      </c>
      <c r="AD43" s="711">
        <f t="shared" si="111"/>
        <v>76677.619923076927</v>
      </c>
      <c r="AE43" s="716">
        <f t="shared" ref="AE43:AE48" si="112">AD43-AC43</f>
        <v>609.24385470084962</v>
      </c>
      <c r="AF43" s="710">
        <f t="shared" ref="AF43:AH48" si="113">AF122/1.17</f>
        <v>79487.179487179499</v>
      </c>
      <c r="AG43" s="712">
        <f t="shared" si="113"/>
        <v>78461.538461538468</v>
      </c>
      <c r="AH43" s="711">
        <f t="shared" si="113"/>
        <v>78735.984820512822</v>
      </c>
      <c r="AI43" s="716">
        <f t="shared" ref="AI43:AI48" si="114">AH43-AG43</f>
        <v>274.44635897435364</v>
      </c>
      <c r="AJ43" s="713">
        <f t="shared" ref="AJ43:AJ48" si="115">X43+AB43+AF43</f>
        <v>221282.05128205131</v>
      </c>
      <c r="AK43" s="714">
        <f t="shared" ref="AK43:AK48" si="116">AK122/1.17</f>
        <v>229230.76923076925</v>
      </c>
      <c r="AL43" s="712">
        <f t="shared" ref="AL43:AM48" si="117">Y43+AC43+AG43</f>
        <v>226324.66324786327</v>
      </c>
      <c r="AM43" s="520">
        <f t="shared" si="117"/>
        <v>234970.31694871793</v>
      </c>
      <c r="AN43" s="739">
        <f t="shared" ref="AN43:AN48" si="118">AM43-AJ43</f>
        <v>13688.265666666615</v>
      </c>
      <c r="AO43" s="711">
        <f t="shared" si="94"/>
        <v>5739.547717948677</v>
      </c>
      <c r="AP43" s="521">
        <f t="shared" ref="AP43:AP48" si="119">AM43-AL43</f>
        <v>8645.6537008546584</v>
      </c>
      <c r="AQ43" s="713">
        <f t="shared" ref="AQ43:AQ48" si="120">SUM(Q43,AJ43)</f>
        <v>416923.07692307699</v>
      </c>
      <c r="AR43" s="714">
        <f t="shared" ref="AR43:AR48" si="121">AR122/1.17</f>
        <v>440000</v>
      </c>
      <c r="AS43" s="520">
        <f t="shared" ref="AS43:AT48" si="122">S43+AL43</f>
        <v>453774.84003418806</v>
      </c>
      <c r="AT43" s="520">
        <f t="shared" si="122"/>
        <v>465903.10369230772</v>
      </c>
      <c r="AU43" s="517">
        <f t="shared" ref="AU43:AU48" si="123">AT43-AQ43</f>
        <v>48980.026769230724</v>
      </c>
      <c r="AV43" s="711">
        <f t="shared" si="95"/>
        <v>25903.103692307719</v>
      </c>
      <c r="AW43" s="521">
        <f t="shared" ref="AW43:AW48" si="124">AT43-AS43</f>
        <v>12128.263658119657</v>
      </c>
      <c r="AX43" s="708">
        <f>AQ43/6</f>
        <v>69487.179487179499</v>
      </c>
      <c r="AY43" s="709">
        <f>AR43/6</f>
        <v>73333.333333333328</v>
      </c>
      <c r="AZ43" s="709">
        <f>AT43/6</f>
        <v>77650.517282051282</v>
      </c>
      <c r="BA43" s="1239">
        <f>AZ43/AX43</f>
        <v>1.1174797690036899</v>
      </c>
      <c r="BB43" s="516">
        <f>AZ43-AX43</f>
        <v>8163.3377948717825</v>
      </c>
      <c r="BC43" s="516">
        <f>AZ43-AY43</f>
        <v>4317.1839487179532</v>
      </c>
      <c r="BD43" s="516">
        <f>AW43/6</f>
        <v>2021.3772763532761</v>
      </c>
      <c r="BE43" s="710">
        <f t="shared" ref="BE43:BG48" si="125">BE122/1.17</f>
        <v>85683.760683760687</v>
      </c>
      <c r="BF43" s="711">
        <f t="shared" si="125"/>
        <v>85641.025641025641</v>
      </c>
      <c r="BG43" s="711">
        <f t="shared" si="125"/>
        <v>85665.48347008547</v>
      </c>
      <c r="BH43" s="521">
        <f t="shared" ref="BH43:BH48" si="126">BG43-BF43</f>
        <v>24.457829059829237</v>
      </c>
      <c r="BI43" s="710">
        <f t="shared" ref="BI43:BK48" si="127">BI122/1.17</f>
        <v>82564.102564102563</v>
      </c>
      <c r="BJ43" s="711">
        <f t="shared" si="127"/>
        <v>81623.931623931625</v>
      </c>
      <c r="BK43" s="711">
        <f t="shared" si="127"/>
        <v>81761.879196581212</v>
      </c>
      <c r="BL43" s="521">
        <f t="shared" ref="BL43:BL48" si="128">BK43-BJ43</f>
        <v>137.94757264958753</v>
      </c>
      <c r="BM43" s="710">
        <f t="shared" ref="BM43:BO48" si="129">BM122/1.17</f>
        <v>79829.059829059828</v>
      </c>
      <c r="BN43" s="712">
        <f t="shared" si="129"/>
        <v>80769.23076923078</v>
      </c>
      <c r="BO43" s="711">
        <f t="shared" si="129"/>
        <v>81059.842102564115</v>
      </c>
      <c r="BP43" s="521">
        <f t="shared" ref="BP43:BP48" si="130">BO43-BN43</f>
        <v>290.61133333333419</v>
      </c>
      <c r="BQ43" s="713">
        <f t="shared" ref="BQ43:BQ48" si="131">BE43+BI43+BM43</f>
        <v>248076.92307692306</v>
      </c>
      <c r="BR43" s="714"/>
      <c r="BS43" s="711">
        <f t="shared" ref="BS43:BT48" si="132">BF43+BJ43+BN43</f>
        <v>248034.18803418803</v>
      </c>
      <c r="BT43" s="520">
        <f t="shared" si="132"/>
        <v>248487.2047692308</v>
      </c>
      <c r="BU43" s="712">
        <f t="shared" ref="BU43:BU48" si="133">BT43-BQ43</f>
        <v>410.28169230773346</v>
      </c>
      <c r="BV43" s="711"/>
      <c r="BW43" s="521">
        <f t="shared" ref="BW43:BW48" si="134">BT43-BS43</f>
        <v>453.0167350427655</v>
      </c>
      <c r="BX43" s="710">
        <f t="shared" ref="BX43:BZ48" si="135">BX122/1.17</f>
        <v>79606.837606837609</v>
      </c>
      <c r="BY43" s="712">
        <f t="shared" si="135"/>
        <v>80341.880341880344</v>
      </c>
      <c r="BZ43" s="711">
        <f t="shared" si="135"/>
        <v>80499.023316239312</v>
      </c>
      <c r="CA43" s="716">
        <f t="shared" ref="CA43:CA48" si="136">BZ43-BY43</f>
        <v>157.14297435896879</v>
      </c>
      <c r="CB43" s="710">
        <f t="shared" ref="CB43:CD48" si="137">CB122/1.17</f>
        <v>67051.282051282062</v>
      </c>
      <c r="CC43" s="712">
        <f t="shared" si="137"/>
        <v>66666.666666666672</v>
      </c>
      <c r="CD43" s="711">
        <f t="shared" si="137"/>
        <v>66666.666666666672</v>
      </c>
      <c r="CE43" s="716">
        <f t="shared" ref="CE43:CE48" si="138">CD43-CC43</f>
        <v>0</v>
      </c>
      <c r="CF43" s="710">
        <f t="shared" ref="CF43:CH48" si="139">CF122/1.17</f>
        <v>35085.470085470086</v>
      </c>
      <c r="CG43" s="712">
        <f t="shared" si="139"/>
        <v>35384.61538461539</v>
      </c>
      <c r="CH43" s="711">
        <f t="shared" si="139"/>
        <v>35384.61538461539</v>
      </c>
      <c r="CI43" s="716">
        <f t="shared" ref="CI43:CI48" si="140">CH43-CG43</f>
        <v>0</v>
      </c>
      <c r="CJ43" s="713">
        <f t="shared" ref="CJ43:CJ48" si="141">BX43+CB43+CF43</f>
        <v>181743.58974358978</v>
      </c>
      <c r="CK43" s="714"/>
      <c r="CL43" s="711">
        <f t="shared" ref="CL43:CM48" si="142">BY43+CC43+CG43</f>
        <v>182393.16239316238</v>
      </c>
      <c r="CM43" s="520">
        <f t="shared" si="142"/>
        <v>182550.30536752136</v>
      </c>
      <c r="CN43" s="739">
        <f t="shared" ref="CN43:CN48" si="143">CM43-CJ43</f>
        <v>806.71562393158092</v>
      </c>
      <c r="CO43" s="739"/>
      <c r="CP43" s="521">
        <f t="shared" ref="CP43:CP48" si="144">CM43-CL43</f>
        <v>157.14297435898334</v>
      </c>
      <c r="CQ43" s="713">
        <f t="shared" ref="CQ43:CQ48" si="145">SUM(BQ43,CJ43)</f>
        <v>429820.51282051287</v>
      </c>
      <c r="CR43" s="1340"/>
      <c r="CS43" s="1334">
        <f t="shared" ref="CS43:CT48" si="146">BS43+CL43</f>
        <v>430427.35042735038</v>
      </c>
      <c r="CT43" s="520">
        <f t="shared" si="146"/>
        <v>431037.51013675216</v>
      </c>
      <c r="CU43" s="517">
        <f t="shared" ref="CU43:CU48" si="147">CT43-CQ43</f>
        <v>1216.9973162392853</v>
      </c>
      <c r="CV43" s="517"/>
      <c r="CW43" s="521">
        <f t="shared" ref="CW43:CW48" si="148">CT43-CS43</f>
        <v>610.15970940177795</v>
      </c>
      <c r="CX43" s="708">
        <f>CQ43/6</f>
        <v>71636.75213675214</v>
      </c>
      <c r="CY43" s="709">
        <f>CT43/6</f>
        <v>71839.585022792031</v>
      </c>
      <c r="CZ43" s="1386">
        <f>CY43/CX43</f>
        <v>1.0028314081807155</v>
      </c>
      <c r="DA43" s="555">
        <f>CY43-CX43</f>
        <v>202.83288603989058</v>
      </c>
      <c r="DB43" s="555">
        <f>CW43/6</f>
        <v>101.69328490029632</v>
      </c>
      <c r="DC43" s="516"/>
      <c r="DD43" s="516"/>
    </row>
    <row r="44" spans="1:108">
      <c r="A44" s="659"/>
      <c r="B44" s="634" t="s">
        <v>158</v>
      </c>
      <c r="C44" s="633"/>
      <c r="D44" s="668"/>
      <c r="E44" s="767">
        <f t="shared" si="97"/>
        <v>10854.700854700855</v>
      </c>
      <c r="F44" s="685">
        <f t="shared" si="97"/>
        <v>10256.410256410258</v>
      </c>
      <c r="G44" s="685">
        <f t="shared" si="97"/>
        <v>15820.717948717951</v>
      </c>
      <c r="H44" s="528">
        <f t="shared" si="98"/>
        <v>5564.3076923076933</v>
      </c>
      <c r="I44" s="767">
        <f t="shared" si="99"/>
        <v>11794.871794871795</v>
      </c>
      <c r="J44" s="685">
        <f t="shared" si="99"/>
        <v>7478.6324786324794</v>
      </c>
      <c r="K44" s="685">
        <f t="shared" si="99"/>
        <v>10490.940170940172</v>
      </c>
      <c r="L44" s="528">
        <f t="shared" si="100"/>
        <v>3012.3076923076924</v>
      </c>
      <c r="M44" s="767">
        <f t="shared" si="101"/>
        <v>11794.871794871795</v>
      </c>
      <c r="N44" s="685">
        <f t="shared" si="101"/>
        <v>8119.6581196581201</v>
      </c>
      <c r="O44" s="685">
        <f t="shared" si="101"/>
        <v>10690.583760683761</v>
      </c>
      <c r="P44" s="528">
        <f t="shared" si="102"/>
        <v>2570.9256410256412</v>
      </c>
      <c r="Q44" s="525">
        <f t="shared" si="103"/>
        <v>34444.444444444445</v>
      </c>
      <c r="R44" s="537">
        <f t="shared" si="104"/>
        <v>25641.025641025644</v>
      </c>
      <c r="S44" s="537">
        <f t="shared" si="105"/>
        <v>31419.008547008551</v>
      </c>
      <c r="T44" s="526">
        <f t="shared" si="106"/>
        <v>37002.241880341884</v>
      </c>
      <c r="U44" s="685">
        <f t="shared" si="107"/>
        <v>2557.7974358974388</v>
      </c>
      <c r="V44" s="724">
        <f t="shared" si="93"/>
        <v>11361.21623931624</v>
      </c>
      <c r="W44" s="528">
        <f t="shared" si="108"/>
        <v>5583.2333333333336</v>
      </c>
      <c r="X44" s="767">
        <f t="shared" si="109"/>
        <v>10940.170940170941</v>
      </c>
      <c r="Y44" s="685">
        <f t="shared" si="109"/>
        <v>8119.6581196581201</v>
      </c>
      <c r="Z44" s="685">
        <f t="shared" si="109"/>
        <v>18570.859829059831</v>
      </c>
      <c r="AA44" s="528">
        <f t="shared" si="110"/>
        <v>10451.20170940171</v>
      </c>
      <c r="AB44" s="767">
        <f t="shared" si="111"/>
        <v>10470.085470085471</v>
      </c>
      <c r="AC44" s="685">
        <f t="shared" si="111"/>
        <v>9829.05982905983</v>
      </c>
      <c r="AD44" s="685">
        <f t="shared" si="111"/>
        <v>8955.1811965811976</v>
      </c>
      <c r="AE44" s="694">
        <f t="shared" si="112"/>
        <v>-873.87863247863243</v>
      </c>
      <c r="AF44" s="767">
        <f t="shared" si="113"/>
        <v>9316.2393162393164</v>
      </c>
      <c r="AG44" s="685">
        <f t="shared" si="113"/>
        <v>10256.410256410258</v>
      </c>
      <c r="AH44" s="685">
        <f t="shared" si="113"/>
        <v>10117.361538461539</v>
      </c>
      <c r="AI44" s="694">
        <f t="shared" si="114"/>
        <v>-139.04871794871906</v>
      </c>
      <c r="AJ44" s="525">
        <f t="shared" si="115"/>
        <v>30726.49572649573</v>
      </c>
      <c r="AK44" s="638">
        <f t="shared" si="116"/>
        <v>39529.914529914531</v>
      </c>
      <c r="AL44" s="537">
        <f t="shared" si="117"/>
        <v>28205.128205128207</v>
      </c>
      <c r="AM44" s="526">
        <f t="shared" si="117"/>
        <v>37643.402564102566</v>
      </c>
      <c r="AN44" s="693">
        <f t="shared" si="118"/>
        <v>6916.9068376068353</v>
      </c>
      <c r="AO44" s="724">
        <f t="shared" si="94"/>
        <v>-1886.5119658119656</v>
      </c>
      <c r="AP44" s="528">
        <f t="shared" si="119"/>
        <v>9438.2743589743586</v>
      </c>
      <c r="AQ44" s="529">
        <f t="shared" si="120"/>
        <v>65170.940170940172</v>
      </c>
      <c r="AR44" s="686">
        <f t="shared" si="121"/>
        <v>65170.940170940172</v>
      </c>
      <c r="AS44" s="526">
        <f t="shared" si="122"/>
        <v>59624.136752136757</v>
      </c>
      <c r="AT44" s="526">
        <f t="shared" si="122"/>
        <v>74645.64444444445</v>
      </c>
      <c r="AU44" s="640">
        <f t="shared" si="123"/>
        <v>9474.7042735042778</v>
      </c>
      <c r="AV44" s="724">
        <f t="shared" si="95"/>
        <v>9474.7042735042778</v>
      </c>
      <c r="AW44" s="528">
        <f t="shared" si="124"/>
        <v>15021.507692307692</v>
      </c>
      <c r="AX44" s="722"/>
      <c r="AY44" s="723"/>
      <c r="AZ44" s="723"/>
      <c r="BA44" s="556"/>
      <c r="BB44" s="556"/>
      <c r="BC44" s="556"/>
      <c r="BD44" s="556"/>
      <c r="BE44" s="767">
        <f t="shared" si="125"/>
        <v>16564.102564102566</v>
      </c>
      <c r="BF44" s="685">
        <f t="shared" si="125"/>
        <v>16564.102564102566</v>
      </c>
      <c r="BG44" s="685">
        <f t="shared" si="125"/>
        <v>11901.711111111112</v>
      </c>
      <c r="BH44" s="528">
        <f t="shared" si="126"/>
        <v>-4662.3914529914546</v>
      </c>
      <c r="BI44" s="767">
        <f t="shared" si="127"/>
        <v>9273.5042735042734</v>
      </c>
      <c r="BJ44" s="685">
        <f t="shared" si="127"/>
        <v>8205.1282051282051</v>
      </c>
      <c r="BK44" s="685">
        <f t="shared" si="127"/>
        <v>11009.617948717951</v>
      </c>
      <c r="BL44" s="528">
        <f t="shared" si="128"/>
        <v>2804.4897435897456</v>
      </c>
      <c r="BM44" s="767">
        <f t="shared" si="129"/>
        <v>11923.076923076924</v>
      </c>
      <c r="BN44" s="685">
        <f t="shared" si="129"/>
        <v>11623.931623931625</v>
      </c>
      <c r="BO44" s="685">
        <f t="shared" si="129"/>
        <v>12138.362393162393</v>
      </c>
      <c r="BP44" s="528">
        <f t="shared" si="130"/>
        <v>514.43076923076842</v>
      </c>
      <c r="BQ44" s="525">
        <f t="shared" si="131"/>
        <v>37760.683760683765</v>
      </c>
      <c r="BR44" s="1344"/>
      <c r="BS44" s="1345">
        <f t="shared" si="132"/>
        <v>36393.162393162398</v>
      </c>
      <c r="BT44" s="526">
        <f t="shared" si="132"/>
        <v>35049.691452991457</v>
      </c>
      <c r="BU44" s="685">
        <f t="shared" si="133"/>
        <v>-2710.9923076923078</v>
      </c>
      <c r="BV44" s="724"/>
      <c r="BW44" s="528">
        <f t="shared" si="134"/>
        <v>-1343.4709401709406</v>
      </c>
      <c r="BX44" s="767">
        <f t="shared" si="135"/>
        <v>10017.094017094018</v>
      </c>
      <c r="BY44" s="685">
        <f t="shared" si="135"/>
        <v>14837.606837606838</v>
      </c>
      <c r="BZ44" s="685">
        <f t="shared" si="135"/>
        <v>10831.218803418804</v>
      </c>
      <c r="CA44" s="694">
        <f t="shared" si="136"/>
        <v>-4006.388034188034</v>
      </c>
      <c r="CB44" s="767">
        <f t="shared" si="137"/>
        <v>8905.9829059829062</v>
      </c>
      <c r="CC44" s="685">
        <f t="shared" si="137"/>
        <v>15042.735042735043</v>
      </c>
      <c r="CD44" s="685">
        <f t="shared" si="137"/>
        <v>10256.410256410258</v>
      </c>
      <c r="CE44" s="694">
        <f t="shared" si="138"/>
        <v>-4786.3247863247852</v>
      </c>
      <c r="CF44" s="767">
        <f t="shared" si="139"/>
        <v>8350.4273504273515</v>
      </c>
      <c r="CG44" s="685">
        <f t="shared" si="139"/>
        <v>10256.410256410258</v>
      </c>
      <c r="CH44" s="685">
        <f t="shared" si="139"/>
        <v>4273.5042735042734</v>
      </c>
      <c r="CI44" s="694">
        <f t="shared" si="140"/>
        <v>-5982.9059829059843</v>
      </c>
      <c r="CJ44" s="525">
        <f t="shared" si="141"/>
        <v>27273.504273504273</v>
      </c>
      <c r="CK44" s="1344"/>
      <c r="CL44" s="1345">
        <f t="shared" si="142"/>
        <v>40136.75213675214</v>
      </c>
      <c r="CM44" s="526">
        <f t="shared" si="142"/>
        <v>25361.133333333335</v>
      </c>
      <c r="CN44" s="693">
        <f t="shared" si="143"/>
        <v>-1912.3709401709384</v>
      </c>
      <c r="CO44" s="693"/>
      <c r="CP44" s="528">
        <f t="shared" si="144"/>
        <v>-14775.618803418805</v>
      </c>
      <c r="CQ44" s="529">
        <f t="shared" si="145"/>
        <v>65034.188034188039</v>
      </c>
      <c r="CR44" s="605"/>
      <c r="CS44" s="605">
        <f t="shared" si="146"/>
        <v>76529.914529914531</v>
      </c>
      <c r="CT44" s="526">
        <f t="shared" si="146"/>
        <v>60410.824786324796</v>
      </c>
      <c r="CU44" s="640">
        <f t="shared" si="147"/>
        <v>-4623.3632478632426</v>
      </c>
      <c r="CV44" s="640"/>
      <c r="CW44" s="528">
        <f t="shared" si="148"/>
        <v>-16119.089743589735</v>
      </c>
      <c r="CX44" s="722"/>
      <c r="CY44" s="723"/>
      <c r="CZ44" s="556"/>
      <c r="DA44" s="556"/>
      <c r="DB44" s="556"/>
      <c r="DC44" s="556"/>
      <c r="DD44" s="556"/>
    </row>
    <row r="45" spans="1:108">
      <c r="A45" s="659"/>
      <c r="B45" s="634" t="s">
        <v>159</v>
      </c>
      <c r="C45" s="633"/>
      <c r="D45" s="668"/>
      <c r="E45" s="767">
        <f t="shared" si="97"/>
        <v>142991.452991453</v>
      </c>
      <c r="F45" s="685">
        <f t="shared" si="97"/>
        <v>194871.79487179487</v>
      </c>
      <c r="G45" s="685">
        <f t="shared" si="97"/>
        <v>205304.21153846153</v>
      </c>
      <c r="H45" s="528">
        <f t="shared" si="98"/>
        <v>10432.416666666657</v>
      </c>
      <c r="I45" s="767">
        <f t="shared" si="99"/>
        <v>159145.29914529916</v>
      </c>
      <c r="J45" s="685">
        <f t="shared" si="99"/>
        <v>172863.24786324787</v>
      </c>
      <c r="K45" s="685">
        <f t="shared" si="99"/>
        <v>220663.58974358975</v>
      </c>
      <c r="L45" s="528">
        <f t="shared" si="100"/>
        <v>47800.341880341875</v>
      </c>
      <c r="M45" s="767">
        <f t="shared" si="101"/>
        <v>159145.29914529916</v>
      </c>
      <c r="N45" s="685">
        <f t="shared" si="101"/>
        <v>154273.50427350428</v>
      </c>
      <c r="O45" s="685">
        <f t="shared" si="101"/>
        <v>159827.00341880345</v>
      </c>
      <c r="P45" s="528">
        <f t="shared" si="102"/>
        <v>5553.4991452991671</v>
      </c>
      <c r="Q45" s="525">
        <f t="shared" si="103"/>
        <v>461282.05128205125</v>
      </c>
      <c r="R45" s="537">
        <f t="shared" si="104"/>
        <v>517948.717948718</v>
      </c>
      <c r="S45" s="537">
        <f t="shared" si="105"/>
        <v>532440.96367521363</v>
      </c>
      <c r="T45" s="526">
        <f t="shared" si="106"/>
        <v>585794.8047008547</v>
      </c>
      <c r="U45" s="685">
        <f t="shared" si="107"/>
        <v>124512.75341880345</v>
      </c>
      <c r="V45" s="724">
        <f t="shared" si="93"/>
        <v>67846.086752136704</v>
      </c>
      <c r="W45" s="528">
        <f t="shared" si="108"/>
        <v>53353.841025641072</v>
      </c>
      <c r="X45" s="767">
        <f t="shared" si="109"/>
        <v>134358.97435897437</v>
      </c>
      <c r="Y45" s="685">
        <f t="shared" si="109"/>
        <v>154273.50427350428</v>
      </c>
      <c r="Z45" s="685">
        <f t="shared" si="109"/>
        <v>170057.2811965812</v>
      </c>
      <c r="AA45" s="528">
        <f t="shared" si="110"/>
        <v>15783.776923076919</v>
      </c>
      <c r="AB45" s="767">
        <f t="shared" si="111"/>
        <v>126282.0512820513</v>
      </c>
      <c r="AC45" s="699">
        <f t="shared" si="111"/>
        <v>186752.13675213675</v>
      </c>
      <c r="AD45" s="1242">
        <v>191890.04199999999</v>
      </c>
      <c r="AE45" s="694">
        <f t="shared" si="112"/>
        <v>5137.9052478632366</v>
      </c>
      <c r="AF45" s="767">
        <f t="shared" si="113"/>
        <v>101794.8717948718</v>
      </c>
      <c r="AG45" s="699">
        <f t="shared" si="113"/>
        <v>194871.79487179487</v>
      </c>
      <c r="AH45" s="685">
        <f t="shared" si="113"/>
        <v>195189.14230769232</v>
      </c>
      <c r="AI45" s="694">
        <f t="shared" si="114"/>
        <v>317.34743589744903</v>
      </c>
      <c r="AJ45" s="525">
        <f t="shared" si="115"/>
        <v>362435.8974358975</v>
      </c>
      <c r="AK45" s="638">
        <f t="shared" si="116"/>
        <v>370726.49572649575</v>
      </c>
      <c r="AL45" s="537">
        <f t="shared" si="117"/>
        <v>535897.43589743588</v>
      </c>
      <c r="AM45" s="526">
        <f t="shared" si="117"/>
        <v>557136.46550427354</v>
      </c>
      <c r="AN45" s="693">
        <f t="shared" si="118"/>
        <v>194700.56806837604</v>
      </c>
      <c r="AO45" s="724">
        <f t="shared" si="94"/>
        <v>186409.96977777779</v>
      </c>
      <c r="AP45" s="528">
        <f t="shared" si="119"/>
        <v>21239.029606837663</v>
      </c>
      <c r="AQ45" s="529">
        <f t="shared" si="120"/>
        <v>823717.94871794875</v>
      </c>
      <c r="AR45" s="686">
        <f t="shared" si="121"/>
        <v>888675.21367521374</v>
      </c>
      <c r="AS45" s="526">
        <f t="shared" si="122"/>
        <v>1068338.3995726495</v>
      </c>
      <c r="AT45" s="526">
        <f t="shared" si="122"/>
        <v>1142931.2702051282</v>
      </c>
      <c r="AU45" s="640">
        <f t="shared" si="123"/>
        <v>319213.32148717949</v>
      </c>
      <c r="AV45" s="724">
        <f t="shared" si="95"/>
        <v>254256.05652991449</v>
      </c>
      <c r="AW45" s="528">
        <f t="shared" si="124"/>
        <v>74592.870632478734</v>
      </c>
      <c r="AX45" s="722"/>
      <c r="AY45" s="723"/>
      <c r="AZ45" s="723"/>
      <c r="BA45" s="556"/>
      <c r="BB45" s="556"/>
      <c r="BC45" s="556"/>
      <c r="BD45" s="556"/>
      <c r="BE45" s="767">
        <f t="shared" si="125"/>
        <v>197111.11111111112</v>
      </c>
      <c r="BF45" s="685">
        <f t="shared" si="125"/>
        <v>197111.11111111112</v>
      </c>
      <c r="BG45" s="685">
        <f t="shared" si="125"/>
        <v>144522.71282051282</v>
      </c>
      <c r="BH45" s="528">
        <f t="shared" si="126"/>
        <v>-52588.398290598299</v>
      </c>
      <c r="BI45" s="767">
        <f t="shared" si="127"/>
        <v>110384.61538461539</v>
      </c>
      <c r="BJ45" s="685">
        <f t="shared" si="127"/>
        <v>94358.974358974359</v>
      </c>
      <c r="BK45" s="685">
        <f t="shared" si="127"/>
        <v>91777.383333333331</v>
      </c>
      <c r="BL45" s="528">
        <f t="shared" si="128"/>
        <v>-2581.591025641028</v>
      </c>
      <c r="BM45" s="767">
        <f t="shared" si="129"/>
        <v>141923.07692307694</v>
      </c>
      <c r="BN45" s="699">
        <f t="shared" si="129"/>
        <v>133675.21367521369</v>
      </c>
      <c r="BO45" s="685">
        <f t="shared" si="129"/>
        <v>127666.48247863249</v>
      </c>
      <c r="BP45" s="528">
        <f t="shared" si="130"/>
        <v>-6008.7311965811969</v>
      </c>
      <c r="BQ45" s="525">
        <f t="shared" si="131"/>
        <v>449418.80341880344</v>
      </c>
      <c r="BR45" s="1344"/>
      <c r="BS45" s="1345">
        <f t="shared" si="132"/>
        <v>425145.29914529918</v>
      </c>
      <c r="BT45" s="526">
        <f t="shared" si="132"/>
        <v>363966.57863247866</v>
      </c>
      <c r="BU45" s="685">
        <f t="shared" si="133"/>
        <v>-85452.224786324776</v>
      </c>
      <c r="BV45" s="724"/>
      <c r="BW45" s="528">
        <f t="shared" si="134"/>
        <v>-61178.720512820524</v>
      </c>
      <c r="BX45" s="767">
        <f t="shared" si="135"/>
        <v>143829.05982905984</v>
      </c>
      <c r="BY45" s="699">
        <f t="shared" si="135"/>
        <v>170632.47863247865</v>
      </c>
      <c r="BZ45" s="685">
        <f t="shared" si="135"/>
        <v>160668.57264957266</v>
      </c>
      <c r="CA45" s="694">
        <f t="shared" si="136"/>
        <v>-9963.9059829059988</v>
      </c>
      <c r="CB45" s="767">
        <f t="shared" si="137"/>
        <v>127846.15384615386</v>
      </c>
      <c r="CC45" s="699">
        <f t="shared" si="137"/>
        <v>172991.452991453</v>
      </c>
      <c r="CD45" s="685">
        <f t="shared" si="137"/>
        <v>117948.71794871795</v>
      </c>
      <c r="CE45" s="694">
        <f t="shared" si="138"/>
        <v>-55042.735042735047</v>
      </c>
      <c r="CF45" s="767">
        <f t="shared" si="139"/>
        <v>119854.70085470086</v>
      </c>
      <c r="CG45" s="699">
        <f t="shared" si="139"/>
        <v>117948.71794871795</v>
      </c>
      <c r="CH45" s="685">
        <f t="shared" si="139"/>
        <v>81196.581196581203</v>
      </c>
      <c r="CI45" s="694">
        <f t="shared" si="140"/>
        <v>-36752.13675213675</v>
      </c>
      <c r="CJ45" s="525">
        <f t="shared" si="141"/>
        <v>391529.91452991456</v>
      </c>
      <c r="CK45" s="1344"/>
      <c r="CL45" s="1345">
        <f t="shared" si="142"/>
        <v>461572.64957264956</v>
      </c>
      <c r="CM45" s="526">
        <f t="shared" si="142"/>
        <v>359813.87179487181</v>
      </c>
      <c r="CN45" s="693">
        <f t="shared" si="143"/>
        <v>-31716.042735042749</v>
      </c>
      <c r="CO45" s="693"/>
      <c r="CP45" s="528">
        <f t="shared" si="144"/>
        <v>-101758.77777777775</v>
      </c>
      <c r="CQ45" s="529">
        <f t="shared" si="145"/>
        <v>840948.717948718</v>
      </c>
      <c r="CR45" s="605"/>
      <c r="CS45" s="605">
        <f t="shared" si="146"/>
        <v>886717.94871794875</v>
      </c>
      <c r="CT45" s="526">
        <f t="shared" si="146"/>
        <v>723780.45042735047</v>
      </c>
      <c r="CU45" s="640">
        <f t="shared" si="147"/>
        <v>-117168.26752136752</v>
      </c>
      <c r="CV45" s="640"/>
      <c r="CW45" s="528">
        <f t="shared" si="148"/>
        <v>-162937.49829059828</v>
      </c>
      <c r="CX45" s="722"/>
      <c r="CY45" s="723"/>
      <c r="CZ45" s="556"/>
      <c r="DA45" s="556"/>
      <c r="DB45" s="556"/>
      <c r="DC45" s="556"/>
      <c r="DD45" s="556"/>
    </row>
    <row r="46" spans="1:108">
      <c r="A46" s="659"/>
      <c r="B46" s="634" t="s">
        <v>160</v>
      </c>
      <c r="C46" s="633"/>
      <c r="D46" s="635"/>
      <c r="E46" s="768">
        <f t="shared" si="97"/>
        <v>0</v>
      </c>
      <c r="F46" s="685">
        <f t="shared" si="97"/>
        <v>0</v>
      </c>
      <c r="G46" s="685">
        <f t="shared" si="97"/>
        <v>0</v>
      </c>
      <c r="H46" s="528">
        <f t="shared" si="98"/>
        <v>0</v>
      </c>
      <c r="I46" s="768">
        <f t="shared" si="99"/>
        <v>0</v>
      </c>
      <c r="J46" s="685">
        <f t="shared" si="99"/>
        <v>0</v>
      </c>
      <c r="K46" s="685">
        <f t="shared" si="99"/>
        <v>0</v>
      </c>
      <c r="L46" s="528">
        <f t="shared" si="100"/>
        <v>0</v>
      </c>
      <c r="M46" s="768">
        <f t="shared" si="101"/>
        <v>0</v>
      </c>
      <c r="N46" s="685">
        <f t="shared" si="101"/>
        <v>0</v>
      </c>
      <c r="O46" s="685">
        <f t="shared" si="101"/>
        <v>0</v>
      </c>
      <c r="P46" s="528">
        <f t="shared" si="102"/>
        <v>0</v>
      </c>
      <c r="Q46" s="529">
        <f t="shared" si="103"/>
        <v>0</v>
      </c>
      <c r="R46" s="537">
        <f t="shared" si="104"/>
        <v>0</v>
      </c>
      <c r="S46" s="537">
        <f t="shared" si="105"/>
        <v>0</v>
      </c>
      <c r="T46" s="526">
        <f t="shared" si="106"/>
        <v>0</v>
      </c>
      <c r="U46" s="685">
        <f t="shared" si="107"/>
        <v>0</v>
      </c>
      <c r="V46" s="724">
        <f t="shared" si="93"/>
        <v>0</v>
      </c>
      <c r="W46" s="528">
        <f t="shared" si="108"/>
        <v>0</v>
      </c>
      <c r="X46" s="768">
        <f t="shared" si="109"/>
        <v>0</v>
      </c>
      <c r="Y46" s="685">
        <f t="shared" si="109"/>
        <v>0</v>
      </c>
      <c r="Z46" s="685">
        <f t="shared" si="109"/>
        <v>0</v>
      </c>
      <c r="AA46" s="528">
        <f t="shared" si="110"/>
        <v>0</v>
      </c>
      <c r="AB46" s="768">
        <f t="shared" si="111"/>
        <v>0</v>
      </c>
      <c r="AC46" s="685">
        <f t="shared" si="111"/>
        <v>0</v>
      </c>
      <c r="AD46" s="685">
        <f t="shared" si="111"/>
        <v>0</v>
      </c>
      <c r="AE46" s="694">
        <f t="shared" si="112"/>
        <v>0</v>
      </c>
      <c r="AF46" s="768">
        <f t="shared" si="113"/>
        <v>0</v>
      </c>
      <c r="AG46" s="685">
        <f t="shared" si="113"/>
        <v>0</v>
      </c>
      <c r="AH46" s="685">
        <f t="shared" si="113"/>
        <v>0</v>
      </c>
      <c r="AI46" s="694">
        <f t="shared" si="114"/>
        <v>0</v>
      </c>
      <c r="AJ46" s="529">
        <f t="shared" si="115"/>
        <v>0</v>
      </c>
      <c r="AK46" s="638">
        <f t="shared" si="116"/>
        <v>0</v>
      </c>
      <c r="AL46" s="537">
        <f t="shared" si="117"/>
        <v>0</v>
      </c>
      <c r="AM46" s="526">
        <f t="shared" si="117"/>
        <v>0</v>
      </c>
      <c r="AN46" s="693">
        <f t="shared" si="118"/>
        <v>0</v>
      </c>
      <c r="AO46" s="724">
        <f t="shared" si="94"/>
        <v>0</v>
      </c>
      <c r="AP46" s="528">
        <f t="shared" si="119"/>
        <v>0</v>
      </c>
      <c r="AQ46" s="529">
        <f t="shared" si="120"/>
        <v>0</v>
      </c>
      <c r="AR46" s="686">
        <f t="shared" si="121"/>
        <v>0</v>
      </c>
      <c r="AS46" s="526">
        <f t="shared" si="122"/>
        <v>0</v>
      </c>
      <c r="AT46" s="526">
        <f t="shared" si="122"/>
        <v>0</v>
      </c>
      <c r="AU46" s="640">
        <f t="shared" si="123"/>
        <v>0</v>
      </c>
      <c r="AV46" s="724">
        <f t="shared" si="95"/>
        <v>0</v>
      </c>
      <c r="AW46" s="528">
        <f t="shared" si="124"/>
        <v>0</v>
      </c>
      <c r="AX46" s="722"/>
      <c r="AY46" s="723"/>
      <c r="AZ46" s="723"/>
      <c r="BA46" s="556"/>
      <c r="BB46" s="556"/>
      <c r="BC46" s="556"/>
      <c r="BD46" s="556"/>
      <c r="BE46" s="768">
        <f t="shared" si="125"/>
        <v>0</v>
      </c>
      <c r="BF46" s="685">
        <f t="shared" si="125"/>
        <v>0</v>
      </c>
      <c r="BG46" s="685">
        <f t="shared" si="125"/>
        <v>0</v>
      </c>
      <c r="BH46" s="528">
        <f t="shared" si="126"/>
        <v>0</v>
      </c>
      <c r="BI46" s="768">
        <f t="shared" si="127"/>
        <v>0</v>
      </c>
      <c r="BJ46" s="685">
        <f t="shared" si="127"/>
        <v>0</v>
      </c>
      <c r="BK46" s="685">
        <f t="shared" si="127"/>
        <v>0</v>
      </c>
      <c r="BL46" s="528">
        <f t="shared" si="128"/>
        <v>0</v>
      </c>
      <c r="BM46" s="768">
        <f t="shared" si="129"/>
        <v>0</v>
      </c>
      <c r="BN46" s="685">
        <f t="shared" si="129"/>
        <v>0</v>
      </c>
      <c r="BO46" s="685">
        <f t="shared" si="129"/>
        <v>0</v>
      </c>
      <c r="BP46" s="528">
        <f t="shared" si="130"/>
        <v>0</v>
      </c>
      <c r="BQ46" s="529">
        <f t="shared" si="131"/>
        <v>0</v>
      </c>
      <c r="BR46" s="773"/>
      <c r="BS46" s="1345">
        <f t="shared" si="132"/>
        <v>0</v>
      </c>
      <c r="BT46" s="526">
        <f t="shared" si="132"/>
        <v>0</v>
      </c>
      <c r="BU46" s="685">
        <f t="shared" si="133"/>
        <v>0</v>
      </c>
      <c r="BV46" s="724"/>
      <c r="BW46" s="528">
        <f t="shared" si="134"/>
        <v>0</v>
      </c>
      <c r="BX46" s="768">
        <f t="shared" si="135"/>
        <v>0</v>
      </c>
      <c r="BY46" s="685">
        <f t="shared" si="135"/>
        <v>0</v>
      </c>
      <c r="BZ46" s="685">
        <f t="shared" si="135"/>
        <v>0</v>
      </c>
      <c r="CA46" s="694">
        <f t="shared" si="136"/>
        <v>0</v>
      </c>
      <c r="CB46" s="768">
        <f t="shared" si="137"/>
        <v>0</v>
      </c>
      <c r="CC46" s="685">
        <f t="shared" si="137"/>
        <v>0</v>
      </c>
      <c r="CD46" s="685">
        <f t="shared" si="137"/>
        <v>0</v>
      </c>
      <c r="CE46" s="694">
        <f t="shared" si="138"/>
        <v>0</v>
      </c>
      <c r="CF46" s="768">
        <f t="shared" si="139"/>
        <v>0</v>
      </c>
      <c r="CG46" s="685">
        <f t="shared" si="139"/>
        <v>0</v>
      </c>
      <c r="CH46" s="685">
        <f t="shared" si="139"/>
        <v>0</v>
      </c>
      <c r="CI46" s="694">
        <f t="shared" si="140"/>
        <v>0</v>
      </c>
      <c r="CJ46" s="529">
        <f t="shared" si="141"/>
        <v>0</v>
      </c>
      <c r="CK46" s="773"/>
      <c r="CL46" s="1345">
        <f t="shared" si="142"/>
        <v>0</v>
      </c>
      <c r="CM46" s="526">
        <f t="shared" si="142"/>
        <v>0</v>
      </c>
      <c r="CN46" s="693">
        <f t="shared" si="143"/>
        <v>0</v>
      </c>
      <c r="CO46" s="693"/>
      <c r="CP46" s="528">
        <f t="shared" si="144"/>
        <v>0</v>
      </c>
      <c r="CQ46" s="529">
        <f t="shared" si="145"/>
        <v>0</v>
      </c>
      <c r="CR46" s="605"/>
      <c r="CS46" s="605">
        <f t="shared" si="146"/>
        <v>0</v>
      </c>
      <c r="CT46" s="526">
        <f t="shared" si="146"/>
        <v>0</v>
      </c>
      <c r="CU46" s="640">
        <f t="shared" si="147"/>
        <v>0</v>
      </c>
      <c r="CV46" s="640"/>
      <c r="CW46" s="528">
        <f t="shared" si="148"/>
        <v>0</v>
      </c>
      <c r="CX46" s="722"/>
      <c r="CY46" s="723"/>
      <c r="CZ46" s="556"/>
      <c r="DA46" s="556"/>
      <c r="DB46" s="556"/>
      <c r="DC46" s="556"/>
      <c r="DD46" s="556"/>
    </row>
    <row r="47" spans="1:108">
      <c r="A47" s="659"/>
      <c r="B47" s="664"/>
      <c r="C47" s="634" t="s">
        <v>342</v>
      </c>
      <c r="D47" s="671"/>
      <c r="E47" s="769">
        <f t="shared" si="97"/>
        <v>7675.2136752136757</v>
      </c>
      <c r="F47" s="741">
        <f t="shared" si="97"/>
        <v>9743.5897435897441</v>
      </c>
      <c r="G47" s="741">
        <f t="shared" si="97"/>
        <v>7369.3247863247871</v>
      </c>
      <c r="H47" s="758">
        <f t="shared" si="98"/>
        <v>-2374.264957264957</v>
      </c>
      <c r="I47" s="769">
        <f t="shared" si="99"/>
        <v>8324.7863247863261</v>
      </c>
      <c r="J47" s="741">
        <f t="shared" si="99"/>
        <v>5139.7435897435898</v>
      </c>
      <c r="K47" s="741">
        <f t="shared" si="99"/>
        <v>8040.1709401709404</v>
      </c>
      <c r="L47" s="758">
        <f t="shared" si="100"/>
        <v>2900.4273504273506</v>
      </c>
      <c r="M47" s="769">
        <f t="shared" si="101"/>
        <v>8333.3333333333339</v>
      </c>
      <c r="N47" s="741">
        <f t="shared" si="101"/>
        <v>5042.735042735043</v>
      </c>
      <c r="O47" s="741">
        <f t="shared" si="101"/>
        <v>7012.8418803418808</v>
      </c>
      <c r="P47" s="758">
        <f t="shared" si="102"/>
        <v>1970.1068376068379</v>
      </c>
      <c r="Q47" s="607">
        <f t="shared" si="103"/>
        <v>24333.333333333336</v>
      </c>
      <c r="R47" s="637">
        <f t="shared" si="104"/>
        <v>25982.905982905984</v>
      </c>
      <c r="S47" s="637">
        <f t="shared" si="105"/>
        <v>17551.803418803422</v>
      </c>
      <c r="T47" s="530">
        <f t="shared" si="106"/>
        <v>22422.337606837609</v>
      </c>
      <c r="U47" s="685">
        <f t="shared" si="107"/>
        <v>-1910.9957264957266</v>
      </c>
      <c r="V47" s="724">
        <f t="shared" si="93"/>
        <v>-3560.5683760683751</v>
      </c>
      <c r="W47" s="528">
        <f t="shared" si="108"/>
        <v>4870.5341880341875</v>
      </c>
      <c r="X47" s="769">
        <f t="shared" si="109"/>
        <v>7094.0170940170947</v>
      </c>
      <c r="Y47" s="741">
        <f t="shared" si="109"/>
        <v>5042.735042735043</v>
      </c>
      <c r="Z47" s="741">
        <f t="shared" si="109"/>
        <v>8136.5213675213672</v>
      </c>
      <c r="AA47" s="758">
        <f t="shared" si="110"/>
        <v>3093.7863247863243</v>
      </c>
      <c r="AB47" s="769">
        <f t="shared" si="111"/>
        <v>6581.196581196582</v>
      </c>
      <c r="AC47" s="741">
        <f t="shared" si="111"/>
        <v>5547.0085470085478</v>
      </c>
      <c r="AD47" s="741">
        <f>AD126/1.17</f>
        <v>7529.5470085470088</v>
      </c>
      <c r="AE47" s="758">
        <f t="shared" si="112"/>
        <v>1982.538461538461</v>
      </c>
      <c r="AF47" s="769">
        <f t="shared" si="113"/>
        <v>5452.9914529914531</v>
      </c>
      <c r="AG47" s="741">
        <f t="shared" si="113"/>
        <v>5786.3247863247871</v>
      </c>
      <c r="AH47" s="741">
        <f t="shared" si="113"/>
        <v>6086.9743589743593</v>
      </c>
      <c r="AI47" s="758">
        <f t="shared" si="114"/>
        <v>300.64957264957229</v>
      </c>
      <c r="AJ47" s="607">
        <f t="shared" si="115"/>
        <v>19128.205128205129</v>
      </c>
      <c r="AK47" s="640">
        <f t="shared" si="116"/>
        <v>17478.63247863248</v>
      </c>
      <c r="AL47" s="537">
        <f t="shared" si="117"/>
        <v>16376.068376068377</v>
      </c>
      <c r="AM47" s="530">
        <f t="shared" si="117"/>
        <v>21753.042735042734</v>
      </c>
      <c r="AN47" s="693">
        <f t="shared" si="118"/>
        <v>2624.8376068376056</v>
      </c>
      <c r="AO47" s="724">
        <f t="shared" si="94"/>
        <v>4274.4102564102541</v>
      </c>
      <c r="AP47" s="528">
        <f t="shared" si="119"/>
        <v>5376.9743589743575</v>
      </c>
      <c r="AQ47" s="529">
        <f t="shared" si="120"/>
        <v>43461.538461538468</v>
      </c>
      <c r="AR47" s="724">
        <f t="shared" si="121"/>
        <v>43461.538461538461</v>
      </c>
      <c r="AS47" s="727">
        <f t="shared" si="122"/>
        <v>33927.871794871797</v>
      </c>
      <c r="AT47" s="530">
        <f t="shared" si="122"/>
        <v>44175.380341880344</v>
      </c>
      <c r="AU47" s="637">
        <f t="shared" si="123"/>
        <v>713.84188034187537</v>
      </c>
      <c r="AV47" s="724">
        <f t="shared" si="95"/>
        <v>713.84188034188264</v>
      </c>
      <c r="AW47" s="758">
        <f t="shared" si="124"/>
        <v>10247.508547008547</v>
      </c>
      <c r="AX47" s="722"/>
      <c r="AY47" s="723"/>
      <c r="AZ47" s="723"/>
      <c r="BA47" s="556"/>
      <c r="BB47" s="556"/>
      <c r="BC47" s="556"/>
      <c r="BD47" s="556"/>
      <c r="BE47" s="769">
        <f t="shared" si="125"/>
        <v>9068.3760683760684</v>
      </c>
      <c r="BF47" s="741">
        <f t="shared" si="125"/>
        <v>9068.3760683760684</v>
      </c>
      <c r="BG47" s="741">
        <f t="shared" si="125"/>
        <v>9732.3427350427355</v>
      </c>
      <c r="BH47" s="758">
        <f t="shared" si="126"/>
        <v>663.96666666666715</v>
      </c>
      <c r="BI47" s="769">
        <f t="shared" si="127"/>
        <v>5076.9230769230771</v>
      </c>
      <c r="BJ47" s="741">
        <f t="shared" si="127"/>
        <v>4316.2393162393164</v>
      </c>
      <c r="BK47" s="741">
        <f t="shared" si="127"/>
        <v>9721.8888888888905</v>
      </c>
      <c r="BL47" s="758">
        <f t="shared" si="128"/>
        <v>5405.6495726495741</v>
      </c>
      <c r="BM47" s="769">
        <f t="shared" si="129"/>
        <v>6521.3675213675215</v>
      </c>
      <c r="BN47" s="741">
        <f t="shared" si="129"/>
        <v>6162.393162393163</v>
      </c>
      <c r="BO47" s="741">
        <f t="shared" si="129"/>
        <v>8781.6017094017097</v>
      </c>
      <c r="BP47" s="758">
        <f t="shared" si="130"/>
        <v>2619.2085470085467</v>
      </c>
      <c r="BQ47" s="607">
        <f t="shared" si="131"/>
        <v>20666.666666666664</v>
      </c>
      <c r="BR47" s="773"/>
      <c r="BS47" s="640">
        <f t="shared" si="132"/>
        <v>19547.008547008547</v>
      </c>
      <c r="BT47" s="530">
        <f t="shared" si="132"/>
        <v>28235.833333333336</v>
      </c>
      <c r="BU47" s="685">
        <f t="shared" si="133"/>
        <v>7569.1666666666715</v>
      </c>
      <c r="BV47" s="724"/>
      <c r="BW47" s="528">
        <f t="shared" si="134"/>
        <v>8688.8247863247889</v>
      </c>
      <c r="BX47" s="769">
        <f t="shared" si="135"/>
        <v>5392.3076923076924</v>
      </c>
      <c r="BY47" s="741">
        <f t="shared" si="135"/>
        <v>7692.3076923076924</v>
      </c>
      <c r="BZ47" s="741">
        <f t="shared" si="135"/>
        <v>7465.9145299145312</v>
      </c>
      <c r="CA47" s="758">
        <f t="shared" si="136"/>
        <v>-226.39316239316122</v>
      </c>
      <c r="CB47" s="769">
        <f t="shared" si="137"/>
        <v>5392.3076923076924</v>
      </c>
      <c r="CC47" s="741">
        <f t="shared" si="137"/>
        <v>7692.3076923076924</v>
      </c>
      <c r="CD47" s="741">
        <f t="shared" si="137"/>
        <v>5521.3675213675215</v>
      </c>
      <c r="CE47" s="758">
        <f t="shared" si="138"/>
        <v>-2170.9401709401709</v>
      </c>
      <c r="CF47" s="769">
        <f t="shared" si="139"/>
        <v>5392.3076923076924</v>
      </c>
      <c r="CG47" s="741">
        <f t="shared" si="139"/>
        <v>5521.3675213675215</v>
      </c>
      <c r="CH47" s="741">
        <f t="shared" si="139"/>
        <v>0</v>
      </c>
      <c r="CI47" s="758">
        <f t="shared" si="140"/>
        <v>-5521.3675213675215</v>
      </c>
      <c r="CJ47" s="607">
        <f t="shared" si="141"/>
        <v>16176.923076923078</v>
      </c>
      <c r="CK47" s="773"/>
      <c r="CL47" s="1345">
        <f t="shared" si="142"/>
        <v>20905.982905982906</v>
      </c>
      <c r="CM47" s="530">
        <f t="shared" si="142"/>
        <v>12987.282051282053</v>
      </c>
      <c r="CN47" s="693">
        <f t="shared" si="143"/>
        <v>-3189.6410256410254</v>
      </c>
      <c r="CO47" s="693"/>
      <c r="CP47" s="528">
        <f t="shared" si="144"/>
        <v>-7918.7008547008536</v>
      </c>
      <c r="CQ47" s="529">
        <f t="shared" si="145"/>
        <v>36843.589743589742</v>
      </c>
      <c r="CR47" s="531"/>
      <c r="CS47" s="1335">
        <f t="shared" si="146"/>
        <v>40452.991452991453</v>
      </c>
      <c r="CT47" s="530">
        <f t="shared" si="146"/>
        <v>41223.11538461539</v>
      </c>
      <c r="CU47" s="637">
        <f t="shared" si="147"/>
        <v>4379.5256410256479</v>
      </c>
      <c r="CV47" s="638"/>
      <c r="CW47" s="758">
        <f t="shared" si="148"/>
        <v>770.1239316239371</v>
      </c>
      <c r="CX47" s="722"/>
      <c r="CY47" s="723"/>
      <c r="CZ47" s="556"/>
      <c r="DA47" s="556"/>
      <c r="DB47" s="556"/>
      <c r="DC47" s="556"/>
      <c r="DD47" s="556"/>
    </row>
    <row r="48" spans="1:108">
      <c r="A48" s="659"/>
      <c r="B48" s="664"/>
      <c r="C48" s="634" t="s">
        <v>343</v>
      </c>
      <c r="D48" s="671"/>
      <c r="E48" s="769">
        <f t="shared" si="97"/>
        <v>0</v>
      </c>
      <c r="F48" s="741">
        <f t="shared" si="97"/>
        <v>185128.20512820513</v>
      </c>
      <c r="G48" s="741">
        <f t="shared" si="97"/>
        <v>197799.19914529915</v>
      </c>
      <c r="H48" s="694">
        <f t="shared" si="98"/>
        <v>12670.994017094024</v>
      </c>
      <c r="I48" s="769">
        <f t="shared" si="99"/>
        <v>150470.08547008547</v>
      </c>
      <c r="J48" s="741">
        <f t="shared" si="99"/>
        <v>166185.04273504275</v>
      </c>
      <c r="K48" s="741">
        <f t="shared" si="99"/>
        <v>211329.91452991453</v>
      </c>
      <c r="L48" s="694">
        <f t="shared" si="100"/>
        <v>45144.871794871782</v>
      </c>
      <c r="M48" s="769">
        <f t="shared" si="101"/>
        <v>150470.08547008547</v>
      </c>
      <c r="N48" s="741">
        <f t="shared" si="101"/>
        <v>153846.15384615384</v>
      </c>
      <c r="O48" s="741">
        <f t="shared" si="101"/>
        <v>151742.78034188037</v>
      </c>
      <c r="P48" s="694">
        <f t="shared" si="102"/>
        <v>-2103.373504273477</v>
      </c>
      <c r="Q48" s="607">
        <f t="shared" si="103"/>
        <v>300940.17094017094</v>
      </c>
      <c r="R48" s="760">
        <f t="shared" si="104"/>
        <v>491965.811965812</v>
      </c>
      <c r="S48" s="760">
        <f t="shared" si="105"/>
        <v>517830.39572649577</v>
      </c>
      <c r="T48" s="571">
        <f t="shared" si="106"/>
        <v>560871.89401709405</v>
      </c>
      <c r="U48" s="685">
        <f t="shared" si="107"/>
        <v>259931.72307692311</v>
      </c>
      <c r="V48" s="724">
        <f t="shared" si="93"/>
        <v>68906.08205128205</v>
      </c>
      <c r="W48" s="694">
        <f t="shared" si="108"/>
        <v>43041.498290598276</v>
      </c>
      <c r="X48" s="769">
        <f t="shared" si="109"/>
        <v>126495.7264957265</v>
      </c>
      <c r="Y48" s="741">
        <f t="shared" si="109"/>
        <v>153846.15384615384</v>
      </c>
      <c r="Z48" s="741">
        <f t="shared" si="109"/>
        <v>161929.31538461539</v>
      </c>
      <c r="AA48" s="694">
        <f t="shared" si="110"/>
        <v>8083.1615384615434</v>
      </c>
      <c r="AB48" s="769">
        <f t="shared" si="111"/>
        <v>119658.11965811967</v>
      </c>
      <c r="AC48" s="741">
        <f t="shared" si="111"/>
        <v>179239.31623931625</v>
      </c>
      <c r="AD48" s="741">
        <f t="shared" si="111"/>
        <v>184512.45811965814</v>
      </c>
      <c r="AE48" s="758">
        <f t="shared" si="112"/>
        <v>5273.1418803418928</v>
      </c>
      <c r="AF48" s="769">
        <f t="shared" si="113"/>
        <v>97153.846153846156</v>
      </c>
      <c r="AG48" s="741">
        <f t="shared" si="113"/>
        <v>187034.18803418803</v>
      </c>
      <c r="AH48" s="741">
        <f t="shared" si="113"/>
        <v>189224.69914529915</v>
      </c>
      <c r="AI48" s="758">
        <f t="shared" si="114"/>
        <v>2190.5111111111182</v>
      </c>
      <c r="AJ48" s="607">
        <f t="shared" si="115"/>
        <v>343307.69230769237</v>
      </c>
      <c r="AK48" s="761">
        <f t="shared" si="116"/>
        <v>353247.86324786325</v>
      </c>
      <c r="AL48" s="537">
        <f t="shared" si="117"/>
        <v>520119.65811965812</v>
      </c>
      <c r="AM48" s="571">
        <f t="shared" si="117"/>
        <v>535666.47264957265</v>
      </c>
      <c r="AN48" s="685">
        <f t="shared" si="118"/>
        <v>192358.78034188028</v>
      </c>
      <c r="AO48" s="724">
        <f t="shared" si="94"/>
        <v>182418.6094017094</v>
      </c>
      <c r="AP48" s="762">
        <f t="shared" si="119"/>
        <v>15546.814529914525</v>
      </c>
      <c r="AQ48" s="529">
        <f t="shared" si="120"/>
        <v>644247.86324786325</v>
      </c>
      <c r="AR48" s="761">
        <f t="shared" si="121"/>
        <v>845213.67521367525</v>
      </c>
      <c r="AS48" s="727">
        <f t="shared" si="122"/>
        <v>1037950.0538461539</v>
      </c>
      <c r="AT48" s="530">
        <f t="shared" si="122"/>
        <v>1096538.3666666667</v>
      </c>
      <c r="AU48" s="637">
        <f t="shared" si="123"/>
        <v>452290.50341880345</v>
      </c>
      <c r="AV48" s="724">
        <f t="shared" si="95"/>
        <v>251324.69145299145</v>
      </c>
      <c r="AW48" s="758">
        <f t="shared" si="124"/>
        <v>58588.312820512801</v>
      </c>
      <c r="AX48" s="722"/>
      <c r="AY48" s="723"/>
      <c r="AZ48" s="723"/>
      <c r="BA48" s="556"/>
      <c r="BB48" s="556"/>
      <c r="BC48" s="556"/>
      <c r="BD48" s="556"/>
      <c r="BE48" s="769">
        <f t="shared" si="125"/>
        <v>188051.28205128206</v>
      </c>
      <c r="BF48" s="741">
        <f t="shared" si="125"/>
        <v>188051.28205128206</v>
      </c>
      <c r="BG48" s="741">
        <f t="shared" si="125"/>
        <v>134002.53675213674</v>
      </c>
      <c r="BH48" s="694">
        <f t="shared" si="126"/>
        <v>-54048.745299145317</v>
      </c>
      <c r="BI48" s="769">
        <f t="shared" si="127"/>
        <v>105307.69230769231</v>
      </c>
      <c r="BJ48" s="741">
        <f t="shared" si="127"/>
        <v>89512.820512820515</v>
      </c>
      <c r="BK48" s="741">
        <f t="shared" si="127"/>
        <v>82644.812820512816</v>
      </c>
      <c r="BL48" s="694">
        <f t="shared" si="128"/>
        <v>-6868.0076923076995</v>
      </c>
      <c r="BM48" s="769">
        <f t="shared" si="129"/>
        <v>135393.16239316241</v>
      </c>
      <c r="BN48" s="741">
        <f t="shared" si="129"/>
        <v>127871.79487179487</v>
      </c>
      <c r="BO48" s="741">
        <f t="shared" si="129"/>
        <v>117627.6829059829</v>
      </c>
      <c r="BP48" s="758">
        <f t="shared" si="130"/>
        <v>-10244.111965811971</v>
      </c>
      <c r="BQ48" s="607">
        <f t="shared" si="131"/>
        <v>428752.13675213675</v>
      </c>
      <c r="BR48" s="1344"/>
      <c r="BS48" s="696">
        <f t="shared" si="132"/>
        <v>405435.89743589744</v>
      </c>
      <c r="BT48" s="571">
        <f t="shared" si="132"/>
        <v>334275.03247863246</v>
      </c>
      <c r="BU48" s="685">
        <f t="shared" si="133"/>
        <v>-94477.104273504287</v>
      </c>
      <c r="BV48" s="724"/>
      <c r="BW48" s="694">
        <f t="shared" si="134"/>
        <v>-71160.864957264974</v>
      </c>
      <c r="BX48" s="769">
        <f t="shared" si="135"/>
        <v>135299.14529914531</v>
      </c>
      <c r="BY48" s="741">
        <f t="shared" si="135"/>
        <v>160683.76068376069</v>
      </c>
      <c r="BZ48" s="741">
        <f t="shared" si="135"/>
        <v>152900.76153846155</v>
      </c>
      <c r="CA48" s="758">
        <f t="shared" si="136"/>
        <v>-7782.999145299138</v>
      </c>
      <c r="CB48" s="769">
        <f t="shared" si="137"/>
        <v>127299.14529914531</v>
      </c>
      <c r="CC48" s="741">
        <f t="shared" si="137"/>
        <v>162393.16239316241</v>
      </c>
      <c r="CD48" s="741">
        <f t="shared" si="137"/>
        <v>112752.13675213676</v>
      </c>
      <c r="CE48" s="758">
        <f t="shared" si="138"/>
        <v>-49641.025641025641</v>
      </c>
      <c r="CF48" s="769">
        <f t="shared" si="139"/>
        <v>112752.13675213676</v>
      </c>
      <c r="CG48" s="741">
        <f t="shared" si="139"/>
        <v>112752.13675213676</v>
      </c>
      <c r="CH48" s="741">
        <f t="shared" si="139"/>
        <v>81196.581196581203</v>
      </c>
      <c r="CI48" s="758">
        <f t="shared" si="140"/>
        <v>-31555.555555555562</v>
      </c>
      <c r="CJ48" s="607">
        <f t="shared" si="141"/>
        <v>375350.42735042737</v>
      </c>
      <c r="CK48" s="773"/>
      <c r="CL48" s="1345">
        <f t="shared" si="142"/>
        <v>435829.05982905987</v>
      </c>
      <c r="CM48" s="571">
        <f t="shared" si="142"/>
        <v>346849.47948717949</v>
      </c>
      <c r="CN48" s="685">
        <f t="shared" si="143"/>
        <v>-28500.947863247886</v>
      </c>
      <c r="CO48" s="761"/>
      <c r="CP48" s="762">
        <f t="shared" si="144"/>
        <v>-88979.580341880384</v>
      </c>
      <c r="CQ48" s="529">
        <f t="shared" si="145"/>
        <v>804102.56410256412</v>
      </c>
      <c r="CR48" s="531"/>
      <c r="CS48" s="1335">
        <f t="shared" si="146"/>
        <v>841264.95726495725</v>
      </c>
      <c r="CT48" s="530">
        <f t="shared" si="146"/>
        <v>681124.51196581195</v>
      </c>
      <c r="CU48" s="637">
        <f t="shared" si="147"/>
        <v>-122978.05213675217</v>
      </c>
      <c r="CV48" s="638"/>
      <c r="CW48" s="758">
        <f t="shared" si="148"/>
        <v>-160140.4452991453</v>
      </c>
      <c r="CX48" s="722"/>
      <c r="CY48" s="723"/>
      <c r="CZ48" s="556"/>
      <c r="DA48" s="556"/>
      <c r="DB48" s="556"/>
      <c r="DC48" s="556"/>
      <c r="DD48" s="556"/>
    </row>
    <row r="49" spans="1:108">
      <c r="A49" s="659"/>
      <c r="B49" s="664"/>
      <c r="C49" s="664"/>
      <c r="D49" s="671"/>
      <c r="E49" s="684"/>
      <c r="F49" s="741"/>
      <c r="G49" s="741"/>
      <c r="H49" s="705">
        <f>G50/F50</f>
        <v>1.07798403125</v>
      </c>
      <c r="I49" s="684"/>
      <c r="J49" s="741"/>
      <c r="K49" s="741"/>
      <c r="L49" s="1068">
        <f>K50/J50</f>
        <v>1.2817573459715639</v>
      </c>
      <c r="M49" s="684"/>
      <c r="N49" s="741"/>
      <c r="O49" s="741"/>
      <c r="P49" s="1068">
        <f>O50/N50</f>
        <v>1.0500293526315789</v>
      </c>
      <c r="Q49" s="607"/>
      <c r="R49" s="538"/>
      <c r="S49" s="538"/>
      <c r="T49" s="557"/>
      <c r="U49" s="1077">
        <f>T50/Q50</f>
        <v>1.2563319732758622</v>
      </c>
      <c r="V49" s="1070">
        <f>T50/R50</f>
        <v>1.1457115479559747</v>
      </c>
      <c r="W49" s="1068">
        <f>T50/S50</f>
        <v>1.1045243096911066</v>
      </c>
      <c r="X49" s="684"/>
      <c r="Y49" s="741"/>
      <c r="Z49" s="741"/>
      <c r="AA49" s="1068">
        <f>Z50/Y50</f>
        <v>1.1615522368421052</v>
      </c>
      <c r="AB49" s="684"/>
      <c r="AC49" s="741"/>
      <c r="AD49" s="741"/>
      <c r="AE49" s="1082">
        <f>AD50/AC50</f>
        <v>1.0216909179999998</v>
      </c>
      <c r="AF49" s="684"/>
      <c r="AG49" s="741"/>
      <c r="AH49" s="741"/>
      <c r="AI49" s="1082">
        <f>AH50/AG50</f>
        <v>1.00086920625</v>
      </c>
      <c r="AJ49" s="607"/>
      <c r="AK49" s="558"/>
      <c r="AL49" s="538"/>
      <c r="AM49" s="557"/>
      <c r="AN49" s="1086">
        <f>AM50/AJ50</f>
        <v>1.5128096644347826</v>
      </c>
      <c r="AO49" s="1070">
        <f>AM50/AK50</f>
        <v>1.4497759284166665</v>
      </c>
      <c r="AP49" s="1083">
        <f>AM50/AL50</f>
        <v>1.0543824933939394</v>
      </c>
      <c r="AQ49" s="563"/>
      <c r="AR49" s="770"/>
      <c r="AS49" s="571"/>
      <c r="AT49" s="571"/>
      <c r="AU49" s="1076">
        <f>AT50/AQ50</f>
        <v>1.3697740289807694</v>
      </c>
      <c r="AV49" s="1070">
        <f>AT50/AR50</f>
        <v>1.2764919266487456</v>
      </c>
      <c r="AW49" s="1083">
        <f>AT50/AS50</f>
        <v>1.0794480095205774</v>
      </c>
      <c r="AX49" s="722"/>
      <c r="AY49" s="723"/>
      <c r="AZ49" s="723"/>
      <c r="BA49" s="556"/>
      <c r="BB49" s="556"/>
      <c r="BC49" s="556"/>
      <c r="BD49" s="556"/>
      <c r="BE49" s="684"/>
      <c r="BF49" s="741"/>
      <c r="BG49" s="741"/>
      <c r="BH49" s="1068">
        <f>BG50/BF50</f>
        <v>0.73206630400000006</v>
      </c>
      <c r="BI49" s="684"/>
      <c r="BJ49" s="741"/>
      <c r="BK49" s="741"/>
      <c r="BL49" s="1068">
        <f>BK50/BJ50</f>
        <v>1.0021732624999999</v>
      </c>
      <c r="BM49" s="684"/>
      <c r="BN49" s="741"/>
      <c r="BO49" s="741"/>
      <c r="BP49" s="1088">
        <f>BO50/BN50</f>
        <v>0.96218628529411776</v>
      </c>
      <c r="BQ49" s="607"/>
      <c r="BR49" s="773"/>
      <c r="BS49" s="773"/>
      <c r="BT49" s="557"/>
      <c r="BU49" s="1077">
        <f>BT50/BQ50</f>
        <v>0.81903339649122808</v>
      </c>
      <c r="BV49" s="1076"/>
      <c r="BW49" s="1068">
        <f>BT50/BS50</f>
        <v>0.86453525185185198</v>
      </c>
      <c r="BX49" s="684"/>
      <c r="BY49" s="741"/>
      <c r="BZ49" s="741"/>
      <c r="CA49" s="1089">
        <f>BZ50/BY50</f>
        <v>0.92467629493087578</v>
      </c>
      <c r="CB49" s="684"/>
      <c r="CC49" s="741"/>
      <c r="CD49" s="741"/>
      <c r="CE49" s="1082">
        <f>CD50/CC50</f>
        <v>0.68181818181818188</v>
      </c>
      <c r="CF49" s="684"/>
      <c r="CG49" s="741"/>
      <c r="CH49" s="741"/>
      <c r="CI49" s="1082">
        <f>CH50/CG50</f>
        <v>0.66666666666666663</v>
      </c>
      <c r="CJ49" s="607"/>
      <c r="CK49" s="773"/>
      <c r="CL49" s="773"/>
      <c r="CM49" s="557"/>
      <c r="CN49" s="1086">
        <f>CM50/CJ50</f>
        <v>0.91970358367346938</v>
      </c>
      <c r="CO49" s="1086"/>
      <c r="CP49" s="1083">
        <f>CM50/CL50</f>
        <v>0.76772530834752983</v>
      </c>
      <c r="CQ49" s="563"/>
      <c r="CR49" s="606"/>
      <c r="CS49" s="606"/>
      <c r="CT49" s="571"/>
      <c r="CU49" s="1076">
        <f>CT50/CQ50</f>
        <v>0.86556961509433961</v>
      </c>
      <c r="CV49" s="1076"/>
      <c r="CW49" s="1083">
        <f>CT50/CS50</f>
        <v>0.81411161668145537</v>
      </c>
      <c r="CX49" s="722"/>
      <c r="CY49" s="723"/>
      <c r="CZ49" s="556"/>
      <c r="DA49" s="556"/>
      <c r="DB49" s="556"/>
      <c r="DC49" s="556"/>
      <c r="DD49" s="556"/>
    </row>
    <row r="50" spans="1:108">
      <c r="A50" s="647" t="s">
        <v>344</v>
      </c>
      <c r="B50" s="661"/>
      <c r="C50" s="997"/>
      <c r="D50" s="995"/>
      <c r="E50" s="710">
        <f>E129/1.17</f>
        <v>153846.15384615384</v>
      </c>
      <c r="F50" s="712">
        <f>F129/1.17</f>
        <v>205128.20512820515</v>
      </c>
      <c r="G50" s="712">
        <f>G129/1.17</f>
        <v>221124.9294871795</v>
      </c>
      <c r="H50" s="521">
        <f>G50-F50</f>
        <v>15996.724358974345</v>
      </c>
      <c r="I50" s="710">
        <f>I129/1.17</f>
        <v>170940.17094017094</v>
      </c>
      <c r="J50" s="712">
        <f>J129/1.17</f>
        <v>180341.88034188034</v>
      </c>
      <c r="K50" s="712">
        <f>K129/1.17</f>
        <v>231154.52991452991</v>
      </c>
      <c r="L50" s="521">
        <f>K50-J50</f>
        <v>50812.649572649563</v>
      </c>
      <c r="M50" s="710">
        <f>M129/1.17</f>
        <v>170940.17094017094</v>
      </c>
      <c r="N50" s="712">
        <f>N129/1.17</f>
        <v>162393.16239316241</v>
      </c>
      <c r="O50" s="712">
        <f>O129/1.17</f>
        <v>170517.58717948719</v>
      </c>
      <c r="P50" s="521">
        <f>O50-N50</f>
        <v>8124.4247863247874</v>
      </c>
      <c r="Q50" s="713">
        <f>E50+I50+M50</f>
        <v>495726.49572649569</v>
      </c>
      <c r="R50" s="712">
        <f>R129/1.17</f>
        <v>543589.74358974362</v>
      </c>
      <c r="S50" s="712">
        <f>G50+J50+N50</f>
        <v>563859.97222222225</v>
      </c>
      <c r="T50" s="520">
        <f>G50+K50+O50</f>
        <v>622797.0465811966</v>
      </c>
      <c r="U50" s="712">
        <f>T50-Q50</f>
        <v>127070.55085470091</v>
      </c>
      <c r="V50" s="711">
        <f t="shared" si="93"/>
        <v>79207.302991452976</v>
      </c>
      <c r="W50" s="521">
        <f>T50-S50</f>
        <v>58937.074358974351</v>
      </c>
      <c r="X50" s="710">
        <f>X129/1.17</f>
        <v>145299.14529914531</v>
      </c>
      <c r="Y50" s="712">
        <f>Y129/1.17</f>
        <v>162393.16239316241</v>
      </c>
      <c r="Z50" s="712">
        <f>Z129/1.17</f>
        <v>188628.14102564103</v>
      </c>
      <c r="AA50" s="521">
        <f>Z50-Y50</f>
        <v>26234.978632478626</v>
      </c>
      <c r="AB50" s="710">
        <f>AB129/1.17</f>
        <v>136752.13675213675</v>
      </c>
      <c r="AC50" s="712">
        <f>AC129/1.17</f>
        <v>196581.19658119659</v>
      </c>
      <c r="AD50" s="1243">
        <f>AD44+AD45</f>
        <v>200845.22319658118</v>
      </c>
      <c r="AE50" s="716">
        <f>AD50-AC50</f>
        <v>4264.0266153845878</v>
      </c>
      <c r="AF50" s="710">
        <f>AF129/1.17</f>
        <v>111111.11111111112</v>
      </c>
      <c r="AG50" s="712">
        <f>AG129/1.17</f>
        <v>205128.20512820515</v>
      </c>
      <c r="AH50" s="712">
        <f>AH129/1.17</f>
        <v>205306.50384615385</v>
      </c>
      <c r="AI50" s="716">
        <f>AH50-AG50</f>
        <v>178.29871794869541</v>
      </c>
      <c r="AJ50" s="713">
        <f>X50+AB50+AF50</f>
        <v>393162.39316239319</v>
      </c>
      <c r="AK50" s="711">
        <f>AK129/1.17</f>
        <v>410256.41025641031</v>
      </c>
      <c r="AL50" s="712">
        <f t="shared" ref="AL50:AM53" si="149">Y50+AC50+AG50</f>
        <v>564102.56410256412</v>
      </c>
      <c r="AM50" s="520">
        <f t="shared" si="149"/>
        <v>594779.86806837609</v>
      </c>
      <c r="AN50" s="739">
        <f>AM50-AJ50</f>
        <v>201617.4749059829</v>
      </c>
      <c r="AO50" s="711">
        <f t="shared" si="94"/>
        <v>184523.45781196578</v>
      </c>
      <c r="AP50" s="521">
        <f>AM50-AL50</f>
        <v>30677.303965811967</v>
      </c>
      <c r="AQ50" s="713">
        <f>SUM(Q50,AJ50)</f>
        <v>888888.88888888888</v>
      </c>
      <c r="AR50" s="711">
        <f>AR129/1.17</f>
        <v>953846.15384615387</v>
      </c>
      <c r="AS50" s="520">
        <f t="shared" ref="AS50:AT53" si="150">S50+AL50</f>
        <v>1127962.5363247865</v>
      </c>
      <c r="AT50" s="520">
        <f t="shared" si="150"/>
        <v>1217576.9146495727</v>
      </c>
      <c r="AU50" s="517">
        <f>AT50-AQ50</f>
        <v>328688.02576068381</v>
      </c>
      <c r="AV50" s="711">
        <f t="shared" si="95"/>
        <v>263730.76080341882</v>
      </c>
      <c r="AW50" s="521">
        <f>AT50-AS50</f>
        <v>89614.378324786201</v>
      </c>
      <c r="AX50" s="708">
        <f>AQ50/6</f>
        <v>148148.14814814815</v>
      </c>
      <c r="AY50" s="709">
        <f>AR50/6</f>
        <v>158974.35897435897</v>
      </c>
      <c r="AZ50" s="709">
        <f>AT50/6</f>
        <v>202929.48577492879</v>
      </c>
      <c r="BA50" s="1239">
        <f>AZ50/AX50</f>
        <v>1.3697740289807694</v>
      </c>
      <c r="BB50" s="516">
        <f>AZ50-AX50</f>
        <v>54781.337626780645</v>
      </c>
      <c r="BC50" s="516">
        <f>AZ50-AY50</f>
        <v>43955.126800569822</v>
      </c>
      <c r="BD50" s="516">
        <f>AW50/6</f>
        <v>14935.729720797701</v>
      </c>
      <c r="BE50" s="710">
        <f>BE129/1.17</f>
        <v>213675.21367521369</v>
      </c>
      <c r="BF50" s="712">
        <f>BF129/1.17</f>
        <v>213675.21367521369</v>
      </c>
      <c r="BG50" s="712">
        <f>BG129/1.17</f>
        <v>156424.42393162395</v>
      </c>
      <c r="BH50" s="521">
        <f>BG50-BF50</f>
        <v>-57250.789743589732</v>
      </c>
      <c r="BI50" s="710">
        <f>BI129/1.17</f>
        <v>119658.11965811967</v>
      </c>
      <c r="BJ50" s="712">
        <f>BJ129/1.17</f>
        <v>102564.10256410258</v>
      </c>
      <c r="BK50" s="712">
        <f>BK129/1.17</f>
        <v>102787.00128205128</v>
      </c>
      <c r="BL50" s="521">
        <f>BK50-BJ50</f>
        <v>222.89871794870123</v>
      </c>
      <c r="BM50" s="710">
        <f>BM129/1.17</f>
        <v>153846.15384615384</v>
      </c>
      <c r="BN50" s="712">
        <f>BN129/1.17</f>
        <v>145299.14529914531</v>
      </c>
      <c r="BO50" s="712">
        <f>BO129/1.17</f>
        <v>139804.84487179489</v>
      </c>
      <c r="BP50" s="521">
        <f>BO50-BN50</f>
        <v>-5494.3004273504193</v>
      </c>
      <c r="BQ50" s="713">
        <f>BE50+BI50+BM50</f>
        <v>487179.48717948725</v>
      </c>
      <c r="BR50" s="714"/>
      <c r="BS50" s="711">
        <f t="shared" ref="BS50:BT53" si="151">BF50+BJ50+BN50</f>
        <v>461538.46153846156</v>
      </c>
      <c r="BT50" s="520">
        <f t="shared" si="151"/>
        <v>399016.27008547017</v>
      </c>
      <c r="BU50" s="712">
        <f>BT50-BQ50</f>
        <v>-88163.217094017076</v>
      </c>
      <c r="BV50" s="711"/>
      <c r="BW50" s="521">
        <f>BT50-BS50</f>
        <v>-62522.191452991392</v>
      </c>
      <c r="BX50" s="710">
        <f>BX129/1.17</f>
        <v>153846.15384615384</v>
      </c>
      <c r="BY50" s="712">
        <f>BY129/1.17</f>
        <v>185470.08547008547</v>
      </c>
      <c r="BZ50" s="712">
        <f>BZ129/1.17</f>
        <v>171499.79145299149</v>
      </c>
      <c r="CA50" s="716">
        <f>BZ50-BY50</f>
        <v>-13970.294017093984</v>
      </c>
      <c r="CB50" s="710">
        <f>CB129/1.17</f>
        <v>136752.13675213675</v>
      </c>
      <c r="CC50" s="712">
        <f>CC129/1.17</f>
        <v>188034.18803418803</v>
      </c>
      <c r="CD50" s="712">
        <f>CD129/1.17</f>
        <v>128205.12820512822</v>
      </c>
      <c r="CE50" s="716">
        <f>CD50-CC50</f>
        <v>-59829.059829059814</v>
      </c>
      <c r="CF50" s="710">
        <f>CF129/1.17</f>
        <v>128205.12820512822</v>
      </c>
      <c r="CG50" s="712">
        <f>CG129/1.17</f>
        <v>128205.12820512822</v>
      </c>
      <c r="CH50" s="712">
        <f>CH129/1.17</f>
        <v>85470.085470085469</v>
      </c>
      <c r="CI50" s="716">
        <f>CH50-CG50</f>
        <v>-42735.042735042749</v>
      </c>
      <c r="CJ50" s="713">
        <f>BX50+CB50+CF50</f>
        <v>418803.41880341887</v>
      </c>
      <c r="CK50" s="714"/>
      <c r="CL50" s="711">
        <f t="shared" ref="CL50:CM53" si="152">BY50+CC50+CG50</f>
        <v>501709.40170940175</v>
      </c>
      <c r="CM50" s="520">
        <f t="shared" si="152"/>
        <v>385175.00512820517</v>
      </c>
      <c r="CN50" s="739">
        <f>CM50-CJ50</f>
        <v>-33628.413675213698</v>
      </c>
      <c r="CO50" s="739"/>
      <c r="CP50" s="521">
        <f>CM50-CL50</f>
        <v>-116534.39658119658</v>
      </c>
      <c r="CQ50" s="713">
        <f>SUM(BQ50,CJ50)</f>
        <v>905982.90598290612</v>
      </c>
      <c r="CR50" s="1340"/>
      <c r="CS50" s="1334">
        <f t="shared" ref="CS50:CT53" si="153">BS50+CL50</f>
        <v>963247.86324786325</v>
      </c>
      <c r="CT50" s="520">
        <f t="shared" si="153"/>
        <v>784191.27521367534</v>
      </c>
      <c r="CU50" s="517">
        <f>CT50-CQ50</f>
        <v>-121791.63076923077</v>
      </c>
      <c r="CV50" s="517"/>
      <c r="CW50" s="521">
        <f>CT50-CS50</f>
        <v>-179056.58803418791</v>
      </c>
      <c r="CX50" s="708">
        <f>CQ50/6</f>
        <v>150997.15099715101</v>
      </c>
      <c r="CY50" s="709">
        <f>CT50/6</f>
        <v>130698.54586894589</v>
      </c>
      <c r="CZ50" s="1386">
        <f>CY50/CX50</f>
        <v>0.86556961509433972</v>
      </c>
      <c r="DA50" s="555">
        <f>CY50-CX50</f>
        <v>-20298.605128205119</v>
      </c>
      <c r="DB50" s="555">
        <f>CW50/6</f>
        <v>-29842.76467236465</v>
      </c>
      <c r="DC50" s="516"/>
      <c r="DD50" s="516"/>
    </row>
    <row r="51" spans="1:108">
      <c r="A51" s="659"/>
      <c r="B51" s="663"/>
      <c r="C51" s="670" t="s">
        <v>327</v>
      </c>
      <c r="D51" s="668"/>
      <c r="E51" s="692">
        <f>E132/1.17</f>
        <v>38105.128205128211</v>
      </c>
      <c r="F51" s="685">
        <f>F132/1.17</f>
        <v>38461.538461538461</v>
      </c>
      <c r="G51" s="685">
        <f>G132/1.17</f>
        <v>54233.472623931622</v>
      </c>
      <c r="H51" s="528">
        <f>G51-F51</f>
        <v>15771.934162393161</v>
      </c>
      <c r="I51" s="692">
        <f>I132/1.17</f>
        <v>38105.128205128211</v>
      </c>
      <c r="J51" s="685">
        <f>J132/1.17</f>
        <v>42735.042735042734</v>
      </c>
      <c r="K51" s="685">
        <f>K132/1.17</f>
        <v>40258.974358974359</v>
      </c>
      <c r="L51" s="528">
        <f>K51-J51</f>
        <v>-2476.0683760683751</v>
      </c>
      <c r="M51" s="692">
        <f>M132/1.17</f>
        <v>38105.128205128211</v>
      </c>
      <c r="N51" s="685">
        <f>N132/1.17</f>
        <v>47008.547008547008</v>
      </c>
      <c r="O51" s="685">
        <f>O132/1.17</f>
        <v>48672.649572649578</v>
      </c>
      <c r="P51" s="528">
        <f>O51-N51</f>
        <v>1664.1025641025699</v>
      </c>
      <c r="Q51" s="529">
        <f>E51+I51+M51</f>
        <v>114315.38461538462</v>
      </c>
      <c r="R51" s="537">
        <f>R132/1.17</f>
        <v>114315.38461538462</v>
      </c>
      <c r="S51" s="537">
        <f>G51+J51+N51</f>
        <v>143977.06236752137</v>
      </c>
      <c r="T51" s="530">
        <f>G51+K51+O51</f>
        <v>143165.09655555556</v>
      </c>
      <c r="U51" s="685">
        <f>T51-Q51</f>
        <v>28849.711940170935</v>
      </c>
      <c r="V51" s="724">
        <f t="shared" si="93"/>
        <v>28849.711940170935</v>
      </c>
      <c r="W51" s="528">
        <f>T51-S51</f>
        <v>-811.96581196581246</v>
      </c>
      <c r="X51" s="692">
        <f>X132/1.17</f>
        <v>38105.128205128211</v>
      </c>
      <c r="Y51" s="685">
        <f>Y132/1.17</f>
        <v>42735.042735042734</v>
      </c>
      <c r="Z51" s="685">
        <f>Z132/1.17</f>
        <v>44897.198290598295</v>
      </c>
      <c r="AA51" s="528">
        <f>Z51-Y51</f>
        <v>2162.1555555555606</v>
      </c>
      <c r="AB51" s="692">
        <f>AB132/1.17</f>
        <v>38105.128205128211</v>
      </c>
      <c r="AC51" s="685">
        <f>AC132/1.17</f>
        <v>51282.051282051289</v>
      </c>
      <c r="AD51" s="685">
        <f>AD132/1.17</f>
        <v>52729.217140000008</v>
      </c>
      <c r="AE51" s="694">
        <f>AD51-AC51</f>
        <v>1447.1658579487193</v>
      </c>
      <c r="AF51" s="692">
        <f>AF132/1.17</f>
        <v>38105.128205128211</v>
      </c>
      <c r="AG51" s="685">
        <f>AG132/1.17</f>
        <v>55555.555555555562</v>
      </c>
      <c r="AH51" s="685">
        <f>AH132/1.17</f>
        <v>49536.925660000008</v>
      </c>
      <c r="AI51" s="694">
        <f>AH51-AG51</f>
        <v>-6018.629895555554</v>
      </c>
      <c r="AJ51" s="529">
        <f>X51+AB51+AF51</f>
        <v>114315.38461538462</v>
      </c>
      <c r="AK51" s="638">
        <f>AK132/1.17</f>
        <v>114315.38461538462</v>
      </c>
      <c r="AL51" s="537">
        <f t="shared" si="149"/>
        <v>149572.64957264959</v>
      </c>
      <c r="AM51" s="530">
        <f t="shared" si="149"/>
        <v>147163.34109059832</v>
      </c>
      <c r="AN51" s="693">
        <f>AM51-AJ51</f>
        <v>32847.956475213694</v>
      </c>
      <c r="AO51" s="724">
        <f t="shared" si="94"/>
        <v>32847.956475213694</v>
      </c>
      <c r="AP51" s="528">
        <f>AM51-AL51</f>
        <v>-2409.308482051274</v>
      </c>
      <c r="AQ51" s="529">
        <f>SUM(Q51,AJ51)</f>
        <v>228630.76923076925</v>
      </c>
      <c r="AR51" s="686">
        <f>AR132/1.17</f>
        <v>228630.76923076925</v>
      </c>
      <c r="AS51" s="727">
        <f t="shared" si="150"/>
        <v>293549.71194017096</v>
      </c>
      <c r="AT51" s="530">
        <f t="shared" si="150"/>
        <v>290328.43764615385</v>
      </c>
      <c r="AU51" s="640">
        <f>AT51-AQ51</f>
        <v>61697.6684153846</v>
      </c>
      <c r="AV51" s="724">
        <f t="shared" si="95"/>
        <v>61697.6684153846</v>
      </c>
      <c r="AW51" s="528">
        <f>AT51-AS51</f>
        <v>-3221.2742940171156</v>
      </c>
      <c r="AX51" s="722"/>
      <c r="AY51" s="723"/>
      <c r="AZ51" s="723"/>
      <c r="BE51" s="692">
        <f>BE132/1.17</f>
        <v>47961.538461538461</v>
      </c>
      <c r="BF51" s="685">
        <f>BF132/1.17</f>
        <v>47863.247863247867</v>
      </c>
      <c r="BG51" s="685">
        <f>BG132/1.17</f>
        <v>49031.730769230773</v>
      </c>
      <c r="BH51" s="528">
        <f>BG51-BF51</f>
        <v>1168.4829059829062</v>
      </c>
      <c r="BI51" s="692">
        <f>BI132/1.17</f>
        <v>47961.538461538461</v>
      </c>
      <c r="BJ51" s="685">
        <f>BJ132/1.17</f>
        <v>43589.743589743593</v>
      </c>
      <c r="BK51" s="685">
        <f>BK132/1.17</f>
        <v>39698.56366</v>
      </c>
      <c r="BL51" s="528">
        <f>BK51-BJ51</f>
        <v>-3891.1799297435937</v>
      </c>
      <c r="BM51" s="692">
        <f>BM132/1.17</f>
        <v>47961.538461538461</v>
      </c>
      <c r="BN51" s="685">
        <f>BN132/1.17</f>
        <v>39316.23931623932</v>
      </c>
      <c r="BO51" s="685">
        <f>BO132/1.17</f>
        <v>39431.300800000005</v>
      </c>
      <c r="BP51" s="528">
        <f>BO51-BN51</f>
        <v>115.0614837606845</v>
      </c>
      <c r="BQ51" s="529">
        <f>BE51+BI51+BM51</f>
        <v>143884.61538461538</v>
      </c>
      <c r="BR51" s="773"/>
      <c r="BS51" s="1345">
        <f t="shared" si="151"/>
        <v>130769.23076923078</v>
      </c>
      <c r="BT51" s="530">
        <f t="shared" si="151"/>
        <v>128161.59522923076</v>
      </c>
      <c r="BU51" s="685">
        <f>BT51-BQ51</f>
        <v>-15723.020155384613</v>
      </c>
      <c r="BV51" s="724"/>
      <c r="BW51" s="528">
        <f>BT51-BS51</f>
        <v>-2607.6355400000175</v>
      </c>
      <c r="BX51" s="692">
        <f>BX132/1.17</f>
        <v>48141.025641025641</v>
      </c>
      <c r="BY51" s="685">
        <f>BY132/1.17</f>
        <v>41880.341880341883</v>
      </c>
      <c r="BZ51" s="685">
        <f>BZ132/1.17</f>
        <v>33231.50776</v>
      </c>
      <c r="CA51" s="694">
        <f>BZ51-BY51</f>
        <v>-8648.8341203418822</v>
      </c>
      <c r="CB51" s="692">
        <f>CB132/1.17</f>
        <v>48141.025641025641</v>
      </c>
      <c r="CC51" s="685">
        <f>CC132/1.17</f>
        <v>41452.991452991453</v>
      </c>
      <c r="CD51" s="685">
        <f>CD132/1.17</f>
        <v>36752.136752136757</v>
      </c>
      <c r="CE51" s="694">
        <f>CD51-CC51</f>
        <v>-4700.8547008546957</v>
      </c>
      <c r="CF51" s="692">
        <f>CF132/1.17</f>
        <v>48141.025641025641</v>
      </c>
      <c r="CG51" s="685">
        <f>CG132/1.17</f>
        <v>39316.23931623932</v>
      </c>
      <c r="CH51" s="685">
        <f>CH132/1.17</f>
        <v>33333.333333333336</v>
      </c>
      <c r="CI51" s="694">
        <f>CH51-CG51</f>
        <v>-5982.9059829059843</v>
      </c>
      <c r="CJ51" s="529">
        <f>BX51+CB51+CF51</f>
        <v>144423.07692307694</v>
      </c>
      <c r="CK51" s="773"/>
      <c r="CL51" s="1345">
        <f t="shared" si="152"/>
        <v>122649.57264957266</v>
      </c>
      <c r="CM51" s="530">
        <f t="shared" si="152"/>
        <v>103316.9778454701</v>
      </c>
      <c r="CN51" s="693">
        <f>CM51-CJ51</f>
        <v>-41106.099077606836</v>
      </c>
      <c r="CO51" s="693"/>
      <c r="CP51" s="528">
        <f>CM51-CL51</f>
        <v>-19332.594804102555</v>
      </c>
      <c r="CQ51" s="529">
        <f>SUM(BQ51,CJ51)</f>
        <v>288307.69230769231</v>
      </c>
      <c r="CR51" s="531"/>
      <c r="CS51" s="1335">
        <f t="shared" si="153"/>
        <v>253418.80341880344</v>
      </c>
      <c r="CT51" s="530">
        <f t="shared" si="153"/>
        <v>231478.57307470086</v>
      </c>
      <c r="CU51" s="640">
        <f>CT51-CQ51</f>
        <v>-56829.119232991448</v>
      </c>
      <c r="CV51" s="640"/>
      <c r="CW51" s="528">
        <f>CT51-CS51</f>
        <v>-21940.230344102572</v>
      </c>
      <c r="CX51" s="722"/>
      <c r="CY51" s="723"/>
      <c r="CZ51" s="556"/>
      <c r="DA51" s="556"/>
      <c r="DB51" s="556"/>
      <c r="DC51" s="493"/>
      <c r="DD51" s="493"/>
    </row>
    <row r="52" spans="1:108">
      <c r="A52" s="659"/>
      <c r="B52" s="663"/>
      <c r="C52" s="634" t="s">
        <v>328</v>
      </c>
      <c r="D52" s="635"/>
      <c r="E52" s="692">
        <f>E135/1.17</f>
        <v>44017.094017094023</v>
      </c>
      <c r="F52" s="685">
        <f>F135/1.17</f>
        <v>38461.538461538461</v>
      </c>
      <c r="G52" s="685">
        <v>68305.157999999996</v>
      </c>
      <c r="H52" s="528">
        <f>G52-F52</f>
        <v>29843.619538461535</v>
      </c>
      <c r="I52" s="692">
        <f>I135/1.17</f>
        <v>44017.094017094023</v>
      </c>
      <c r="J52" s="685">
        <f>J135/1.17</f>
        <v>42735.042735042734</v>
      </c>
      <c r="K52" s="685">
        <f>K135/1.17</f>
        <v>61919.658119658125</v>
      </c>
      <c r="L52" s="528">
        <f>K52-J52</f>
        <v>19184.61538461539</v>
      </c>
      <c r="M52" s="692">
        <f>M135/1.17</f>
        <v>44017.094017094023</v>
      </c>
      <c r="N52" s="685">
        <f>N135/1.17</f>
        <v>55555.555555555562</v>
      </c>
      <c r="O52" s="1235">
        <v>54723.076923076929</v>
      </c>
      <c r="P52" s="528">
        <f>O52-N52</f>
        <v>-832.47863247863279</v>
      </c>
      <c r="Q52" s="525">
        <f>E52+I52+M52</f>
        <v>132051.28205128206</v>
      </c>
      <c r="R52" s="537">
        <f>R135/1.17</f>
        <v>201941.02564102566</v>
      </c>
      <c r="S52" s="537">
        <f>G52+J52+N52</f>
        <v>166595.75629059831</v>
      </c>
      <c r="T52" s="526">
        <f>G52+K52+O52</f>
        <v>184947.89304273506</v>
      </c>
      <c r="U52" s="699">
        <f>T52-Q52</f>
        <v>52896.610991452995</v>
      </c>
      <c r="V52" s="717">
        <f t="shared" si="93"/>
        <v>-16993.132598290598</v>
      </c>
      <c r="W52" s="508">
        <f>T52-S52</f>
        <v>18352.13675213675</v>
      </c>
      <c r="X52" s="692">
        <f>X135/1.17</f>
        <v>63105.128205128211</v>
      </c>
      <c r="Y52" s="685">
        <f>Y135/1.17</f>
        <v>59829.059829059835</v>
      </c>
      <c r="Z52" s="1242">
        <v>54620.042000000001</v>
      </c>
      <c r="AA52" s="528">
        <f>Z52-Y52</f>
        <v>-5209.0178290598342</v>
      </c>
      <c r="AB52" s="692">
        <f>AB135/1.17</f>
        <v>63105.128205128211</v>
      </c>
      <c r="AC52" s="685">
        <f>AC135/1.17</f>
        <v>59829.059829059835</v>
      </c>
      <c r="AD52" s="685">
        <f>AD135/1.17</f>
        <v>68814.830820000003</v>
      </c>
      <c r="AE52" s="694">
        <f>AD52-AC52</f>
        <v>8985.7709909401674</v>
      </c>
      <c r="AF52" s="692">
        <f>AF135/1.17</f>
        <v>63105.128205128211</v>
      </c>
      <c r="AG52" s="685">
        <f>AG135/1.17</f>
        <v>72649.572649572656</v>
      </c>
      <c r="AH52" s="1242">
        <v>69046.870999999999</v>
      </c>
      <c r="AI52" s="694">
        <f>AH52-AG52</f>
        <v>-3602.7016495726566</v>
      </c>
      <c r="AJ52" s="525">
        <f>X52+AB52+AF52</f>
        <v>189315.38461538462</v>
      </c>
      <c r="AK52" s="638">
        <f>AK135/1.17</f>
        <v>201941.02564102566</v>
      </c>
      <c r="AL52" s="537">
        <f t="shared" si="149"/>
        <v>192307.69230769231</v>
      </c>
      <c r="AM52" s="526">
        <f t="shared" si="149"/>
        <v>192481.74382</v>
      </c>
      <c r="AN52" s="721">
        <f>AM52-AJ52</f>
        <v>3166.359204615379</v>
      </c>
      <c r="AO52" s="717">
        <f t="shared" si="94"/>
        <v>-9459.2818210256519</v>
      </c>
      <c r="AP52" s="508">
        <f>AM52-AL52</f>
        <v>174.05151230769116</v>
      </c>
      <c r="AQ52" s="559">
        <f>SUM(Q52,AJ52)</f>
        <v>321366.66666666669</v>
      </c>
      <c r="AR52" s="686">
        <f>AR135/1.17</f>
        <v>403882.05128205131</v>
      </c>
      <c r="AS52" s="560">
        <f t="shared" si="150"/>
        <v>358903.44859829062</v>
      </c>
      <c r="AT52" s="560">
        <f t="shared" si="150"/>
        <v>377429.63686273503</v>
      </c>
      <c r="AU52" s="561">
        <f>AT52-AQ52</f>
        <v>56062.970196068345</v>
      </c>
      <c r="AV52" s="717">
        <f t="shared" si="95"/>
        <v>-26452.414419316279</v>
      </c>
      <c r="AW52" s="562">
        <f>AT52-AS52</f>
        <v>18526.188264444412</v>
      </c>
      <c r="AX52" s="722"/>
      <c r="AY52" s="723"/>
      <c r="AZ52" s="723"/>
      <c r="BE52" s="692">
        <f>BE135/1.17</f>
        <v>83076.923076923078</v>
      </c>
      <c r="BF52" s="685">
        <f>BF135/1.17</f>
        <v>74358.974358974359</v>
      </c>
      <c r="BG52" s="1235">
        <v>73641.266000000003</v>
      </c>
      <c r="BH52" s="528">
        <f>BG52-BF52</f>
        <v>-717.70835897435609</v>
      </c>
      <c r="BI52" s="692">
        <f>BI135/1.17</f>
        <v>83076.923076923078</v>
      </c>
      <c r="BJ52" s="685">
        <f>BJ135/1.17</f>
        <v>87179.487179487187</v>
      </c>
      <c r="BK52" s="685">
        <f>BK135/1.17</f>
        <v>79699.341859743596</v>
      </c>
      <c r="BL52" s="528">
        <f>BK52-BJ52</f>
        <v>-7480.1453197435912</v>
      </c>
      <c r="BM52" s="692">
        <f>BM135/1.17</f>
        <v>83076.923076923078</v>
      </c>
      <c r="BN52" s="685">
        <f>BN135/1.17</f>
        <v>78632.47863247864</v>
      </c>
      <c r="BO52" s="1235">
        <v>61711</v>
      </c>
      <c r="BP52" s="528">
        <f>BO52-BN52</f>
        <v>-16921.47863247864</v>
      </c>
      <c r="BQ52" s="525">
        <f>BE52+BI52+BM52</f>
        <v>249230.76923076925</v>
      </c>
      <c r="BR52" s="1344"/>
      <c r="BS52" s="1345">
        <f t="shared" si="151"/>
        <v>240170.94017094019</v>
      </c>
      <c r="BT52" s="526">
        <f t="shared" si="151"/>
        <v>215051.60785974358</v>
      </c>
      <c r="BU52" s="699">
        <f>BT52-BQ52</f>
        <v>-34179.161371025664</v>
      </c>
      <c r="BV52" s="717"/>
      <c r="BW52" s="508">
        <f>BT52-BS52</f>
        <v>-25119.332311196602</v>
      </c>
      <c r="BX52" s="692">
        <f>BX135/1.17</f>
        <v>90598.290598290609</v>
      </c>
      <c r="BY52" s="685">
        <f>BY135/1.17</f>
        <v>85897.435897435906</v>
      </c>
      <c r="BZ52" s="685">
        <f>BZ135/1.17</f>
        <v>112241.34977</v>
      </c>
      <c r="CA52" s="694">
        <f>BZ52-BY52</f>
        <v>26343.913872564095</v>
      </c>
      <c r="CB52" s="692">
        <f>CB135/1.17</f>
        <v>90598.290598290609</v>
      </c>
      <c r="CC52" s="685">
        <f>CC135/1.17</f>
        <v>115384.61538461539</v>
      </c>
      <c r="CD52" s="685">
        <f>CD135/1.17</f>
        <v>75213.675213675218</v>
      </c>
      <c r="CE52" s="694">
        <f>CD52-CC52</f>
        <v>-40170.940170940172</v>
      </c>
      <c r="CF52" s="692">
        <f>CF135/1.17</f>
        <v>90598.290598290609</v>
      </c>
      <c r="CG52" s="685">
        <f>CG135/1.17</f>
        <v>79059.829059829062</v>
      </c>
      <c r="CH52" s="685">
        <f>CH135/1.17</f>
        <v>47008.547008547008</v>
      </c>
      <c r="CI52" s="694">
        <f>CH52-CG52</f>
        <v>-32051.282051282054</v>
      </c>
      <c r="CJ52" s="525">
        <f>BX52+CB52+CF52</f>
        <v>271794.87179487181</v>
      </c>
      <c r="CK52" s="1344"/>
      <c r="CL52" s="1345">
        <f t="shared" si="152"/>
        <v>280341.88034188037</v>
      </c>
      <c r="CM52" s="526">
        <f t="shared" si="152"/>
        <v>234463.57199222222</v>
      </c>
      <c r="CN52" s="721">
        <f>CM52-CJ52</f>
        <v>-37331.299802649592</v>
      </c>
      <c r="CO52" s="721"/>
      <c r="CP52" s="508">
        <f>CM52-CL52</f>
        <v>-45878.308349658153</v>
      </c>
      <c r="CQ52" s="559">
        <f>SUM(BQ52,CJ52)</f>
        <v>521025.64102564106</v>
      </c>
      <c r="CR52" s="1346"/>
      <c r="CS52" s="1346">
        <f t="shared" si="153"/>
        <v>520512.82051282056</v>
      </c>
      <c r="CT52" s="560">
        <f t="shared" si="153"/>
        <v>449515.1798519658</v>
      </c>
      <c r="CU52" s="561">
        <f>CT52-CQ52</f>
        <v>-71510.461173675256</v>
      </c>
      <c r="CV52" s="561"/>
      <c r="CW52" s="562">
        <f>CT52-CS52</f>
        <v>-70997.640660854755</v>
      </c>
      <c r="CX52" s="722"/>
      <c r="CY52" s="723"/>
      <c r="CZ52" s="556"/>
      <c r="DA52" s="556"/>
      <c r="DB52" s="556"/>
      <c r="DC52" s="493"/>
      <c r="DD52" s="493"/>
    </row>
    <row r="53" spans="1:108">
      <c r="A53" s="659"/>
      <c r="B53" s="663"/>
      <c r="C53" s="634" t="s">
        <v>471</v>
      </c>
      <c r="D53" s="635"/>
      <c r="E53" s="692">
        <f>E137/1.17</f>
        <v>0</v>
      </c>
      <c r="F53" s="685">
        <f>F137/1.17</f>
        <v>0</v>
      </c>
      <c r="G53" s="685">
        <f>G137/1.17</f>
        <v>0</v>
      </c>
      <c r="H53" s="528">
        <f>G53-F53</f>
        <v>0</v>
      </c>
      <c r="I53" s="692">
        <f>I137/1.17</f>
        <v>0</v>
      </c>
      <c r="J53" s="685">
        <f>J137/1.17</f>
        <v>0</v>
      </c>
      <c r="K53" s="685">
        <f>K137/1.17</f>
        <v>0</v>
      </c>
      <c r="L53" s="528">
        <f>K53-J53</f>
        <v>0</v>
      </c>
      <c r="M53" s="692">
        <f>M137/1.17</f>
        <v>0</v>
      </c>
      <c r="N53" s="685">
        <f>N137/1.17</f>
        <v>0</v>
      </c>
      <c r="O53" s="685">
        <f>O137/1.17</f>
        <v>0</v>
      </c>
      <c r="P53" s="528">
        <f>O53-N53</f>
        <v>0</v>
      </c>
      <c r="Q53" s="525">
        <f>E53+I53+M53</f>
        <v>0</v>
      </c>
      <c r="R53" s="537">
        <f>R137/1.17</f>
        <v>0</v>
      </c>
      <c r="S53" s="537">
        <f>G53+J53+N53</f>
        <v>0</v>
      </c>
      <c r="T53" s="526">
        <f>G53+K53+O53</f>
        <v>0</v>
      </c>
      <c r="U53" s="699">
        <f>T53-Q53</f>
        <v>0</v>
      </c>
      <c r="V53" s="717">
        <f t="shared" si="93"/>
        <v>0</v>
      </c>
      <c r="W53" s="508">
        <f>T53-S53</f>
        <v>0</v>
      </c>
      <c r="X53" s="692">
        <f>X137/1.17</f>
        <v>0</v>
      </c>
      <c r="Y53" s="685">
        <f>Y137/1.17</f>
        <v>0</v>
      </c>
      <c r="Z53" s="685">
        <f>Z137/1.17</f>
        <v>0</v>
      </c>
      <c r="AA53" s="528">
        <f>Z53-Y53</f>
        <v>0</v>
      </c>
      <c r="AB53" s="692">
        <f>AB137/1.17</f>
        <v>0</v>
      </c>
      <c r="AC53" s="685">
        <f>AC137/1.17</f>
        <v>0</v>
      </c>
      <c r="AD53" s="685">
        <f>AD137/1.17</f>
        <v>0</v>
      </c>
      <c r="AE53" s="694">
        <f>AD53-AC53</f>
        <v>0</v>
      </c>
      <c r="AF53" s="692">
        <f>AF137/1.17</f>
        <v>0</v>
      </c>
      <c r="AG53" s="685">
        <f>AG137/1.17</f>
        <v>0</v>
      </c>
      <c r="AH53" s="685">
        <f>AH137/1.17</f>
        <v>0</v>
      </c>
      <c r="AI53" s="694">
        <f>AH53-AG53</f>
        <v>0</v>
      </c>
      <c r="AJ53" s="525">
        <f>X53+AB53+AF53</f>
        <v>0</v>
      </c>
      <c r="AK53" s="638">
        <f>AK137/1.17</f>
        <v>0</v>
      </c>
      <c r="AL53" s="537">
        <f t="shared" si="149"/>
        <v>0</v>
      </c>
      <c r="AM53" s="526">
        <f t="shared" si="149"/>
        <v>0</v>
      </c>
      <c r="AN53" s="721">
        <f>AM53-AJ53</f>
        <v>0</v>
      </c>
      <c r="AO53" s="717">
        <f t="shared" si="94"/>
        <v>0</v>
      </c>
      <c r="AP53" s="508">
        <f>AM53-AL53</f>
        <v>0</v>
      </c>
      <c r="AQ53" s="559">
        <f>SUM(Q53,AJ53)</f>
        <v>0</v>
      </c>
      <c r="AR53" s="686">
        <f>AR137/1.17</f>
        <v>0</v>
      </c>
      <c r="AS53" s="560">
        <f t="shared" si="150"/>
        <v>0</v>
      </c>
      <c r="AT53" s="560">
        <f t="shared" si="150"/>
        <v>0</v>
      </c>
      <c r="AU53" s="561">
        <f>AT53-AQ53</f>
        <v>0</v>
      </c>
      <c r="AV53" s="717">
        <f t="shared" si="95"/>
        <v>0</v>
      </c>
      <c r="AW53" s="562">
        <f>AT53-AS53</f>
        <v>0</v>
      </c>
      <c r="AX53" s="722"/>
      <c r="AY53" s="723"/>
      <c r="AZ53" s="723"/>
      <c r="BE53" s="692">
        <f>BE137/1.17</f>
        <v>0</v>
      </c>
      <c r="BF53" s="685">
        <f>BF137/1.17</f>
        <v>3632.4786324786328</v>
      </c>
      <c r="BG53" s="685">
        <f>BG137/1.17</f>
        <v>4028.7822393162396</v>
      </c>
      <c r="BH53" s="528">
        <f>BG53-BF53</f>
        <v>396.30360683760682</v>
      </c>
      <c r="BI53" s="692">
        <f>BI137/1.17</f>
        <v>0</v>
      </c>
      <c r="BJ53" s="685">
        <f>BJ137/1.17</f>
        <v>9957.264957264957</v>
      </c>
      <c r="BK53" s="685">
        <f>BK137/1.17</f>
        <v>4849.3196600000001</v>
      </c>
      <c r="BL53" s="528">
        <f>BK53-BJ53</f>
        <v>-5107.9452972649569</v>
      </c>
      <c r="BM53" s="692">
        <f>BM137/1.17</f>
        <v>0</v>
      </c>
      <c r="BN53" s="685">
        <f>BN137/1.17</f>
        <v>13076.923076923078</v>
      </c>
      <c r="BO53" s="685">
        <f>BO137/1.17</f>
        <v>366.23931623931628</v>
      </c>
      <c r="BP53" s="528">
        <f>BO53-BN53</f>
        <v>-12710.683760683762</v>
      </c>
      <c r="BQ53" s="525">
        <f>BE53+BI53+BM53</f>
        <v>0</v>
      </c>
      <c r="BR53" s="1344"/>
      <c r="BS53" s="1345">
        <f t="shared" si="151"/>
        <v>26666.666666666668</v>
      </c>
      <c r="BT53" s="526">
        <f t="shared" si="151"/>
        <v>9244.3412155555561</v>
      </c>
      <c r="BU53" s="699">
        <f>BT53-BQ53</f>
        <v>9244.3412155555561</v>
      </c>
      <c r="BV53" s="717"/>
      <c r="BW53" s="508">
        <f>BT53-BS53</f>
        <v>-17422.325451111112</v>
      </c>
      <c r="BX53" s="692">
        <f>BX137/1.17</f>
        <v>0</v>
      </c>
      <c r="BY53" s="685">
        <f>BY137/1.17</f>
        <v>5324.7863247863252</v>
      </c>
      <c r="BZ53" s="685">
        <f>BZ137/1.17</f>
        <v>12199.74359</v>
      </c>
      <c r="CA53" s="694">
        <f>BZ53-BY53</f>
        <v>6874.9572652136749</v>
      </c>
      <c r="CB53" s="692">
        <f>CB137/1.17</f>
        <v>0</v>
      </c>
      <c r="CC53" s="685">
        <f>CC137/1.17</f>
        <v>11410.25641025641</v>
      </c>
      <c r="CD53" s="685">
        <f>CD137/1.17</f>
        <v>5324.7863247863252</v>
      </c>
      <c r="CE53" s="694">
        <f>CD53-CC53</f>
        <v>-6085.470085470085</v>
      </c>
      <c r="CF53" s="692">
        <f>CF137/1.17</f>
        <v>0</v>
      </c>
      <c r="CG53" s="685">
        <f>CG137/1.17</f>
        <v>11410.25641025641</v>
      </c>
      <c r="CH53" s="685">
        <f>CH137/1.17</f>
        <v>5324.7863247863252</v>
      </c>
      <c r="CI53" s="694">
        <f>CH53-CG53</f>
        <v>-6085.470085470085</v>
      </c>
      <c r="CJ53" s="525">
        <f>BX53+CB53+CF53</f>
        <v>0</v>
      </c>
      <c r="CK53" s="1344"/>
      <c r="CL53" s="1345">
        <f t="shared" si="152"/>
        <v>28145.299145299145</v>
      </c>
      <c r="CM53" s="526">
        <f t="shared" si="152"/>
        <v>22849.31623957265</v>
      </c>
      <c r="CN53" s="721">
        <f>CM53-CJ53</f>
        <v>22849.31623957265</v>
      </c>
      <c r="CO53" s="721"/>
      <c r="CP53" s="508">
        <f>CM53-CL53</f>
        <v>-5295.9829057264942</v>
      </c>
      <c r="CQ53" s="559">
        <f>SUM(BQ53,CJ53)</f>
        <v>0</v>
      </c>
      <c r="CR53" s="1346"/>
      <c r="CS53" s="1346">
        <f t="shared" si="153"/>
        <v>54811.965811965812</v>
      </c>
      <c r="CT53" s="560">
        <f t="shared" si="153"/>
        <v>32093.657455128206</v>
      </c>
      <c r="CU53" s="561">
        <f>CT53-CQ53</f>
        <v>32093.657455128206</v>
      </c>
      <c r="CV53" s="561"/>
      <c r="CW53" s="562">
        <f>CT53-CS53</f>
        <v>-22718.308356837606</v>
      </c>
      <c r="CX53" s="722"/>
      <c r="CY53" s="723"/>
      <c r="CZ53" s="556"/>
      <c r="DA53" s="556"/>
      <c r="DB53" s="556"/>
      <c r="DC53" s="493"/>
      <c r="DD53" s="493"/>
    </row>
    <row r="54" spans="1:108">
      <c r="A54" s="659"/>
      <c r="B54" s="664"/>
      <c r="C54" s="664"/>
      <c r="D54" s="665"/>
      <c r="E54" s="684"/>
      <c r="F54" s="735"/>
      <c r="G54" s="735"/>
      <c r="H54" s="705">
        <f>G55/F55</f>
        <v>1.5930021981111111</v>
      </c>
      <c r="I54" s="684"/>
      <c r="J54" s="735"/>
      <c r="K54" s="735"/>
      <c r="L54" s="1068">
        <f>K55/J55</f>
        <v>1.1954900000000002</v>
      </c>
      <c r="M54" s="684"/>
      <c r="N54" s="735"/>
      <c r="O54" s="735"/>
      <c r="P54" s="1068">
        <f>O55/N55</f>
        <v>1.0081083333333334</v>
      </c>
      <c r="Q54" s="607"/>
      <c r="R54" s="743"/>
      <c r="S54" s="743"/>
      <c r="T54" s="596"/>
      <c r="U54" s="1077">
        <f>T55/Q55</f>
        <v>1.3318075616220699</v>
      </c>
      <c r="V54" s="1070">
        <f>T55/R55</f>
        <v>1.0374904000594565</v>
      </c>
      <c r="W54" s="1068">
        <f>T55/S55</f>
        <v>1.0564768385590091</v>
      </c>
      <c r="X54" s="684"/>
      <c r="Y54" s="735"/>
      <c r="Z54" s="735"/>
      <c r="AA54" s="1068">
        <f>Z55/Y55</f>
        <v>0.97029309283333343</v>
      </c>
      <c r="AB54" s="684"/>
      <c r="AC54" s="741"/>
      <c r="AD54" s="735"/>
      <c r="AE54" s="1082">
        <f>AD55/AC55</f>
        <v>1.0938964316399999</v>
      </c>
      <c r="AF54" s="684"/>
      <c r="AG54" s="741"/>
      <c r="AH54" s="735"/>
      <c r="AI54" s="1082">
        <f>AH55/AG55</f>
        <v>0.92495361394800002</v>
      </c>
      <c r="AJ54" s="607"/>
      <c r="AK54" s="770"/>
      <c r="AL54" s="743"/>
      <c r="AM54" s="596"/>
      <c r="AN54" s="1086">
        <f>AM55/AJ55</f>
        <v>1.1186122070930731</v>
      </c>
      <c r="AO54" s="1070">
        <f>AM55/AK55</f>
        <v>1.0739547844586781</v>
      </c>
      <c r="AP54" s="1083">
        <f>AM55/AL55</f>
        <v>0.99346187336350023</v>
      </c>
      <c r="AQ54" s="771"/>
      <c r="AR54" s="770"/>
      <c r="AS54" s="772"/>
      <c r="AT54" s="732"/>
      <c r="AU54" s="1076">
        <f>AT55/AQ55</f>
        <v>1.2141112502084701</v>
      </c>
      <c r="AV54" s="1070">
        <f>AT55/AR55</f>
        <v>1.0557225922590672</v>
      </c>
      <c r="AW54" s="1090">
        <f>AT55/AS55</f>
        <v>1.0234574907381802</v>
      </c>
      <c r="AX54" s="722"/>
      <c r="AY54" s="723"/>
      <c r="AZ54" s="723"/>
      <c r="BA54" s="556"/>
      <c r="BB54" s="556"/>
      <c r="BC54" s="556"/>
      <c r="BD54" s="556"/>
      <c r="BE54" s="684"/>
      <c r="BF54" s="735"/>
      <c r="BG54" s="735"/>
      <c r="BH54" s="1068">
        <f>BG55/BF55</f>
        <v>1.0036881553846153</v>
      </c>
      <c r="BI54" s="684"/>
      <c r="BJ54" s="735"/>
      <c r="BK54" s="735"/>
      <c r="BL54" s="1068">
        <f>BK55/BJ55</f>
        <v>0.91304280691568629</v>
      </c>
      <c r="BM54" s="684"/>
      <c r="BN54" s="741"/>
      <c r="BO54" s="735"/>
      <c r="BP54" s="1088">
        <f>BO55/BN55</f>
        <v>0.85751081113043459</v>
      </c>
      <c r="BQ54" s="607"/>
      <c r="BR54" s="773"/>
      <c r="BS54" s="742"/>
      <c r="BT54" s="596"/>
      <c r="BU54" s="1077">
        <f>BT55/BQ55</f>
        <v>0.87305970847405667</v>
      </c>
      <c r="BV54" s="1076"/>
      <c r="BW54" s="1068">
        <f>BT55/BS55</f>
        <v>0.92525218344262661</v>
      </c>
      <c r="BX54" s="684"/>
      <c r="BY54" s="741"/>
      <c r="BZ54" s="735"/>
      <c r="CA54" s="1089">
        <f>BZ55/BY55</f>
        <v>1.1384832328434782</v>
      </c>
      <c r="CB54" s="684"/>
      <c r="CC54" s="741"/>
      <c r="CD54" s="735"/>
      <c r="CE54" s="1082">
        <f>CD55/CC55</f>
        <v>0.71389645776566757</v>
      </c>
      <c r="CF54" s="684"/>
      <c r="CG54" s="741"/>
      <c r="CH54" s="735"/>
      <c r="CI54" s="1082">
        <f>CH55/CG55</f>
        <v>0.67870036101083031</v>
      </c>
      <c r="CJ54" s="607"/>
      <c r="CK54" s="773"/>
      <c r="CL54" s="742"/>
      <c r="CM54" s="596"/>
      <c r="CN54" s="1086">
        <f>CM55/CJ55</f>
        <v>0.81154729361897415</v>
      </c>
      <c r="CO54" s="1086"/>
      <c r="CP54" s="1083">
        <f>CM55/CL55</f>
        <v>0.83818291264072109</v>
      </c>
      <c r="CQ54" s="771"/>
      <c r="CR54" s="938"/>
      <c r="CS54" s="938"/>
      <c r="CT54" s="732"/>
      <c r="CU54" s="1076">
        <f>CT55/CQ55</f>
        <v>0.84142555962932453</v>
      </c>
      <c r="CV54" s="1076"/>
      <c r="CW54" s="1090">
        <f>CT55/CS55</f>
        <v>0.87991462277658739</v>
      </c>
      <c r="CX54" s="722"/>
      <c r="CY54" s="723"/>
      <c r="CZ54" s="556"/>
      <c r="DA54" s="556"/>
      <c r="DB54" s="556"/>
      <c r="DC54" s="556"/>
      <c r="DD54" s="556"/>
    </row>
    <row r="55" spans="1:108">
      <c r="A55" s="647" t="s">
        <v>345</v>
      </c>
      <c r="B55" s="661"/>
      <c r="C55" s="997"/>
      <c r="D55" s="995"/>
      <c r="E55" s="710">
        <f>E141/1.17</f>
        <v>82122.222222222234</v>
      </c>
      <c r="F55" s="712">
        <f>F141/1.17</f>
        <v>76923.076923076922</v>
      </c>
      <c r="G55" s="712">
        <f>G51+G52</f>
        <v>122538.63062393162</v>
      </c>
      <c r="H55" s="521">
        <f>G55-F55</f>
        <v>45615.553700854696</v>
      </c>
      <c r="I55" s="710">
        <f>I141/1.17</f>
        <v>82122.222222222234</v>
      </c>
      <c r="J55" s="712">
        <f>J51+J52</f>
        <v>85470.085470085469</v>
      </c>
      <c r="K55" s="712">
        <f>K51+K52</f>
        <v>102178.63247863248</v>
      </c>
      <c r="L55" s="521">
        <f>K55-J55</f>
        <v>16708.547008547015</v>
      </c>
      <c r="M55" s="710">
        <f>M51+M52</f>
        <v>82122.222222222234</v>
      </c>
      <c r="N55" s="712">
        <f>N51+N52</f>
        <v>102564.10256410256</v>
      </c>
      <c r="O55" s="1236">
        <f>O51+O52</f>
        <v>103395.7264957265</v>
      </c>
      <c r="P55" s="521">
        <f>O55-N55</f>
        <v>831.6239316239371</v>
      </c>
      <c r="Q55" s="713">
        <f>Q52+Q51+Q53</f>
        <v>246366.66666666669</v>
      </c>
      <c r="R55" s="712">
        <f>R51+R52</f>
        <v>316256.41025641025</v>
      </c>
      <c r="S55" s="712">
        <f>G55+J55+N55</f>
        <v>310572.81865811965</v>
      </c>
      <c r="T55" s="520">
        <f>T52+T51+T53</f>
        <v>328112.98959829065</v>
      </c>
      <c r="U55" s="712">
        <f>T55-Q55</f>
        <v>81746.322931623959</v>
      </c>
      <c r="V55" s="711">
        <f t="shared" si="93"/>
        <v>11856.579341880395</v>
      </c>
      <c r="W55" s="521">
        <f>T55-S55</f>
        <v>17540.170940170996</v>
      </c>
      <c r="X55" s="710">
        <f>X52+X51+X53</f>
        <v>101210.25641025642</v>
      </c>
      <c r="Y55" s="712">
        <f>Y52+Y51+Y53</f>
        <v>102564.10256410256</v>
      </c>
      <c r="Z55" s="1243">
        <f>Z52+Z51+Z53</f>
        <v>99517.240290598304</v>
      </c>
      <c r="AA55" s="521">
        <f>Z55-Y55</f>
        <v>-3046.8622735042591</v>
      </c>
      <c r="AB55" s="710">
        <f>AB141/1.17</f>
        <v>101210.25641025642</v>
      </c>
      <c r="AC55" s="712">
        <f>AC141/1.17</f>
        <v>111111.11111111112</v>
      </c>
      <c r="AD55" s="712">
        <f>AD141/1.17</f>
        <v>121544.04796000001</v>
      </c>
      <c r="AE55" s="716">
        <f>AD55-AC55</f>
        <v>10432.936848888887</v>
      </c>
      <c r="AF55" s="710">
        <f>AF141/1.17</f>
        <v>101210.25641025642</v>
      </c>
      <c r="AG55" s="712">
        <f>AG141/1.17</f>
        <v>128205.12820512822</v>
      </c>
      <c r="AH55" s="1243">
        <f>AH51+AH52</f>
        <v>118583.79666000001</v>
      </c>
      <c r="AI55" s="716">
        <f>AH55-AG55</f>
        <v>-9621.3315451282106</v>
      </c>
      <c r="AJ55" s="713">
        <f>AJ52+AJ51+AJ53</f>
        <v>303630.76923076925</v>
      </c>
      <c r="AK55" s="711">
        <f>AK51+AK52</f>
        <v>316256.41025641025</v>
      </c>
      <c r="AL55" s="712">
        <f>Y55+AC55+AG55</f>
        <v>341880.34188034188</v>
      </c>
      <c r="AM55" s="520">
        <f>AM52+AM51+AM53</f>
        <v>339645.08491059835</v>
      </c>
      <c r="AN55" s="739">
        <f>AM55-AJ55</f>
        <v>36014.315679829102</v>
      </c>
      <c r="AO55" s="711">
        <f t="shared" si="94"/>
        <v>23388.6746541881</v>
      </c>
      <c r="AP55" s="521">
        <f>AM55-AL55</f>
        <v>-2235.2569697435247</v>
      </c>
      <c r="AQ55" s="713">
        <f>AQ52+AQ51+AQ53</f>
        <v>549997.43589743599</v>
      </c>
      <c r="AR55" s="711">
        <f>AR51+AR52</f>
        <v>632512.8205128205</v>
      </c>
      <c r="AS55" s="520">
        <f>S55+AL55</f>
        <v>652453.16053846152</v>
      </c>
      <c r="AT55" s="520">
        <f>AT52+AT51+AT53</f>
        <v>667758.07450888888</v>
      </c>
      <c r="AU55" s="517">
        <f>AT55-AQ55</f>
        <v>117760.63861145289</v>
      </c>
      <c r="AV55" s="711">
        <f t="shared" si="95"/>
        <v>35245.253996068379</v>
      </c>
      <c r="AW55" s="521">
        <f>AT55-AS55</f>
        <v>15304.913970427355</v>
      </c>
      <c r="AX55" s="708">
        <f>AQ55/6</f>
        <v>91666.239316239327</v>
      </c>
      <c r="AY55" s="709">
        <f>AR55/6</f>
        <v>105418.80341880342</v>
      </c>
      <c r="AZ55" s="709">
        <f>AT55/6</f>
        <v>111293.01241814815</v>
      </c>
      <c r="BA55" s="1239">
        <f>AZ55/AX55</f>
        <v>1.2141112502084701</v>
      </c>
      <c r="BB55" s="516">
        <f>AZ55-AX55</f>
        <v>19626.773101908824</v>
      </c>
      <c r="BC55" s="516">
        <f>AZ55-AY55</f>
        <v>5874.2089993447298</v>
      </c>
      <c r="BD55" s="516">
        <f>AW55/6</f>
        <v>2550.8189950712258</v>
      </c>
      <c r="BE55" s="710">
        <f>BE141/1.17</f>
        <v>131038.46153846155</v>
      </c>
      <c r="BF55" s="712">
        <f>BF141/1.17</f>
        <v>122222.22222222223</v>
      </c>
      <c r="BG55" s="1236">
        <f>BG51+BG52</f>
        <v>122672.99676923078</v>
      </c>
      <c r="BH55" s="521">
        <f>BG55-BF55</f>
        <v>450.77454700855014</v>
      </c>
      <c r="BI55" s="710">
        <f>BI141/1.17</f>
        <v>131038.46153846155</v>
      </c>
      <c r="BJ55" s="712">
        <f>BJ51+BJ52</f>
        <v>130769.23076923078</v>
      </c>
      <c r="BK55" s="712">
        <f>BK51+BK52</f>
        <v>119397.9055197436</v>
      </c>
      <c r="BL55" s="521">
        <f>BK55-BJ55</f>
        <v>-11371.325249487185</v>
      </c>
      <c r="BM55" s="710">
        <f>BM51+BM52</f>
        <v>131038.46153846153</v>
      </c>
      <c r="BN55" s="712">
        <f>BN51+BN52</f>
        <v>117948.71794871797</v>
      </c>
      <c r="BO55" s="1236">
        <f>BO51+BO52</f>
        <v>101142.3008</v>
      </c>
      <c r="BP55" s="521">
        <f>BO55-BN55</f>
        <v>-16806.41714871797</v>
      </c>
      <c r="BQ55" s="713">
        <f>BQ52+BQ51</f>
        <v>393115.38461538462</v>
      </c>
      <c r="BR55" s="714"/>
      <c r="BS55" s="711">
        <f>BF55+BJ55+BN55</f>
        <v>370940.170940171</v>
      </c>
      <c r="BT55" s="520">
        <f>BG55+BK55+BO55</f>
        <v>343213.20308897435</v>
      </c>
      <c r="BU55" s="712">
        <f>BT55-BQ55</f>
        <v>-49902.181526410277</v>
      </c>
      <c r="BV55" s="711"/>
      <c r="BW55" s="521">
        <f>BT55-BS55</f>
        <v>-27726.967851196649</v>
      </c>
      <c r="BX55" s="710">
        <f>BX52+BX51</f>
        <v>138739.31623931625</v>
      </c>
      <c r="BY55" s="712">
        <f>BY52+BY51</f>
        <v>127777.77777777778</v>
      </c>
      <c r="BZ55" s="712">
        <f>BZ52+BZ51</f>
        <v>145472.85753000001</v>
      </c>
      <c r="CA55" s="716">
        <f>BZ55-BY55</f>
        <v>17695.079752222227</v>
      </c>
      <c r="CB55" s="710">
        <f>CB141/1.17</f>
        <v>138739.31623931625</v>
      </c>
      <c r="CC55" s="712">
        <f>CC52+CC51</f>
        <v>156837.60683760684</v>
      </c>
      <c r="CD55" s="712">
        <f>CD52+CD51</f>
        <v>111965.81196581197</v>
      </c>
      <c r="CE55" s="716">
        <f>CD55-CC55</f>
        <v>-44871.794871794875</v>
      </c>
      <c r="CF55" s="710">
        <f>CF141/1.17</f>
        <v>138739.31623931625</v>
      </c>
      <c r="CG55" s="712">
        <f>CG52+CG51</f>
        <v>118376.06837606838</v>
      </c>
      <c r="CH55" s="712">
        <f>CH52+CH51</f>
        <v>80341.880341880344</v>
      </c>
      <c r="CI55" s="716">
        <f>CH55-CG55</f>
        <v>-38034.188034188031</v>
      </c>
      <c r="CJ55" s="713">
        <f>CJ52+CJ51</f>
        <v>416217.94871794875</v>
      </c>
      <c r="CK55" s="714"/>
      <c r="CL55" s="711">
        <f>BY55+CC55+CG55</f>
        <v>402991.452991453</v>
      </c>
      <c r="CM55" s="520">
        <f t="shared" ref="CL55:CM57" si="154">BZ55+CD55+CH55</f>
        <v>337780.54983769229</v>
      </c>
      <c r="CN55" s="739">
        <f>CM55-CJ55</f>
        <v>-78437.398880256456</v>
      </c>
      <c r="CO55" s="739"/>
      <c r="CP55" s="521">
        <f>CM55-CL55</f>
        <v>-65210.903153760708</v>
      </c>
      <c r="CQ55" s="713">
        <f>CQ52+CQ51</f>
        <v>809333.33333333337</v>
      </c>
      <c r="CR55" s="1340"/>
      <c r="CS55" s="1334">
        <f>BS55+CL55</f>
        <v>773931.623931624</v>
      </c>
      <c r="CT55" s="520">
        <f>CT52+CT51</f>
        <v>680993.75292666664</v>
      </c>
      <c r="CU55" s="517">
        <f>CT55-CQ55</f>
        <v>-128339.58040666673</v>
      </c>
      <c r="CV55" s="517"/>
      <c r="CW55" s="521">
        <f>CT55-CS55</f>
        <v>-92937.871004957356</v>
      </c>
      <c r="CX55" s="708">
        <f>CQ55/6</f>
        <v>134888.88888888891</v>
      </c>
      <c r="CY55" s="709">
        <f>CT55/6</f>
        <v>113498.95882111111</v>
      </c>
      <c r="CZ55" s="1386">
        <f>CY55/CX55</f>
        <v>0.84142555962932442</v>
      </c>
      <c r="DA55" s="555">
        <f>CY55-CX55</f>
        <v>-21389.930067777794</v>
      </c>
      <c r="DB55" s="555">
        <f>CW55/6</f>
        <v>-15489.645167492892</v>
      </c>
      <c r="DC55" s="516"/>
      <c r="DD55" s="516"/>
    </row>
    <row r="56" spans="1:108">
      <c r="A56" s="998"/>
      <c r="B56" s="664"/>
      <c r="C56" s="999" t="s">
        <v>346</v>
      </c>
      <c r="D56" s="1000"/>
      <c r="E56" s="702">
        <f>E143/1.17</f>
        <v>412.82051282051282</v>
      </c>
      <c r="F56" s="717">
        <f>F143/1.17</f>
        <v>0</v>
      </c>
      <c r="G56" s="717">
        <f>G143/1.17</f>
        <v>0</v>
      </c>
      <c r="H56" s="508">
        <f>G56-F56</f>
        <v>0</v>
      </c>
      <c r="I56" s="702">
        <f>I143/1.17</f>
        <v>412.82051282051282</v>
      </c>
      <c r="J56" s="717">
        <f>J143/1.17</f>
        <v>0</v>
      </c>
      <c r="K56" s="717">
        <f>K143/1.17</f>
        <v>0</v>
      </c>
      <c r="L56" s="508">
        <f>K56-J56</f>
        <v>0</v>
      </c>
      <c r="M56" s="702">
        <f>M143/1.17</f>
        <v>412.82051282051282</v>
      </c>
      <c r="N56" s="717">
        <f>N143/1.17</f>
        <v>0</v>
      </c>
      <c r="O56" s="717">
        <f>O143/1.17</f>
        <v>0</v>
      </c>
      <c r="P56" s="508">
        <f>O56-N56</f>
        <v>0</v>
      </c>
      <c r="Q56" s="718">
        <f>E56+I56+M56</f>
        <v>1238.4615384615386</v>
      </c>
      <c r="R56" s="719">
        <f>R143/1.17</f>
        <v>1238.4615384615386</v>
      </c>
      <c r="S56" s="720">
        <f>G56+J56+N56</f>
        <v>0</v>
      </c>
      <c r="T56" s="526">
        <f>G56+K56+O56</f>
        <v>0</v>
      </c>
      <c r="U56" s="699">
        <f>T56-Q56</f>
        <v>-1238.4615384615386</v>
      </c>
      <c r="V56" s="717">
        <f t="shared" si="93"/>
        <v>-1238.4615384615386</v>
      </c>
      <c r="W56" s="508">
        <f>T56-S56</f>
        <v>0</v>
      </c>
      <c r="X56" s="702">
        <f>X143/1.17</f>
        <v>1489.7435897435898</v>
      </c>
      <c r="Y56" s="717">
        <f>Y143/1.17</f>
        <v>0</v>
      </c>
      <c r="Z56" s="717">
        <f>Z143/1.17</f>
        <v>0</v>
      </c>
      <c r="AA56" s="508">
        <f>Z56-Y56</f>
        <v>0</v>
      </c>
      <c r="AB56" s="702">
        <f>AB143/1.17</f>
        <v>1489.7435897435898</v>
      </c>
      <c r="AC56" s="699">
        <f>AC143/1.17</f>
        <v>0</v>
      </c>
      <c r="AD56" s="717">
        <f>AD143/1.17</f>
        <v>0</v>
      </c>
      <c r="AE56" s="688">
        <f>AD56-AC56</f>
        <v>0</v>
      </c>
      <c r="AF56" s="702">
        <f>AF143/1.17</f>
        <v>1489.7435897435898</v>
      </c>
      <c r="AG56" s="699">
        <f>AG143/1.17</f>
        <v>0</v>
      </c>
      <c r="AH56" s="717">
        <f>AH143/1.17</f>
        <v>0</v>
      </c>
      <c r="AI56" s="688">
        <f>AH56-AG56</f>
        <v>0</v>
      </c>
      <c r="AJ56" s="718">
        <f>X56+AB56+AF56</f>
        <v>4469.2307692307695</v>
      </c>
      <c r="AK56" s="719">
        <f>AK143/1.17</f>
        <v>4469.2307692307695</v>
      </c>
      <c r="AL56" s="720">
        <f>Y56+AC56+AG56</f>
        <v>0</v>
      </c>
      <c r="AM56" s="526">
        <f>Z56+AD56+AH56</f>
        <v>0</v>
      </c>
      <c r="AN56" s="721">
        <f>AM56-AJ56</f>
        <v>-4469.2307692307695</v>
      </c>
      <c r="AO56" s="717">
        <f t="shared" si="94"/>
        <v>-4469.2307692307695</v>
      </c>
      <c r="AP56" s="508">
        <f>AM56-AL56</f>
        <v>0</v>
      </c>
      <c r="AQ56" s="718">
        <f>SUM(Q56,AJ56)</f>
        <v>5707.6923076923085</v>
      </c>
      <c r="AR56" s="719">
        <f>AR143/1.17</f>
        <v>5707.6923076923076</v>
      </c>
      <c r="AS56" s="720">
        <f>S56+AL56</f>
        <v>0</v>
      </c>
      <c r="AT56" s="720">
        <f>SUM(T56,AM56)</f>
        <v>0</v>
      </c>
      <c r="AU56" s="717">
        <f>AT56-AQ56</f>
        <v>-5707.6923076923085</v>
      </c>
      <c r="AV56" s="717">
        <f t="shared" si="95"/>
        <v>-5707.6923076923076</v>
      </c>
      <c r="AW56" s="508">
        <f>AT56-AS56</f>
        <v>0</v>
      </c>
      <c r="AX56" s="722"/>
      <c r="AY56" s="723"/>
      <c r="AZ56" s="723"/>
      <c r="BE56" s="702">
        <f>BE143/1.17</f>
        <v>0</v>
      </c>
      <c r="BF56" s="717">
        <f>BF143/1.17</f>
        <v>0</v>
      </c>
      <c r="BG56" s="717">
        <f>BG143/1.17</f>
        <v>0</v>
      </c>
      <c r="BH56" s="508">
        <f>BG56-BF56</f>
        <v>0</v>
      </c>
      <c r="BI56" s="702">
        <f>BI143/1.17</f>
        <v>0</v>
      </c>
      <c r="BJ56" s="717">
        <f>BJ143/1.17</f>
        <v>0</v>
      </c>
      <c r="BK56" s="717">
        <f>BK143/1.17</f>
        <v>0</v>
      </c>
      <c r="BL56" s="508">
        <f>BK56-BJ56</f>
        <v>0</v>
      </c>
      <c r="BM56" s="702">
        <f>BM143/1.17</f>
        <v>0</v>
      </c>
      <c r="BN56" s="699">
        <f>BN143/1.17</f>
        <v>0</v>
      </c>
      <c r="BO56" s="717">
        <f>BO143/1.17</f>
        <v>0</v>
      </c>
      <c r="BP56" s="508">
        <f>BO56-BN56</f>
        <v>0</v>
      </c>
      <c r="BQ56" s="718">
        <f>BE56+BI56+BM56</f>
        <v>0</v>
      </c>
      <c r="BR56" s="719"/>
      <c r="BS56" s="719">
        <f t="shared" ref="BS56:BT57" si="155">BF56+BJ56+BN56</f>
        <v>0</v>
      </c>
      <c r="BT56" s="526">
        <f t="shared" si="155"/>
        <v>0</v>
      </c>
      <c r="BU56" s="699">
        <f>BT56-BQ56</f>
        <v>0</v>
      </c>
      <c r="BV56" s="717"/>
      <c r="BW56" s="508">
        <f>BT56-BS56</f>
        <v>0</v>
      </c>
      <c r="BX56" s="702">
        <f>BX143/1.17</f>
        <v>0</v>
      </c>
      <c r="BY56" s="699">
        <f>BY143/1.17</f>
        <v>0</v>
      </c>
      <c r="BZ56" s="717">
        <f>BZ143/1.17</f>
        <v>0</v>
      </c>
      <c r="CA56" s="688">
        <f>BZ56-BY56</f>
        <v>0</v>
      </c>
      <c r="CB56" s="702">
        <f>CB143/1.17</f>
        <v>0</v>
      </c>
      <c r="CC56" s="699">
        <f>CC143/1.17</f>
        <v>0</v>
      </c>
      <c r="CD56" s="717">
        <f>CD143/1.17</f>
        <v>0</v>
      </c>
      <c r="CE56" s="688">
        <f>CD56-CC56</f>
        <v>0</v>
      </c>
      <c r="CF56" s="702">
        <f>CF143/1.17</f>
        <v>0</v>
      </c>
      <c r="CG56" s="699">
        <f>CG143/1.17</f>
        <v>0</v>
      </c>
      <c r="CH56" s="717">
        <f>CH143/1.17</f>
        <v>0</v>
      </c>
      <c r="CI56" s="688">
        <f>CH56-CG56</f>
        <v>0</v>
      </c>
      <c r="CJ56" s="718">
        <f>BX56+CB56+CF56</f>
        <v>0</v>
      </c>
      <c r="CK56" s="719"/>
      <c r="CL56" s="719">
        <f t="shared" si="154"/>
        <v>0</v>
      </c>
      <c r="CM56" s="526">
        <f t="shared" si="154"/>
        <v>0</v>
      </c>
      <c r="CN56" s="721">
        <f>CM56-CJ56</f>
        <v>0</v>
      </c>
      <c r="CO56" s="721"/>
      <c r="CP56" s="508">
        <f>CM56-CL56</f>
        <v>0</v>
      </c>
      <c r="CQ56" s="718">
        <f>SUM(BQ56,CJ56)</f>
        <v>0</v>
      </c>
      <c r="CR56" s="937"/>
      <c r="CS56" s="937">
        <f>BS56+CL56</f>
        <v>0</v>
      </c>
      <c r="CT56" s="720">
        <f>SUM(BT56,CM56)</f>
        <v>0</v>
      </c>
      <c r="CU56" s="717">
        <f>CT56-CQ56</f>
        <v>0</v>
      </c>
      <c r="CV56" s="717"/>
      <c r="CW56" s="508">
        <f>CT56-CS56</f>
        <v>0</v>
      </c>
      <c r="CX56" s="722"/>
      <c r="CY56" s="723"/>
      <c r="CZ56" s="556"/>
      <c r="DA56" s="556"/>
      <c r="DB56" s="556"/>
      <c r="DC56" s="493"/>
      <c r="DD56" s="493"/>
    </row>
    <row r="57" spans="1:108">
      <c r="A57" s="998"/>
      <c r="B57" s="664"/>
      <c r="C57" s="999" t="s">
        <v>347</v>
      </c>
      <c r="D57" s="1001"/>
      <c r="E57" s="692">
        <f>E145/1.17</f>
        <v>2077.7777777777778</v>
      </c>
      <c r="F57" s="724">
        <f>F145/1.17</f>
        <v>185.47008547008548</v>
      </c>
      <c r="G57" s="724">
        <f>G145/1.17</f>
        <v>0</v>
      </c>
      <c r="H57" s="528">
        <f>G57-F57</f>
        <v>-185.47008547008548</v>
      </c>
      <c r="I57" s="692">
        <f>I145/1.17</f>
        <v>2077.7777777777778</v>
      </c>
      <c r="J57" s="724">
        <f>J145/1.17</f>
        <v>0</v>
      </c>
      <c r="K57" s="724">
        <f>K145/1.17</f>
        <v>0</v>
      </c>
      <c r="L57" s="528">
        <f>K57-J57</f>
        <v>0</v>
      </c>
      <c r="M57" s="692">
        <f>M145/1.17</f>
        <v>2077.7777777777778</v>
      </c>
      <c r="N57" s="724">
        <f>N145/1.17</f>
        <v>0</v>
      </c>
      <c r="O57" s="724">
        <f>O145/1.17</f>
        <v>0</v>
      </c>
      <c r="P57" s="528">
        <f>O57-N57</f>
        <v>0</v>
      </c>
      <c r="Q57" s="725">
        <f>E57+I57+M57</f>
        <v>6233.3333333333339</v>
      </c>
      <c r="R57" s="726">
        <f>R145/1.17</f>
        <v>6233.3333333333339</v>
      </c>
      <c r="S57" s="727">
        <f>G57+J57+N57</f>
        <v>0</v>
      </c>
      <c r="T57" s="530">
        <f>G57+K57+O57</f>
        <v>0</v>
      </c>
      <c r="U57" s="685">
        <f>T57-Q57</f>
        <v>-6233.3333333333339</v>
      </c>
      <c r="V57" s="724">
        <f t="shared" si="93"/>
        <v>-6233.3333333333339</v>
      </c>
      <c r="W57" s="528">
        <f>T57-S57</f>
        <v>0</v>
      </c>
      <c r="X57" s="692">
        <f>X145/1.17</f>
        <v>0</v>
      </c>
      <c r="Y57" s="724">
        <f>Y145/1.17</f>
        <v>0</v>
      </c>
      <c r="Z57" s="724">
        <f>Z145/1.17</f>
        <v>0</v>
      </c>
      <c r="AA57" s="528">
        <f>Z57-Y57</f>
        <v>0</v>
      </c>
      <c r="AB57" s="692">
        <f>AB145/1.17</f>
        <v>0</v>
      </c>
      <c r="AC57" s="685">
        <f>AC145/1.17</f>
        <v>0</v>
      </c>
      <c r="AD57" s="724">
        <f>AD145/1.17</f>
        <v>0</v>
      </c>
      <c r="AE57" s="694">
        <f>AD57-AC57</f>
        <v>0</v>
      </c>
      <c r="AF57" s="692">
        <f>AF145/1.17</f>
        <v>0</v>
      </c>
      <c r="AG57" s="685">
        <f>AG145/1.17</f>
        <v>0</v>
      </c>
      <c r="AH57" s="724">
        <f>AH145/1.17</f>
        <v>0</v>
      </c>
      <c r="AI57" s="694">
        <f>AH57-AG57</f>
        <v>0</v>
      </c>
      <c r="AJ57" s="725">
        <f>X57+AB57+AF57</f>
        <v>0</v>
      </c>
      <c r="AK57" s="726">
        <f>AK145/1.17</f>
        <v>0</v>
      </c>
      <c r="AL57" s="727">
        <f>Y57+AC57+AG57</f>
        <v>0</v>
      </c>
      <c r="AM57" s="530">
        <f>Z57+AD57+AH57</f>
        <v>0</v>
      </c>
      <c r="AN57" s="693">
        <f>AM57-AJ57</f>
        <v>0</v>
      </c>
      <c r="AO57" s="724">
        <f t="shared" si="94"/>
        <v>0</v>
      </c>
      <c r="AP57" s="528">
        <f>AM57-AL57</f>
        <v>0</v>
      </c>
      <c r="AQ57" s="725">
        <f>SUM(Q57,AJ57)</f>
        <v>6233.3333333333339</v>
      </c>
      <c r="AR57" s="726">
        <f>AR145/1.17</f>
        <v>6233.3333333333339</v>
      </c>
      <c r="AS57" s="727">
        <f>S57+AL57</f>
        <v>0</v>
      </c>
      <c r="AT57" s="727">
        <f>SUM(T57,AM57)</f>
        <v>0</v>
      </c>
      <c r="AU57" s="724">
        <f>AT57-AQ57</f>
        <v>-6233.3333333333339</v>
      </c>
      <c r="AV57" s="724">
        <f t="shared" si="95"/>
        <v>-6233.3333333333339</v>
      </c>
      <c r="AW57" s="528">
        <f>AT57-AS57</f>
        <v>0</v>
      </c>
      <c r="AX57" s="722"/>
      <c r="AY57" s="723"/>
      <c r="AZ57" s="723"/>
      <c r="BE57" s="692">
        <f>BE145/1.17</f>
        <v>0</v>
      </c>
      <c r="BF57" s="724">
        <f>BF145/1.17</f>
        <v>0</v>
      </c>
      <c r="BG57" s="724">
        <f>BG145/1.17</f>
        <v>0</v>
      </c>
      <c r="BH57" s="528">
        <f>BG57-BF57</f>
        <v>0</v>
      </c>
      <c r="BI57" s="692">
        <f>BI145/1.17</f>
        <v>0</v>
      </c>
      <c r="BJ57" s="724">
        <f>BJ145/1.17</f>
        <v>0</v>
      </c>
      <c r="BK57" s="724">
        <f>BK145/1.17</f>
        <v>0</v>
      </c>
      <c r="BL57" s="528">
        <f>BK57-BJ57</f>
        <v>0</v>
      </c>
      <c r="BM57" s="692">
        <f>BM145/1.17</f>
        <v>0</v>
      </c>
      <c r="BN57" s="685">
        <f>BN145/1.17</f>
        <v>0</v>
      </c>
      <c r="BO57" s="724">
        <f>BO145/1.17</f>
        <v>0</v>
      </c>
      <c r="BP57" s="528">
        <f>BO57-BN57</f>
        <v>0</v>
      </c>
      <c r="BQ57" s="725">
        <f>BE57+BI57+BM57</f>
        <v>0</v>
      </c>
      <c r="BR57" s="726"/>
      <c r="BS57" s="726">
        <f t="shared" si="155"/>
        <v>0</v>
      </c>
      <c r="BT57" s="530">
        <f t="shared" si="155"/>
        <v>0</v>
      </c>
      <c r="BU57" s="685">
        <f>BT57-BQ57</f>
        <v>0</v>
      </c>
      <c r="BV57" s="724"/>
      <c r="BW57" s="528">
        <f>BT57-BS57</f>
        <v>0</v>
      </c>
      <c r="BX57" s="692">
        <f>BX145/1.17</f>
        <v>0</v>
      </c>
      <c r="BY57" s="685">
        <f>BY145/1.17</f>
        <v>0</v>
      </c>
      <c r="BZ57" s="724">
        <f>BZ145/1.17</f>
        <v>0</v>
      </c>
      <c r="CA57" s="694">
        <f>BZ57-BY57</f>
        <v>0</v>
      </c>
      <c r="CB57" s="692">
        <f>CB145/1.17</f>
        <v>0</v>
      </c>
      <c r="CC57" s="685">
        <f>CC145/1.17</f>
        <v>0</v>
      </c>
      <c r="CD57" s="724">
        <f>CD145/1.17</f>
        <v>0</v>
      </c>
      <c r="CE57" s="694">
        <f>CD57-CC57</f>
        <v>0</v>
      </c>
      <c r="CF57" s="692">
        <f>CF145/1.17</f>
        <v>0</v>
      </c>
      <c r="CG57" s="685">
        <f>CG145/1.17</f>
        <v>0</v>
      </c>
      <c r="CH57" s="724">
        <f>CH145/1.17</f>
        <v>0</v>
      </c>
      <c r="CI57" s="694">
        <f>CH57-CG57</f>
        <v>0</v>
      </c>
      <c r="CJ57" s="725">
        <f>BX57+CB57+CF57</f>
        <v>0</v>
      </c>
      <c r="CK57" s="726"/>
      <c r="CL57" s="726">
        <f t="shared" si="154"/>
        <v>0</v>
      </c>
      <c r="CM57" s="530">
        <f t="shared" si="154"/>
        <v>0</v>
      </c>
      <c r="CN57" s="693">
        <f>CM57-CJ57</f>
        <v>0</v>
      </c>
      <c r="CO57" s="693"/>
      <c r="CP57" s="528">
        <f>CM57-CL57</f>
        <v>0</v>
      </c>
      <c r="CQ57" s="725">
        <f>SUM(BQ57,CJ57)</f>
        <v>0</v>
      </c>
      <c r="CR57" s="1335"/>
      <c r="CS57" s="1335">
        <f>BS57+CL57</f>
        <v>0</v>
      </c>
      <c r="CT57" s="727">
        <f>SUM(BT57,CM57)</f>
        <v>0</v>
      </c>
      <c r="CU57" s="724">
        <f>CT57-CQ57</f>
        <v>0</v>
      </c>
      <c r="CV57" s="724"/>
      <c r="CW57" s="528">
        <f>CT57-CS57</f>
        <v>0</v>
      </c>
      <c r="CX57" s="722"/>
      <c r="CY57" s="723"/>
      <c r="CZ57" s="556"/>
      <c r="DA57" s="556"/>
      <c r="DB57" s="556"/>
      <c r="DC57" s="493"/>
      <c r="DD57" s="493"/>
    </row>
    <row r="58" spans="1:108">
      <c r="A58" s="659"/>
      <c r="B58" s="664"/>
      <c r="C58" s="664"/>
      <c r="D58" s="665"/>
      <c r="E58" s="684"/>
      <c r="F58" s="735"/>
      <c r="G58" s="735"/>
      <c r="H58" s="705">
        <f>G59/F59</f>
        <v>7.740737327188941</v>
      </c>
      <c r="I58" s="684"/>
      <c r="J58" s="735"/>
      <c r="K58" s="735"/>
      <c r="L58" s="1068" t="e">
        <f>K59/J59</f>
        <v>#DIV/0!</v>
      </c>
      <c r="M58" s="684"/>
      <c r="N58" s="735"/>
      <c r="O58" s="735"/>
      <c r="P58" s="1068">
        <f>O59/N59</f>
        <v>1</v>
      </c>
      <c r="Q58" s="607"/>
      <c r="R58" s="773"/>
      <c r="S58" s="743"/>
      <c r="T58" s="596"/>
      <c r="U58" s="1077">
        <f>T59/Q59</f>
        <v>0.50900809540151004</v>
      </c>
      <c r="V58" s="1070">
        <f>T59/R59</f>
        <v>0.50900809540150993</v>
      </c>
      <c r="W58" s="1068">
        <f>T59/S59</f>
        <v>1.8837785948334984</v>
      </c>
      <c r="X58" s="684"/>
      <c r="Y58" s="735"/>
      <c r="Z58" s="735"/>
      <c r="AA58" s="1068">
        <f>Z59/Y59</f>
        <v>1.2402423871695369</v>
      </c>
      <c r="AB58" s="684"/>
      <c r="AC58" s="741"/>
      <c r="AD58" s="735"/>
      <c r="AE58" s="1082">
        <f>AD59/AC59</f>
        <v>0.98244525223867363</v>
      </c>
      <c r="AF58" s="684"/>
      <c r="AG58" s="741"/>
      <c r="AH58" s="735"/>
      <c r="AI58" s="1082">
        <f>AH59/AG59</f>
        <v>0</v>
      </c>
      <c r="AJ58" s="607"/>
      <c r="AK58" s="773"/>
      <c r="AL58" s="743"/>
      <c r="AM58" s="596"/>
      <c r="AN58" s="1086">
        <f>AM59/AJ59</f>
        <v>2.3003595333715814</v>
      </c>
      <c r="AO58" s="1070">
        <f>AM59/AK59</f>
        <v>2.3003595333715814</v>
      </c>
      <c r="AP58" s="1083">
        <f>AM59/AL59</f>
        <v>0.74997693065479532</v>
      </c>
      <c r="AQ58" s="563"/>
      <c r="AR58" s="742"/>
      <c r="AS58" s="571">
        <f>S58+AL58</f>
        <v>0</v>
      </c>
      <c r="AT58" s="532"/>
      <c r="AU58" s="1076">
        <f>AT59/AQ59</f>
        <v>1.1794666645193617</v>
      </c>
      <c r="AV58" s="1070">
        <f>AT59/AR59</f>
        <v>1.1794666645193614</v>
      </c>
      <c r="AW58" s="1083">
        <f>AT59/AS59</f>
        <v>0.89552533050301231</v>
      </c>
      <c r="AX58" s="722"/>
      <c r="AY58" s="723"/>
      <c r="AZ58" s="723"/>
      <c r="BA58" s="556"/>
      <c r="BB58" s="556"/>
      <c r="BC58" s="556"/>
      <c r="BD58" s="556"/>
      <c r="BE58" s="684"/>
      <c r="BF58" s="735"/>
      <c r="BG58" s="735"/>
      <c r="BH58" s="1068">
        <f>BG59/BF59</f>
        <v>0</v>
      </c>
      <c r="BI58" s="684"/>
      <c r="BJ58" s="735"/>
      <c r="BK58" s="735"/>
      <c r="BL58" s="1068">
        <f>BK59/BJ59</f>
        <v>2.4848484848484849</v>
      </c>
      <c r="BM58" s="684"/>
      <c r="BN58" s="741"/>
      <c r="BO58" s="735"/>
      <c r="BP58" s="1088" t="e">
        <f>BO59/BN59</f>
        <v>#DIV/0!</v>
      </c>
      <c r="BQ58" s="607"/>
      <c r="BR58" s="773"/>
      <c r="BS58" s="742"/>
      <c r="BT58" s="596"/>
      <c r="BU58" s="1077">
        <f>BT59/BQ59</f>
        <v>1.2941238360776474E-2</v>
      </c>
      <c r="BV58" s="1076"/>
      <c r="BW58" s="1068">
        <f>BT59/BS59</f>
        <v>4.6707678286625656E-2</v>
      </c>
      <c r="BX58" s="684"/>
      <c r="BY58" s="741"/>
      <c r="BZ58" s="735"/>
      <c r="CA58" s="1089">
        <f>BZ59/BY59</f>
        <v>0.42502569104558202</v>
      </c>
      <c r="CB58" s="684"/>
      <c r="CC58" s="741"/>
      <c r="CD58" s="735"/>
      <c r="CE58" s="1082" t="e">
        <f>CD59/CC59</f>
        <v>#DIV/0!</v>
      </c>
      <c r="CF58" s="684"/>
      <c r="CG58" s="741"/>
      <c r="CH58" s="735"/>
      <c r="CI58" s="1082">
        <f>CH59/CG59</f>
        <v>1.0587768069896744</v>
      </c>
      <c r="CJ58" s="607"/>
      <c r="CK58" s="773"/>
      <c r="CL58" s="742"/>
      <c r="CM58" s="596"/>
      <c r="CN58" s="1086">
        <f>CM59/CJ59</f>
        <v>3.453826778612461</v>
      </c>
      <c r="CO58" s="1086"/>
      <c r="CP58" s="1083">
        <f>CM59/CL59</f>
        <v>1.5787042441963099</v>
      </c>
      <c r="CQ58" s="563"/>
      <c r="CR58" s="606"/>
      <c r="CS58" s="606">
        <f>BS58+CL58</f>
        <v>0</v>
      </c>
      <c r="CT58" s="532"/>
      <c r="CU58" s="1076">
        <f>CT59/CQ59</f>
        <v>0.67465561929041851</v>
      </c>
      <c r="CV58" s="1076"/>
      <c r="CW58" s="1083">
        <f>CT59/CS59</f>
        <v>1.0467687072587561</v>
      </c>
      <c r="CX58" s="722"/>
      <c r="CY58" s="723"/>
      <c r="CZ58" s="556"/>
      <c r="DA58" s="556"/>
      <c r="DB58" s="556"/>
      <c r="DC58" s="556"/>
      <c r="DD58" s="556"/>
    </row>
    <row r="59" spans="1:108">
      <c r="A59" s="647" t="s">
        <v>348</v>
      </c>
      <c r="B59" s="661"/>
      <c r="C59" s="997"/>
      <c r="D59" s="995"/>
      <c r="E59" s="710">
        <f>E148/1.17</f>
        <v>2490.5982905982905</v>
      </c>
      <c r="F59" s="712">
        <f>F148/1.17</f>
        <v>185.47008547008548</v>
      </c>
      <c r="G59" s="774">
        <f>G148/1.17</f>
        <v>1435.6752136752139</v>
      </c>
      <c r="H59" s="521">
        <f>G59-F59</f>
        <v>1250.2051282051284</v>
      </c>
      <c r="I59" s="710">
        <f>I148/1.17</f>
        <v>2490.5982905982905</v>
      </c>
      <c r="J59" s="712">
        <f>J148/1.17</f>
        <v>0</v>
      </c>
      <c r="K59" s="774">
        <v>1784.2809999999999</v>
      </c>
      <c r="L59" s="521">
        <f>K59-J59</f>
        <v>1784.2809999999999</v>
      </c>
      <c r="M59" s="710">
        <f>M148/1.17</f>
        <v>2490.5982905982905</v>
      </c>
      <c r="N59" s="712">
        <f>N148/1.17</f>
        <v>583.24786324786328</v>
      </c>
      <c r="O59" s="712">
        <f>O148/1.17</f>
        <v>583.24786324786328</v>
      </c>
      <c r="P59" s="521">
        <f>O59-N59</f>
        <v>0</v>
      </c>
      <c r="Q59" s="713">
        <f>E59+I59+M59</f>
        <v>7471.7948717948711</v>
      </c>
      <c r="R59" s="714">
        <f>R148/1.17</f>
        <v>7471.7948717948721</v>
      </c>
      <c r="S59" s="712">
        <f>G59+J59+N59</f>
        <v>2018.9230769230771</v>
      </c>
      <c r="T59" s="520">
        <f>G59+K59+O59</f>
        <v>3803.2040769230771</v>
      </c>
      <c r="U59" s="712">
        <f>T59-Q59</f>
        <v>-3668.5907948717941</v>
      </c>
      <c r="V59" s="711">
        <f t="shared" si="93"/>
        <v>-3668.590794871795</v>
      </c>
      <c r="W59" s="521">
        <f>T59-S59</f>
        <v>1784.2809999999999</v>
      </c>
      <c r="X59" s="710">
        <f>X148/1.17</f>
        <v>1489.7435897435898</v>
      </c>
      <c r="Y59" s="712">
        <f>Y148/1.17</f>
        <v>4471.196581196582</v>
      </c>
      <c r="Z59" s="712">
        <f>Z148/1.17</f>
        <v>5545.3675213675215</v>
      </c>
      <c r="AA59" s="521">
        <f>Z59-Y59</f>
        <v>1074.1709401709395</v>
      </c>
      <c r="AB59" s="710">
        <f>AB148/1.17</f>
        <v>1489.7435897435898</v>
      </c>
      <c r="AC59" s="712">
        <f>AC148/1.17</f>
        <v>4820.0854700854707</v>
      </c>
      <c r="AD59" s="712">
        <f>AD148/1.17</f>
        <v>4735.4700854700859</v>
      </c>
      <c r="AE59" s="716">
        <f>AD59-AC59</f>
        <v>-84.615384615384755</v>
      </c>
      <c r="AF59" s="710">
        <f>AF148/1.17</f>
        <v>1489.7435897435898</v>
      </c>
      <c r="AG59" s="712">
        <f>AG148/1.17</f>
        <v>4416.9230769230771</v>
      </c>
      <c r="AH59" s="712">
        <f>AH148/1.17</f>
        <v>0</v>
      </c>
      <c r="AI59" s="716">
        <f>AH59-AG59</f>
        <v>-4416.9230769230771</v>
      </c>
      <c r="AJ59" s="713">
        <f>X59+AB59+AF59</f>
        <v>4469.2307692307695</v>
      </c>
      <c r="AK59" s="714">
        <f>AK148/1.17</f>
        <v>4469.2307692307695</v>
      </c>
      <c r="AL59" s="712">
        <f>Y59+AC59+AG59</f>
        <v>13708.205128205129</v>
      </c>
      <c r="AM59" s="520">
        <f>Z59+AD59+AH59</f>
        <v>10280.837606837607</v>
      </c>
      <c r="AN59" s="739">
        <f>AM59-AJ59</f>
        <v>5811.6068376068379</v>
      </c>
      <c r="AO59" s="711">
        <f t="shared" si="94"/>
        <v>5811.6068376068379</v>
      </c>
      <c r="AP59" s="521">
        <f>AM59-AL59</f>
        <v>-3427.3675213675215</v>
      </c>
      <c r="AQ59" s="713">
        <f>SUM(Q59,AJ59)</f>
        <v>11941.025641025641</v>
      </c>
      <c r="AR59" s="714">
        <f>AR148/1.17</f>
        <v>11941.025641025642</v>
      </c>
      <c r="AS59" s="520">
        <f>S59+AL59</f>
        <v>15727.128205128207</v>
      </c>
      <c r="AT59" s="520">
        <f>T59+AM59</f>
        <v>14084.041683760684</v>
      </c>
      <c r="AU59" s="517">
        <f>AT59-AQ59</f>
        <v>2143.0160427350438</v>
      </c>
      <c r="AV59" s="711">
        <f t="shared" si="95"/>
        <v>2143.016042735042</v>
      </c>
      <c r="AW59" s="521">
        <f>AT59-AS59</f>
        <v>-1643.0865213675224</v>
      </c>
      <c r="AX59" s="708">
        <f>AQ59/6</f>
        <v>1990.1709401709402</v>
      </c>
      <c r="AY59" s="709">
        <f>AR59/6</f>
        <v>1990.1709401709404</v>
      </c>
      <c r="AZ59" s="709">
        <f>AT59/6</f>
        <v>2347.3402806267809</v>
      </c>
      <c r="BA59" s="1239">
        <f>AZ59/AX59</f>
        <v>1.1794666645193617</v>
      </c>
      <c r="BB59" s="516">
        <f>AZ59-AX59</f>
        <v>357.16934045584071</v>
      </c>
      <c r="BC59" s="516">
        <f>AZ59-AY59</f>
        <v>357.16934045584048</v>
      </c>
      <c r="BD59" s="516">
        <f>AW59/6</f>
        <v>-273.84775356125374</v>
      </c>
      <c r="BE59" s="710">
        <f>BE148/1.17</f>
        <v>0</v>
      </c>
      <c r="BF59" s="712">
        <f>BF148/1.17</f>
        <v>4416.9230769230771</v>
      </c>
      <c r="BG59" s="712">
        <f>BG148/1.17</f>
        <v>0</v>
      </c>
      <c r="BH59" s="521">
        <f>BG59-BF59</f>
        <v>-4416.9230769230771</v>
      </c>
      <c r="BI59" s="710">
        <f>BI148/1.17</f>
        <v>0</v>
      </c>
      <c r="BJ59" s="712">
        <f>BJ148/1.17</f>
        <v>84.615384615384627</v>
      </c>
      <c r="BK59" s="712">
        <f>BK148/1.17</f>
        <v>210.25641025641028</v>
      </c>
      <c r="BL59" s="521">
        <f>BK59-BJ59</f>
        <v>125.64102564102565</v>
      </c>
      <c r="BM59" s="710">
        <f>BM148/1.17</f>
        <v>16247.008547008549</v>
      </c>
      <c r="BN59" s="712">
        <f>BN148/1.17</f>
        <v>0</v>
      </c>
      <c r="BO59" s="712">
        <f>BO148/1.17</f>
        <v>0</v>
      </c>
      <c r="BP59" s="521">
        <f>BO59-BN59</f>
        <v>0</v>
      </c>
      <c r="BQ59" s="713">
        <f>BE59+BI59+BM59</f>
        <v>16247.008547008549</v>
      </c>
      <c r="BR59" s="714"/>
      <c r="BS59" s="711">
        <f>BF59+BJ59+BN59</f>
        <v>4501.5384615384619</v>
      </c>
      <c r="BT59" s="520">
        <f>BG59+BK59+BO59</f>
        <v>210.25641025641028</v>
      </c>
      <c r="BU59" s="712">
        <f>BT59-BQ59</f>
        <v>-16036.752136752139</v>
      </c>
      <c r="BV59" s="711"/>
      <c r="BW59" s="521">
        <f>BT59-BS59</f>
        <v>-4291.2820512820517</v>
      </c>
      <c r="BX59" s="710">
        <f>BX148/1.17</f>
        <v>0</v>
      </c>
      <c r="BY59" s="712">
        <f>BY148/1.17</f>
        <v>392.56752136752135</v>
      </c>
      <c r="BZ59" s="712">
        <f>BZ148/1.17</f>
        <v>166.85128205128206</v>
      </c>
      <c r="CA59" s="716">
        <f>BZ59-BY59</f>
        <v>-225.7162393162393</v>
      </c>
      <c r="CB59" s="710">
        <f>CB148/1.17</f>
        <v>3868.3760683760688</v>
      </c>
      <c r="CC59" s="712">
        <f>CC148/1.17</f>
        <v>0</v>
      </c>
      <c r="CD59" s="712">
        <f>CD148/1.17</f>
        <v>4648.9777777777781</v>
      </c>
      <c r="CE59" s="716">
        <f>CD59-CC59</f>
        <v>4648.9777777777781</v>
      </c>
      <c r="CF59" s="710">
        <f>CF148/1.17</f>
        <v>0</v>
      </c>
      <c r="CG59" s="712">
        <f>CG148/1.17</f>
        <v>8070.5128205128212</v>
      </c>
      <c r="CH59" s="712">
        <f>CH148/1.17</f>
        <v>8544.8717948717949</v>
      </c>
      <c r="CI59" s="716">
        <f>CH59-CG59</f>
        <v>474.35897435897368</v>
      </c>
      <c r="CJ59" s="713">
        <f>BX59+CB59+CF59</f>
        <v>3868.3760683760688</v>
      </c>
      <c r="CK59" s="714"/>
      <c r="CL59" s="711">
        <f>BY59+CC59+CG59</f>
        <v>8463.0803418803425</v>
      </c>
      <c r="CM59" s="520">
        <f>BZ59+CD59+CH59</f>
        <v>13360.700854700855</v>
      </c>
      <c r="CN59" s="739">
        <f>CM59-CJ59</f>
        <v>9492.3247863247871</v>
      </c>
      <c r="CO59" s="739"/>
      <c r="CP59" s="521">
        <f>CM59-CL59</f>
        <v>4897.6205128205129</v>
      </c>
      <c r="CQ59" s="713">
        <f>SUM(BQ59,CJ59)</f>
        <v>20115.384615384617</v>
      </c>
      <c r="CR59" s="1340"/>
      <c r="CS59" s="1334">
        <f>BS59+CL59</f>
        <v>12964.618803418805</v>
      </c>
      <c r="CT59" s="520">
        <f>BT59+CM59</f>
        <v>13570.957264957266</v>
      </c>
      <c r="CU59" s="517">
        <f>CT59-CQ59</f>
        <v>-6544.4273504273515</v>
      </c>
      <c r="CV59" s="517"/>
      <c r="CW59" s="521">
        <f>CT59-CS59</f>
        <v>606.33846153846025</v>
      </c>
      <c r="CX59" s="708">
        <f>CQ59/6</f>
        <v>3352.564102564103</v>
      </c>
      <c r="CY59" s="709">
        <f>CT59/6</f>
        <v>2261.8262108262111</v>
      </c>
      <c r="CZ59" s="1386">
        <f>CY59/CX59</f>
        <v>0.67465561929041851</v>
      </c>
      <c r="DA59" s="555">
        <f>CY59-CX59</f>
        <v>-1090.7378917378919</v>
      </c>
      <c r="DB59" s="555">
        <f>CW59/6</f>
        <v>101.05641025641005</v>
      </c>
      <c r="DC59" s="516"/>
      <c r="DD59" s="516"/>
    </row>
    <row r="60" spans="1:108">
      <c r="A60" s="659"/>
      <c r="B60" s="664"/>
      <c r="C60" s="664"/>
      <c r="D60" s="665"/>
      <c r="E60" s="684"/>
      <c r="F60" s="735"/>
      <c r="G60" s="735"/>
      <c r="H60" s="705">
        <f>G61/F61</f>
        <v>1.2046211009174312</v>
      </c>
      <c r="I60" s="684"/>
      <c r="J60" s="735"/>
      <c r="K60" s="735"/>
      <c r="L60" s="1068">
        <f>K61/J61</f>
        <v>1.4172205230978259</v>
      </c>
      <c r="M60" s="684"/>
      <c r="N60" s="735"/>
      <c r="O60" s="735"/>
      <c r="P60" s="1068">
        <f>O61/N61</f>
        <v>1.2835012250922508</v>
      </c>
      <c r="Q60" s="607"/>
      <c r="R60" s="773"/>
      <c r="S60" s="743"/>
      <c r="T60" s="596"/>
      <c r="U60" s="1077">
        <f>T61/Q61</f>
        <v>1.2519214460285131</v>
      </c>
      <c r="V60" s="1070">
        <f>T61/R61</f>
        <v>1.2519214460285131</v>
      </c>
      <c r="W60" s="1068">
        <f>T61/S61</f>
        <v>1.2201817815250244</v>
      </c>
      <c r="X60" s="684"/>
      <c r="Y60" s="735"/>
      <c r="Z60" s="735"/>
      <c r="AA60" s="1068">
        <f>Z61/Y61</f>
        <v>1.285550973254086</v>
      </c>
      <c r="AB60" s="684"/>
      <c r="AC60" s="741"/>
      <c r="AD60" s="735"/>
      <c r="AE60" s="1082">
        <f>AD61/AC61</f>
        <v>1.2431758165392632</v>
      </c>
      <c r="AF60" s="684"/>
      <c r="AG60" s="741"/>
      <c r="AH60" s="735"/>
      <c r="AI60" s="1082">
        <f>AH61/AG61</f>
        <v>1.7449652717391304</v>
      </c>
      <c r="AJ60" s="607"/>
      <c r="AK60" s="773"/>
      <c r="AL60" s="743"/>
      <c r="AM60" s="596"/>
      <c r="AN60" s="1086">
        <f>AM61/AJ61</f>
        <v>1.3222496595832471</v>
      </c>
      <c r="AO60" s="1070">
        <f>AM61/AK61</f>
        <v>1.3222496595832471</v>
      </c>
      <c r="AP60" s="1083">
        <f>AM61/AL61</f>
        <v>1.4431308489079033</v>
      </c>
      <c r="AQ60" s="563"/>
      <c r="AR60" s="742"/>
      <c r="AS60" s="571"/>
      <c r="AT60" s="532"/>
      <c r="AU60" s="1076">
        <f>AT61/AQ61</f>
        <v>1.2887097960284912</v>
      </c>
      <c r="AV60" s="1070">
        <f>AT61/AR61</f>
        <v>1.2887097960284912</v>
      </c>
      <c r="AW60" s="1083">
        <f>AT61/AS61</f>
        <v>1.3305018410078604</v>
      </c>
      <c r="AX60" s="722"/>
      <c r="AY60" s="723"/>
      <c r="AZ60" s="723"/>
      <c r="BE60" s="684"/>
      <c r="BF60" s="735"/>
      <c r="BG60" s="735"/>
      <c r="BH60" s="1068">
        <f>BG61/BF61</f>
        <v>1.3112144064665125</v>
      </c>
      <c r="BI60" s="684"/>
      <c r="BJ60" s="735"/>
      <c r="BK60" s="735"/>
      <c r="BL60" s="1068">
        <f>BK61/BJ61</f>
        <v>1.3291090269636576</v>
      </c>
      <c r="BM60" s="684"/>
      <c r="BN60" s="741"/>
      <c r="BO60" s="735"/>
      <c r="BP60" s="1088">
        <f>BO61/BN61</f>
        <v>1.0527237226890755</v>
      </c>
      <c r="BQ60" s="607"/>
      <c r="BR60" s="773"/>
      <c r="BS60" s="742"/>
      <c r="BT60" s="596"/>
      <c r="BU60" s="1077">
        <f>BT61/BQ61</f>
        <v>1.3912852586364464</v>
      </c>
      <c r="BV60" s="1076"/>
      <c r="BW60" s="1068">
        <f>BT61/BS61</f>
        <v>1.2176806350983842</v>
      </c>
      <c r="BX60" s="684"/>
      <c r="BY60" s="741"/>
      <c r="BZ60" s="735"/>
      <c r="CA60" s="1089">
        <f>BZ61/BY61</f>
        <v>1.1032465714285715</v>
      </c>
      <c r="CB60" s="684"/>
      <c r="CC60" s="741"/>
      <c r="CD60" s="735"/>
      <c r="CE60" s="1082">
        <f>CD61/CC61</f>
        <v>1.1813031161473087</v>
      </c>
      <c r="CF60" s="684"/>
      <c r="CG60" s="741"/>
      <c r="CH60" s="735"/>
      <c r="CI60" s="1082">
        <f>CH61/CG61</f>
        <v>1</v>
      </c>
      <c r="CJ60" s="607"/>
      <c r="CK60" s="773"/>
      <c r="CL60" s="742"/>
      <c r="CM60" s="596"/>
      <c r="CN60" s="1086">
        <f>CM61/CJ61</f>
        <v>1.176634609500089</v>
      </c>
      <c r="CO60" s="1086"/>
      <c r="CP60" s="1083">
        <f>CM61/CL61</f>
        <v>1.1119474008069941</v>
      </c>
      <c r="CQ60" s="563"/>
      <c r="CR60" s="606"/>
      <c r="CS60" s="606"/>
      <c r="CT60" s="532"/>
      <c r="CU60" s="1076">
        <f>CT61/CQ61</f>
        <v>1.2825085457987737</v>
      </c>
      <c r="CV60" s="1076"/>
      <c r="CW60" s="1083">
        <f>CT61/CS61</f>
        <v>1.1661271243544553</v>
      </c>
      <c r="CX60" s="722"/>
      <c r="CY60" s="723"/>
      <c r="CZ60" s="556"/>
      <c r="DA60" s="556"/>
      <c r="DB60" s="556"/>
      <c r="DC60" s="493"/>
      <c r="DD60" s="493"/>
    </row>
    <row r="61" spans="1:108">
      <c r="A61" s="647" t="s">
        <v>349</v>
      </c>
      <c r="B61" s="661"/>
      <c r="C61" s="997"/>
      <c r="D61" s="995"/>
      <c r="E61" s="710">
        <f>E150/1.17</f>
        <v>1211.1111111111111</v>
      </c>
      <c r="F61" s="712">
        <f>F150/1.17</f>
        <v>1211.1111111111111</v>
      </c>
      <c r="G61" s="774">
        <v>1458.93</v>
      </c>
      <c r="H61" s="521">
        <f>G61-F61</f>
        <v>247.81888888888898</v>
      </c>
      <c r="I61" s="710">
        <f>I150/1.17</f>
        <v>1211.1111111111111</v>
      </c>
      <c r="J61" s="712">
        <f>J150/1.17</f>
        <v>1258.1196581196582</v>
      </c>
      <c r="K61" s="774">
        <v>1783.0329999999999</v>
      </c>
      <c r="L61" s="521">
        <f>K61-J61</f>
        <v>524.9133418803417</v>
      </c>
      <c r="M61" s="710">
        <f>M150/1.17</f>
        <v>1354.7008547008547</v>
      </c>
      <c r="N61" s="712">
        <f>N150/1.17</f>
        <v>1158.1196581196582</v>
      </c>
      <c r="O61" s="1236">
        <v>1486.4480000000001</v>
      </c>
      <c r="P61" s="521">
        <f>O61-N61</f>
        <v>328.3283418803419</v>
      </c>
      <c r="Q61" s="713">
        <f>E61+I61+M61</f>
        <v>3776.9230769230771</v>
      </c>
      <c r="R61" s="714">
        <f>R150/1.17</f>
        <v>3776.9230769230771</v>
      </c>
      <c r="S61" s="712">
        <f>G61+J61+N61</f>
        <v>3875.1693162393167</v>
      </c>
      <c r="T61" s="520">
        <f>G61+K61+O61</f>
        <v>4728.4110000000001</v>
      </c>
      <c r="U61" s="712">
        <f>T61-Q61</f>
        <v>951.48792307692293</v>
      </c>
      <c r="V61" s="711">
        <f t="shared" si="93"/>
        <v>951.48792307692293</v>
      </c>
      <c r="W61" s="521">
        <f>T61-S61</f>
        <v>853.24168376068337</v>
      </c>
      <c r="X61" s="710">
        <f>X150/1.17</f>
        <v>1411.1111111111111</v>
      </c>
      <c r="Y61" s="712">
        <f>Y150/1.17</f>
        <v>1150.4273504273506</v>
      </c>
      <c r="Z61" s="1243">
        <v>1478.933</v>
      </c>
      <c r="AA61" s="521">
        <f>Z61-Y61</f>
        <v>328.50564957264942</v>
      </c>
      <c r="AB61" s="710">
        <f>AB150/1.17</f>
        <v>1400.8547008547009</v>
      </c>
      <c r="AC61" s="712">
        <f>AC150/1.17</f>
        <v>1229.91452991453</v>
      </c>
      <c r="AD61" s="1243">
        <v>1529</v>
      </c>
      <c r="AE61" s="716">
        <f>AD61-AC61</f>
        <v>299.08547008546998</v>
      </c>
      <c r="AF61" s="710">
        <f>AF150/1.17</f>
        <v>1330.7692307692309</v>
      </c>
      <c r="AG61" s="712">
        <f>AG150/1.17</f>
        <v>1415.3846153846155</v>
      </c>
      <c r="AH61" s="1243">
        <v>2469.797</v>
      </c>
      <c r="AI61" s="716">
        <f>AH61-AG61</f>
        <v>1054.4123846153846</v>
      </c>
      <c r="AJ61" s="713">
        <f>X61+AB61+AF61</f>
        <v>4142.735042735043</v>
      </c>
      <c r="AK61" s="714">
        <f>AK150/1.17</f>
        <v>4142.735042735043</v>
      </c>
      <c r="AL61" s="712">
        <f>Y61+AC61+AG61</f>
        <v>3795.7264957264961</v>
      </c>
      <c r="AM61" s="520">
        <f>Z61+AD61+AH61</f>
        <v>5477.73</v>
      </c>
      <c r="AN61" s="739">
        <f>AM61-AJ61</f>
        <v>1334.9949572649566</v>
      </c>
      <c r="AO61" s="711">
        <f t="shared" si="94"/>
        <v>1334.9949572649566</v>
      </c>
      <c r="AP61" s="521">
        <f>AM61-AL61</f>
        <v>1682.0035042735035</v>
      </c>
      <c r="AQ61" s="713">
        <f>SUM(Q61,AJ61)</f>
        <v>7919.6581196581201</v>
      </c>
      <c r="AR61" s="714">
        <f>AR150/1.17</f>
        <v>7919.6581196581201</v>
      </c>
      <c r="AS61" s="520">
        <f>S61+AL61</f>
        <v>7670.8958119658128</v>
      </c>
      <c r="AT61" s="520">
        <f>T61+AM61</f>
        <v>10206.141</v>
      </c>
      <c r="AU61" s="517">
        <f>AT61-AQ61</f>
        <v>2286.4828803418795</v>
      </c>
      <c r="AV61" s="711">
        <f t="shared" si="95"/>
        <v>2286.4828803418795</v>
      </c>
      <c r="AW61" s="521">
        <f>AT61-AS61</f>
        <v>2535.2451880341869</v>
      </c>
      <c r="AX61" s="708">
        <f>AQ61/6</f>
        <v>1319.9430199430201</v>
      </c>
      <c r="AY61" s="709">
        <f>AR61/6</f>
        <v>1319.9430199430201</v>
      </c>
      <c r="AZ61" s="709">
        <f>AT61/6</f>
        <v>1701.0235</v>
      </c>
      <c r="BA61" s="1239">
        <f>AZ61/AX61</f>
        <v>1.2887097960284912</v>
      </c>
      <c r="BB61" s="516">
        <f>AZ61-AX61</f>
        <v>381.08048005697992</v>
      </c>
      <c r="BC61" s="516">
        <f>AZ61-AY61</f>
        <v>381.08048005697992</v>
      </c>
      <c r="BD61" s="516">
        <f>AW61/6</f>
        <v>422.54086467236448</v>
      </c>
      <c r="BE61" s="710">
        <f>BE150/1.17</f>
        <v>1637.6068376068376</v>
      </c>
      <c r="BF61" s="712">
        <f>BF150/1.17</f>
        <v>1850.4273504273506</v>
      </c>
      <c r="BG61" s="1236">
        <v>2426.3069999999998</v>
      </c>
      <c r="BH61" s="521">
        <f>BG61-BF61</f>
        <v>575.87964957264921</v>
      </c>
      <c r="BI61" s="710">
        <f>BI150/1.17</f>
        <v>1458.1196581196582</v>
      </c>
      <c r="BJ61" s="712">
        <f>BJ150/1.17</f>
        <v>1458.1196581196582</v>
      </c>
      <c r="BK61" s="1236">
        <v>1938</v>
      </c>
      <c r="BL61" s="521">
        <f>BK61-BJ61</f>
        <v>479.8803418803418</v>
      </c>
      <c r="BM61" s="710">
        <f>BM150/1.17</f>
        <v>1580.3418803418804</v>
      </c>
      <c r="BN61" s="712">
        <f>BN150/1.17</f>
        <v>2034.1880341880344</v>
      </c>
      <c r="BO61" s="1236">
        <v>2141.4380000000001</v>
      </c>
      <c r="BP61" s="521">
        <f>BO61-BN61</f>
        <v>107.24996581196569</v>
      </c>
      <c r="BQ61" s="713">
        <f>BE61+BI61+BM61</f>
        <v>4676.0683760683769</v>
      </c>
      <c r="BR61" s="714"/>
      <c r="BS61" s="711">
        <f>BF61+BJ61+BN61</f>
        <v>5342.735042735043</v>
      </c>
      <c r="BT61" s="520">
        <f>BG61+BK61+BO61</f>
        <v>6505.7449999999999</v>
      </c>
      <c r="BU61" s="712">
        <f>BT61-BQ61</f>
        <v>1829.676623931623</v>
      </c>
      <c r="BV61" s="711"/>
      <c r="BW61" s="521">
        <f>BT61-BS61</f>
        <v>1163.0099572649569</v>
      </c>
      <c r="BX61" s="710">
        <f>BX150/1.17</f>
        <v>1656.4102564102566</v>
      </c>
      <c r="BY61" s="712">
        <f>BY150/1.17</f>
        <v>2333.3333333333335</v>
      </c>
      <c r="BZ61" s="1236">
        <v>2574.2420000000002</v>
      </c>
      <c r="CA61" s="716">
        <f>BZ61-BY61</f>
        <v>240.9086666666667</v>
      </c>
      <c r="CB61" s="710">
        <f>CB150/1.17</f>
        <v>1810.2564102564104</v>
      </c>
      <c r="CC61" s="712">
        <f>CC150/1.17</f>
        <v>1810.2564102564104</v>
      </c>
      <c r="CD61" s="712">
        <f>CD150/1.17</f>
        <v>2138.4615384615386</v>
      </c>
      <c r="CE61" s="716">
        <f>CD61-CC61</f>
        <v>328.20512820512818</v>
      </c>
      <c r="CF61" s="710">
        <f>CF150/1.17</f>
        <v>1337.6068376068376</v>
      </c>
      <c r="CG61" s="712">
        <f>CG150/1.17</f>
        <v>940.17094017094018</v>
      </c>
      <c r="CH61" s="712">
        <f>CH150/1.17</f>
        <v>940.17094017094018</v>
      </c>
      <c r="CI61" s="716">
        <f>CH61-CG61</f>
        <v>0</v>
      </c>
      <c r="CJ61" s="713">
        <f>BX61+CB61+CF61</f>
        <v>4804.2735042735048</v>
      </c>
      <c r="CK61" s="714"/>
      <c r="CL61" s="711">
        <f>BY61+CC61+CG61</f>
        <v>5083.7606837606845</v>
      </c>
      <c r="CM61" s="520">
        <f>BZ61+CD61+CH61</f>
        <v>5652.8744786324796</v>
      </c>
      <c r="CN61" s="739">
        <f>CM61-CJ61</f>
        <v>848.60097435897478</v>
      </c>
      <c r="CO61" s="739"/>
      <c r="CP61" s="521">
        <f>CM61-CL61</f>
        <v>569.11379487179511</v>
      </c>
      <c r="CQ61" s="713">
        <f>SUM(BQ61,CJ61)</f>
        <v>9480.3418803418826</v>
      </c>
      <c r="CR61" s="1340"/>
      <c r="CS61" s="1334">
        <f>BS61+CL61</f>
        <v>10426.495726495727</v>
      </c>
      <c r="CT61" s="520">
        <f>BT61+CM61</f>
        <v>12158.61947863248</v>
      </c>
      <c r="CU61" s="517">
        <f>CT61-CQ61</f>
        <v>2678.2775982905969</v>
      </c>
      <c r="CV61" s="517"/>
      <c r="CW61" s="521">
        <f>CT61-CS61</f>
        <v>1732.123752136753</v>
      </c>
      <c r="CX61" s="708">
        <f>CQ61/6</f>
        <v>1580.0569800569804</v>
      </c>
      <c r="CY61" s="709">
        <f>CT61/6</f>
        <v>2026.43657977208</v>
      </c>
      <c r="CZ61" s="1386">
        <f>CY61/CX61</f>
        <v>1.2825085457987737</v>
      </c>
      <c r="DA61" s="555">
        <f>CY61-CX61</f>
        <v>446.37959971509963</v>
      </c>
      <c r="DB61" s="555">
        <f>CW61/6</f>
        <v>288.68729202279218</v>
      </c>
      <c r="DC61" s="516"/>
      <c r="DD61" s="516"/>
    </row>
    <row r="62" spans="1:108">
      <c r="A62" s="659"/>
      <c r="B62" s="664"/>
      <c r="C62" s="664"/>
      <c r="D62" s="665"/>
      <c r="E62" s="684"/>
      <c r="F62" s="735"/>
      <c r="G62" s="735"/>
      <c r="H62" s="705" t="e">
        <f>G63/F63</f>
        <v>#DIV/0!</v>
      </c>
      <c r="I62" s="684"/>
      <c r="J62" s="735"/>
      <c r="K62" s="735"/>
      <c r="L62" s="1068" t="e">
        <f>K63/J63</f>
        <v>#DIV/0!</v>
      </c>
      <c r="M62" s="684"/>
      <c r="N62" s="735"/>
      <c r="O62" s="735"/>
      <c r="P62" s="1068" t="e">
        <f>O63/N63</f>
        <v>#DIV/0!</v>
      </c>
      <c r="Q62" s="607"/>
      <c r="R62" s="773"/>
      <c r="S62" s="743"/>
      <c r="T62" s="596"/>
      <c r="U62" s="1077" t="e">
        <f>T63/Q63</f>
        <v>#DIV/0!</v>
      </c>
      <c r="V62" s="1070" t="e">
        <f>T63/R63</f>
        <v>#DIV/0!</v>
      </c>
      <c r="W62" s="1068">
        <f>T63/S63</f>
        <v>1.1071428571428572</v>
      </c>
      <c r="X62" s="684"/>
      <c r="Y62" s="735"/>
      <c r="Z62" s="735"/>
      <c r="AA62" s="1068" t="e">
        <f>Z63/Y63</f>
        <v>#DIV/0!</v>
      </c>
      <c r="AB62" s="684"/>
      <c r="AC62" s="741"/>
      <c r="AD62" s="735"/>
      <c r="AE62" s="1082">
        <f>AD63/AC63</f>
        <v>1</v>
      </c>
      <c r="AF62" s="684"/>
      <c r="AG62" s="741"/>
      <c r="AH62" s="735"/>
      <c r="AI62" s="1082" t="e">
        <f>AH63/AG63</f>
        <v>#DIV/0!</v>
      </c>
      <c r="AJ62" s="607"/>
      <c r="AK62" s="773"/>
      <c r="AL62" s="743"/>
      <c r="AM62" s="596"/>
      <c r="AN62" s="1086" t="e">
        <f>AM63/AJ63</f>
        <v>#DIV/0!</v>
      </c>
      <c r="AO62" s="1070" t="e">
        <f>AM63/AK63</f>
        <v>#DIV/0!</v>
      </c>
      <c r="AP62" s="1083">
        <f>AM63/AL63</f>
        <v>1</v>
      </c>
      <c r="AQ62" s="563"/>
      <c r="AR62" s="742"/>
      <c r="AS62" s="571"/>
      <c r="AT62" s="532"/>
      <c r="AU62" s="1076" t="e">
        <f>AT63/AQ63</f>
        <v>#DIV/0!</v>
      </c>
      <c r="AV62" s="1070" t="e">
        <f>AT63/AR63</f>
        <v>#DIV/0!</v>
      </c>
      <c r="AW62" s="1083">
        <f>AT63/AS63</f>
        <v>1.0428571428571429</v>
      </c>
      <c r="AX62" s="722"/>
      <c r="AY62" s="723"/>
      <c r="AZ62" s="723"/>
      <c r="BE62" s="684"/>
      <c r="BF62" s="735"/>
      <c r="BG62" s="735"/>
      <c r="BH62" s="1068" t="e">
        <f>BG63/BF63</f>
        <v>#DIV/0!</v>
      </c>
      <c r="BI62" s="684"/>
      <c r="BJ62" s="735"/>
      <c r="BK62" s="735"/>
      <c r="BL62" s="1068">
        <f>BK63/BJ63</f>
        <v>0.35294117647058826</v>
      </c>
      <c r="BM62" s="684"/>
      <c r="BN62" s="741"/>
      <c r="BO62" s="735"/>
      <c r="BP62" s="1083" t="e">
        <f>BO63/BN63</f>
        <v>#DIV/0!</v>
      </c>
      <c r="BQ62" s="607"/>
      <c r="BR62" s="773"/>
      <c r="BS62" s="742"/>
      <c r="BT62" s="596"/>
      <c r="BU62" s="1077" t="e">
        <f>BT63/BQ63</f>
        <v>#DIV/0!</v>
      </c>
      <c r="BV62" s="1076"/>
      <c r="BW62" s="1068">
        <f>BT63/BS63</f>
        <v>0.49952941176470594</v>
      </c>
      <c r="BX62" s="684"/>
      <c r="BY62" s="741"/>
      <c r="BZ62" s="735"/>
      <c r="CA62" s="1082" t="e">
        <f>BZ63/BY63</f>
        <v>#DIV/0!</v>
      </c>
      <c r="CB62" s="684"/>
      <c r="CC62" s="741"/>
      <c r="CD62" s="735"/>
      <c r="CE62" s="1082" t="e">
        <f>CD63/CC63</f>
        <v>#DIV/0!</v>
      </c>
      <c r="CF62" s="684"/>
      <c r="CG62" s="741"/>
      <c r="CH62" s="735"/>
      <c r="CI62" s="1082" t="e">
        <f>CH63/CG63</f>
        <v>#DIV/0!</v>
      </c>
      <c r="CJ62" s="607"/>
      <c r="CK62" s="773"/>
      <c r="CL62" s="742"/>
      <c r="CM62" s="596"/>
      <c r="CN62" s="1086" t="e">
        <f>CM63/CJ63</f>
        <v>#DIV/0!</v>
      </c>
      <c r="CO62" s="1086"/>
      <c r="CP62" s="1083" t="e">
        <f>CM63/CL63</f>
        <v>#DIV/0!</v>
      </c>
      <c r="CQ62" s="563"/>
      <c r="CR62" s="606"/>
      <c r="CS62" s="606"/>
      <c r="CT62" s="532"/>
      <c r="CU62" s="1076" t="e">
        <f>CT63/CQ63</f>
        <v>#DIV/0!</v>
      </c>
      <c r="CV62" s="1076"/>
      <c r="CW62" s="1083">
        <f>CT63/CS63</f>
        <v>1.4903882352941178</v>
      </c>
      <c r="CX62" s="722"/>
      <c r="CY62" s="723"/>
      <c r="CZ62" s="556"/>
      <c r="DA62" s="556"/>
      <c r="DB62" s="556"/>
      <c r="DC62" s="493"/>
      <c r="DD62" s="493"/>
    </row>
    <row r="63" spans="1:108">
      <c r="A63" s="647" t="s">
        <v>333</v>
      </c>
      <c r="B63" s="661"/>
      <c r="C63" s="997"/>
      <c r="D63" s="995"/>
      <c r="E63" s="710">
        <f>E153/1.17</f>
        <v>0</v>
      </c>
      <c r="F63" s="712">
        <f>F153/1.17</f>
        <v>0</v>
      </c>
      <c r="G63" s="712">
        <f>G153/1.17</f>
        <v>119.65811965811966</v>
      </c>
      <c r="H63" s="521">
        <f>G63-F63</f>
        <v>119.65811965811966</v>
      </c>
      <c r="I63" s="710">
        <f>I153/1.17</f>
        <v>0</v>
      </c>
      <c r="J63" s="712">
        <f>J153/1.17</f>
        <v>0</v>
      </c>
      <c r="K63" s="712">
        <f>K153/1.17</f>
        <v>0</v>
      </c>
      <c r="L63" s="521">
        <f>K63-J63</f>
        <v>0</v>
      </c>
      <c r="M63" s="710">
        <f>M153/1.17</f>
        <v>0</v>
      </c>
      <c r="N63" s="712">
        <f>N153/1.17</f>
        <v>0</v>
      </c>
      <c r="O63" s="712">
        <f>O153/1.17</f>
        <v>12.820512820512821</v>
      </c>
      <c r="P63" s="521">
        <f>O63-N63</f>
        <v>12.820512820512821</v>
      </c>
      <c r="Q63" s="713">
        <f>E63+I63+M63</f>
        <v>0</v>
      </c>
      <c r="R63" s="714">
        <f>R153/1.17</f>
        <v>0</v>
      </c>
      <c r="S63" s="712">
        <f>G63+J63+N63</f>
        <v>119.65811965811966</v>
      </c>
      <c r="T63" s="520">
        <f>G63+K63+O63</f>
        <v>132.47863247863248</v>
      </c>
      <c r="U63" s="712">
        <f>T63-Q63</f>
        <v>132.47863247863248</v>
      </c>
      <c r="V63" s="711">
        <f t="shared" si="93"/>
        <v>132.47863247863248</v>
      </c>
      <c r="W63" s="521">
        <f>T63-S63</f>
        <v>12.820512820512818</v>
      </c>
      <c r="X63" s="710">
        <f>X153/1.17</f>
        <v>0</v>
      </c>
      <c r="Y63" s="712">
        <f>Y153/1.17</f>
        <v>0</v>
      </c>
      <c r="Z63" s="712">
        <f>Z153/1.17</f>
        <v>0</v>
      </c>
      <c r="AA63" s="521">
        <f>Z63-Y63</f>
        <v>0</v>
      </c>
      <c r="AB63" s="710">
        <f>AB153/1.17</f>
        <v>0</v>
      </c>
      <c r="AC63" s="712">
        <f>AC153/1.17</f>
        <v>179.4871794871795</v>
      </c>
      <c r="AD63" s="712">
        <f>AD153/1.17</f>
        <v>179.4871794871795</v>
      </c>
      <c r="AE63" s="716">
        <f>AD63-AC63</f>
        <v>0</v>
      </c>
      <c r="AF63" s="710">
        <f>AF153/1.17</f>
        <v>0</v>
      </c>
      <c r="AG63" s="712">
        <f>AG153/1.17</f>
        <v>0</v>
      </c>
      <c r="AH63" s="712">
        <f>AH153/1.17</f>
        <v>0</v>
      </c>
      <c r="AI63" s="716">
        <f>AH63-AG63</f>
        <v>0</v>
      </c>
      <c r="AJ63" s="713">
        <f>X63+AB63+AF63</f>
        <v>0</v>
      </c>
      <c r="AK63" s="714">
        <f>AK153/1.17</f>
        <v>0</v>
      </c>
      <c r="AL63" s="712">
        <f>Y63+AC63+AG63</f>
        <v>179.4871794871795</v>
      </c>
      <c r="AM63" s="520">
        <f>Z63+AD63+AH63</f>
        <v>179.4871794871795</v>
      </c>
      <c r="AN63" s="739">
        <f>AM63-AJ63</f>
        <v>179.4871794871795</v>
      </c>
      <c r="AO63" s="711">
        <f t="shared" si="94"/>
        <v>179.4871794871795</v>
      </c>
      <c r="AP63" s="521">
        <f>AM63-AL63</f>
        <v>0</v>
      </c>
      <c r="AQ63" s="713">
        <f>SUM(Q63,AJ63)</f>
        <v>0</v>
      </c>
      <c r="AR63" s="714">
        <f>AR153/1.17</f>
        <v>0</v>
      </c>
      <c r="AS63" s="520">
        <f>S63+AL63</f>
        <v>299.14529914529919</v>
      </c>
      <c r="AT63" s="520">
        <f>T63+AM63</f>
        <v>311.96581196581201</v>
      </c>
      <c r="AU63" s="517">
        <f>AT63-AQ63</f>
        <v>311.96581196581201</v>
      </c>
      <c r="AV63" s="711">
        <f t="shared" si="95"/>
        <v>311.96581196581201</v>
      </c>
      <c r="AW63" s="521">
        <f>AT63-AS63</f>
        <v>12.820512820512818</v>
      </c>
      <c r="AX63" s="708">
        <f>AQ63/6</f>
        <v>0</v>
      </c>
      <c r="AY63" s="709">
        <f>AR63/6</f>
        <v>0</v>
      </c>
      <c r="AZ63" s="709">
        <f>AT63/6</f>
        <v>51.994301994301999</v>
      </c>
      <c r="BA63" s="1239" t="e">
        <f>AZ63/AX63</f>
        <v>#DIV/0!</v>
      </c>
      <c r="BB63" s="516">
        <f>AZ63-AX63</f>
        <v>51.994301994301999</v>
      </c>
      <c r="BC63" s="516">
        <f>AZ63-AY63</f>
        <v>51.994301994301999</v>
      </c>
      <c r="BD63" s="516">
        <f>AW63/6</f>
        <v>2.1367521367521363</v>
      </c>
      <c r="BE63" s="710">
        <f>BE153/1.17</f>
        <v>0</v>
      </c>
      <c r="BF63" s="712">
        <f>BF153/1.17</f>
        <v>0</v>
      </c>
      <c r="BG63" s="712">
        <f>BG153/1.17</f>
        <v>31.948717948717952</v>
      </c>
      <c r="BH63" s="521">
        <f>BG63-BF63</f>
        <v>31.948717948717952</v>
      </c>
      <c r="BI63" s="710">
        <f>BI153/1.17</f>
        <v>0</v>
      </c>
      <c r="BJ63" s="712">
        <f>BJ153/1.17</f>
        <v>217.94871794871796</v>
      </c>
      <c r="BK63" s="712">
        <f>BK153/1.17</f>
        <v>76.923076923076934</v>
      </c>
      <c r="BL63" s="521">
        <f>BK63-BJ63</f>
        <v>-141.02564102564102</v>
      </c>
      <c r="BM63" s="710">
        <f>BM153/1.17</f>
        <v>0</v>
      </c>
      <c r="BN63" s="712">
        <f>BN153/1.17</f>
        <v>0</v>
      </c>
      <c r="BO63" s="712">
        <f>BO153/1.17</f>
        <v>0</v>
      </c>
      <c r="BP63" s="521">
        <f>BO63-BN63</f>
        <v>0</v>
      </c>
      <c r="BQ63" s="713">
        <f>BE63+BI63+BM63</f>
        <v>0</v>
      </c>
      <c r="BR63" s="714"/>
      <c r="BS63" s="711">
        <f>BF63+BJ63+BN63</f>
        <v>217.94871794871796</v>
      </c>
      <c r="BT63" s="520">
        <f>BG63+BK63+BO63</f>
        <v>108.87179487179489</v>
      </c>
      <c r="BU63" s="712">
        <f>BT63-BQ63</f>
        <v>108.87179487179489</v>
      </c>
      <c r="BV63" s="711"/>
      <c r="BW63" s="521">
        <f>BT63-BS63</f>
        <v>-109.07692307692307</v>
      </c>
      <c r="BX63" s="710">
        <f>BX153/1.17</f>
        <v>0</v>
      </c>
      <c r="BY63" s="712">
        <f>BY153/1.17</f>
        <v>0</v>
      </c>
      <c r="BZ63" s="712">
        <f>BZ153/1.17</f>
        <v>130.48632478632481</v>
      </c>
      <c r="CA63" s="716">
        <f>BZ63-BY63</f>
        <v>130.48632478632481</v>
      </c>
      <c r="CB63" s="710">
        <f>CB153/1.17</f>
        <v>0</v>
      </c>
      <c r="CC63" s="712">
        <f>CC153/1.17</f>
        <v>0</v>
      </c>
      <c r="CD63" s="712">
        <f>CD153/1.17</f>
        <v>85.470085470085479</v>
      </c>
      <c r="CE63" s="716">
        <f>CD63-CC63</f>
        <v>85.470085470085479</v>
      </c>
      <c r="CF63" s="710">
        <f>CF153/1.17</f>
        <v>0</v>
      </c>
      <c r="CG63" s="712">
        <f>CG153/1.17</f>
        <v>0</v>
      </c>
      <c r="CH63" s="712">
        <f>CH153/1.17</f>
        <v>0</v>
      </c>
      <c r="CI63" s="716">
        <f>CH63-CG63</f>
        <v>0</v>
      </c>
      <c r="CJ63" s="713">
        <f>BX63+CB63+CF63</f>
        <v>0</v>
      </c>
      <c r="CK63" s="714"/>
      <c r="CL63" s="711">
        <f>BY63+CC63+CG63</f>
        <v>0</v>
      </c>
      <c r="CM63" s="520">
        <f>BZ63+CD63+CH63</f>
        <v>215.95641025641029</v>
      </c>
      <c r="CN63" s="739">
        <f>CM63-CJ63</f>
        <v>215.95641025641029</v>
      </c>
      <c r="CO63" s="739"/>
      <c r="CP63" s="521">
        <f>CM63-CL63</f>
        <v>215.95641025641029</v>
      </c>
      <c r="CQ63" s="713">
        <f>SUM(BQ63,CJ63)</f>
        <v>0</v>
      </c>
      <c r="CR63" s="1340"/>
      <c r="CS63" s="1334">
        <f>BS63+CL63</f>
        <v>217.94871794871796</v>
      </c>
      <c r="CT63" s="520">
        <f>BT63+CM63</f>
        <v>324.82820512820518</v>
      </c>
      <c r="CU63" s="517">
        <f>CT63-CQ63</f>
        <v>324.82820512820518</v>
      </c>
      <c r="CV63" s="517"/>
      <c r="CW63" s="521">
        <f>CT63-CS63</f>
        <v>106.87948717948723</v>
      </c>
      <c r="CX63" s="708">
        <f>CQ63/6</f>
        <v>0</v>
      </c>
      <c r="CY63" s="709">
        <f>CT63/6</f>
        <v>54.138034188034197</v>
      </c>
      <c r="CZ63" s="1386" t="e">
        <f>CY63/CX63</f>
        <v>#DIV/0!</v>
      </c>
      <c r="DA63" s="555">
        <f>CY63-CX63</f>
        <v>54.138034188034197</v>
      </c>
      <c r="DB63" s="555">
        <f>CW63/6</f>
        <v>17.81324786324787</v>
      </c>
      <c r="DC63" s="516"/>
      <c r="DD63" s="516"/>
    </row>
    <row r="64" spans="1:108">
      <c r="A64" s="659"/>
      <c r="B64" s="664"/>
      <c r="C64" s="664"/>
      <c r="D64" s="665"/>
      <c r="E64" s="684"/>
      <c r="F64" s="735"/>
      <c r="G64" s="735"/>
      <c r="H64" s="705" t="e">
        <f>G65/F65</f>
        <v>#DIV/0!</v>
      </c>
      <c r="I64" s="684"/>
      <c r="J64" s="735"/>
      <c r="K64" s="735"/>
      <c r="L64" s="1068" t="e">
        <f>K65/J65</f>
        <v>#DIV/0!</v>
      </c>
      <c r="M64" s="684"/>
      <c r="N64" s="735"/>
      <c r="O64" s="735"/>
      <c r="P64" s="1068">
        <f>O65/N65</f>
        <v>0.56147859922179</v>
      </c>
      <c r="Q64" s="607"/>
      <c r="R64" s="773"/>
      <c r="S64" s="743"/>
      <c r="T64" s="596"/>
      <c r="U64" s="1077" t="e">
        <f>T65/Q65</f>
        <v>#DIV/0!</v>
      </c>
      <c r="V64" s="1070" t="e">
        <f>T65/R65</f>
        <v>#DIV/0!</v>
      </c>
      <c r="W64" s="1068">
        <f>T65/S65</f>
        <v>0.56147859922179</v>
      </c>
      <c r="X64" s="684"/>
      <c r="Y64" s="735"/>
      <c r="Z64" s="735"/>
      <c r="AA64" s="1068">
        <f>Z65/Y65</f>
        <v>0.21050119331742242</v>
      </c>
      <c r="AB64" s="684"/>
      <c r="AC64" s="741"/>
      <c r="AD64" s="735"/>
      <c r="AE64" s="1082">
        <f>AD65/AC65</f>
        <v>8.4866666666666664</v>
      </c>
      <c r="AF64" s="684"/>
      <c r="AG64" s="741"/>
      <c r="AH64" s="735"/>
      <c r="AI64" s="1082">
        <f>AH65/AG65</f>
        <v>0.58933333333333338</v>
      </c>
      <c r="AJ64" s="607"/>
      <c r="AK64" s="773"/>
      <c r="AL64" s="743"/>
      <c r="AM64" s="596"/>
      <c r="AN64" s="1086">
        <f>AM65/AJ65</f>
        <v>1.1749244712990936</v>
      </c>
      <c r="AO64" s="1070">
        <f>AM65/AK65</f>
        <v>1.1749244712990936</v>
      </c>
      <c r="AP64" s="1083">
        <f>AM65/AL65</f>
        <v>0.93786173633440517</v>
      </c>
      <c r="AQ64" s="563"/>
      <c r="AR64" s="742"/>
      <c r="AS64" s="571"/>
      <c r="AT64" s="532"/>
      <c r="AU64" s="1076">
        <f>AT65/AQ65</f>
        <v>1.3202416918429003</v>
      </c>
      <c r="AV64" s="1070">
        <f>AT65/AR65</f>
        <v>1.3202416918429003</v>
      </c>
      <c r="AW64" s="1083">
        <f>AT65/AS65</f>
        <v>0.87341772151898733</v>
      </c>
      <c r="AX64" s="722"/>
      <c r="AY64" s="723"/>
      <c r="AZ64" s="723"/>
      <c r="BE64" s="684"/>
      <c r="BF64" s="735"/>
      <c r="BG64" s="735"/>
      <c r="BH64" s="1068">
        <f>BG65/BF65</f>
        <v>0.12172413793103447</v>
      </c>
      <c r="BI64" s="684"/>
      <c r="BJ64" s="735"/>
      <c r="BK64" s="735"/>
      <c r="BL64" s="1068">
        <f>BK65/BJ65</f>
        <v>0.12578947368421053</v>
      </c>
      <c r="BM64" s="684"/>
      <c r="BN64" s="741"/>
      <c r="BO64" s="735"/>
      <c r="BP64" s="1083">
        <f>BO65/BN65</f>
        <v>3.3980831309904151</v>
      </c>
      <c r="BQ64" s="607"/>
      <c r="BR64" s="773"/>
      <c r="BS64" s="742"/>
      <c r="BT64" s="596"/>
      <c r="BU64" s="1077">
        <f>BT65/BQ65</f>
        <v>0.38636530273972602</v>
      </c>
      <c r="BV64" s="1076"/>
      <c r="BW64" s="1068">
        <f>BT65/BS65</f>
        <v>0.58619281097370879</v>
      </c>
      <c r="BX64" s="684"/>
      <c r="BY64" s="741"/>
      <c r="BZ64" s="735"/>
      <c r="CA64" s="1082">
        <f>BZ65/BY65</f>
        <v>0.65555759018494775</v>
      </c>
      <c r="CB64" s="684"/>
      <c r="CC64" s="741"/>
      <c r="CD64" s="735"/>
      <c r="CE64" s="1082">
        <f>CD65/CC65</f>
        <v>0.30756998509193306</v>
      </c>
      <c r="CF64" s="684"/>
      <c r="CG64" s="741"/>
      <c r="CH64" s="735"/>
      <c r="CI64" s="1082">
        <f>CH65/CG65</f>
        <v>0.22381332724783204</v>
      </c>
      <c r="CJ64" s="607"/>
      <c r="CK64" s="773"/>
      <c r="CL64" s="742"/>
      <c r="CM64" s="596"/>
      <c r="CN64" s="1086">
        <f>CM65/CJ65</f>
        <v>0.43398994132439234</v>
      </c>
      <c r="CO64" s="1086"/>
      <c r="CP64" s="1083">
        <f>CM65/CL65</f>
        <v>0.29291957794687568</v>
      </c>
      <c r="CQ64" s="563"/>
      <c r="CR64" s="606"/>
      <c r="CS64" s="606"/>
      <c r="CT64" s="532"/>
      <c r="CU64" s="1076">
        <f>CT65/CQ65</f>
        <v>0.41119755528846158</v>
      </c>
      <c r="CV64" s="1076"/>
      <c r="CW64" s="1083">
        <f>CT65/CS65</f>
        <v>0.37794940554980866</v>
      </c>
      <c r="CX64" s="722"/>
      <c r="CY64" s="723"/>
      <c r="CZ64" s="556"/>
      <c r="DA64" s="556"/>
      <c r="DB64" s="556"/>
      <c r="DC64" s="493"/>
      <c r="DD64" s="493"/>
    </row>
    <row r="65" spans="1:108">
      <c r="A65" s="647" t="s">
        <v>334</v>
      </c>
      <c r="B65" s="661"/>
      <c r="C65" s="997"/>
      <c r="D65" s="995"/>
      <c r="E65" s="710">
        <f>E156/1.17</f>
        <v>0</v>
      </c>
      <c r="F65" s="712">
        <f>F156/1.17</f>
        <v>0</v>
      </c>
      <c r="G65" s="712">
        <f>G156/1.17</f>
        <v>0</v>
      </c>
      <c r="H65" s="521">
        <f>G65-F65</f>
        <v>0</v>
      </c>
      <c r="I65" s="710">
        <f>I156/1.17</f>
        <v>0</v>
      </c>
      <c r="J65" s="712">
        <f>J156/1.17</f>
        <v>0</v>
      </c>
      <c r="K65" s="712">
        <f>K156/1.17</f>
        <v>0</v>
      </c>
      <c r="L65" s="521">
        <f>K65-J65</f>
        <v>0</v>
      </c>
      <c r="M65" s="710">
        <f>M156/1.17</f>
        <v>0</v>
      </c>
      <c r="N65" s="712">
        <f>N156/1.17</f>
        <v>439.31623931623932</v>
      </c>
      <c r="O65" s="712">
        <f>O156/1.17</f>
        <v>246.66666666666671</v>
      </c>
      <c r="P65" s="521">
        <f>O65-N65</f>
        <v>-192.6495726495726</v>
      </c>
      <c r="Q65" s="713">
        <f>E65+I65+M65</f>
        <v>0</v>
      </c>
      <c r="R65" s="714">
        <f>R156/1.17</f>
        <v>0</v>
      </c>
      <c r="S65" s="712">
        <f>G65+J65+N65</f>
        <v>439.31623931623932</v>
      </c>
      <c r="T65" s="520">
        <f>G65+K65+O65</f>
        <v>246.66666666666671</v>
      </c>
      <c r="U65" s="712">
        <f>T65-Q65</f>
        <v>246.66666666666671</v>
      </c>
      <c r="V65" s="711">
        <f t="shared" si="93"/>
        <v>246.66666666666671</v>
      </c>
      <c r="W65" s="521">
        <f>T65-S65</f>
        <v>-192.6495726495726</v>
      </c>
      <c r="X65" s="710">
        <f>X156/1.17</f>
        <v>565.81196581196582</v>
      </c>
      <c r="Y65" s="712">
        <f>Y156/1.17</f>
        <v>716.23931623931628</v>
      </c>
      <c r="Z65" s="712">
        <f>Z156/1.17</f>
        <v>150.76923076923077</v>
      </c>
      <c r="AA65" s="521">
        <f>Z65-Y65</f>
        <v>-565.47008547008545</v>
      </c>
      <c r="AB65" s="710">
        <f>AB156/1.17</f>
        <v>565.81196581196582</v>
      </c>
      <c r="AC65" s="712">
        <f>AC156/1.17</f>
        <v>128.2051282051282</v>
      </c>
      <c r="AD65" s="712">
        <f>AD156/1.17</f>
        <v>1088.034188034188</v>
      </c>
      <c r="AE65" s="716">
        <f>AD65-AC65</f>
        <v>959.82905982905982</v>
      </c>
      <c r="AF65" s="710">
        <f>AF156/1.17</f>
        <v>565.81196581196582</v>
      </c>
      <c r="AG65" s="712">
        <f>AG156/1.17</f>
        <v>1282.0512820512822</v>
      </c>
      <c r="AH65" s="712">
        <f>AH156/1.17</f>
        <v>755.55555555555566</v>
      </c>
      <c r="AI65" s="716">
        <f>AH65-AG65</f>
        <v>-526.49572649572656</v>
      </c>
      <c r="AJ65" s="713">
        <f>X65+AB65+AF65</f>
        <v>1697.4358974358975</v>
      </c>
      <c r="AK65" s="714">
        <f>AK156/1.17</f>
        <v>1697.4358974358975</v>
      </c>
      <c r="AL65" s="712">
        <f>Y65+AC65+AG65</f>
        <v>2126.4957264957266</v>
      </c>
      <c r="AM65" s="520">
        <f>Z65+AD65+AH65</f>
        <v>1994.3589743589744</v>
      </c>
      <c r="AN65" s="739">
        <f>AM65-AJ65</f>
        <v>296.92307692307691</v>
      </c>
      <c r="AO65" s="711">
        <f t="shared" si="94"/>
        <v>296.92307692307691</v>
      </c>
      <c r="AP65" s="521">
        <f>AM65-AL65</f>
        <v>-132.13675213675219</v>
      </c>
      <c r="AQ65" s="713">
        <f>SUM(Q65,AJ65)</f>
        <v>1697.4358974358975</v>
      </c>
      <c r="AR65" s="714">
        <f>AR156/1.17</f>
        <v>1697.4358974358975</v>
      </c>
      <c r="AS65" s="520">
        <f>S65+AL65</f>
        <v>2565.8119658119658</v>
      </c>
      <c r="AT65" s="520">
        <f>T65+AM65</f>
        <v>2241.0256410256411</v>
      </c>
      <c r="AU65" s="517">
        <f>AT65-AQ65</f>
        <v>543.58974358974365</v>
      </c>
      <c r="AV65" s="711">
        <f t="shared" si="95"/>
        <v>543.58974358974365</v>
      </c>
      <c r="AW65" s="521">
        <f>AT65-AS65</f>
        <v>-324.78632478632471</v>
      </c>
      <c r="AX65" s="708">
        <f>AQ65/6</f>
        <v>282.90598290598291</v>
      </c>
      <c r="AY65" s="709">
        <f>AR65/6</f>
        <v>282.90598290598291</v>
      </c>
      <c r="AZ65" s="709">
        <f>AT65/6</f>
        <v>373.5042735042735</v>
      </c>
      <c r="BA65" s="1239">
        <f>AZ65/AX65</f>
        <v>1.3202416918429003</v>
      </c>
      <c r="BB65" s="516">
        <f>AZ65-AX65</f>
        <v>90.598290598290589</v>
      </c>
      <c r="BC65" s="516">
        <f>AZ65-AY65</f>
        <v>90.598290598290589</v>
      </c>
      <c r="BD65" s="516">
        <f>AW65/6</f>
        <v>-54.131054131054121</v>
      </c>
      <c r="BE65" s="710">
        <f>BE156/1.17</f>
        <v>4957.264957264958</v>
      </c>
      <c r="BF65" s="712">
        <f>BF156/1.17</f>
        <v>4957.264957264958</v>
      </c>
      <c r="BG65" s="712">
        <f>BG156/1.17</f>
        <v>603.41880341880346</v>
      </c>
      <c r="BH65" s="521">
        <f>BG65-BF65</f>
        <v>-4353.8461538461543</v>
      </c>
      <c r="BI65" s="710">
        <f>BI156/1.17</f>
        <v>16239.31623931624</v>
      </c>
      <c r="BJ65" s="712">
        <f>BJ156/1.17</f>
        <v>16239.31623931624</v>
      </c>
      <c r="BK65" s="712">
        <f>BK156/1.17</f>
        <v>2042.735042735043</v>
      </c>
      <c r="BL65" s="521">
        <f>BK65-BJ65</f>
        <v>-14196.581196581197</v>
      </c>
      <c r="BM65" s="710">
        <f>BM156/1.17</f>
        <v>16239.31623931624</v>
      </c>
      <c r="BN65" s="712">
        <f>BN156/1.17</f>
        <v>3477.7777777777778</v>
      </c>
      <c r="BO65" s="1236">
        <v>11817.778</v>
      </c>
      <c r="BP65" s="521">
        <f>BO65-BN65</f>
        <v>8340.0002222222229</v>
      </c>
      <c r="BQ65" s="713">
        <f>BE65+BI65+BM65</f>
        <v>37435.897435897437</v>
      </c>
      <c r="BR65" s="714"/>
      <c r="BS65" s="711">
        <f>BF65+BJ65+BN65</f>
        <v>24674.358974358976</v>
      </c>
      <c r="BT65" s="520">
        <f>BG65+BK65+BO65</f>
        <v>14463.931846153846</v>
      </c>
      <c r="BU65" s="712">
        <f>BT65-BQ65</f>
        <v>-22971.965589743591</v>
      </c>
      <c r="BV65" s="711"/>
      <c r="BW65" s="521">
        <f>BT65-BS65</f>
        <v>-10210.42712820513</v>
      </c>
      <c r="BX65" s="710">
        <f>BX156/1.17</f>
        <v>16239.31623931624</v>
      </c>
      <c r="BY65" s="712">
        <f>BY156/1.17</f>
        <v>4667.5213675213681</v>
      </c>
      <c r="BZ65" s="712">
        <f>BZ156/1.17</f>
        <v>3059.82905982906</v>
      </c>
      <c r="CA65" s="716">
        <f>BZ65-BY65</f>
        <v>-1607.6923076923081</v>
      </c>
      <c r="CB65" s="710">
        <f>CB156/1.17</f>
        <v>15282.051282051283</v>
      </c>
      <c r="CC65" s="712">
        <f>CC156/1.17</f>
        <v>25799.145299145301</v>
      </c>
      <c r="CD65" s="712">
        <f>CD156/1.17</f>
        <v>7935.0427350427353</v>
      </c>
      <c r="CE65" s="716">
        <f>CD65-CC65</f>
        <v>-17864.102564102566</v>
      </c>
      <c r="CF65" s="710">
        <f>CF156/1.17</f>
        <v>9264.9572649572656</v>
      </c>
      <c r="CG65" s="712">
        <f>CG156/1.17</f>
        <v>29962.393162393164</v>
      </c>
      <c r="CH65" s="712">
        <f>CH156/1.17</f>
        <v>6705.9829059829062</v>
      </c>
      <c r="CI65" s="716">
        <f>CH65-CG65</f>
        <v>-23256.410256410258</v>
      </c>
      <c r="CJ65" s="713">
        <f>BX65+CB65+CF65</f>
        <v>40786.324786324789</v>
      </c>
      <c r="CK65" s="714"/>
      <c r="CL65" s="711">
        <f>BY65+CC65+CG65</f>
        <v>60429.059829059828</v>
      </c>
      <c r="CM65" s="520">
        <f>BZ65+CD65+CH65</f>
        <v>17700.854700854703</v>
      </c>
      <c r="CN65" s="739">
        <f>CM65-CJ65</f>
        <v>-23085.470085470086</v>
      </c>
      <c r="CO65" s="739"/>
      <c r="CP65" s="521">
        <f>CM65-CL65</f>
        <v>-42728.205128205125</v>
      </c>
      <c r="CQ65" s="713">
        <f>SUM(BQ65,CJ65)</f>
        <v>78222.222222222219</v>
      </c>
      <c r="CR65" s="1340"/>
      <c r="CS65" s="1334">
        <f>BS65+CL65</f>
        <v>85103.418803418812</v>
      </c>
      <c r="CT65" s="520">
        <f>BT65+CM65</f>
        <v>32164.786547008549</v>
      </c>
      <c r="CU65" s="517">
        <f>CT65-CQ65</f>
        <v>-46057.435675213666</v>
      </c>
      <c r="CV65" s="517"/>
      <c r="CW65" s="521">
        <f>CT65-CS65</f>
        <v>-52938.632256410259</v>
      </c>
      <c r="CX65" s="708">
        <f>CQ65/6</f>
        <v>13037.037037037036</v>
      </c>
      <c r="CY65" s="709">
        <f>CT65/6</f>
        <v>5360.7977578347582</v>
      </c>
      <c r="CZ65" s="1386">
        <f>CY65/CX65</f>
        <v>0.41119755528846158</v>
      </c>
      <c r="DA65" s="555">
        <f>CY65-CX65</f>
        <v>-7676.2392792022783</v>
      </c>
      <c r="DB65" s="555">
        <f>CW65/6</f>
        <v>-8823.1053760683772</v>
      </c>
      <c r="DC65" s="516"/>
      <c r="DD65" s="516"/>
    </row>
    <row r="66" spans="1:108">
      <c r="A66" s="664"/>
      <c r="B66" s="664"/>
      <c r="C66" s="664"/>
      <c r="D66" s="665"/>
      <c r="E66" s="700"/>
      <c r="F66" s="735"/>
      <c r="G66" s="735"/>
      <c r="H66" s="705">
        <f>G67/F67</f>
        <v>1.2089456026760264</v>
      </c>
      <c r="I66" s="700"/>
      <c r="J66" s="735"/>
      <c r="K66" s="735"/>
      <c r="L66" s="1068">
        <f>K67/J67</f>
        <v>1.207564232542885</v>
      </c>
      <c r="M66" s="700"/>
      <c r="N66" s="735"/>
      <c r="O66" s="735"/>
      <c r="P66" s="1068">
        <f>O67/N67</f>
        <v>1.0317050694942878</v>
      </c>
      <c r="Q66" s="607"/>
      <c r="R66" s="773"/>
      <c r="S66" s="743"/>
      <c r="T66" s="534"/>
      <c r="U66" s="1077">
        <f>T67/Q67</f>
        <v>1.2547682110941991</v>
      </c>
      <c r="V66" s="1070">
        <f>T67/R67</f>
        <v>1.1006498694955924</v>
      </c>
      <c r="W66" s="1068">
        <f>T67/S67</f>
        <v>1.0743615170137104</v>
      </c>
      <c r="X66" s="700"/>
      <c r="Y66" s="735"/>
      <c r="Z66" s="735"/>
      <c r="AA66" s="1068">
        <f>Z67/Y67</f>
        <v>1.0926500269710793</v>
      </c>
      <c r="AB66" s="700"/>
      <c r="AC66" s="741"/>
      <c r="AD66" s="735"/>
      <c r="AE66" s="1082">
        <f>AD67/AC67</f>
        <v>1.0422448863608129</v>
      </c>
      <c r="AF66" s="700"/>
      <c r="AG66" s="741"/>
      <c r="AH66" s="735"/>
      <c r="AI66" s="1082">
        <f>AH67/AG67</f>
        <v>0.96882954127548981</v>
      </c>
      <c r="AJ66" s="607"/>
      <c r="AK66" s="773"/>
      <c r="AL66" s="743"/>
      <c r="AM66" s="534"/>
      <c r="AN66" s="1086">
        <f>AM67/AJ67</f>
        <v>1.2789178795218237</v>
      </c>
      <c r="AO66" s="1070">
        <f>AM67/AK67</f>
        <v>1.2290502634876961</v>
      </c>
      <c r="AP66" s="1083">
        <f>AM67/AL67</f>
        <v>1.0305612929445014</v>
      </c>
      <c r="AQ66" s="563"/>
      <c r="AR66" s="742"/>
      <c r="AS66" s="571"/>
      <c r="AT66" s="532"/>
      <c r="AU66" s="1076">
        <f>AT67/AQ67</f>
        <v>1.2667105614223404</v>
      </c>
      <c r="AV66" s="1070">
        <f>AT67/AR67</f>
        <v>1.1612195014803031</v>
      </c>
      <c r="AW66" s="1083">
        <f>AT67/AS67</f>
        <v>1.0520372340603439</v>
      </c>
      <c r="AX66" s="722"/>
      <c r="AY66" s="723"/>
      <c r="AZ66" s="723"/>
      <c r="BA66" s="556"/>
      <c r="BB66" s="556"/>
      <c r="BC66" s="556"/>
      <c r="BD66" s="556"/>
      <c r="BE66" s="700"/>
      <c r="BF66" s="735"/>
      <c r="BG66" s="735"/>
      <c r="BH66" s="1068">
        <f>BG67/BF67</f>
        <v>0.84994445761759851</v>
      </c>
      <c r="BI66" s="700"/>
      <c r="BJ66" s="735"/>
      <c r="BK66" s="735"/>
      <c r="BL66" s="1068">
        <f>BK67/BJ67</f>
        <v>0.9256884680616595</v>
      </c>
      <c r="BM66" s="700"/>
      <c r="BN66" s="741"/>
      <c r="BO66" s="735"/>
      <c r="BP66" s="1088">
        <f>BO67/BN67</f>
        <v>0.96119677127465775</v>
      </c>
      <c r="BQ66" s="607"/>
      <c r="BR66" s="773"/>
      <c r="BS66" s="742"/>
      <c r="BT66" s="534"/>
      <c r="BU66" s="1077">
        <f>BT67/BQ67</f>
        <v>0.8527675436029456</v>
      </c>
      <c r="BV66" s="1076"/>
      <c r="BW66" s="1068">
        <f>BT67/BS67</f>
        <v>0.90742526419992053</v>
      </c>
      <c r="BX66" s="700"/>
      <c r="BY66" s="741"/>
      <c r="BZ66" s="735"/>
      <c r="CA66" s="1089">
        <f>BZ67/BY67</f>
        <v>1.0060349544825193</v>
      </c>
      <c r="CB66" s="700"/>
      <c r="CC66" s="741"/>
      <c r="CD66" s="735"/>
      <c r="CE66" s="1082">
        <f>CD67/CC67</f>
        <v>0.73243111464899968</v>
      </c>
      <c r="CF66" s="700"/>
      <c r="CG66" s="741"/>
      <c r="CH66" s="735"/>
      <c r="CI66" s="1082">
        <f>CH67/CG67</f>
        <v>0.6773489108478461</v>
      </c>
      <c r="CJ66" s="607"/>
      <c r="CK66" s="773"/>
      <c r="CL66" s="742"/>
      <c r="CM66" s="534"/>
      <c r="CN66" s="1086">
        <f>CM67/CJ67</f>
        <v>0.88390085687015929</v>
      </c>
      <c r="CO66" s="1086"/>
      <c r="CP66" s="1083">
        <f>CM67/CL67</f>
        <v>0.81169637780546544</v>
      </c>
      <c r="CQ66" s="563"/>
      <c r="CR66" s="606"/>
      <c r="CS66" s="606"/>
      <c r="CT66" s="532"/>
      <c r="CU66" s="1076">
        <f>CT67/CQ67</f>
        <v>0.86750156540269807</v>
      </c>
      <c r="CV66" s="1076"/>
      <c r="CW66" s="1083">
        <f>CT67/CS67</f>
        <v>0.85859734743469918</v>
      </c>
      <c r="CX66" s="722"/>
      <c r="CY66" s="723"/>
      <c r="CZ66" s="556"/>
      <c r="DA66" s="556"/>
      <c r="DB66" s="556"/>
      <c r="DC66" s="556"/>
      <c r="DD66" s="556"/>
    </row>
    <row r="67" spans="1:108" ht="16.5" thickBot="1">
      <c r="A67" s="661" t="s">
        <v>335</v>
      </c>
      <c r="B67" s="661"/>
      <c r="C67" s="997"/>
      <c r="D67" s="995"/>
      <c r="E67" s="744">
        <f>E43+E50+E61+E55+E59+E63+E65</f>
        <v>300182.90598290606</v>
      </c>
      <c r="F67" s="746">
        <f>F43+F50+F61+F55+F59+F63+F65</f>
        <v>344815.38461538462</v>
      </c>
      <c r="G67" s="775">
        <f>G43+G50+G61+G55+G59+G63+G65</f>
        <v>416863.04296581197</v>
      </c>
      <c r="H67" s="543">
        <f>G67-F67</f>
        <v>72047.658350427344</v>
      </c>
      <c r="I67" s="744">
        <f>I43+I50+I61+I55+I59+I63+I65</f>
        <v>324029.05982905987</v>
      </c>
      <c r="J67" s="746">
        <f>J43+J50+J61+J55+J59+J63+J65</f>
        <v>343993.16239316238</v>
      </c>
      <c r="K67" s="775">
        <f>K43+K50+K61+K55+K59+K63+K65</f>
        <v>415393.83914529916</v>
      </c>
      <c r="L67" s="543">
        <f>K67-J67</f>
        <v>71400.676752136787</v>
      </c>
      <c r="M67" s="744">
        <f>M43+M50+M61+M55+M59+M63+M65</f>
        <v>324770.94017094019</v>
      </c>
      <c r="N67" s="746">
        <f>N43+N50+N61+N55+N59+N63+N65</f>
        <v>347479.82905982912</v>
      </c>
      <c r="O67" s="1237">
        <f>O43+O50+O61+O55+O59+O63+O65</f>
        <v>358496.7011880342</v>
      </c>
      <c r="P67" s="543">
        <f>O67-N67</f>
        <v>11016.872128205083</v>
      </c>
      <c r="Q67" s="539">
        <f>Q43+Q50+Q61+Q55+Q59+Q63+Q65</f>
        <v>948982.90598290612</v>
      </c>
      <c r="R67" s="542">
        <f>R43+R50+R61+R55+R59+R63+R65</f>
        <v>1081864.1025641025</v>
      </c>
      <c r="S67" s="746">
        <f>S43+S50+S61+S55+S59+S63+S65</f>
        <v>1108336.0344188034</v>
      </c>
      <c r="T67" s="746">
        <f>T43+T50+T61+T55+T59+T63+T65</f>
        <v>1190753.5832991456</v>
      </c>
      <c r="U67" s="746">
        <f>T67-Q67</f>
        <v>241770.67731623945</v>
      </c>
      <c r="V67" s="745">
        <f t="shared" si="93"/>
        <v>108889.48073504306</v>
      </c>
      <c r="W67" s="543">
        <f>T67-S67</f>
        <v>82417.548880342161</v>
      </c>
      <c r="X67" s="744">
        <f>X43+X50+X61+X55+X59+X63+X65</f>
        <v>317839.31623931625</v>
      </c>
      <c r="Y67" s="746">
        <f>Y43+Y50+Y61+Y55+Y59+Y63+Y65</f>
        <v>343089.87692307692</v>
      </c>
      <c r="Z67" s="1244">
        <f>Z43+Z50+Z61+Z55+Z59+Z63+Z65</f>
        <v>374877.16327350429</v>
      </c>
      <c r="AA67" s="543">
        <f>Z67-Y67</f>
        <v>31787.28635042737</v>
      </c>
      <c r="AB67" s="744">
        <f>AB43+AB50+AB61+AB55+AB59+AB63+AB65</f>
        <v>315350.42735042732</v>
      </c>
      <c r="AC67" s="746">
        <f>AC43+AC50+AC61+AC55+AC59+AC63+AC65</f>
        <v>390118.37606837612</v>
      </c>
      <c r="AD67" s="1244">
        <f>AD43+AD50+AD61+AD55+AD59+AD63+AD65</f>
        <v>406598.88253264956</v>
      </c>
      <c r="AE67" s="543">
        <f>AD67-AC67</f>
        <v>16480.506464273436</v>
      </c>
      <c r="AF67" s="744">
        <f>AF43+AF50+AF61+AF55+AF59+AF63+AF65</f>
        <v>295194.87179487175</v>
      </c>
      <c r="AG67" s="746">
        <f>AG43+AG50+AG61+AG55+AG59+AG63+AG65</f>
        <v>418909.23076923087</v>
      </c>
      <c r="AH67" s="746">
        <f>AH43+AH50+AH61+AH55+AH59+AH63+AH65</f>
        <v>405851.63788222225</v>
      </c>
      <c r="AI67" s="543">
        <f>AH67-AG67</f>
        <v>-13057.592887008621</v>
      </c>
      <c r="AJ67" s="539">
        <f>AJ43+AJ50+AJ61+AJ55+AJ59+AJ63+AJ65</f>
        <v>928384.61538461538</v>
      </c>
      <c r="AK67" s="542">
        <f>AK43+AK50+AK61+AK55+AK59+AK63+AK65</f>
        <v>966052.99145299138</v>
      </c>
      <c r="AL67" s="746">
        <f>AL43+AL50+AL61+AL55+AL59+AL63+AL65</f>
        <v>1152117.483760684</v>
      </c>
      <c r="AM67" s="746">
        <f>AM43+AM50+AM61+AM55+AM59+AM63+AM65</f>
        <v>1187327.6836883761</v>
      </c>
      <c r="AN67" s="746">
        <f>AM67-AJ67</f>
        <v>258943.06830376072</v>
      </c>
      <c r="AO67" s="745">
        <f>AM67-AK67</f>
        <v>221274.69223538472</v>
      </c>
      <c r="AP67" s="543">
        <f>AM67-AL67</f>
        <v>35210.199927692069</v>
      </c>
      <c r="AQ67" s="539">
        <f>AQ43+AQ50+AQ61+AQ55+AQ59+AQ63+AQ65</f>
        <v>1877367.5213675217</v>
      </c>
      <c r="AR67" s="747">
        <f>AR43+AR50+AR61+AR55+AR59+AR63+AR65</f>
        <v>2047917.0940170942</v>
      </c>
      <c r="AS67" s="541">
        <f>AS43+AS50+AS61+AS55+AS59+AS63+AS65</f>
        <v>2260453.5181794874</v>
      </c>
      <c r="AT67" s="541">
        <f>AT43+AT50+AT61+AT55+AT59+AT63+AT65</f>
        <v>2378081.2669875212</v>
      </c>
      <c r="AU67" s="540">
        <f>AT67-AQ67</f>
        <v>500713.74561999948</v>
      </c>
      <c r="AV67" s="745">
        <f>AT67-AR67</f>
        <v>330164.17297042697</v>
      </c>
      <c r="AW67" s="543">
        <f>AT67-AS67</f>
        <v>117627.74880803376</v>
      </c>
      <c r="AX67" s="708">
        <f>AQ67/6</f>
        <v>312894.58689458697</v>
      </c>
      <c r="AY67" s="709">
        <f>AR67/6</f>
        <v>341319.51566951571</v>
      </c>
      <c r="AZ67" s="709">
        <f>AT67/6</f>
        <v>396346.87783125351</v>
      </c>
      <c r="BA67" s="1239">
        <f>AZ67/AX67</f>
        <v>1.2667105614223404</v>
      </c>
      <c r="BB67" s="516">
        <f>AZ67-AX67</f>
        <v>83452.290936666541</v>
      </c>
      <c r="BC67" s="516">
        <f>AZ67-AY67</f>
        <v>55027.362161737808</v>
      </c>
      <c r="BD67" s="516">
        <f>AW67/6</f>
        <v>19604.62480133896</v>
      </c>
      <c r="BE67" s="744">
        <f>BE43+BE50+BE61+BE55+BE59+BE63+BE65</f>
        <v>436992.30769230769</v>
      </c>
      <c r="BF67" s="746">
        <f>BF43+BF50+BF61+BF55+BF59+BF63+BF65</f>
        <v>432763.07692307694</v>
      </c>
      <c r="BG67" s="1237">
        <f>BG43+BG50+BG61+BG55+BG59+BG63+BG65</f>
        <v>367824.5786923077</v>
      </c>
      <c r="BH67" s="543">
        <f>BG67-BF67</f>
        <v>-64938.498230769241</v>
      </c>
      <c r="BI67" s="744">
        <f>BI43+BI50+BI61+BI55+BI59+BI63+BI65</f>
        <v>350958.11965811969</v>
      </c>
      <c r="BJ67" s="746">
        <f>BJ43+BJ50+BJ61+BJ55+BJ59+BJ63+BJ65</f>
        <v>332957.26495726494</v>
      </c>
      <c r="BK67" s="1237">
        <f>BK43+BK50+BK61+BK55+BK59+BK63+BK65</f>
        <v>308214.70052829065</v>
      </c>
      <c r="BL67" s="543">
        <f>BK67-BJ67</f>
        <v>-24742.564428974292</v>
      </c>
      <c r="BM67" s="744">
        <f>BM43+BM50+BM61+BM55+BM59+BM63+BM65</f>
        <v>398780.34188034193</v>
      </c>
      <c r="BN67" s="746">
        <f>BN43+BN50+BN61+BN55+BN59+BN63+BN65</f>
        <v>349529.05982905987</v>
      </c>
      <c r="BO67" s="1237">
        <f>BO43+BO50+BO61+BO55+BO59+BO63+BO65</f>
        <v>335966.20377435902</v>
      </c>
      <c r="BP67" s="543">
        <f>BO67-BN67</f>
        <v>-13562.856054700853</v>
      </c>
      <c r="BQ67" s="539">
        <f>BQ43+BQ50+BQ61+BQ55+BQ59+BQ63+BQ65</f>
        <v>1186730.7692307692</v>
      </c>
      <c r="BR67" s="542"/>
      <c r="BS67" s="747">
        <f>BS43+BS50+BS61+BS55+BS59+BS63+BS65</f>
        <v>1115249.4017094017</v>
      </c>
      <c r="BT67" s="746">
        <f>BT43+BT50+BT61+BT55+BT59+BT63+BT65</f>
        <v>1012005.4829949572</v>
      </c>
      <c r="BU67" s="746">
        <f>BT67-BQ67</f>
        <v>-174725.286235812</v>
      </c>
      <c r="BV67" s="745"/>
      <c r="BW67" s="543">
        <f>BT67-BS67</f>
        <v>-103243.9187144445</v>
      </c>
      <c r="BX67" s="744">
        <f t="shared" ref="BX67:CJ67" si="156">BX43+BX50+BX61+BX55+BX59+BX63+BX65</f>
        <v>390088.03418803419</v>
      </c>
      <c r="BY67" s="746">
        <f t="shared" si="156"/>
        <v>400983.16581196577</v>
      </c>
      <c r="BZ67" s="746">
        <f t="shared" si="156"/>
        <v>403403.08096589748</v>
      </c>
      <c r="CA67" s="748">
        <f t="shared" si="156"/>
        <v>2419.9151539316563</v>
      </c>
      <c r="CB67" s="744">
        <f t="shared" si="156"/>
        <v>363503.41880341887</v>
      </c>
      <c r="CC67" s="746">
        <f t="shared" si="156"/>
        <v>439147.86324786325</v>
      </c>
      <c r="CD67" s="746">
        <f t="shared" si="156"/>
        <v>321645.55897435895</v>
      </c>
      <c r="CE67" s="748">
        <f t="shared" si="156"/>
        <v>-117502.30427350427</v>
      </c>
      <c r="CF67" s="744">
        <f t="shared" si="156"/>
        <v>312632.47863247863</v>
      </c>
      <c r="CG67" s="746">
        <f t="shared" si="156"/>
        <v>320938.88888888893</v>
      </c>
      <c r="CH67" s="746">
        <f t="shared" si="156"/>
        <v>217387.60683760681</v>
      </c>
      <c r="CI67" s="748">
        <f t="shared" si="156"/>
        <v>-103551.28205128206</v>
      </c>
      <c r="CJ67" s="539">
        <f t="shared" si="156"/>
        <v>1066223.9316239317</v>
      </c>
      <c r="CK67" s="542"/>
      <c r="CL67" s="747">
        <f>CL43+CL50+CL61+CL55+CL59+CL63+CL65</f>
        <v>1161069.9179487179</v>
      </c>
      <c r="CM67" s="746">
        <f>CM43+CM50+CM61+CM55+CM59+CM63+CM65</f>
        <v>942436.24677786336</v>
      </c>
      <c r="CN67" s="746">
        <f>CM67-CJ67</f>
        <v>-123787.68484606838</v>
      </c>
      <c r="CO67" s="745"/>
      <c r="CP67" s="543">
        <f>CP43+CP50+CP61+CP55+CP59+CP63+CP65</f>
        <v>-218633.67117085471</v>
      </c>
      <c r="CQ67" s="539">
        <f>CQ43+CQ50+CQ61+CQ55+CQ59+CQ63+CQ65</f>
        <v>2252954.700854701</v>
      </c>
      <c r="CR67" s="1347"/>
      <c r="CS67" s="1347">
        <f>CS43+CS50+CS61+CS55+CS59+CS63+CS65</f>
        <v>2276319.3196581192</v>
      </c>
      <c r="CT67" s="541">
        <f>CT43+CT50+CT61+CT55+CT59+CT63+CT65</f>
        <v>1954441.7297728204</v>
      </c>
      <c r="CU67" s="540">
        <f>CU43+CU50+CU61+CU55+CU59+CU63+CU65</f>
        <v>-298512.97108188045</v>
      </c>
      <c r="CV67" s="540"/>
      <c r="CW67" s="543">
        <f>CT67-CS67</f>
        <v>-321877.58988529886</v>
      </c>
      <c r="CX67" s="708">
        <f>CQ67/6</f>
        <v>375492.45014245017</v>
      </c>
      <c r="CY67" s="709">
        <f>CT67/6</f>
        <v>325740.28829547006</v>
      </c>
      <c r="CZ67" s="1386">
        <f>CY67/CX67</f>
        <v>0.86750156540269807</v>
      </c>
      <c r="DA67" s="555">
        <f>CY67-CX67</f>
        <v>-49752.161846980103</v>
      </c>
      <c r="DB67" s="555">
        <f>CW67/6</f>
        <v>-53646.264980883141</v>
      </c>
      <c r="DC67" s="516"/>
      <c r="DD67" s="516"/>
    </row>
    <row r="68" spans="1:108">
      <c r="A68" s="989"/>
      <c r="B68" s="989"/>
      <c r="C68" s="989"/>
      <c r="D68" s="989"/>
      <c r="E68" s="697"/>
      <c r="F68" s="776"/>
      <c r="G68" s="776"/>
      <c r="H68" s="655"/>
      <c r="J68" s="1091"/>
      <c r="K68" s="1091"/>
      <c r="N68" s="1091"/>
      <c r="O68" s="1091"/>
      <c r="Q68" s="544"/>
      <c r="R68" s="544"/>
      <c r="S68" s="544"/>
      <c r="T68" s="1092"/>
      <c r="U68" s="544"/>
      <c r="V68" s="544"/>
      <c r="Y68" s="1091"/>
      <c r="Z68" s="1091"/>
      <c r="AC68" s="1091"/>
      <c r="AD68" s="1091"/>
      <c r="AG68" s="1091"/>
      <c r="AH68" s="1091"/>
      <c r="AJ68" s="544"/>
      <c r="AK68" s="544"/>
      <c r="AL68" s="1245">
        <f>AL67/3</f>
        <v>384039.16125356132</v>
      </c>
      <c r="AM68" s="1245">
        <f>AM67/3</f>
        <v>395775.89456279203</v>
      </c>
      <c r="AN68" s="544"/>
      <c r="AO68" s="544"/>
      <c r="AR68" s="723"/>
      <c r="AS68" s="655">
        <f>AS67/6</f>
        <v>376742.25302991457</v>
      </c>
      <c r="AT68" s="655">
        <f>AT67/6</f>
        <v>396346.87783125351</v>
      </c>
      <c r="AV68" s="544"/>
      <c r="AX68" s="697"/>
      <c r="AY68" s="697"/>
      <c r="AZ68" s="697"/>
      <c r="BF68" s="1091"/>
      <c r="BG68" s="1091"/>
      <c r="BJ68" s="1091"/>
      <c r="BK68" s="1091"/>
      <c r="BN68" s="1091"/>
      <c r="BO68" s="1091"/>
      <c r="BQ68" s="544"/>
      <c r="BR68" s="544"/>
      <c r="BS68" s="544"/>
      <c r="BT68" s="1092"/>
      <c r="BU68" s="544"/>
      <c r="BV68" s="544"/>
      <c r="BY68" s="1091"/>
      <c r="BZ68" s="1091"/>
      <c r="CC68" s="1091"/>
      <c r="CD68" s="1091"/>
      <c r="CF68" s="697"/>
      <c r="CG68" s="1091"/>
      <c r="CH68" s="1091"/>
      <c r="CI68" s="697"/>
      <c r="CJ68" s="544"/>
      <c r="CK68" s="544"/>
      <c r="CL68" s="544"/>
      <c r="CM68" s="1092"/>
      <c r="CN68" s="544"/>
      <c r="CO68" s="544"/>
      <c r="CP68" s="697"/>
      <c r="CQ68" s="655"/>
      <c r="CR68" s="655"/>
      <c r="CS68" s="655"/>
      <c r="CT68" s="655"/>
      <c r="CU68" s="655"/>
      <c r="CV68" s="655"/>
      <c r="CW68" s="697"/>
      <c r="CX68" s="697"/>
      <c r="CY68" s="723"/>
      <c r="CZ68" s="556"/>
      <c r="DA68" s="556"/>
      <c r="DB68" s="556"/>
      <c r="DC68" s="493"/>
      <c r="DD68" s="493"/>
    </row>
    <row r="69" spans="1:108" ht="20.25" thickBot="1">
      <c r="A69" s="1006" t="s">
        <v>350</v>
      </c>
      <c r="B69" s="1007"/>
      <c r="C69" s="1008"/>
      <c r="D69" s="1008"/>
      <c r="E69" s="777"/>
      <c r="F69" s="777"/>
      <c r="G69" s="777"/>
      <c r="H69" s="564"/>
      <c r="I69" s="777"/>
      <c r="J69" s="777"/>
      <c r="K69" s="777"/>
      <c r="L69" s="564"/>
      <c r="M69" s="777"/>
      <c r="N69" s="777"/>
      <c r="O69" s="777"/>
      <c r="P69" s="564">
        <v>0</v>
      </c>
      <c r="Q69" s="494"/>
      <c r="R69" s="494"/>
      <c r="S69" s="494"/>
      <c r="T69" s="657"/>
      <c r="U69" s="657"/>
      <c r="V69" s="657"/>
      <c r="W69" s="777"/>
      <c r="X69" s="777"/>
      <c r="Y69" s="777"/>
      <c r="Z69" s="777"/>
      <c r="AA69" s="564"/>
      <c r="AB69" s="777"/>
      <c r="AC69" s="777"/>
      <c r="AD69" s="777"/>
      <c r="AE69" s="777"/>
      <c r="AF69" s="777"/>
      <c r="AG69" s="777"/>
      <c r="AH69" s="777"/>
      <c r="AI69" s="777"/>
      <c r="AJ69" s="494"/>
      <c r="AK69" s="494"/>
      <c r="AL69" s="494"/>
      <c r="AM69" s="657"/>
      <c r="AN69" s="657"/>
      <c r="AO69" s="657"/>
      <c r="AP69" s="777"/>
      <c r="AQ69" s="749"/>
      <c r="AR69" s="749"/>
      <c r="AT69" s="749"/>
      <c r="AU69" s="564"/>
      <c r="AV69" s="657"/>
      <c r="AW69" s="750" t="s">
        <v>179</v>
      </c>
      <c r="AX69" s="697"/>
      <c r="AY69" s="697"/>
      <c r="BA69" s="1424">
        <f ca="1">NOW()</f>
        <v>43109.693275578706</v>
      </c>
      <c r="BB69" s="1424"/>
      <c r="BC69" s="1424"/>
      <c r="BD69" s="1424"/>
      <c r="BE69" s="777"/>
      <c r="BF69" s="777"/>
      <c r="BG69" s="777"/>
      <c r="BH69" s="564"/>
      <c r="BI69" s="777"/>
      <c r="BJ69" s="777"/>
      <c r="BK69" s="777"/>
      <c r="BL69" s="564"/>
      <c r="BM69" s="777"/>
      <c r="BN69" s="777"/>
      <c r="BO69" s="777"/>
      <c r="BP69" s="564">
        <v>0</v>
      </c>
      <c r="BQ69" s="494"/>
      <c r="BR69" s="494"/>
      <c r="BS69" s="494"/>
      <c r="BT69" s="657"/>
      <c r="BU69" s="657"/>
      <c r="BV69" s="657"/>
      <c r="BW69" s="777"/>
      <c r="BX69" s="777"/>
      <c r="BY69" s="777"/>
      <c r="BZ69" s="777"/>
      <c r="CA69" s="777"/>
      <c r="CB69" s="777"/>
      <c r="CC69" s="777"/>
      <c r="CD69" s="777"/>
      <c r="CE69" s="777"/>
      <c r="CF69" s="777"/>
      <c r="CG69" s="777"/>
      <c r="CH69" s="777"/>
      <c r="CI69" s="777"/>
      <c r="CJ69" s="494"/>
      <c r="CK69" s="494"/>
      <c r="CL69" s="494"/>
      <c r="CM69" s="657"/>
      <c r="CN69" s="657"/>
      <c r="CO69" s="657"/>
      <c r="CP69" s="777"/>
      <c r="CQ69" s="749"/>
      <c r="CR69" s="749"/>
      <c r="CS69" s="655"/>
      <c r="CT69" s="749"/>
      <c r="CU69" s="564"/>
      <c r="CV69" s="564"/>
      <c r="CW69" s="750" t="s">
        <v>179</v>
      </c>
      <c r="CX69" s="697"/>
      <c r="CY69" s="697"/>
      <c r="CZ69" s="655"/>
      <c r="DA69" s="1424"/>
      <c r="DB69" s="1424"/>
      <c r="DC69" s="1424"/>
      <c r="DD69" s="1424"/>
    </row>
    <row r="70" spans="1:108" ht="16.5" thickBot="1">
      <c r="A70" s="991"/>
      <c r="B70" s="991"/>
      <c r="C70" s="991"/>
      <c r="D70" s="617"/>
      <c r="E70" s="1403" t="str">
        <f>E3</f>
        <v>17/3</v>
      </c>
      <c r="F70" s="1404"/>
      <c r="G70" s="1406"/>
      <c r="H70" s="1405">
        <v>0</v>
      </c>
      <c r="I70" s="1403" t="str">
        <f>I3</f>
        <v>17/4</v>
      </c>
      <c r="J70" s="1404"/>
      <c r="K70" s="1406"/>
      <c r="L70" s="1405">
        <v>0</v>
      </c>
      <c r="M70" s="1403" t="str">
        <f>M3</f>
        <v>17/5</v>
      </c>
      <c r="N70" s="1404"/>
      <c r="O70" s="1406"/>
      <c r="P70" s="1405">
        <v>0</v>
      </c>
      <c r="Q70" s="1403" t="str">
        <f>Q3</f>
        <v>17/3-17/5累計</v>
      </c>
      <c r="R70" s="1406"/>
      <c r="S70" s="1404"/>
      <c r="T70" s="1406"/>
      <c r="U70" s="1404"/>
      <c r="V70" s="1404"/>
      <c r="W70" s="1405"/>
      <c r="X70" s="1403" t="str">
        <f>X3</f>
        <v>17/6</v>
      </c>
      <c r="Y70" s="1404"/>
      <c r="Z70" s="1406"/>
      <c r="AA70" s="1405">
        <v>0</v>
      </c>
      <c r="AB70" s="1403" t="str">
        <f>AB3</f>
        <v>17/7</v>
      </c>
      <c r="AC70" s="1404"/>
      <c r="AD70" s="1406"/>
      <c r="AE70" s="1405">
        <v>0</v>
      </c>
      <c r="AF70" s="1403" t="str">
        <f>AF3</f>
        <v>17/8</v>
      </c>
      <c r="AG70" s="1404"/>
      <c r="AH70" s="1406"/>
      <c r="AI70" s="1405">
        <v>0</v>
      </c>
      <c r="AJ70" s="1403" t="str">
        <f>AJ3</f>
        <v>17/6-17/8累計</v>
      </c>
      <c r="AK70" s="1404"/>
      <c r="AL70" s="1404"/>
      <c r="AM70" s="1406"/>
      <c r="AN70" s="1404"/>
      <c r="AO70" s="1404"/>
      <c r="AP70" s="1405"/>
      <c r="AQ70" s="1407" t="str">
        <f>AQ3</f>
        <v>17/上(17/3-17/8)累計</v>
      </c>
      <c r="AR70" s="1408"/>
      <c r="AS70" s="1408"/>
      <c r="AT70" s="1408"/>
      <c r="AU70" s="1408"/>
      <c r="AV70" s="1408"/>
      <c r="AW70" s="1409"/>
      <c r="AX70" s="674"/>
      <c r="AY70" s="675"/>
      <c r="AZ70" s="676"/>
      <c r="BA70" s="495"/>
      <c r="BB70" s="495"/>
      <c r="BC70" s="495"/>
      <c r="BD70" s="495"/>
      <c r="BE70" s="1403" t="str">
        <f>BE3</f>
        <v>17/9</v>
      </c>
      <c r="BF70" s="1406"/>
      <c r="BG70" s="1406"/>
      <c r="BH70" s="1405">
        <v>0</v>
      </c>
      <c r="BI70" s="1403" t="str">
        <f>BI3</f>
        <v>17/10</v>
      </c>
      <c r="BJ70" s="1404"/>
      <c r="BK70" s="1406"/>
      <c r="BL70" s="1405">
        <v>0</v>
      </c>
      <c r="BM70" s="1403" t="str">
        <f>BM3</f>
        <v>17/11</v>
      </c>
      <c r="BN70" s="1404"/>
      <c r="BO70" s="1406"/>
      <c r="BP70" s="1405">
        <v>0</v>
      </c>
      <c r="BQ70" s="1403" t="str">
        <f>BQ3</f>
        <v>17/9-17/11累計</v>
      </c>
      <c r="BR70" s="1404"/>
      <c r="BS70" s="1404"/>
      <c r="BT70" s="1406"/>
      <c r="BU70" s="1404"/>
      <c r="BV70" s="1404"/>
      <c r="BW70" s="1405"/>
      <c r="BX70" s="1403" t="str">
        <f>BX3</f>
        <v>17/12</v>
      </c>
      <c r="BY70" s="1404"/>
      <c r="BZ70" s="1406"/>
      <c r="CA70" s="1405">
        <v>0</v>
      </c>
      <c r="CB70" s="1426" t="str">
        <f>CB3</f>
        <v>18/1</v>
      </c>
      <c r="CC70" s="1406"/>
      <c r="CD70" s="1406"/>
      <c r="CE70" s="1427">
        <v>0</v>
      </c>
      <c r="CF70" s="1403" t="str">
        <f>CF3</f>
        <v>18/2</v>
      </c>
      <c r="CG70" s="1404"/>
      <c r="CH70" s="1406"/>
      <c r="CI70" s="1405">
        <v>0</v>
      </c>
      <c r="CJ70" s="1403" t="str">
        <f>CJ3</f>
        <v>17/12-18/2累計</v>
      </c>
      <c r="CK70" s="1404"/>
      <c r="CL70" s="1404"/>
      <c r="CM70" s="1406"/>
      <c r="CN70" s="1404"/>
      <c r="CO70" s="1404"/>
      <c r="CP70" s="1405"/>
      <c r="CQ70" s="1407" t="str">
        <f>CQ3</f>
        <v>17/下(17/12-18/2)累計</v>
      </c>
      <c r="CR70" s="1408"/>
      <c r="CS70" s="1408"/>
      <c r="CT70" s="1408"/>
      <c r="CU70" s="1408"/>
      <c r="CV70" s="1408"/>
      <c r="CW70" s="1409"/>
      <c r="CX70" s="674"/>
      <c r="CY70" s="675"/>
      <c r="CZ70" s="1383"/>
      <c r="DA70" s="1383"/>
      <c r="DB70" s="1387"/>
      <c r="DC70" s="495"/>
      <c r="DD70" s="495"/>
    </row>
    <row r="71" spans="1:108" ht="16.5" thickTop="1">
      <c r="A71" s="491"/>
      <c r="B71" s="491"/>
      <c r="C71" s="491"/>
      <c r="D71" s="652"/>
      <c r="E71" s="778" t="s">
        <v>168</v>
      </c>
      <c r="F71" s="779" t="str">
        <f>F4</f>
        <v>今回計画</v>
      </c>
      <c r="G71" s="780" t="str">
        <f>G4</f>
        <v>実績</v>
      </c>
      <c r="H71" s="781" t="s">
        <v>318</v>
      </c>
      <c r="I71" s="778" t="s">
        <v>168</v>
      </c>
      <c r="J71" s="779" t="str">
        <f>J4</f>
        <v>前回計画</v>
      </c>
      <c r="K71" s="780" t="str">
        <f>K4</f>
        <v>実績</v>
      </c>
      <c r="L71" s="781" t="s">
        <v>424</v>
      </c>
      <c r="M71" s="778" t="s">
        <v>168</v>
      </c>
      <c r="N71" s="779" t="str">
        <f>N4</f>
        <v>前回計画</v>
      </c>
      <c r="O71" s="780" t="str">
        <f>O4</f>
        <v>実績</v>
      </c>
      <c r="P71" s="781" t="s">
        <v>431</v>
      </c>
      <c r="Q71" s="590" t="s">
        <v>168</v>
      </c>
      <c r="R71" s="783" t="str">
        <f>R4</f>
        <v>目標</v>
      </c>
      <c r="S71" s="500" t="s">
        <v>426</v>
      </c>
      <c r="T71" s="498" t="str">
        <f>T4</f>
        <v>今回見通</v>
      </c>
      <c r="U71" s="497" t="s">
        <v>425</v>
      </c>
      <c r="V71" s="546" t="s">
        <v>423</v>
      </c>
      <c r="W71" s="567" t="s">
        <v>424</v>
      </c>
      <c r="X71" s="778" t="s">
        <v>168</v>
      </c>
      <c r="Y71" s="779" t="str">
        <f>Y4</f>
        <v>計画</v>
      </c>
      <c r="Z71" s="780" t="str">
        <f>Z4</f>
        <v>実績</v>
      </c>
      <c r="AA71" s="781" t="s">
        <v>437</v>
      </c>
      <c r="AB71" s="778" t="s">
        <v>168</v>
      </c>
      <c r="AC71" s="779" t="str">
        <f>AC4</f>
        <v>今回計画</v>
      </c>
      <c r="AD71" s="780" t="str">
        <f>AD4</f>
        <v>実績</v>
      </c>
      <c r="AE71" s="781" t="s">
        <v>416</v>
      </c>
      <c r="AF71" s="778" t="s">
        <v>168</v>
      </c>
      <c r="AG71" s="779" t="str">
        <f>AG4</f>
        <v>前回計画</v>
      </c>
      <c r="AH71" s="780" t="str">
        <f>AH4</f>
        <v>実績</v>
      </c>
      <c r="AI71" s="781" t="s">
        <v>468</v>
      </c>
      <c r="AJ71" s="499" t="s">
        <v>168</v>
      </c>
      <c r="AK71" s="783" t="str">
        <f>AK4</f>
        <v>目標</v>
      </c>
      <c r="AL71" s="500" t="s">
        <v>239</v>
      </c>
      <c r="AM71" s="498" t="str">
        <f>AM4</f>
        <v>今回見通</v>
      </c>
      <c r="AN71" s="500" t="s">
        <v>238</v>
      </c>
      <c r="AO71" s="546" t="s">
        <v>436</v>
      </c>
      <c r="AP71" s="567" t="s">
        <v>416</v>
      </c>
      <c r="AQ71" s="496" t="s">
        <v>168</v>
      </c>
      <c r="AR71" s="678" t="str">
        <f>AR4</f>
        <v>目標</v>
      </c>
      <c r="AS71" s="504" t="s">
        <v>239</v>
      </c>
      <c r="AT71" s="498" t="str">
        <f>AT4</f>
        <v>今回見通</v>
      </c>
      <c r="AU71" s="546" t="s">
        <v>238</v>
      </c>
      <c r="AV71" s="546" t="s">
        <v>436</v>
      </c>
      <c r="AW71" s="501" t="s">
        <v>416</v>
      </c>
      <c r="AX71" s="677" t="s">
        <v>180</v>
      </c>
      <c r="AY71" s="682" t="str">
        <f>AY4</f>
        <v>目標平均</v>
      </c>
      <c r="AZ71" s="681" t="str">
        <f>AZ4</f>
        <v>見通し平均</v>
      </c>
      <c r="BA71" s="510"/>
      <c r="BB71" s="493" t="s">
        <v>439</v>
      </c>
      <c r="BC71" s="493" t="str">
        <f>BC4</f>
        <v>月目標差</v>
      </c>
      <c r="BD71" s="493" t="s">
        <v>460</v>
      </c>
      <c r="BE71" s="778" t="s">
        <v>168</v>
      </c>
      <c r="BF71" s="779" t="str">
        <f>BF4</f>
        <v>前回計画</v>
      </c>
      <c r="BG71" s="780" t="str">
        <f>BG4</f>
        <v>実績</v>
      </c>
      <c r="BH71" s="566" t="s">
        <v>474</v>
      </c>
      <c r="BI71" s="778" t="str">
        <f>BI4</f>
        <v>レビュー</v>
      </c>
      <c r="BJ71" s="779" t="str">
        <f>BJ4</f>
        <v>前回計画</v>
      </c>
      <c r="BK71" s="780" t="str">
        <f>BK4</f>
        <v>実績</v>
      </c>
      <c r="BL71" s="781" t="s">
        <v>488</v>
      </c>
      <c r="BM71" s="778" t="str">
        <f>BM4</f>
        <v>レビュー</v>
      </c>
      <c r="BN71" s="779" t="str">
        <f>BN4</f>
        <v>計画</v>
      </c>
      <c r="BO71" s="780" t="s">
        <v>503</v>
      </c>
      <c r="BP71" s="566" t="s">
        <v>504</v>
      </c>
      <c r="BQ71" s="778" t="str">
        <f>BQ4</f>
        <v>レビュー</v>
      </c>
      <c r="BR71" s="500"/>
      <c r="BS71" s="497" t="s">
        <v>501</v>
      </c>
      <c r="BT71" s="498" t="str">
        <f>BT4</f>
        <v>実績</v>
      </c>
      <c r="BU71" s="497" t="str">
        <f>BU4</f>
        <v>レビュー差異</v>
      </c>
      <c r="BV71" s="546"/>
      <c r="BW71" s="567" t="s">
        <v>504</v>
      </c>
      <c r="BX71" s="778" t="str">
        <f>BX4</f>
        <v>レビュー</v>
      </c>
      <c r="BY71" s="779" t="str">
        <f>BY4</f>
        <v>前回計画</v>
      </c>
      <c r="BZ71" s="780" t="s">
        <v>537</v>
      </c>
      <c r="CA71" s="781" t="s">
        <v>538</v>
      </c>
      <c r="CB71" s="778" t="str">
        <f>CB4</f>
        <v>レビュー</v>
      </c>
      <c r="CC71" s="779" t="str">
        <f>CC4</f>
        <v>前回計画</v>
      </c>
      <c r="CD71" s="782" t="str">
        <f>CD4</f>
        <v>今回計画</v>
      </c>
      <c r="CE71" s="781" t="s">
        <v>539</v>
      </c>
      <c r="CF71" s="778" t="str">
        <f>CF4</f>
        <v>レビュー</v>
      </c>
      <c r="CG71" s="779" t="str">
        <f>CG4</f>
        <v>前回計画</v>
      </c>
      <c r="CH71" s="782" t="str">
        <f>CH4</f>
        <v>今回計画</v>
      </c>
      <c r="CI71" s="781" t="s">
        <v>530</v>
      </c>
      <c r="CJ71" s="499" t="str">
        <f>CJ4</f>
        <v>レビュー</v>
      </c>
      <c r="CK71" s="500"/>
      <c r="CL71" s="500" t="s">
        <v>540</v>
      </c>
      <c r="CM71" s="498" t="str">
        <f>CM4</f>
        <v>今回見通</v>
      </c>
      <c r="CN71" s="500" t="s">
        <v>541</v>
      </c>
      <c r="CO71" s="500"/>
      <c r="CP71" s="567" t="s">
        <v>542</v>
      </c>
      <c r="CQ71" s="499" t="str">
        <f>CQ4</f>
        <v>レビュー</v>
      </c>
      <c r="CR71" s="504"/>
      <c r="CS71" s="504" t="s">
        <v>543</v>
      </c>
      <c r="CT71" s="498" t="str">
        <f>CT4</f>
        <v>今回見通</v>
      </c>
      <c r="CU71" s="546" t="str">
        <f>CU4</f>
        <v>レビュー差異</v>
      </c>
      <c r="CV71" s="546"/>
      <c r="CW71" s="501" t="s">
        <v>544</v>
      </c>
      <c r="CX71" s="677" t="s">
        <v>180</v>
      </c>
      <c r="CY71" s="681" t="str">
        <f>CY4</f>
        <v>見通し平均</v>
      </c>
      <c r="CZ71" s="1385"/>
      <c r="DA71" s="556" t="s">
        <v>512</v>
      </c>
      <c r="DB71" s="556" t="s">
        <v>513</v>
      </c>
      <c r="DC71" s="493"/>
      <c r="DD71" s="493"/>
    </row>
    <row r="72" spans="1:108">
      <c r="A72" s="625"/>
      <c r="B72" s="1410" t="s">
        <v>351</v>
      </c>
      <c r="C72" s="1411"/>
      <c r="D72" s="653"/>
      <c r="E72" s="784">
        <v>7000</v>
      </c>
      <c r="F72" s="785">
        <v>8000</v>
      </c>
      <c r="G72" s="786">
        <v>17866</v>
      </c>
      <c r="H72" s="630">
        <v>0</v>
      </c>
      <c r="I72" s="784">
        <v>7700</v>
      </c>
      <c r="J72" s="785">
        <v>9000</v>
      </c>
      <c r="K72" s="786">
        <v>6780.8155200000001</v>
      </c>
      <c r="L72" s="630">
        <f>K72-J72</f>
        <v>-2219.1844799999999</v>
      </c>
      <c r="M72" s="784">
        <v>8400</v>
      </c>
      <c r="N72" s="785">
        <v>8000</v>
      </c>
      <c r="O72" s="786">
        <v>7761</v>
      </c>
      <c r="P72" s="630">
        <f>O72-N72</f>
        <v>-239</v>
      </c>
      <c r="Q72" s="592">
        <f>E72+I72+M72</f>
        <v>23100</v>
      </c>
      <c r="R72" s="788">
        <v>23100</v>
      </c>
      <c r="S72" s="593">
        <f>G72+J72+N72</f>
        <v>34866</v>
      </c>
      <c r="T72" s="789">
        <f>G72+K72+O72</f>
        <v>32407.81552</v>
      </c>
      <c r="U72" s="789">
        <f>T72-Q72</f>
        <v>9307.8155200000001</v>
      </c>
      <c r="V72" s="490">
        <f>T72-R72</f>
        <v>9307.8155200000001</v>
      </c>
      <c r="W72" s="790">
        <f>T72-S72</f>
        <v>-2458.1844799999999</v>
      </c>
      <c r="X72" s="784">
        <v>8400</v>
      </c>
      <c r="Y72" s="785">
        <v>6999.8559999999998</v>
      </c>
      <c r="Z72" s="786">
        <v>9248.2200799999991</v>
      </c>
      <c r="AA72" s="630">
        <f>Z72-Y72</f>
        <v>2248.3640799999994</v>
      </c>
      <c r="AB72" s="784">
        <v>8400</v>
      </c>
      <c r="AC72" s="785">
        <f>AB72</f>
        <v>8400</v>
      </c>
      <c r="AD72" s="786">
        <v>7161.13076</v>
      </c>
      <c r="AE72" s="630">
        <f>AD72-AC72</f>
        <v>-1238.86924</v>
      </c>
      <c r="AF72" s="784">
        <v>7800</v>
      </c>
      <c r="AG72" s="785">
        <v>7800</v>
      </c>
      <c r="AH72" s="786">
        <v>5442.3189999999995</v>
      </c>
      <c r="AI72" s="630">
        <f>AH72-AG72</f>
        <v>-2357.6810000000005</v>
      </c>
      <c r="AJ72" s="551">
        <f>X72+AB72+AF72</f>
        <v>24600</v>
      </c>
      <c r="AK72" s="788">
        <v>24600</v>
      </c>
      <c r="AL72" s="791">
        <f t="shared" ref="AL72:AM75" si="157">Y72+AC72+AG72</f>
        <v>23199.856</v>
      </c>
      <c r="AM72" s="789">
        <f t="shared" si="157"/>
        <v>21851.669839999999</v>
      </c>
      <c r="AN72" s="593">
        <f>AM72-AJ72</f>
        <v>-2748.3301600000013</v>
      </c>
      <c r="AO72" s="490">
        <f>AM72-AK72</f>
        <v>-2748.3301600000013</v>
      </c>
      <c r="AP72" s="790">
        <f>AM72-AL72</f>
        <v>-1348.1861600000011</v>
      </c>
      <c r="AQ72" s="505">
        <f t="shared" ref="AQ72:AR75" si="158">AJ72+Q72</f>
        <v>47700</v>
      </c>
      <c r="AR72" s="792">
        <f t="shared" si="158"/>
        <v>47700</v>
      </c>
      <c r="AS72" s="793">
        <f>S72+AL72</f>
        <v>58065.856</v>
      </c>
      <c r="AT72" s="791">
        <f>SUM(T72,AM72)</f>
        <v>54259.485359999999</v>
      </c>
      <c r="AU72" s="490">
        <f>AT72-AQ72</f>
        <v>6559.4853599999988</v>
      </c>
      <c r="AV72" s="490">
        <f>AT72-AR72</f>
        <v>6559.4853599999988</v>
      </c>
      <c r="AW72" s="758">
        <f>AT72-AS72</f>
        <v>-3806.370640000001</v>
      </c>
      <c r="AX72" s="689"/>
      <c r="AY72" s="690"/>
      <c r="AZ72" s="690"/>
      <c r="BA72" s="510"/>
      <c r="BB72" s="510"/>
      <c r="BC72" s="510"/>
      <c r="BD72" s="510"/>
      <c r="BE72" s="794">
        <v>8200</v>
      </c>
      <c r="BF72" s="795">
        <v>8200</v>
      </c>
      <c r="BG72" s="796">
        <v>8206.61132</v>
      </c>
      <c r="BH72" s="577">
        <f>BG72-BF72</f>
        <v>6.6113199999999779</v>
      </c>
      <c r="BI72" s="794">
        <v>6500</v>
      </c>
      <c r="BJ72" s="795">
        <v>5500</v>
      </c>
      <c r="BK72" s="796">
        <v>5175.9209199999987</v>
      </c>
      <c r="BL72" s="871">
        <f>BK72-BJ72</f>
        <v>-324.07908000000134</v>
      </c>
      <c r="BM72" s="794">
        <v>6300</v>
      </c>
      <c r="BN72" s="795">
        <v>6000</v>
      </c>
      <c r="BO72" s="796">
        <v>5470.4665999999997</v>
      </c>
      <c r="BP72" s="577">
        <f>BO72-BN72</f>
        <v>-529.53340000000026</v>
      </c>
      <c r="BQ72" s="511">
        <f>BE72+BI72+BM72</f>
        <v>21000</v>
      </c>
      <c r="BR72" s="627"/>
      <c r="BS72" s="627">
        <f t="shared" ref="BS72:BT75" si="159">BF72+BJ72+BN72</f>
        <v>19700</v>
      </c>
      <c r="BT72" s="626">
        <f t="shared" si="159"/>
        <v>18852.99884</v>
      </c>
      <c r="BU72" s="626">
        <f>BT72-BQ72</f>
        <v>-2147.0011599999998</v>
      </c>
      <c r="BV72" s="549"/>
      <c r="BW72" s="756">
        <f>BT72-BS72</f>
        <v>-847.0011599999998</v>
      </c>
      <c r="BX72" s="794">
        <v>6300</v>
      </c>
      <c r="BY72" s="795">
        <v>7000</v>
      </c>
      <c r="BZ72" s="796">
        <v>5810.2340400000003</v>
      </c>
      <c r="CA72" s="871">
        <f>BZ72-BY72</f>
        <v>-1189.7659599999997</v>
      </c>
      <c r="CB72" s="794">
        <v>5500</v>
      </c>
      <c r="CC72" s="795">
        <v>5000</v>
      </c>
      <c r="CD72" s="797">
        <f>CC72</f>
        <v>5000</v>
      </c>
      <c r="CE72" s="871">
        <f>CD72-CC72</f>
        <v>0</v>
      </c>
      <c r="CF72" s="794">
        <v>3500</v>
      </c>
      <c r="CG72" s="795">
        <v>4000</v>
      </c>
      <c r="CH72" s="797">
        <f>CG72</f>
        <v>4000</v>
      </c>
      <c r="CI72" s="871">
        <f>CH72-CG72</f>
        <v>0</v>
      </c>
      <c r="CJ72" s="511">
        <f>BX72+CB72+CF72</f>
        <v>15300</v>
      </c>
      <c r="CK72" s="799"/>
      <c r="CL72" s="626">
        <f t="shared" ref="CL72:CM75" si="160">BY72+CC72+CG72</f>
        <v>16000</v>
      </c>
      <c r="CM72" s="632">
        <f t="shared" si="160"/>
        <v>14810.234039999999</v>
      </c>
      <c r="CN72" s="507">
        <f>CM72-CJ72</f>
        <v>-489.76596000000063</v>
      </c>
      <c r="CO72" s="593"/>
      <c r="CP72" s="790">
        <f>CM72-CL72</f>
        <v>-1189.7659600000006</v>
      </c>
      <c r="CQ72" s="639">
        <f>CJ72+BQ72</f>
        <v>36300</v>
      </c>
      <c r="CR72" s="1341"/>
      <c r="CS72" s="1330">
        <f>BS72+CL72</f>
        <v>35700</v>
      </c>
      <c r="CT72" s="626">
        <f>SUM(BT72,CM72)</f>
        <v>33663.232879999996</v>
      </c>
      <c r="CU72" s="1348">
        <f>CT72-CQ72</f>
        <v>-2636.7671200000041</v>
      </c>
      <c r="CV72" s="490"/>
      <c r="CW72" s="758">
        <f>CT72-CS72</f>
        <v>-2036.7671200000041</v>
      </c>
      <c r="CX72" s="722"/>
      <c r="CY72" s="690"/>
      <c r="CZ72" s="1385"/>
      <c r="DA72" s="1385"/>
      <c r="DB72" s="1385"/>
      <c r="DC72" s="510"/>
      <c r="DD72" s="510"/>
    </row>
    <row r="73" spans="1:108">
      <c r="A73" s="622"/>
      <c r="B73" s="622"/>
      <c r="C73" s="492" t="s">
        <v>352</v>
      </c>
      <c r="D73" s="654"/>
      <c r="E73" s="794"/>
      <c r="F73" s="795"/>
      <c r="G73" s="796"/>
      <c r="H73" s="577"/>
      <c r="I73" s="794">
        <v>9050</v>
      </c>
      <c r="J73" s="795">
        <v>2200</v>
      </c>
      <c r="K73" s="796">
        <v>171.71199999999999</v>
      </c>
      <c r="L73" s="577">
        <f>K73-J73</f>
        <v>-2028.288</v>
      </c>
      <c r="M73" s="794">
        <v>9050</v>
      </c>
      <c r="N73" s="795">
        <v>1000</v>
      </c>
      <c r="O73" s="796">
        <v>2042.9970000000001</v>
      </c>
      <c r="P73" s="577">
        <f>O73-N73</f>
        <v>1042.9970000000001</v>
      </c>
      <c r="Q73" s="576">
        <f>E73+I73+M73</f>
        <v>18100</v>
      </c>
      <c r="R73" s="798">
        <v>31660</v>
      </c>
      <c r="S73" s="627">
        <f>G73+J73+N73</f>
        <v>3200</v>
      </c>
      <c r="T73" s="626">
        <f>G73+K73+O73</f>
        <v>2214.7089999999998</v>
      </c>
      <c r="U73" s="626">
        <f>T73-Q73</f>
        <v>-15885.291000000001</v>
      </c>
      <c r="V73" s="549">
        <f t="shared" ref="V73:V108" si="161">T73-R73</f>
        <v>-29445.291000000001</v>
      </c>
      <c r="W73" s="756">
        <f>T73-S73</f>
        <v>-985.29100000000017</v>
      </c>
      <c r="X73" s="794">
        <v>18100</v>
      </c>
      <c r="Y73" s="795">
        <v>4000</v>
      </c>
      <c r="Z73" s="796">
        <v>6884.0439999999999</v>
      </c>
      <c r="AA73" s="577">
        <f>Z73-Y73</f>
        <v>2884.0439999999999</v>
      </c>
      <c r="AB73" s="794">
        <v>20800</v>
      </c>
      <c r="AC73" s="795">
        <v>8500</v>
      </c>
      <c r="AD73" s="796">
        <v>5869.692</v>
      </c>
      <c r="AE73" s="577">
        <f>AD73-AC73</f>
        <v>-2630.308</v>
      </c>
      <c r="AF73" s="794">
        <v>23700</v>
      </c>
      <c r="AG73" s="795">
        <v>12500</v>
      </c>
      <c r="AH73" s="796">
        <v>9712.3220000000001</v>
      </c>
      <c r="AI73" s="577">
        <f>AH73-AG73</f>
        <v>-2787.6779999999999</v>
      </c>
      <c r="AJ73" s="511">
        <f>X73+AB73+AF73</f>
        <v>62600</v>
      </c>
      <c r="AK73" s="798">
        <v>74000</v>
      </c>
      <c r="AL73" s="627">
        <f t="shared" si="157"/>
        <v>25000</v>
      </c>
      <c r="AM73" s="626">
        <f t="shared" si="157"/>
        <v>22466.058000000001</v>
      </c>
      <c r="AN73" s="627">
        <f>AM73-AJ73</f>
        <v>-40133.941999999995</v>
      </c>
      <c r="AO73" s="549">
        <f t="shared" ref="AO73:AO108" si="162">AM73-AK73</f>
        <v>-51533.941999999995</v>
      </c>
      <c r="AP73" s="756">
        <f>AM73-AL73</f>
        <v>-2533.9419999999991</v>
      </c>
      <c r="AQ73" s="639">
        <f t="shared" si="158"/>
        <v>80700</v>
      </c>
      <c r="AR73" s="754">
        <f t="shared" si="158"/>
        <v>105660</v>
      </c>
      <c r="AS73" s="799">
        <f>S73+AL73</f>
        <v>28200</v>
      </c>
      <c r="AT73" s="626">
        <f>SUM(T73,AM73)</f>
        <v>24680.767</v>
      </c>
      <c r="AU73" s="549">
        <f>AT73-AQ73</f>
        <v>-56019.233</v>
      </c>
      <c r="AV73" s="549">
        <f t="shared" ref="AV73:AV108" si="163">AT73-AR73</f>
        <v>-80979.233000000007</v>
      </c>
      <c r="AW73" s="694">
        <f>AT73-AS73</f>
        <v>-3519.2330000000002</v>
      </c>
      <c r="AX73" s="689"/>
      <c r="AY73" s="690"/>
      <c r="AZ73" s="690"/>
      <c r="BA73" s="510"/>
      <c r="BB73" s="510"/>
      <c r="BC73" s="510"/>
      <c r="BD73" s="510"/>
      <c r="BE73" s="794">
        <v>19500</v>
      </c>
      <c r="BF73" s="795">
        <v>19500</v>
      </c>
      <c r="BG73" s="796">
        <v>8330.5360000000001</v>
      </c>
      <c r="BH73" s="577"/>
      <c r="BI73" s="794">
        <v>21000</v>
      </c>
      <c r="BJ73" s="795">
        <v>12000</v>
      </c>
      <c r="BK73" s="796">
        <v>9910.8790000000008</v>
      </c>
      <c r="BL73" s="871"/>
      <c r="BM73" s="794">
        <v>21000</v>
      </c>
      <c r="BN73" s="795">
        <v>12000</v>
      </c>
      <c r="BO73" s="1373">
        <v>9153.3349999999991</v>
      </c>
      <c r="BP73" s="577"/>
      <c r="BQ73" s="511">
        <f>BE73+BI73+BM73</f>
        <v>61500</v>
      </c>
      <c r="BR73" s="627"/>
      <c r="BS73" s="627">
        <f t="shared" si="159"/>
        <v>43500</v>
      </c>
      <c r="BT73" s="626">
        <f t="shared" si="159"/>
        <v>27394.75</v>
      </c>
      <c r="BU73" s="626">
        <f>BT73-BQ73</f>
        <v>-34105.25</v>
      </c>
      <c r="BV73" s="549"/>
      <c r="BW73" s="756"/>
      <c r="BX73" s="794">
        <v>22600</v>
      </c>
      <c r="BY73" s="795">
        <v>14000</v>
      </c>
      <c r="BZ73" s="796">
        <v>9294.9240000000009</v>
      </c>
      <c r="CA73" s="871"/>
      <c r="CB73" s="1264">
        <v>16000</v>
      </c>
      <c r="CC73" s="1265">
        <v>12000</v>
      </c>
      <c r="CD73" s="797">
        <f>CC73</f>
        <v>12000</v>
      </c>
      <c r="CE73" s="871"/>
      <c r="CF73" s="794">
        <v>10000</v>
      </c>
      <c r="CG73" s="795">
        <v>9000</v>
      </c>
      <c r="CH73" s="797">
        <f>CG73</f>
        <v>9000</v>
      </c>
      <c r="CI73" s="871"/>
      <c r="CJ73" s="511">
        <f>BX73+CB73+CF73</f>
        <v>48600</v>
      </c>
      <c r="CK73" s="799"/>
      <c r="CL73" s="626">
        <f t="shared" si="160"/>
        <v>35000</v>
      </c>
      <c r="CM73" s="632">
        <f t="shared" si="160"/>
        <v>30294.923999999999</v>
      </c>
      <c r="CN73" s="507">
        <f>CM73-CJ73</f>
        <v>-18305.076000000001</v>
      </c>
      <c r="CO73" s="593"/>
      <c r="CP73" s="790">
        <f>CM73-CL73</f>
        <v>-4705.0760000000009</v>
      </c>
      <c r="CQ73" s="639">
        <f>CJ73+BQ73</f>
        <v>110100</v>
      </c>
      <c r="CR73" s="1341"/>
      <c r="CS73" s="1330">
        <f>BS73+CL73</f>
        <v>78500</v>
      </c>
      <c r="CT73" s="626">
        <f>SUM(BT73,CM73)</f>
        <v>57689.673999999999</v>
      </c>
      <c r="CU73" s="549">
        <f>CT73-CQ73</f>
        <v>-52410.326000000001</v>
      </c>
      <c r="CV73" s="549"/>
      <c r="CW73" s="694">
        <f>CT73-CS73</f>
        <v>-20810.326000000001</v>
      </c>
      <c r="CX73" s="722"/>
      <c r="CY73" s="690"/>
      <c r="CZ73" s="1385"/>
      <c r="DA73" s="1385"/>
      <c r="DB73" s="1385"/>
      <c r="DC73" s="510"/>
      <c r="DD73" s="510"/>
    </row>
    <row r="74" spans="1:108">
      <c r="A74" s="622"/>
      <c r="B74" s="622"/>
      <c r="C74" s="492" t="s">
        <v>315</v>
      </c>
      <c r="D74" s="666"/>
      <c r="E74" s="794"/>
      <c r="F74" s="795"/>
      <c r="G74" s="796"/>
      <c r="H74" s="577"/>
      <c r="I74" s="794">
        <v>4650</v>
      </c>
      <c r="J74" s="795">
        <v>1720</v>
      </c>
      <c r="K74" s="796">
        <v>0</v>
      </c>
      <c r="L74" s="577">
        <f>K74-J74</f>
        <v>-1720</v>
      </c>
      <c r="M74" s="794">
        <v>4650</v>
      </c>
      <c r="N74" s="795">
        <v>1700</v>
      </c>
      <c r="O74" s="796">
        <v>38.880000000000003</v>
      </c>
      <c r="P74" s="577">
        <f>O74-N74</f>
        <v>-1661.12</v>
      </c>
      <c r="Q74" s="576">
        <f>E74+I74+M74</f>
        <v>9300</v>
      </c>
      <c r="R74" s="798">
        <v>17200</v>
      </c>
      <c r="S74" s="627">
        <f>G74+J74+N74</f>
        <v>3420</v>
      </c>
      <c r="T74" s="626">
        <f>G74+K74+O74</f>
        <v>38.880000000000003</v>
      </c>
      <c r="U74" s="626">
        <f>T74-Q74</f>
        <v>-9261.1200000000008</v>
      </c>
      <c r="V74" s="549">
        <f t="shared" si="161"/>
        <v>-17161.12</v>
      </c>
      <c r="W74" s="756">
        <f>T74-S74</f>
        <v>-3381.12</v>
      </c>
      <c r="X74" s="794">
        <v>7600</v>
      </c>
      <c r="Y74" s="795">
        <v>1000</v>
      </c>
      <c r="Z74" s="796">
        <v>259.34899999999999</v>
      </c>
      <c r="AA74" s="577">
        <f>Z74-Y74</f>
        <v>-740.65100000000007</v>
      </c>
      <c r="AB74" s="794">
        <v>9200</v>
      </c>
      <c r="AC74" s="795">
        <v>2000</v>
      </c>
      <c r="AD74" s="796">
        <v>563.59299999999996</v>
      </c>
      <c r="AE74" s="577">
        <f>AD74-AC74</f>
        <v>-1436.4070000000002</v>
      </c>
      <c r="AF74" s="794">
        <v>10780</v>
      </c>
      <c r="AG74" s="795">
        <v>4000</v>
      </c>
      <c r="AH74" s="796">
        <v>882.31100000000004</v>
      </c>
      <c r="AI74" s="577">
        <f>AH74-AG74</f>
        <v>-3117.6889999999999</v>
      </c>
      <c r="AJ74" s="511">
        <f>X74+AB74+AF74</f>
        <v>27580</v>
      </c>
      <c r="AK74" s="798">
        <v>40000</v>
      </c>
      <c r="AL74" s="627">
        <f t="shared" si="157"/>
        <v>7000</v>
      </c>
      <c r="AM74" s="626">
        <f t="shared" si="157"/>
        <v>1705.2530000000002</v>
      </c>
      <c r="AN74" s="627">
        <f>AM74-AJ74</f>
        <v>-25874.746999999999</v>
      </c>
      <c r="AO74" s="549">
        <f t="shared" si="162"/>
        <v>-38294.747000000003</v>
      </c>
      <c r="AP74" s="756">
        <f>AM74-AL74</f>
        <v>-5294.7469999999994</v>
      </c>
      <c r="AQ74" s="639">
        <f t="shared" si="158"/>
        <v>36880</v>
      </c>
      <c r="AR74" s="754">
        <f t="shared" si="158"/>
        <v>57200</v>
      </c>
      <c r="AS74" s="799">
        <f>S74+AL74</f>
        <v>10420</v>
      </c>
      <c r="AT74" s="626">
        <f>SUM(T74,AM74)</f>
        <v>1744.1330000000003</v>
      </c>
      <c r="AU74" s="549">
        <f>AT74-AQ74</f>
        <v>-35135.866999999998</v>
      </c>
      <c r="AV74" s="626">
        <f t="shared" si="163"/>
        <v>-55455.866999999998</v>
      </c>
      <c r="AW74" s="762">
        <f>AT74-AS74</f>
        <v>-8675.8670000000002</v>
      </c>
      <c r="AX74" s="689"/>
      <c r="AY74" s="690"/>
      <c r="AZ74" s="690"/>
      <c r="BA74" s="510"/>
      <c r="BB74" s="510"/>
      <c r="BC74" s="510"/>
      <c r="BD74" s="510"/>
      <c r="BE74" s="917">
        <v>7000</v>
      </c>
      <c r="BF74" s="785">
        <v>7000</v>
      </c>
      <c r="BG74" s="786">
        <v>1034.771</v>
      </c>
      <c r="BH74" s="802"/>
      <c r="BI74" s="917">
        <v>9000</v>
      </c>
      <c r="BJ74" s="785">
        <v>1300</v>
      </c>
      <c r="BK74" s="786">
        <v>501.91300000000001</v>
      </c>
      <c r="BL74" s="807"/>
      <c r="BM74" s="917">
        <v>8900</v>
      </c>
      <c r="BN74" s="785">
        <v>1900</v>
      </c>
      <c r="BO74" s="786">
        <v>1278.606</v>
      </c>
      <c r="BP74" s="802"/>
      <c r="BQ74" s="506">
        <f>BE74+BI74+BM74</f>
        <v>24900</v>
      </c>
      <c r="BR74" s="507"/>
      <c r="BS74" s="507">
        <f t="shared" si="159"/>
        <v>10200</v>
      </c>
      <c r="BT74" s="632">
        <f t="shared" si="159"/>
        <v>2815.29</v>
      </c>
      <c r="BU74" s="632">
        <f>BT74-BQ74</f>
        <v>-22084.71</v>
      </c>
      <c r="BV74" s="490"/>
      <c r="BW74" s="1349"/>
      <c r="BX74" s="917">
        <v>9000</v>
      </c>
      <c r="BY74" s="785">
        <v>2000</v>
      </c>
      <c r="BZ74" s="786">
        <v>824.96600000000001</v>
      </c>
      <c r="CA74" s="807"/>
      <c r="CB74" s="917">
        <v>7000</v>
      </c>
      <c r="CC74" s="785">
        <v>2000</v>
      </c>
      <c r="CD74" s="787">
        <f>CC74</f>
        <v>2000</v>
      </c>
      <c r="CE74" s="807"/>
      <c r="CF74" s="917">
        <v>4400</v>
      </c>
      <c r="CG74" s="785">
        <v>1400</v>
      </c>
      <c r="CH74" s="787">
        <f>CG74</f>
        <v>1400</v>
      </c>
      <c r="CI74" s="807"/>
      <c r="CJ74" s="506">
        <f>BX74+CB74+CF74</f>
        <v>20400</v>
      </c>
      <c r="CK74" s="1330"/>
      <c r="CL74" s="632">
        <f t="shared" si="160"/>
        <v>5400</v>
      </c>
      <c r="CM74" s="632">
        <f t="shared" si="160"/>
        <v>4224.9660000000003</v>
      </c>
      <c r="CN74" s="507">
        <f>CM74-CJ74</f>
        <v>-16175.034</v>
      </c>
      <c r="CO74" s="593"/>
      <c r="CP74" s="790">
        <f>CM74-CL74</f>
        <v>-1175.0339999999997</v>
      </c>
      <c r="CQ74" s="639">
        <f>CJ74+BQ74</f>
        <v>45300</v>
      </c>
      <c r="CR74" s="1341"/>
      <c r="CS74" s="1330">
        <f>BS74+CL74</f>
        <v>15600</v>
      </c>
      <c r="CT74" s="632">
        <f>SUM(BT74,CM74)</f>
        <v>7040.2560000000003</v>
      </c>
      <c r="CU74" s="626">
        <f>CT74-CQ74</f>
        <v>-38259.743999999999</v>
      </c>
      <c r="CV74" s="490"/>
      <c r="CW74" s="762">
        <f>CT74-CS74</f>
        <v>-8559.7439999999988</v>
      </c>
      <c r="CX74" s="722"/>
      <c r="CY74" s="690"/>
      <c r="CZ74" s="1385"/>
      <c r="DA74" s="1385"/>
      <c r="DB74" s="1385"/>
      <c r="DC74" s="510"/>
      <c r="DD74" s="510"/>
    </row>
    <row r="75" spans="1:108">
      <c r="A75" s="992"/>
      <c r="B75" s="1412" t="s">
        <v>353</v>
      </c>
      <c r="C75" s="1413"/>
      <c r="D75" s="1009"/>
      <c r="E75" s="695">
        <v>63800</v>
      </c>
      <c r="F75" s="800">
        <v>63800</v>
      </c>
      <c r="G75" s="801">
        <f>G77-G72</f>
        <v>85293.527000000002</v>
      </c>
      <c r="H75" s="802">
        <v>0</v>
      </c>
      <c r="I75" s="695">
        <v>71000</v>
      </c>
      <c r="J75" s="800">
        <v>80000</v>
      </c>
      <c r="K75" s="801">
        <v>85279.44084000001</v>
      </c>
      <c r="L75" s="802">
        <f>K75-J75</f>
        <v>5279.4408400000102</v>
      </c>
      <c r="M75" s="695">
        <v>71000</v>
      </c>
      <c r="N75" s="800">
        <v>93000</v>
      </c>
      <c r="O75" s="801">
        <v>83598.676529999997</v>
      </c>
      <c r="P75" s="802">
        <f>O75-N75</f>
        <v>-9401.323470000003</v>
      </c>
      <c r="Q75" s="568">
        <f>E75+I75+M75</f>
        <v>205800</v>
      </c>
      <c r="R75" s="804">
        <v>223500</v>
      </c>
      <c r="S75" s="687">
        <f>G75+J75+N75</f>
        <v>258293.527</v>
      </c>
      <c r="T75" s="805">
        <f>G75+K75+O75</f>
        <v>254171.64436999999</v>
      </c>
      <c r="U75" s="805">
        <f>T75-Q75</f>
        <v>48371.644369999995</v>
      </c>
      <c r="V75" s="806">
        <f t="shared" si="161"/>
        <v>30671.644369999995</v>
      </c>
      <c r="W75" s="763">
        <f>T75-S75</f>
        <v>-4121.8826300000073</v>
      </c>
      <c r="X75" s="695">
        <v>71000</v>
      </c>
      <c r="Y75" s="800">
        <v>85000</v>
      </c>
      <c r="Z75" s="801">
        <v>101383.30992</v>
      </c>
      <c r="AA75" s="802">
        <f>Z75-Y75</f>
        <v>16383.30992</v>
      </c>
      <c r="AB75" s="695">
        <v>78100</v>
      </c>
      <c r="AC75" s="800">
        <v>80000</v>
      </c>
      <c r="AD75" s="801">
        <v>85387.95342999998</v>
      </c>
      <c r="AE75" s="807">
        <f>AD75-AC75</f>
        <v>5387.9534299999796</v>
      </c>
      <c r="AF75" s="695">
        <v>85200</v>
      </c>
      <c r="AG75" s="800">
        <v>80000</v>
      </c>
      <c r="AH75" s="801">
        <v>86504.784769999984</v>
      </c>
      <c r="AI75" s="807">
        <f>AH75-AG75</f>
        <v>6504.7847699999838</v>
      </c>
      <c r="AJ75" s="506">
        <f>X75+AB75+AF75</f>
        <v>234300</v>
      </c>
      <c r="AK75" s="804">
        <v>243600</v>
      </c>
      <c r="AL75" s="687">
        <f t="shared" si="157"/>
        <v>245000</v>
      </c>
      <c r="AM75" s="805">
        <f t="shared" si="157"/>
        <v>273276.04811999993</v>
      </c>
      <c r="AN75" s="687">
        <f>AM75-AJ75</f>
        <v>38976.048119999934</v>
      </c>
      <c r="AO75" s="806">
        <f t="shared" si="162"/>
        <v>29676.048119999934</v>
      </c>
      <c r="AP75" s="763">
        <f>AM75-AL75</f>
        <v>28276.048119999934</v>
      </c>
      <c r="AQ75" s="522">
        <f t="shared" si="158"/>
        <v>440100</v>
      </c>
      <c r="AR75" s="805">
        <f t="shared" si="158"/>
        <v>467100</v>
      </c>
      <c r="AS75" s="808">
        <f>S75+AL75</f>
        <v>503293.527</v>
      </c>
      <c r="AT75" s="699">
        <f>SUM(T75,AM75)</f>
        <v>527447.69248999993</v>
      </c>
      <c r="AU75" s="761">
        <f>AT75-AQ75</f>
        <v>87347.692489999929</v>
      </c>
      <c r="AV75" s="806">
        <f t="shared" si="163"/>
        <v>60347.692489999929</v>
      </c>
      <c r="AW75" s="758">
        <f>AT75-AS75</f>
        <v>24154.165489999927</v>
      </c>
      <c r="AX75" s="695"/>
      <c r="AY75" s="696"/>
      <c r="AZ75" s="696"/>
      <c r="BA75" s="697"/>
      <c r="BB75" s="697"/>
      <c r="BC75" s="697"/>
      <c r="BD75" s="697"/>
      <c r="BE75" s="769">
        <v>86600</v>
      </c>
      <c r="BF75" s="919">
        <v>86600</v>
      </c>
      <c r="BG75" s="920">
        <v>86731.255599999989</v>
      </c>
      <c r="BH75" s="630">
        <f>BG75-BF75</f>
        <v>131.2555999999895</v>
      </c>
      <c r="BI75" s="769">
        <v>93000</v>
      </c>
      <c r="BJ75" s="919">
        <v>83000</v>
      </c>
      <c r="BK75" s="920">
        <v>80408.922289999988</v>
      </c>
      <c r="BL75" s="934">
        <f>BK75-BJ75</f>
        <v>-2591.0777100000123</v>
      </c>
      <c r="BM75" s="769">
        <v>85000</v>
      </c>
      <c r="BN75" s="919">
        <v>82000</v>
      </c>
      <c r="BO75" s="920">
        <v>82556.769950000002</v>
      </c>
      <c r="BP75" s="630">
        <f>BO75-BN75</f>
        <v>556.7699500000017</v>
      </c>
      <c r="BQ75" s="506">
        <f>BE75+BI75+BM75</f>
        <v>264600</v>
      </c>
      <c r="BR75" s="507"/>
      <c r="BS75" s="757">
        <f t="shared" si="159"/>
        <v>251600</v>
      </c>
      <c r="BT75" s="754">
        <f t="shared" si="159"/>
        <v>249696.94783999998</v>
      </c>
      <c r="BU75" s="754">
        <f>BT75-BQ75</f>
        <v>-14903.052160000021</v>
      </c>
      <c r="BV75" s="755"/>
      <c r="BW75" s="756">
        <f>BT75-BS75</f>
        <v>-1903.0521600000211</v>
      </c>
      <c r="BX75" s="769">
        <v>86400</v>
      </c>
      <c r="BY75" s="919">
        <v>86500</v>
      </c>
      <c r="BZ75" s="920">
        <v>88812.982269999993</v>
      </c>
      <c r="CA75" s="934">
        <f>BZ75-BY75</f>
        <v>2312.9822699999932</v>
      </c>
      <c r="CB75" s="769">
        <v>59300</v>
      </c>
      <c r="CC75" s="919">
        <f t="shared" ref="CC75" si="164">CB75</f>
        <v>59300</v>
      </c>
      <c r="CD75" s="921">
        <f>CC75</f>
        <v>59300</v>
      </c>
      <c r="CE75" s="934">
        <f>CD75-CC75</f>
        <v>0</v>
      </c>
      <c r="CF75" s="769">
        <v>37300</v>
      </c>
      <c r="CG75" s="919">
        <v>37400</v>
      </c>
      <c r="CH75" s="921">
        <f>CG75</f>
        <v>37400</v>
      </c>
      <c r="CI75" s="934">
        <f>CH75-CG75</f>
        <v>0</v>
      </c>
      <c r="CJ75" s="506">
        <f>BX75+CB75+CF75</f>
        <v>183000</v>
      </c>
      <c r="CK75" s="507"/>
      <c r="CL75" s="757">
        <f t="shared" si="160"/>
        <v>183200</v>
      </c>
      <c r="CM75" s="754">
        <f t="shared" si="160"/>
        <v>185512.98226999998</v>
      </c>
      <c r="CN75" s="757">
        <f>CM75-CJ75</f>
        <v>2512.9822699999786</v>
      </c>
      <c r="CO75" s="757"/>
      <c r="CP75" s="756">
        <f>CM75-CL75</f>
        <v>2312.9822699999786</v>
      </c>
      <c r="CQ75" s="639">
        <f>CJ75+BQ75</f>
        <v>447600</v>
      </c>
      <c r="CR75" s="1342"/>
      <c r="CS75" s="1330">
        <f>BS75+CL75</f>
        <v>434800</v>
      </c>
      <c r="CT75" s="685">
        <f>SUM(BT75,CM75)</f>
        <v>435209.93010999996</v>
      </c>
      <c r="CU75" s="761">
        <f>CT75-CQ75</f>
        <v>-12390.069890000043</v>
      </c>
      <c r="CV75" s="761"/>
      <c r="CW75" s="758">
        <f>CT75-CS75</f>
        <v>409.93010999995749</v>
      </c>
      <c r="CX75" s="722"/>
      <c r="CY75" s="696"/>
      <c r="CZ75" s="723"/>
      <c r="DA75" s="723"/>
      <c r="DB75" s="723"/>
      <c r="DC75" s="697"/>
      <c r="DD75" s="697"/>
    </row>
    <row r="76" spans="1:108">
      <c r="A76" s="648" t="s">
        <v>161</v>
      </c>
      <c r="B76" s="649"/>
      <c r="C76" s="1010"/>
      <c r="D76" s="1003"/>
      <c r="E76" s="809"/>
      <c r="F76" s="810"/>
      <c r="G76" s="811"/>
      <c r="H76" s="812">
        <f>G77/F77</f>
        <v>1.4367622144846797</v>
      </c>
      <c r="I76" s="809"/>
      <c r="J76" s="810"/>
      <c r="K76" s="811"/>
      <c r="L76" s="1093">
        <f>K77/J77</f>
        <v>1.0343849029213485</v>
      </c>
      <c r="M76" s="809"/>
      <c r="N76" s="810"/>
      <c r="O76" s="811"/>
      <c r="P76" s="1093">
        <f>O77/N77</f>
        <v>0.90455125277227721</v>
      </c>
      <c r="Q76" s="814"/>
      <c r="R76" s="815"/>
      <c r="S76" s="816"/>
      <c r="T76" s="706"/>
      <c r="U76" s="1094">
        <f>T77/Q77</f>
        <v>1.2519854079947574</v>
      </c>
      <c r="V76" s="1070">
        <f>T77/R77</f>
        <v>1.1621227083941605</v>
      </c>
      <c r="W76" s="1068">
        <f>T77/S77</f>
        <v>0.97755465368178196</v>
      </c>
      <c r="X76" s="809"/>
      <c r="Y76" s="810"/>
      <c r="Z76" s="811"/>
      <c r="AA76" s="1093">
        <f>Z77/Y77</f>
        <v>1.2025185126376718</v>
      </c>
      <c r="AB76" s="809"/>
      <c r="AC76" s="810"/>
      <c r="AD76" s="811"/>
      <c r="AE76" s="1095">
        <f>AD77/AC77</f>
        <v>1.0469353415158369</v>
      </c>
      <c r="AF76" s="809"/>
      <c r="AG76" s="810"/>
      <c r="AH76" s="811"/>
      <c r="AI76" s="1095">
        <f>AH77/AG77</f>
        <v>1.0472335281321183</v>
      </c>
      <c r="AJ76" s="817"/>
      <c r="AK76" s="815"/>
      <c r="AL76" s="816"/>
      <c r="AM76" s="706"/>
      <c r="AN76" s="1096">
        <f>AM77/AJ77</f>
        <v>1.1399293857087678</v>
      </c>
      <c r="AO76" s="1070">
        <f>AM77/AK77</f>
        <v>1.1004016329604771</v>
      </c>
      <c r="AP76" s="1087">
        <f>AM77/AL77</f>
        <v>1.1004022237804629</v>
      </c>
      <c r="AQ76" s="569"/>
      <c r="AR76" s="818"/>
      <c r="AS76" s="819"/>
      <c r="AT76" s="594"/>
      <c r="AU76" s="1070">
        <f>AT77/AQ77</f>
        <v>1.1925116397088971</v>
      </c>
      <c r="AV76" s="1070">
        <f>AT77/AR77</f>
        <v>1.1299673229409479</v>
      </c>
      <c r="AW76" s="1083">
        <f>AT77/AS77</f>
        <v>1.0362473585838325</v>
      </c>
      <c r="AX76" s="820"/>
      <c r="AY76" s="821"/>
      <c r="AZ76" s="821"/>
      <c r="BA76" s="570"/>
      <c r="BB76" s="570"/>
      <c r="BC76" s="570"/>
      <c r="BD76" s="570"/>
      <c r="BE76" s="809"/>
      <c r="BF76" s="810"/>
      <c r="BG76" s="811"/>
      <c r="BH76" s="1093">
        <f>BG77/BF77</f>
        <v>1.0014542924050631</v>
      </c>
      <c r="BI76" s="809"/>
      <c r="BJ76" s="810"/>
      <c r="BK76" s="811"/>
      <c r="BL76" s="1093">
        <f>BK77/BJ77</f>
        <v>0.96706037525423716</v>
      </c>
      <c r="BM76" s="809"/>
      <c r="BN76" s="810"/>
      <c r="BO76" s="811"/>
      <c r="BP76" s="1093">
        <f>BO77/BN77</f>
        <v>1.00030950625</v>
      </c>
      <c r="BQ76" s="817"/>
      <c r="BR76" s="816"/>
      <c r="BS76" s="816"/>
      <c r="BT76" s="706"/>
      <c r="BU76" s="1094">
        <f>BT77/BQ77</f>
        <v>0.94030093375350121</v>
      </c>
      <c r="BV76" s="1100"/>
      <c r="BW76" s="1068">
        <f>BT77/BS77</f>
        <v>0.98986342307408748</v>
      </c>
      <c r="BX76" s="809"/>
      <c r="BY76" s="810"/>
      <c r="BZ76" s="811"/>
      <c r="CA76" s="1093">
        <f>BZ77/BY77</f>
        <v>1.0120130086631014</v>
      </c>
      <c r="CB76" s="809"/>
      <c r="CC76" s="810"/>
      <c r="CD76" s="813"/>
      <c r="CE76" s="1095">
        <f>CD77/CC77</f>
        <v>1</v>
      </c>
      <c r="CF76" s="809"/>
      <c r="CG76" s="810"/>
      <c r="CH76" s="813"/>
      <c r="CI76" s="1095">
        <f>CH77/CG77</f>
        <v>1</v>
      </c>
      <c r="CJ76" s="817"/>
      <c r="CK76" s="816"/>
      <c r="CL76" s="816"/>
      <c r="CM76" s="706"/>
      <c r="CN76" s="1096">
        <f>CM77/CJ77</f>
        <v>1.0102028053958647</v>
      </c>
      <c r="CO76" s="1096"/>
      <c r="CP76" s="1087">
        <f>CM77/CL77</f>
        <v>1.0056386360943774</v>
      </c>
      <c r="CQ76" s="569"/>
      <c r="CR76" s="1350"/>
      <c r="CS76" s="819"/>
      <c r="CT76" s="594"/>
      <c r="CU76" s="1070">
        <f>CT77/CQ77</f>
        <v>0.96894640006199617</v>
      </c>
      <c r="CV76" s="1070"/>
      <c r="CW76" s="1083">
        <f>CT77/CS77</f>
        <v>0.99654232303931967</v>
      </c>
      <c r="CX76" s="722"/>
      <c r="CY76" s="821"/>
      <c r="CZ76" s="587"/>
      <c r="DA76" s="587"/>
      <c r="DB76" s="587"/>
      <c r="DC76" s="570"/>
      <c r="DD76" s="570"/>
    </row>
    <row r="77" spans="1:108">
      <c r="A77" s="1011" t="s">
        <v>162</v>
      </c>
      <c r="B77" s="997"/>
      <c r="C77" s="997"/>
      <c r="D77" s="995"/>
      <c r="E77" s="822">
        <f>E72+E75</f>
        <v>70800</v>
      </c>
      <c r="F77" s="823">
        <f>F72+F75</f>
        <v>71800</v>
      </c>
      <c r="G77" s="824">
        <v>103159.527</v>
      </c>
      <c r="H77" s="825">
        <f>G77-F77</f>
        <v>31359.527000000002</v>
      </c>
      <c r="I77" s="822">
        <f>I72+I75</f>
        <v>78700</v>
      </c>
      <c r="J77" s="823">
        <f>J72+J75</f>
        <v>89000</v>
      </c>
      <c r="K77" s="824">
        <f>K72+K75</f>
        <v>92060.256360000014</v>
      </c>
      <c r="L77" s="825">
        <f>K77-J77</f>
        <v>3060.256360000014</v>
      </c>
      <c r="M77" s="822">
        <f>M72+M75</f>
        <v>79400</v>
      </c>
      <c r="N77" s="823">
        <f>N72+N75</f>
        <v>101000</v>
      </c>
      <c r="O77" s="824">
        <f>O72+O75</f>
        <v>91359.676529999997</v>
      </c>
      <c r="P77" s="825">
        <f>O77-N77</f>
        <v>-9640.323470000003</v>
      </c>
      <c r="Q77" s="827">
        <f>E77+I77+M77</f>
        <v>228900</v>
      </c>
      <c r="R77" s="828">
        <f>R72+R75</f>
        <v>246600</v>
      </c>
      <c r="S77" s="714">
        <f>G77+J77+N77</f>
        <v>293159.527</v>
      </c>
      <c r="T77" s="715">
        <f>G77+K77+O77</f>
        <v>286579.45989</v>
      </c>
      <c r="U77" s="712">
        <f>T77-Q77</f>
        <v>57679.459889999998</v>
      </c>
      <c r="V77" s="711">
        <f t="shared" si="161"/>
        <v>39979.459889999998</v>
      </c>
      <c r="W77" s="716">
        <f>T77-S77</f>
        <v>-6580.0671100000036</v>
      </c>
      <c r="X77" s="822">
        <f>X72+X75</f>
        <v>79400</v>
      </c>
      <c r="Y77" s="823">
        <f>Y72+Y75</f>
        <v>91999.856</v>
      </c>
      <c r="Z77" s="824">
        <f>Z72+Z75</f>
        <v>110631.53</v>
      </c>
      <c r="AA77" s="825">
        <f>Z77-Y77</f>
        <v>18631.673999999999</v>
      </c>
      <c r="AB77" s="822">
        <f>AB72+AB75</f>
        <v>86500</v>
      </c>
      <c r="AC77" s="823">
        <f>AC72+AC75</f>
        <v>88400</v>
      </c>
      <c r="AD77" s="824">
        <f>AD72+AD75</f>
        <v>92549.08418999998</v>
      </c>
      <c r="AE77" s="825">
        <f>AD77-AC77</f>
        <v>4149.0841899999796</v>
      </c>
      <c r="AF77" s="822">
        <f>AF72+AF75</f>
        <v>93000</v>
      </c>
      <c r="AG77" s="823">
        <f>AG72+AG75</f>
        <v>87800</v>
      </c>
      <c r="AH77" s="824">
        <f>AH72+AH75</f>
        <v>91947.103769999987</v>
      </c>
      <c r="AI77" s="825">
        <f>AH77-AG77</f>
        <v>4147.103769999987</v>
      </c>
      <c r="AJ77" s="713">
        <f>X77+AB77+AF77</f>
        <v>258900</v>
      </c>
      <c r="AK77" s="828">
        <f>AK72+AK75</f>
        <v>268200</v>
      </c>
      <c r="AL77" s="714">
        <f t="shared" ref="AL77:AM79" si="165">Y77+AC77+AG77</f>
        <v>268199.85600000003</v>
      </c>
      <c r="AM77" s="715">
        <f t="shared" si="165"/>
        <v>295127.71795999998</v>
      </c>
      <c r="AN77" s="739">
        <f>AM77-AJ77</f>
        <v>36227.71795999998</v>
      </c>
      <c r="AO77" s="711">
        <f t="shared" si="162"/>
        <v>26927.71795999998</v>
      </c>
      <c r="AP77" s="688">
        <f>AM77-AL77</f>
        <v>26927.861959999951</v>
      </c>
      <c r="AQ77" s="718">
        <f>SUM(Q77,AJ77)</f>
        <v>487800</v>
      </c>
      <c r="AR77" s="720">
        <f>AR72+AR75</f>
        <v>514800</v>
      </c>
      <c r="AS77" s="605">
        <f>S77+AL77</f>
        <v>561359.38300000003</v>
      </c>
      <c r="AT77" s="715">
        <f>SUM(T77,AM77)</f>
        <v>581707.17784999998</v>
      </c>
      <c r="AU77" s="711">
        <f>AT77-AQ77</f>
        <v>93907.177849999978</v>
      </c>
      <c r="AV77" s="711">
        <f t="shared" si="163"/>
        <v>66907.177849999978</v>
      </c>
      <c r="AW77" s="688">
        <f>AT77-AS77</f>
        <v>20347.794849999947</v>
      </c>
      <c r="AX77" s="722">
        <f>AQ77/6</f>
        <v>81300</v>
      </c>
      <c r="AY77" s="709">
        <f>AR77/6</f>
        <v>85800</v>
      </c>
      <c r="AZ77" s="723">
        <f>AT77/6</f>
        <v>96951.196308333325</v>
      </c>
      <c r="BA77" s="829">
        <f>AZ77/AX77</f>
        <v>1.1925116397088971</v>
      </c>
      <c r="BB77" s="493">
        <f>AZ77-AX77</f>
        <v>15651.196308333325</v>
      </c>
      <c r="BC77" s="516">
        <f>AZ77-AY77</f>
        <v>11151.196308333325</v>
      </c>
      <c r="BD77" s="493">
        <f>AW77/6</f>
        <v>3391.2991416666578</v>
      </c>
      <c r="BE77" s="822">
        <f>BE72+BE75</f>
        <v>94800</v>
      </c>
      <c r="BF77" s="823">
        <f>BF72+BF75</f>
        <v>94800</v>
      </c>
      <c r="BG77" s="824">
        <f>BG72+BG75</f>
        <v>94937.866919999986</v>
      </c>
      <c r="BH77" s="825">
        <f>BG77-BF77</f>
        <v>137.86691999998584</v>
      </c>
      <c r="BI77" s="822">
        <f>BI72+BI75</f>
        <v>99500</v>
      </c>
      <c r="BJ77" s="823">
        <f>BJ72+BJ75</f>
        <v>88500</v>
      </c>
      <c r="BK77" s="824">
        <f>BK72+BK75</f>
        <v>85584.843209999992</v>
      </c>
      <c r="BL77" s="825">
        <f>BK77-BJ77</f>
        <v>-2915.1567900000082</v>
      </c>
      <c r="BM77" s="822">
        <f>BM72+BM75</f>
        <v>91300</v>
      </c>
      <c r="BN77" s="823">
        <f>BN72+BN75</f>
        <v>88000</v>
      </c>
      <c r="BO77" s="824">
        <f>BO72+BO75</f>
        <v>88027.236550000001</v>
      </c>
      <c r="BP77" s="825">
        <f>BO77-BN77</f>
        <v>27.236550000001444</v>
      </c>
      <c r="BQ77" s="713">
        <f>BE77+BI77+BM77</f>
        <v>285600</v>
      </c>
      <c r="BR77" s="714"/>
      <c r="BS77" s="714">
        <f t="shared" ref="BS77:BT79" si="166">BF77+BJ77+BN77</f>
        <v>271300</v>
      </c>
      <c r="BT77" s="715">
        <f t="shared" si="166"/>
        <v>268549.94667999994</v>
      </c>
      <c r="BU77" s="712">
        <f>BT77-BQ77</f>
        <v>-17050.053320000065</v>
      </c>
      <c r="BV77" s="711"/>
      <c r="BW77" s="716">
        <f>BT77-BS77</f>
        <v>-2750.0533200000646</v>
      </c>
      <c r="BX77" s="822">
        <f>BX72+BX75</f>
        <v>92700</v>
      </c>
      <c r="BY77" s="823">
        <f>BY72+BY75</f>
        <v>93500</v>
      </c>
      <c r="BZ77" s="824">
        <f>BZ72+BZ75</f>
        <v>94623.216309999989</v>
      </c>
      <c r="CA77" s="825">
        <f>BZ77-BY77</f>
        <v>1123.2163099999889</v>
      </c>
      <c r="CB77" s="822">
        <f>CB72+CB75</f>
        <v>64800</v>
      </c>
      <c r="CC77" s="823">
        <f>CC72+CC75</f>
        <v>64300</v>
      </c>
      <c r="CD77" s="826">
        <f>CD72+CD75</f>
        <v>64300</v>
      </c>
      <c r="CE77" s="825">
        <f>CD77-CC77</f>
        <v>0</v>
      </c>
      <c r="CF77" s="822">
        <f>CF72+CF75</f>
        <v>40800</v>
      </c>
      <c r="CG77" s="823">
        <f>CG72+CG75</f>
        <v>41400</v>
      </c>
      <c r="CH77" s="826">
        <f>CH72+CH75</f>
        <v>41400</v>
      </c>
      <c r="CI77" s="825">
        <f>CH77-CG77</f>
        <v>0</v>
      </c>
      <c r="CJ77" s="713">
        <f>BX77+CB77+CF77</f>
        <v>198300</v>
      </c>
      <c r="CK77" s="714"/>
      <c r="CL77" s="714">
        <f t="shared" ref="CL77:CM79" si="167">BY77+CC77+CG77</f>
        <v>199200</v>
      </c>
      <c r="CM77" s="715">
        <f t="shared" si="167"/>
        <v>200323.21630999999</v>
      </c>
      <c r="CN77" s="739">
        <f>CM77-CJ77</f>
        <v>2023.2163099999889</v>
      </c>
      <c r="CO77" s="739"/>
      <c r="CP77" s="688">
        <f>CM77-CL77</f>
        <v>1123.2163099999889</v>
      </c>
      <c r="CQ77" s="718">
        <f>SUM(BQ77,CJ77)</f>
        <v>483900</v>
      </c>
      <c r="CR77" s="937"/>
      <c r="CS77" s="613">
        <f>BS77+CL77</f>
        <v>470500</v>
      </c>
      <c r="CT77" s="715">
        <f>SUM(BT77,CM77)</f>
        <v>468873.16298999992</v>
      </c>
      <c r="CU77" s="711">
        <f>CT77-CQ77</f>
        <v>-15026.837010000076</v>
      </c>
      <c r="CV77" s="711"/>
      <c r="CW77" s="688">
        <f>CT77-CS77</f>
        <v>-1626.8370100000757</v>
      </c>
      <c r="CX77" s="722">
        <f>CQ77/6</f>
        <v>80650</v>
      </c>
      <c r="CY77" s="723">
        <f>CT77/6</f>
        <v>78145.527164999992</v>
      </c>
      <c r="CZ77" s="829">
        <f>CY77/CX77</f>
        <v>0.96894640006199617</v>
      </c>
      <c r="DA77" s="556">
        <f>CY77-CX77</f>
        <v>-2504.4728350000078</v>
      </c>
      <c r="DB77" s="556">
        <f>CW77/6</f>
        <v>-271.13950166667928</v>
      </c>
      <c r="DC77" s="516"/>
      <c r="DD77" s="493"/>
    </row>
    <row r="78" spans="1:108">
      <c r="A78" s="1012"/>
      <c r="B78" s="1013"/>
      <c r="C78" s="994" t="s">
        <v>354</v>
      </c>
      <c r="D78" s="996"/>
      <c r="E78" s="768">
        <v>8980</v>
      </c>
      <c r="F78" s="830">
        <f>ROUND(F81*0.95*0.05,-1)</f>
        <v>11400</v>
      </c>
      <c r="G78" s="831">
        <v>10588.91</v>
      </c>
      <c r="H78" s="630">
        <f>ROUND(H81*0.95*0.02,-1)</f>
        <v>600</v>
      </c>
      <c r="I78" s="768">
        <v>9740</v>
      </c>
      <c r="J78" s="830">
        <v>8550</v>
      </c>
      <c r="K78" s="831">
        <v>12093</v>
      </c>
      <c r="L78" s="630">
        <f>K78-J78</f>
        <v>3543</v>
      </c>
      <c r="M78" s="768">
        <v>9750</v>
      </c>
      <c r="N78" s="830">
        <f>N81*0.95*0.03</f>
        <v>8550</v>
      </c>
      <c r="O78" s="831">
        <v>8460.3160000000007</v>
      </c>
      <c r="P78" s="630">
        <f>O78-N78</f>
        <v>-89.683999999999287</v>
      </c>
      <c r="Q78" s="833">
        <f>E78+I78+M78</f>
        <v>28470</v>
      </c>
      <c r="R78" s="834">
        <v>30400</v>
      </c>
      <c r="S78" s="726">
        <f>G78+J78+N78</f>
        <v>27688.91</v>
      </c>
      <c r="T78" s="727">
        <f>G78+K78+O78</f>
        <v>31142.226000000002</v>
      </c>
      <c r="U78" s="685">
        <f>T78-Q78</f>
        <v>2672.2260000000024</v>
      </c>
      <c r="V78" s="724">
        <f t="shared" si="161"/>
        <v>742.22600000000239</v>
      </c>
      <c r="W78" s="694">
        <f>T78-S78</f>
        <v>3453.3160000000025</v>
      </c>
      <c r="X78" s="768">
        <v>8300</v>
      </c>
      <c r="Y78" s="830">
        <v>7125</v>
      </c>
      <c r="Z78" s="831">
        <v>8263.83</v>
      </c>
      <c r="AA78" s="630">
        <f>ROUND(AA81*0.95*0.02,-1)</f>
        <v>30</v>
      </c>
      <c r="AB78" s="768">
        <v>7700</v>
      </c>
      <c r="AC78" s="830">
        <v>5700</v>
      </c>
      <c r="AD78" s="831">
        <v>6792.8739999999998</v>
      </c>
      <c r="AE78" s="835">
        <f>ROUND(AE81*0.95*0.02,-1)</f>
        <v>20</v>
      </c>
      <c r="AF78" s="768">
        <v>6380</v>
      </c>
      <c r="AG78" s="830">
        <v>5130</v>
      </c>
      <c r="AH78" s="831">
        <v>8856.0879999999997</v>
      </c>
      <c r="AI78" s="835">
        <f>AH78-AG78</f>
        <v>3726.0879999999997</v>
      </c>
      <c r="AJ78" s="725">
        <f>X78+AB78+AF78</f>
        <v>22380</v>
      </c>
      <c r="AK78" s="834">
        <v>20450</v>
      </c>
      <c r="AL78" s="726">
        <f t="shared" si="165"/>
        <v>17955</v>
      </c>
      <c r="AM78" s="727">
        <f t="shared" si="165"/>
        <v>23912.792000000001</v>
      </c>
      <c r="AN78" s="693">
        <f>AM78-AJ78</f>
        <v>1532.7920000000013</v>
      </c>
      <c r="AO78" s="724">
        <f t="shared" si="162"/>
        <v>3462.7920000000013</v>
      </c>
      <c r="AP78" s="694">
        <f>AM78-AL78</f>
        <v>5957.7920000000013</v>
      </c>
      <c r="AQ78" s="725">
        <f>AJ78+Q78</f>
        <v>50850</v>
      </c>
      <c r="AR78" s="805">
        <f>AK78+R78</f>
        <v>50850</v>
      </c>
      <c r="AS78" s="531">
        <f>S78+AL78</f>
        <v>45643.91</v>
      </c>
      <c r="AT78" s="727">
        <f>SUM(T78,AM78)</f>
        <v>55055.018000000004</v>
      </c>
      <c r="AU78" s="724">
        <f>AT78-AQ78</f>
        <v>4205.0180000000037</v>
      </c>
      <c r="AV78" s="724">
        <f t="shared" si="163"/>
        <v>4205.0180000000037</v>
      </c>
      <c r="AW78" s="694">
        <f>AT78-AS78</f>
        <v>9411.1080000000002</v>
      </c>
      <c r="AX78" s="722"/>
      <c r="AY78" s="723"/>
      <c r="AZ78" s="723"/>
      <c r="BA78" s="709"/>
      <c r="BB78" s="709"/>
      <c r="BC78" s="709"/>
      <c r="BD78" s="709"/>
      <c r="BE78" s="768">
        <v>7640</v>
      </c>
      <c r="BF78" s="830">
        <v>7640</v>
      </c>
      <c r="BG78" s="831">
        <v>13413.498</v>
      </c>
      <c r="BH78" s="835">
        <f>BG78-BF78</f>
        <v>5773.4979999999996</v>
      </c>
      <c r="BI78" s="768">
        <v>5940</v>
      </c>
      <c r="BJ78" s="830">
        <f>ROUND(BI78*0.85,-1)</f>
        <v>5050</v>
      </c>
      <c r="BK78" s="831">
        <v>8379.64</v>
      </c>
      <c r="BL78" s="835">
        <f>BK78-BJ78</f>
        <v>3329.6399999999994</v>
      </c>
      <c r="BM78" s="768">
        <v>7210</v>
      </c>
      <c r="BN78" s="830">
        <v>7210</v>
      </c>
      <c r="BO78" s="831">
        <v>9257.7639999999992</v>
      </c>
      <c r="BP78" s="835">
        <f>BO78-BN78</f>
        <v>2047.7639999999992</v>
      </c>
      <c r="BQ78" s="725">
        <f>BE78+BI78+BM78</f>
        <v>20790</v>
      </c>
      <c r="BR78" s="726"/>
      <c r="BS78" s="726">
        <f t="shared" si="166"/>
        <v>19900</v>
      </c>
      <c r="BT78" s="727">
        <f t="shared" si="166"/>
        <v>31050.901999999998</v>
      </c>
      <c r="BU78" s="685">
        <f>BT78-BQ78</f>
        <v>10260.901999999998</v>
      </c>
      <c r="BV78" s="724"/>
      <c r="BW78" s="694">
        <f>BT78-BS78</f>
        <v>11150.901999999998</v>
      </c>
      <c r="BX78" s="768">
        <v>7740</v>
      </c>
      <c r="BY78" s="830">
        <v>8900</v>
      </c>
      <c r="BZ78" s="831">
        <v>9095.5849999999991</v>
      </c>
      <c r="CA78" s="835">
        <v>0</v>
      </c>
      <c r="CB78" s="768">
        <v>6880</v>
      </c>
      <c r="CC78" s="830">
        <v>9000</v>
      </c>
      <c r="CD78" s="832">
        <v>6460</v>
      </c>
      <c r="CE78" s="835">
        <v>0</v>
      </c>
      <c r="CF78" s="768">
        <v>6460</v>
      </c>
      <c r="CG78" s="830">
        <v>6460</v>
      </c>
      <c r="CH78" s="832">
        <v>0</v>
      </c>
      <c r="CI78" s="835">
        <f>CH78-CG78</f>
        <v>-6460</v>
      </c>
      <c r="CJ78" s="725">
        <f>BX78+CB78+CF78</f>
        <v>21080</v>
      </c>
      <c r="CK78" s="726"/>
      <c r="CL78" s="726">
        <f t="shared" si="167"/>
        <v>24360</v>
      </c>
      <c r="CM78" s="727">
        <f t="shared" si="167"/>
        <v>15555.584999999999</v>
      </c>
      <c r="CN78" s="693">
        <f>CM78-CJ78</f>
        <v>-5524.4150000000009</v>
      </c>
      <c r="CO78" s="693"/>
      <c r="CP78" s="694">
        <f>CM78-CL78</f>
        <v>-8804.4150000000009</v>
      </c>
      <c r="CQ78" s="725">
        <f>CJ78+BQ78</f>
        <v>41870</v>
      </c>
      <c r="CR78" s="1335"/>
      <c r="CS78" s="531">
        <f>BS78+CL78</f>
        <v>44260</v>
      </c>
      <c r="CT78" s="727">
        <f>SUM(BT78,CM78)</f>
        <v>46606.486999999994</v>
      </c>
      <c r="CU78" s="724">
        <f>CT78-CQ78</f>
        <v>4736.4869999999937</v>
      </c>
      <c r="CV78" s="724"/>
      <c r="CW78" s="694">
        <f>CT78-CS78</f>
        <v>2346.4869999999937</v>
      </c>
      <c r="CX78" s="722"/>
      <c r="CY78" s="723"/>
      <c r="CZ78" s="709"/>
      <c r="DA78" s="709"/>
      <c r="DB78" s="709"/>
      <c r="DC78" s="709"/>
      <c r="DD78" s="709"/>
    </row>
    <row r="79" spans="1:108">
      <c r="A79" s="1012"/>
      <c r="B79" s="1013"/>
      <c r="C79" s="994" t="s">
        <v>355</v>
      </c>
      <c r="D79" s="996"/>
      <c r="E79" s="768">
        <v>159130</v>
      </c>
      <c r="F79" s="830">
        <f>ROUND(F81*0.95*0.95,-1)</f>
        <v>216600</v>
      </c>
      <c r="G79" s="831">
        <v>237283.83</v>
      </c>
      <c r="H79" s="836">
        <f>ROUND(H81*0.95*0.98,-1)</f>
        <v>29310</v>
      </c>
      <c r="I79" s="768">
        <v>176050</v>
      </c>
      <c r="J79" s="830">
        <v>276450</v>
      </c>
      <c r="K79" s="831">
        <v>286156</v>
      </c>
      <c r="L79" s="836">
        <f>K79-J79</f>
        <v>9706</v>
      </c>
      <c r="M79" s="768">
        <v>176050</v>
      </c>
      <c r="N79" s="830">
        <f>N81*0.95-N78</f>
        <v>276450</v>
      </c>
      <c r="O79" s="831">
        <v>270180.77389999997</v>
      </c>
      <c r="P79" s="836">
        <f>O79-N79</f>
        <v>-6269.226100000029</v>
      </c>
      <c r="Q79" s="833">
        <f>E79+I79+M79</f>
        <v>511230</v>
      </c>
      <c r="R79" s="834">
        <v>575600</v>
      </c>
      <c r="S79" s="726">
        <f>G79+J79+N79</f>
        <v>790183.83</v>
      </c>
      <c r="T79" s="727">
        <f>G79+K79+O79</f>
        <v>793620.60389999999</v>
      </c>
      <c r="U79" s="685">
        <f>T79-Q79</f>
        <v>282390.60389999999</v>
      </c>
      <c r="V79" s="724">
        <f t="shared" si="161"/>
        <v>218020.60389999999</v>
      </c>
      <c r="W79" s="694">
        <f>T79-S79</f>
        <v>3436.7739000000292</v>
      </c>
      <c r="X79" s="768">
        <v>148000</v>
      </c>
      <c r="Y79" s="830">
        <v>230375</v>
      </c>
      <c r="Z79" s="831">
        <v>227038.13800000001</v>
      </c>
      <c r="AA79" s="836">
        <f>ROUND(AA81*0.95*0.98,-1)</f>
        <v>1310</v>
      </c>
      <c r="AB79" s="768">
        <v>140000</v>
      </c>
      <c r="AC79" s="830">
        <v>184300</v>
      </c>
      <c r="AD79" s="831">
        <v>184582.50210000001</v>
      </c>
      <c r="AE79" s="835">
        <f>ROUND(AE81*0.95*0.98,-1)</f>
        <v>850</v>
      </c>
      <c r="AF79" s="768">
        <v>113670</v>
      </c>
      <c r="AG79" s="830">
        <v>165870</v>
      </c>
      <c r="AH79" s="831">
        <v>159599.67000000001</v>
      </c>
      <c r="AI79" s="835">
        <f>AH79-AG79</f>
        <v>-6270.3299999999872</v>
      </c>
      <c r="AJ79" s="725">
        <f>X79+AB79+AF79</f>
        <v>401670</v>
      </c>
      <c r="AK79" s="834">
        <v>413300</v>
      </c>
      <c r="AL79" s="726">
        <f t="shared" si="165"/>
        <v>580545</v>
      </c>
      <c r="AM79" s="727">
        <f t="shared" si="165"/>
        <v>571220.3101</v>
      </c>
      <c r="AN79" s="693">
        <f>AM79-AJ79</f>
        <v>169550.3101</v>
      </c>
      <c r="AO79" s="724">
        <f t="shared" si="162"/>
        <v>157920.3101</v>
      </c>
      <c r="AP79" s="694">
        <f>AM79-AL79</f>
        <v>-9324.6898999999976</v>
      </c>
      <c r="AQ79" s="725">
        <f>AJ79+Q79</f>
        <v>912900</v>
      </c>
      <c r="AR79" s="805">
        <f>AK79+R79</f>
        <v>988900</v>
      </c>
      <c r="AS79" s="531">
        <f>S79+AL79</f>
        <v>1370728.83</v>
      </c>
      <c r="AT79" s="727">
        <f>SUM(T79,AM79)</f>
        <v>1364840.9139999999</v>
      </c>
      <c r="AU79" s="724">
        <f>AT79-AQ79</f>
        <v>451940.91399999987</v>
      </c>
      <c r="AV79" s="724">
        <f t="shared" si="163"/>
        <v>375940.91399999987</v>
      </c>
      <c r="AW79" s="694">
        <f>AT79-AS79</f>
        <v>-5887.9160000002012</v>
      </c>
      <c r="AX79" s="722"/>
      <c r="AY79" s="723"/>
      <c r="AZ79" s="723"/>
      <c r="BA79" s="709"/>
      <c r="BB79" s="709"/>
      <c r="BC79" s="709"/>
      <c r="BD79" s="709"/>
      <c r="BE79" s="768">
        <v>158410</v>
      </c>
      <c r="BF79" s="830">
        <v>158410</v>
      </c>
      <c r="BG79" s="831">
        <v>85916.634999999995</v>
      </c>
      <c r="BH79" s="835">
        <f>BG79-BF79</f>
        <v>-72493.365000000005</v>
      </c>
      <c r="BI79" s="768">
        <v>123210</v>
      </c>
      <c r="BJ79" s="830">
        <f>ROUND(BI79*0.85,-1)</f>
        <v>104730</v>
      </c>
      <c r="BK79" s="831">
        <v>100318.628</v>
      </c>
      <c r="BL79" s="835">
        <f>BK79-BJ79</f>
        <v>-4411.372000000003</v>
      </c>
      <c r="BM79" s="768">
        <v>149610</v>
      </c>
      <c r="BN79" s="830">
        <v>149610</v>
      </c>
      <c r="BO79" s="831">
        <v>136340.902</v>
      </c>
      <c r="BP79" s="835">
        <f>BO79-BN79</f>
        <v>-13269.097999999998</v>
      </c>
      <c r="BQ79" s="725">
        <f>BE79+BI79+BM79</f>
        <v>431230</v>
      </c>
      <c r="BR79" s="726"/>
      <c r="BS79" s="726">
        <f t="shared" si="166"/>
        <v>412750</v>
      </c>
      <c r="BT79" s="727">
        <f t="shared" si="166"/>
        <v>322576.16499999998</v>
      </c>
      <c r="BU79" s="685">
        <f>BT79-BQ79</f>
        <v>-108653.83500000002</v>
      </c>
      <c r="BV79" s="724"/>
      <c r="BW79" s="694">
        <f>BT79-BS79</f>
        <v>-90173.835000000021</v>
      </c>
      <c r="BX79" s="768">
        <v>158300</v>
      </c>
      <c r="BY79" s="830">
        <v>182050</v>
      </c>
      <c r="BZ79" s="831">
        <v>186206.91899999999</v>
      </c>
      <c r="CA79" s="835">
        <v>0</v>
      </c>
      <c r="CB79" s="768">
        <v>140710</v>
      </c>
      <c r="CC79" s="830">
        <v>185000</v>
      </c>
      <c r="CD79" s="832">
        <v>131920</v>
      </c>
      <c r="CE79" s="835">
        <v>0</v>
      </c>
      <c r="CF79" s="768">
        <v>131920</v>
      </c>
      <c r="CG79" s="830">
        <v>131920</v>
      </c>
      <c r="CH79" s="832">
        <v>95000</v>
      </c>
      <c r="CI79" s="835">
        <f>CH79-CG79</f>
        <v>-36920</v>
      </c>
      <c r="CJ79" s="725">
        <f>BX79+CB79+CF79</f>
        <v>430930</v>
      </c>
      <c r="CK79" s="726"/>
      <c r="CL79" s="726">
        <f t="shared" si="167"/>
        <v>498970</v>
      </c>
      <c r="CM79" s="727">
        <f t="shared" si="167"/>
        <v>413126.91899999999</v>
      </c>
      <c r="CN79" s="693">
        <f>CM79-CJ79</f>
        <v>-17803.081000000006</v>
      </c>
      <c r="CO79" s="693"/>
      <c r="CP79" s="694">
        <f>CM79-CL79</f>
        <v>-85843.081000000006</v>
      </c>
      <c r="CQ79" s="725">
        <f>CJ79+BQ79</f>
        <v>862160</v>
      </c>
      <c r="CR79" s="1335"/>
      <c r="CS79" s="531">
        <f>BS79+CL79</f>
        <v>911720</v>
      </c>
      <c r="CT79" s="727">
        <f>SUM(BT79,CM79)</f>
        <v>735703.08400000003</v>
      </c>
      <c r="CU79" s="724">
        <f>CT79-CQ79</f>
        <v>-126456.91599999997</v>
      </c>
      <c r="CV79" s="724"/>
      <c r="CW79" s="694">
        <f>CT79-CS79</f>
        <v>-176016.91599999997</v>
      </c>
      <c r="CX79" s="722"/>
      <c r="CY79" s="723"/>
      <c r="CZ79" s="709"/>
      <c r="DA79" s="709"/>
      <c r="DB79" s="709"/>
      <c r="DC79" s="709"/>
      <c r="DD79" s="709"/>
    </row>
    <row r="80" spans="1:108">
      <c r="A80" s="659" t="s">
        <v>161</v>
      </c>
      <c r="B80" s="664"/>
      <c r="C80" s="664"/>
      <c r="D80" s="665"/>
      <c r="E80" s="695"/>
      <c r="F80" s="837"/>
      <c r="G80" s="838"/>
      <c r="H80" s="839">
        <f>G81/F81</f>
        <v>1.1311699041666667</v>
      </c>
      <c r="I80" s="695"/>
      <c r="J80" s="837"/>
      <c r="K80" s="838"/>
      <c r="L80" s="1097">
        <f>K81/J81</f>
        <v>1.0290299999999999</v>
      </c>
      <c r="M80" s="695"/>
      <c r="N80" s="837"/>
      <c r="O80" s="838"/>
      <c r="P80" s="1097">
        <f>O81/N81</f>
        <v>1.0014511863333335</v>
      </c>
      <c r="Q80" s="841"/>
      <c r="R80" s="842"/>
      <c r="S80" s="843"/>
      <c r="T80" s="514"/>
      <c r="U80" s="1094">
        <f>T81/Q81</f>
        <v>1.5183191946551726</v>
      </c>
      <c r="V80" s="1070">
        <f>T81/R81</f>
        <v>1.3846307121069183</v>
      </c>
      <c r="W80" s="1068">
        <f>T81/S81</f>
        <v>1.0104928945552634</v>
      </c>
      <c r="X80" s="695"/>
      <c r="Y80" s="837"/>
      <c r="Z80" s="838"/>
      <c r="AA80" s="1097">
        <f>Z81/Y81</f>
        <v>1.0056082239999999</v>
      </c>
      <c r="AB80" s="695"/>
      <c r="AC80" s="837"/>
      <c r="AD80" s="838"/>
      <c r="AE80" s="1098">
        <f>AD81/AC81</f>
        <v>1.0045659205000002</v>
      </c>
      <c r="AF80" s="695"/>
      <c r="AG80" s="837"/>
      <c r="AH80" s="838"/>
      <c r="AI80" s="1098">
        <f>AH81/AG81</f>
        <v>1.0002121916666666</v>
      </c>
      <c r="AJ80" s="771"/>
      <c r="AK80" s="842"/>
      <c r="AL80" s="843"/>
      <c r="AM80" s="514"/>
      <c r="AN80" s="1096">
        <f>AM81/AJ81</f>
        <v>1.3746813795652175</v>
      </c>
      <c r="AO80" s="1070">
        <f>AM81/AK81</f>
        <v>1.3174029887500001</v>
      </c>
      <c r="AP80" s="1087">
        <f>AM81/AL81</f>
        <v>1.0037356104761905</v>
      </c>
      <c r="AQ80" s="563"/>
      <c r="AR80" s="772"/>
      <c r="AS80" s="606"/>
      <c r="AT80" s="532"/>
      <c r="AU80" s="1070">
        <f>AT81/AQ81</f>
        <v>1.4547870841346155</v>
      </c>
      <c r="AV80" s="1070">
        <f>AT81/AR81</f>
        <v>1.3557155622759858</v>
      </c>
      <c r="AW80" s="1087">
        <f>AT81/AS81</f>
        <v>1.0076576341676335</v>
      </c>
      <c r="AX80" s="722"/>
      <c r="AY80" s="723"/>
      <c r="AZ80" s="723"/>
      <c r="BE80" s="695"/>
      <c r="BF80" s="837"/>
      <c r="BG80" s="838"/>
      <c r="BH80" s="1097">
        <f>BG81/BF81</f>
        <v>0.64593528333333328</v>
      </c>
      <c r="BI80" s="695"/>
      <c r="BJ80" s="837"/>
      <c r="BK80" s="838"/>
      <c r="BL80" s="1097">
        <f>BK81/BJ81</f>
        <v>0.97874935833333332</v>
      </c>
      <c r="BM80" s="695"/>
      <c r="BN80" s="837"/>
      <c r="BO80" s="838"/>
      <c r="BP80" s="1093">
        <f>BO81/BN81</f>
        <v>0.94150375882352944</v>
      </c>
      <c r="BQ80" s="771"/>
      <c r="BR80" s="843"/>
      <c r="BS80" s="843"/>
      <c r="BT80" s="514"/>
      <c r="BU80" s="1094">
        <f>BT81/BQ81</f>
        <v>0.80362023061224475</v>
      </c>
      <c r="BV80" s="1100"/>
      <c r="BW80" s="1068">
        <f>BT81/BS81</f>
        <v>0.83781683617021263</v>
      </c>
      <c r="BX80" s="695"/>
      <c r="BY80" s="837"/>
      <c r="BZ80" s="838"/>
      <c r="CA80" s="1093">
        <f>BZ81/BY81</f>
        <v>1.0010042714285714</v>
      </c>
      <c r="CB80" s="695"/>
      <c r="CC80" s="837"/>
      <c r="CD80" s="840"/>
      <c r="CE80" s="1098">
        <f>CD81/CC81</f>
        <v>0.7009345794392523</v>
      </c>
      <c r="CF80" s="695"/>
      <c r="CG80" s="837"/>
      <c r="CH80" s="840"/>
      <c r="CI80" s="1098">
        <f>CH81/CG81</f>
        <v>0.65573770491803274</v>
      </c>
      <c r="CJ80" s="771"/>
      <c r="CK80" s="843"/>
      <c r="CL80" s="843"/>
      <c r="CM80" s="514"/>
      <c r="CN80" s="1096">
        <f>CM81/CJ81</f>
        <v>0.93920591224489791</v>
      </c>
      <c r="CO80" s="1096"/>
      <c r="CP80" s="1087">
        <f>CM81/CL81</f>
        <v>0.79828429661751954</v>
      </c>
      <c r="CQ80" s="563"/>
      <c r="CR80" s="606"/>
      <c r="CS80" s="606"/>
      <c r="CT80" s="532"/>
      <c r="CU80" s="1070">
        <f>CT81/CQ81</f>
        <v>0.87141307142857138</v>
      </c>
      <c r="CV80" s="1076"/>
      <c r="CW80" s="1087">
        <f>CT81/CS81</f>
        <v>0.81603899665551838</v>
      </c>
      <c r="CX80" s="722"/>
      <c r="CY80" s="723"/>
      <c r="CZ80" s="556"/>
      <c r="DA80" s="556"/>
      <c r="DB80" s="556"/>
      <c r="DC80" s="493"/>
      <c r="DD80" s="493"/>
    </row>
    <row r="81" spans="1:108">
      <c r="A81" s="1011" t="s">
        <v>356</v>
      </c>
      <c r="B81" s="997"/>
      <c r="C81" s="997"/>
      <c r="D81" s="995"/>
      <c r="E81" s="822">
        <v>180000</v>
      </c>
      <c r="F81" s="844">
        <v>240000</v>
      </c>
      <c r="G81" s="845">
        <v>271480.777</v>
      </c>
      <c r="H81" s="825">
        <f>G81-F81</f>
        <v>31480.777000000002</v>
      </c>
      <c r="I81" s="822">
        <v>200000</v>
      </c>
      <c r="J81" s="844">
        <v>300000</v>
      </c>
      <c r="K81" s="845">
        <v>308709</v>
      </c>
      <c r="L81" s="825">
        <f>K81-J81</f>
        <v>8709</v>
      </c>
      <c r="M81" s="822">
        <v>200000</v>
      </c>
      <c r="N81" s="844">
        <v>300000</v>
      </c>
      <c r="O81" s="845">
        <v>300435.35590000002</v>
      </c>
      <c r="P81" s="825">
        <f>O81-N81</f>
        <v>435.35590000002412</v>
      </c>
      <c r="Q81" s="827">
        <f>E81+I81+M81</f>
        <v>580000</v>
      </c>
      <c r="R81" s="828">
        <v>636000</v>
      </c>
      <c r="S81" s="714">
        <f>G81+J81+N81</f>
        <v>871480.777</v>
      </c>
      <c r="T81" s="520">
        <f>G81+K81+O81</f>
        <v>880625.13290000008</v>
      </c>
      <c r="U81" s="712">
        <f>T81-Q81</f>
        <v>300625.13290000008</v>
      </c>
      <c r="V81" s="711">
        <f t="shared" si="161"/>
        <v>244625.13290000008</v>
      </c>
      <c r="W81" s="716">
        <f>T81-S81</f>
        <v>9144.3559000000823</v>
      </c>
      <c r="X81" s="822">
        <v>170000</v>
      </c>
      <c r="Y81" s="844">
        <v>250000</v>
      </c>
      <c r="Z81" s="845">
        <v>251402.05600000001</v>
      </c>
      <c r="AA81" s="825">
        <f>Z81-Y81</f>
        <v>1402.0560000000114</v>
      </c>
      <c r="AB81" s="822">
        <v>160000</v>
      </c>
      <c r="AC81" s="844">
        <v>200000</v>
      </c>
      <c r="AD81" s="845">
        <v>200913.18410000001</v>
      </c>
      <c r="AE81" s="825">
        <f>AD81-AC81</f>
        <v>913.18410000001313</v>
      </c>
      <c r="AF81" s="822">
        <v>130000</v>
      </c>
      <c r="AG81" s="844">
        <v>180000</v>
      </c>
      <c r="AH81" s="845">
        <v>180038.19450000001</v>
      </c>
      <c r="AI81" s="825">
        <f t="shared" ref="AI81:AI91" si="168">AH81-AG81</f>
        <v>38.19450000001234</v>
      </c>
      <c r="AJ81" s="713">
        <f>X81+AB81+AF81</f>
        <v>460000</v>
      </c>
      <c r="AK81" s="828">
        <v>480000</v>
      </c>
      <c r="AL81" s="714">
        <f>Y81+AC81+AG81</f>
        <v>630000</v>
      </c>
      <c r="AM81" s="520">
        <f>Z81+AD81+AH81</f>
        <v>632353.43460000004</v>
      </c>
      <c r="AN81" s="739">
        <f t="shared" ref="AN81:AN91" si="169">AM81-AJ81</f>
        <v>172353.43460000004</v>
      </c>
      <c r="AO81" s="711">
        <f t="shared" si="162"/>
        <v>152353.43460000004</v>
      </c>
      <c r="AP81" s="688">
        <f>AM81-AL81</f>
        <v>2353.4346000000369</v>
      </c>
      <c r="AQ81" s="718">
        <f>SUM(Q81,AJ81)</f>
        <v>1040000</v>
      </c>
      <c r="AR81" s="805">
        <f>AK81+R81</f>
        <v>1116000</v>
      </c>
      <c r="AS81" s="605">
        <f>S81+AL81</f>
        <v>1501480.777</v>
      </c>
      <c r="AT81" s="715">
        <f>SUM(T81,AM81)</f>
        <v>1512978.5675000001</v>
      </c>
      <c r="AU81" s="711">
        <f t="shared" ref="AU81:AU91" si="170">AT81-AQ81</f>
        <v>472978.56750000012</v>
      </c>
      <c r="AV81" s="711">
        <f t="shared" si="163"/>
        <v>396978.56750000012</v>
      </c>
      <c r="AW81" s="688">
        <f>AT81-AS81</f>
        <v>11497.790500000119</v>
      </c>
      <c r="AX81" s="722">
        <f>AQ81/6</f>
        <v>173333.33333333334</v>
      </c>
      <c r="AY81" s="709">
        <f>AR81/6</f>
        <v>186000</v>
      </c>
      <c r="AZ81" s="723">
        <f>AT81/6</f>
        <v>252163.09458333335</v>
      </c>
      <c r="BA81" s="829">
        <f>AZ81/AX81</f>
        <v>1.4547870841346153</v>
      </c>
      <c r="BB81" s="493">
        <f>AZ81-AX81</f>
        <v>78829.76125000001</v>
      </c>
      <c r="BC81" s="516">
        <f>AZ81-AY81</f>
        <v>66163.094583333354</v>
      </c>
      <c r="BD81" s="493">
        <f>AW81/6</f>
        <v>1916.2984166666865</v>
      </c>
      <c r="BE81" s="822">
        <v>180000</v>
      </c>
      <c r="BF81" s="844">
        <v>180000</v>
      </c>
      <c r="BG81" s="845">
        <v>116268.351</v>
      </c>
      <c r="BH81" s="825">
        <f t="shared" ref="BH81:BH89" si="171">BG81-BF81</f>
        <v>-63731.649000000005</v>
      </c>
      <c r="BI81" s="822">
        <v>140000</v>
      </c>
      <c r="BJ81" s="844">
        <v>120000</v>
      </c>
      <c r="BK81" s="845">
        <v>117449.923</v>
      </c>
      <c r="BL81" s="825">
        <f>BK81-BJ81</f>
        <v>-2550.0770000000048</v>
      </c>
      <c r="BM81" s="822">
        <v>170000</v>
      </c>
      <c r="BN81" s="844">
        <v>170000</v>
      </c>
      <c r="BO81" s="845">
        <v>160055.639</v>
      </c>
      <c r="BP81" s="825">
        <f t="shared" ref="BP81:BP89" si="172">BO81-BN81</f>
        <v>-9944.3610000000044</v>
      </c>
      <c r="BQ81" s="713">
        <f>BE81+BI81+BM81</f>
        <v>490000</v>
      </c>
      <c r="BR81" s="714"/>
      <c r="BS81" s="714">
        <f>BF81+BJ81+BN81</f>
        <v>470000</v>
      </c>
      <c r="BT81" s="520">
        <f>BG81+BK81+BO81</f>
        <v>393773.91299999994</v>
      </c>
      <c r="BU81" s="712">
        <f t="shared" ref="BU81:BU91" si="173">BT81-BQ81</f>
        <v>-96226.087000000058</v>
      </c>
      <c r="BV81" s="711"/>
      <c r="BW81" s="716">
        <f t="shared" ref="BW81:BW91" si="174">BT81-BS81</f>
        <v>-76226.087000000058</v>
      </c>
      <c r="BX81" s="822">
        <v>180000</v>
      </c>
      <c r="BY81" s="844">
        <v>210000</v>
      </c>
      <c r="BZ81" s="845">
        <v>210210.897</v>
      </c>
      <c r="CA81" s="825">
        <f>BZ81-BY81</f>
        <v>210.89699999999721</v>
      </c>
      <c r="CB81" s="822">
        <v>160000</v>
      </c>
      <c r="CC81" s="844">
        <v>214000</v>
      </c>
      <c r="CD81" s="846">
        <v>150000</v>
      </c>
      <c r="CE81" s="825">
        <f>CD81-CC81</f>
        <v>-64000</v>
      </c>
      <c r="CF81" s="822">
        <v>150000</v>
      </c>
      <c r="CG81" s="844">
        <v>152500</v>
      </c>
      <c r="CH81" s="846">
        <v>100000</v>
      </c>
      <c r="CI81" s="825">
        <f t="shared" ref="CI81:CI91" si="175">CH81-CG81</f>
        <v>-52500</v>
      </c>
      <c r="CJ81" s="713">
        <f>BX81+CB81+CF81</f>
        <v>490000</v>
      </c>
      <c r="CK81" s="714"/>
      <c r="CL81" s="714">
        <f>BY81+CC81+CG81</f>
        <v>576500</v>
      </c>
      <c r="CM81" s="520">
        <f>BZ81+CD81+CH81</f>
        <v>460210.897</v>
      </c>
      <c r="CN81" s="739">
        <f t="shared" ref="CN81:CN91" si="176">CM81-CJ81</f>
        <v>-29789.103000000003</v>
      </c>
      <c r="CO81" s="739"/>
      <c r="CP81" s="688">
        <f>CM81-CL81</f>
        <v>-116289.103</v>
      </c>
      <c r="CQ81" s="718">
        <f>SUM(BQ81,CJ81)</f>
        <v>980000</v>
      </c>
      <c r="CR81" s="937"/>
      <c r="CS81" s="605">
        <f>BS81+CL81</f>
        <v>1046500</v>
      </c>
      <c r="CT81" s="715">
        <f>SUM(BT81,CM81)</f>
        <v>853984.80999999994</v>
      </c>
      <c r="CU81" s="711">
        <f t="shared" ref="CU81:CU91" si="177">CT81-CQ81</f>
        <v>-126015.19000000006</v>
      </c>
      <c r="CV81" s="711"/>
      <c r="CW81" s="688">
        <f>CT81-CS81</f>
        <v>-192515.19000000006</v>
      </c>
      <c r="CX81" s="722">
        <f>CQ81/6</f>
        <v>163333.33333333334</v>
      </c>
      <c r="CY81" s="723">
        <f>CT81/6</f>
        <v>142330.80166666667</v>
      </c>
      <c r="CZ81" s="829">
        <f>CY81/CX81</f>
        <v>0.87141307142857138</v>
      </c>
      <c r="DA81" s="556">
        <f>CY81-CX81</f>
        <v>-21002.531666666677</v>
      </c>
      <c r="DB81" s="556">
        <f>CW81/6</f>
        <v>-32085.865000000009</v>
      </c>
      <c r="DC81" s="516"/>
      <c r="DD81" s="493"/>
    </row>
    <row r="82" spans="1:108">
      <c r="A82" s="1014"/>
      <c r="B82" s="1015"/>
      <c r="C82" s="1016" t="s">
        <v>357</v>
      </c>
      <c r="D82" s="1017"/>
      <c r="E82" s="809">
        <v>300</v>
      </c>
      <c r="F82" s="847">
        <v>300</v>
      </c>
      <c r="G82" s="848">
        <v>459</v>
      </c>
      <c r="H82" s="849">
        <f t="shared" ref="H82:H89" si="178">G82-F82</f>
        <v>159</v>
      </c>
      <c r="I82" s="809">
        <v>300</v>
      </c>
      <c r="J82" s="847">
        <v>400</v>
      </c>
      <c r="K82" s="848">
        <v>323</v>
      </c>
      <c r="L82" s="849">
        <f t="shared" ref="L82:L89" si="179">K82-J82</f>
        <v>-77</v>
      </c>
      <c r="M82" s="809">
        <v>300</v>
      </c>
      <c r="N82" s="847">
        <v>400</v>
      </c>
      <c r="O82" s="848">
        <v>529</v>
      </c>
      <c r="P82" s="849">
        <f t="shared" ref="P82:P89" si="180">O82-N82</f>
        <v>129</v>
      </c>
      <c r="Q82" s="851">
        <f>E82+I82+M82</f>
        <v>900</v>
      </c>
      <c r="R82" s="852">
        <f>300*3</f>
        <v>900</v>
      </c>
      <c r="S82" s="853">
        <f>G82+J82+N82</f>
        <v>1259</v>
      </c>
      <c r="T82" s="582">
        <f>G82+K82+O82</f>
        <v>1311</v>
      </c>
      <c r="U82" s="574">
        <f t="shared" ref="U82:U91" si="181">T82-Q82</f>
        <v>411</v>
      </c>
      <c r="V82" s="574">
        <f t="shared" si="161"/>
        <v>411</v>
      </c>
      <c r="W82" s="574">
        <f t="shared" ref="W82:W91" si="182">T82-S82</f>
        <v>52</v>
      </c>
      <c r="X82" s="809">
        <v>300</v>
      </c>
      <c r="Y82" s="847">
        <v>400</v>
      </c>
      <c r="Z82" s="848">
        <v>403</v>
      </c>
      <c r="AA82" s="849">
        <f t="shared" ref="AA82:AA91" si="183">Z82-Y82</f>
        <v>3</v>
      </c>
      <c r="AB82" s="809">
        <v>300</v>
      </c>
      <c r="AC82" s="847">
        <v>400</v>
      </c>
      <c r="AD82" s="848">
        <v>333</v>
      </c>
      <c r="AE82" s="849">
        <f t="shared" ref="AE82:AE89" si="184">AD82-AC82</f>
        <v>-67</v>
      </c>
      <c r="AF82" s="809">
        <v>300</v>
      </c>
      <c r="AG82" s="847">
        <v>400</v>
      </c>
      <c r="AH82" s="848">
        <v>356</v>
      </c>
      <c r="AI82" s="849">
        <f t="shared" si="168"/>
        <v>-44</v>
      </c>
      <c r="AJ82" s="854">
        <f>X82+AB82+AF82</f>
        <v>900</v>
      </c>
      <c r="AK82" s="852">
        <f>300*3</f>
        <v>900</v>
      </c>
      <c r="AL82" s="853">
        <f>Y82+AC82+AG82</f>
        <v>1200</v>
      </c>
      <c r="AM82" s="582">
        <f>Z82+AD82+AH82</f>
        <v>1092</v>
      </c>
      <c r="AN82" s="574">
        <f t="shared" si="169"/>
        <v>192</v>
      </c>
      <c r="AO82" s="574">
        <f t="shared" si="162"/>
        <v>192</v>
      </c>
      <c r="AP82" s="1083">
        <f>AM84/AL84</f>
        <v>1.0005253515151515</v>
      </c>
      <c r="AQ82" s="854">
        <f>SUM(Q82,AJ82)</f>
        <v>1800</v>
      </c>
      <c r="AR82" s="772">
        <f>AK82+R82</f>
        <v>1800</v>
      </c>
      <c r="AS82" s="855">
        <f>S82+AL82</f>
        <v>2459</v>
      </c>
      <c r="AT82" s="574">
        <f>SUM(T82,AM82)</f>
        <v>2403</v>
      </c>
      <c r="AU82" s="574">
        <f t="shared" si="170"/>
        <v>603</v>
      </c>
      <c r="AV82" s="574">
        <f t="shared" si="163"/>
        <v>603</v>
      </c>
      <c r="AW82" s="1083">
        <f>AT84/AS84</f>
        <v>1.038896477836196</v>
      </c>
      <c r="AX82" s="820"/>
      <c r="AY82" s="821"/>
      <c r="AZ82" s="821"/>
      <c r="BA82" s="570"/>
      <c r="BB82" s="570"/>
      <c r="BC82" s="570"/>
      <c r="BD82" s="570"/>
      <c r="BE82" s="809">
        <v>363</v>
      </c>
      <c r="BF82" s="847">
        <v>370</v>
      </c>
      <c r="BG82" s="848">
        <v>271</v>
      </c>
      <c r="BH82" s="849">
        <f t="shared" si="171"/>
        <v>-99</v>
      </c>
      <c r="BI82" s="809">
        <v>363</v>
      </c>
      <c r="BJ82" s="847">
        <v>320</v>
      </c>
      <c r="BK82" s="848">
        <v>335</v>
      </c>
      <c r="BL82" s="849">
        <f t="shared" ref="BL82:BL89" si="185">BK82-BJ82</f>
        <v>15</v>
      </c>
      <c r="BM82" s="809">
        <v>363</v>
      </c>
      <c r="BN82" s="847">
        <v>260</v>
      </c>
      <c r="BO82" s="848">
        <v>256</v>
      </c>
      <c r="BP82" s="849">
        <f t="shared" si="172"/>
        <v>-4</v>
      </c>
      <c r="BQ82" s="854">
        <f>BE82+BI82+BM82</f>
        <v>1089</v>
      </c>
      <c r="BR82" s="853"/>
      <c r="BS82" s="853">
        <f>BF82+BJ82+BN82</f>
        <v>950</v>
      </c>
      <c r="BT82" s="582">
        <f>BG82+BK82+BO82</f>
        <v>862</v>
      </c>
      <c r="BU82" s="574">
        <f t="shared" si="173"/>
        <v>-227</v>
      </c>
      <c r="BV82" s="574"/>
      <c r="BW82" s="574">
        <f t="shared" si="174"/>
        <v>-88</v>
      </c>
      <c r="BX82" s="809">
        <v>365</v>
      </c>
      <c r="BY82" s="847">
        <v>270</v>
      </c>
      <c r="BZ82" s="848">
        <v>174</v>
      </c>
      <c r="CA82" s="849">
        <f t="shared" ref="CA82:CA91" si="186">BZ82-BY82</f>
        <v>-96</v>
      </c>
      <c r="CB82" s="809">
        <v>365</v>
      </c>
      <c r="CC82" s="847">
        <v>390</v>
      </c>
      <c r="CD82" s="850">
        <v>240</v>
      </c>
      <c r="CE82" s="849">
        <f t="shared" ref="CE82:CE89" si="187">CD82-CC82</f>
        <v>-150</v>
      </c>
      <c r="CF82" s="809">
        <v>365</v>
      </c>
      <c r="CG82" s="847">
        <v>310</v>
      </c>
      <c r="CH82" s="850">
        <v>180</v>
      </c>
      <c r="CI82" s="849">
        <f t="shared" si="175"/>
        <v>-130</v>
      </c>
      <c r="CJ82" s="854">
        <f>BX82+CB82+CF82</f>
        <v>1095</v>
      </c>
      <c r="CK82" s="853"/>
      <c r="CL82" s="853">
        <f>BY82+CC82+CG82</f>
        <v>970</v>
      </c>
      <c r="CM82" s="582">
        <f>BZ82+CD82+CH82</f>
        <v>594</v>
      </c>
      <c r="CN82" s="574">
        <f t="shared" si="176"/>
        <v>-501</v>
      </c>
      <c r="CO82" s="1351"/>
      <c r="CP82" s="1083">
        <f>CM84/CL84</f>
        <v>0.63445277333333328</v>
      </c>
      <c r="CQ82" s="854">
        <f>SUM(BQ82,CJ82)</f>
        <v>2184</v>
      </c>
      <c r="CR82" s="855"/>
      <c r="CS82" s="855">
        <f>BS82+CL82</f>
        <v>1920</v>
      </c>
      <c r="CT82" s="574">
        <f>SUM(BT82,CM82)</f>
        <v>1456</v>
      </c>
      <c r="CU82" s="574">
        <f t="shared" si="177"/>
        <v>-728</v>
      </c>
      <c r="CV82" s="1351"/>
      <c r="CW82" s="1083">
        <f>CT84/CS84</f>
        <v>0.78935102020202019</v>
      </c>
      <c r="CX82" s="722"/>
      <c r="CY82" s="821"/>
      <c r="CZ82" s="587"/>
      <c r="DA82" s="587"/>
      <c r="DB82" s="587"/>
      <c r="DC82" s="570"/>
      <c r="DD82" s="570"/>
    </row>
    <row r="83" spans="1:108">
      <c r="A83" s="1014"/>
      <c r="B83" s="1015"/>
      <c r="C83" s="1018" t="s">
        <v>358</v>
      </c>
      <c r="D83" s="1019"/>
      <c r="E83" s="814">
        <f>E84/E82</f>
        <v>148.61000000000001</v>
      </c>
      <c r="F83" s="856">
        <f>F84/F82</f>
        <v>148.61000000000001</v>
      </c>
      <c r="G83" s="857">
        <f>G84/G82</f>
        <v>158.35294117647058</v>
      </c>
      <c r="H83" s="858">
        <f t="shared" si="178"/>
        <v>9.7429411764705662</v>
      </c>
      <c r="I83" s="814">
        <f>I84/I82</f>
        <v>148.61000000000001</v>
      </c>
      <c r="J83" s="856">
        <f>J84/J82</f>
        <v>137.5</v>
      </c>
      <c r="K83" s="857">
        <f>K84/K82</f>
        <v>152.89164086687308</v>
      </c>
      <c r="L83" s="858">
        <f t="shared" si="179"/>
        <v>15.391640866873075</v>
      </c>
      <c r="M83" s="814">
        <f>M84/M82</f>
        <v>148.61000000000001</v>
      </c>
      <c r="N83" s="856">
        <f>N84/N82</f>
        <v>137.5</v>
      </c>
      <c r="O83" s="857">
        <f>O84/O82</f>
        <v>139.9867674858223</v>
      </c>
      <c r="P83" s="858">
        <f t="shared" si="180"/>
        <v>2.4867674858222983</v>
      </c>
      <c r="Q83" s="860">
        <f>Q84/Q82</f>
        <v>148.61000000000001</v>
      </c>
      <c r="R83" s="861">
        <f>R84/R82</f>
        <v>148.61000000000001</v>
      </c>
      <c r="S83" s="862">
        <f>S84/S82</f>
        <v>145.10246227164416</v>
      </c>
      <c r="T83" s="574">
        <f>T84/T82</f>
        <v>149.59649122807016</v>
      </c>
      <c r="U83" s="574">
        <f t="shared" si="181"/>
        <v>0.98649122807015033</v>
      </c>
      <c r="V83" s="574">
        <f t="shared" si="161"/>
        <v>0.98649122807015033</v>
      </c>
      <c r="W83" s="574">
        <f t="shared" si="182"/>
        <v>4.494028956426007</v>
      </c>
      <c r="X83" s="814">
        <f>X84/X82</f>
        <v>148.61000000000001</v>
      </c>
      <c r="Y83" s="856">
        <f>Y84/Y82</f>
        <v>137.5</v>
      </c>
      <c r="Z83" s="857">
        <f>Z84/Z82</f>
        <v>147.70223325062034</v>
      </c>
      <c r="AA83" s="858">
        <f t="shared" si="183"/>
        <v>10.202233250620338</v>
      </c>
      <c r="AB83" s="814">
        <f>AB84/AB82</f>
        <v>148.61000000000001</v>
      </c>
      <c r="AC83" s="856">
        <f>AC84/AC82</f>
        <v>137.5</v>
      </c>
      <c r="AD83" s="857">
        <f>AD84/AD82</f>
        <v>164.48498498498498</v>
      </c>
      <c r="AE83" s="858">
        <f t="shared" si="184"/>
        <v>26.984984984984976</v>
      </c>
      <c r="AF83" s="814">
        <f>AF84/AF82</f>
        <v>148.61000000000001</v>
      </c>
      <c r="AG83" s="856">
        <f>AG84/AG82</f>
        <v>137.5</v>
      </c>
      <c r="AH83" s="857">
        <f>AH84/AH82</f>
        <v>142.66624438202246</v>
      </c>
      <c r="AI83" s="858">
        <f t="shared" si="168"/>
        <v>5.1662443820224553</v>
      </c>
      <c r="AJ83" s="863">
        <f>AJ84/AJ82</f>
        <v>148.61000000000001</v>
      </c>
      <c r="AK83" s="861">
        <f>AK84/AK82</f>
        <v>148.61000000000001</v>
      </c>
      <c r="AL83" s="862">
        <f>AL84/AL82</f>
        <v>137.5</v>
      </c>
      <c r="AM83" s="574">
        <f>AM84/AM82</f>
        <v>151.17828113553114</v>
      </c>
      <c r="AN83" s="574">
        <f t="shared" si="169"/>
        <v>2.568281135531123</v>
      </c>
      <c r="AO83" s="574">
        <f t="shared" si="162"/>
        <v>2.568281135531123</v>
      </c>
      <c r="AP83" s="574">
        <f>AM83-AL83</f>
        <v>13.678281135531137</v>
      </c>
      <c r="AQ83" s="863">
        <f>AQ84/AQ82</f>
        <v>148.61000000000001</v>
      </c>
      <c r="AR83" s="864">
        <f>AR84/AR82</f>
        <v>148.61000000000001</v>
      </c>
      <c r="AS83" s="862">
        <f>AS84/AS82</f>
        <v>141.39243594957298</v>
      </c>
      <c r="AT83" s="574">
        <f>AT84/AT82</f>
        <v>150.31530711610486</v>
      </c>
      <c r="AU83" s="574">
        <f t="shared" si="170"/>
        <v>1.7053071161048479</v>
      </c>
      <c r="AV83" s="574">
        <f t="shared" si="163"/>
        <v>1.7053071161048479</v>
      </c>
      <c r="AW83" s="574">
        <f>AT83-AS83</f>
        <v>8.922871166531877</v>
      </c>
      <c r="AX83" s="820"/>
      <c r="AY83" s="821"/>
      <c r="AZ83" s="821"/>
      <c r="BA83" s="570"/>
      <c r="BB83" s="570"/>
      <c r="BC83" s="570"/>
      <c r="BD83" s="570"/>
      <c r="BE83" s="814">
        <f>BE84/BE82</f>
        <v>154.58677685950414</v>
      </c>
      <c r="BF83" s="856">
        <f>BF84/BF82</f>
        <v>154.05405405405406</v>
      </c>
      <c r="BG83" s="857">
        <f>BG84/BG82</f>
        <v>162.22663468634684</v>
      </c>
      <c r="BH83" s="858">
        <f t="shared" si="171"/>
        <v>8.1725806322927781</v>
      </c>
      <c r="BI83" s="814">
        <f>BI84/BI82</f>
        <v>154.58677685950414</v>
      </c>
      <c r="BJ83" s="856">
        <f>BJ84/BJ82</f>
        <v>156.25</v>
      </c>
      <c r="BK83" s="857">
        <f>BK84/BK82</f>
        <v>159.87231343283582</v>
      </c>
      <c r="BL83" s="858">
        <f t="shared" si="185"/>
        <v>3.6223134328358242</v>
      </c>
      <c r="BM83" s="814">
        <f>BM84/BM82</f>
        <v>154.58677685950414</v>
      </c>
      <c r="BN83" s="856">
        <f>BN84/BN82</f>
        <v>153.84615384615384</v>
      </c>
      <c r="BO83" s="857">
        <f>BO84/BO82</f>
        <v>163.08083593750001</v>
      </c>
      <c r="BP83" s="858">
        <f t="shared" si="172"/>
        <v>9.2346820913461727</v>
      </c>
      <c r="BQ83" s="863">
        <f>BQ84/BQ82</f>
        <v>154.58677685950414</v>
      </c>
      <c r="BR83" s="862"/>
      <c r="BS83" s="862">
        <f>BS84/BS82</f>
        <v>154.73684210526315</v>
      </c>
      <c r="BT83" s="574">
        <f>BT84/BT82</f>
        <v>161.56535614849187</v>
      </c>
      <c r="BU83" s="574">
        <f t="shared" si="173"/>
        <v>6.9785792889877314</v>
      </c>
      <c r="BV83" s="574"/>
      <c r="BW83" s="574">
        <f t="shared" si="174"/>
        <v>6.8285140432287221</v>
      </c>
      <c r="BX83" s="814">
        <f>BX84/BX82</f>
        <v>154.31506849315068</v>
      </c>
      <c r="BY83" s="856">
        <f>BY84/BY82</f>
        <v>151.85185185185185</v>
      </c>
      <c r="BZ83" s="857">
        <f>BZ84/BZ82</f>
        <v>161.88457471264368</v>
      </c>
      <c r="CA83" s="858">
        <f t="shared" si="186"/>
        <v>10.032722860791836</v>
      </c>
      <c r="CB83" s="814">
        <f>CB84/CB82</f>
        <v>154.31506849315068</v>
      </c>
      <c r="CC83" s="856">
        <f>CC84/CC82</f>
        <v>153.84615384615384</v>
      </c>
      <c r="CD83" s="859">
        <f>CD84/CD82</f>
        <v>158.33333333333334</v>
      </c>
      <c r="CE83" s="858">
        <f t="shared" si="187"/>
        <v>4.4871794871795032</v>
      </c>
      <c r="CF83" s="814">
        <f>CF84/CF82</f>
        <v>154.31506849315068</v>
      </c>
      <c r="CG83" s="856">
        <f>CG84/CG82</f>
        <v>158.06451612903226</v>
      </c>
      <c r="CH83" s="859">
        <f>CH84/CH82</f>
        <v>161.11111111111111</v>
      </c>
      <c r="CI83" s="858">
        <f t="shared" si="175"/>
        <v>3.046594982078858</v>
      </c>
      <c r="CJ83" s="863">
        <f>CJ84/CJ82</f>
        <v>154.31506849315068</v>
      </c>
      <c r="CK83" s="862"/>
      <c r="CL83" s="862">
        <f>CL84/CL82</f>
        <v>154.63917525773195</v>
      </c>
      <c r="CM83" s="574">
        <f>CM84/CM82</f>
        <v>160.21534680134678</v>
      </c>
      <c r="CN83" s="574">
        <f t="shared" si="176"/>
        <v>5.900278308196107</v>
      </c>
      <c r="CO83" s="574"/>
      <c r="CP83" s="574">
        <f>CM83-CL83</f>
        <v>5.5761715436148336</v>
      </c>
      <c r="CQ83" s="863">
        <f>CQ84/CQ82</f>
        <v>154.45054945054946</v>
      </c>
      <c r="CR83" s="862"/>
      <c r="CS83" s="862">
        <f>CS84/CS82</f>
        <v>154.6875</v>
      </c>
      <c r="CT83" s="574">
        <f>CT84/CT82</f>
        <v>161.01459684065935</v>
      </c>
      <c r="CU83" s="574">
        <f t="shared" si="177"/>
        <v>6.5640473901098915</v>
      </c>
      <c r="CV83" s="574"/>
      <c r="CW83" s="574">
        <f>CT83-CS83</f>
        <v>6.3270968406593511</v>
      </c>
      <c r="CX83" s="722"/>
      <c r="CY83" s="821"/>
      <c r="CZ83" s="587"/>
      <c r="DA83" s="587"/>
      <c r="DB83" s="587"/>
      <c r="DC83" s="570"/>
      <c r="DD83" s="570"/>
    </row>
    <row r="84" spans="1:108">
      <c r="A84" s="998"/>
      <c r="B84" s="1020"/>
      <c r="C84" s="670" t="s">
        <v>359</v>
      </c>
      <c r="D84" s="668"/>
      <c r="E84" s="767">
        <v>44583</v>
      </c>
      <c r="F84" s="865">
        <v>44583</v>
      </c>
      <c r="G84" s="866">
        <v>72684</v>
      </c>
      <c r="H84" s="867">
        <f t="shared" si="178"/>
        <v>28101</v>
      </c>
      <c r="I84" s="767">
        <v>44583</v>
      </c>
      <c r="J84" s="865">
        <v>55000</v>
      </c>
      <c r="K84" s="866">
        <v>49384</v>
      </c>
      <c r="L84" s="867">
        <f t="shared" si="179"/>
        <v>-5616</v>
      </c>
      <c r="M84" s="767">
        <v>44583</v>
      </c>
      <c r="N84" s="865">
        <v>55000</v>
      </c>
      <c r="O84" s="866">
        <v>74053</v>
      </c>
      <c r="P84" s="867">
        <f t="shared" si="180"/>
        <v>19053</v>
      </c>
      <c r="Q84" s="869">
        <f>E84+I84+M84</f>
        <v>133749</v>
      </c>
      <c r="R84" s="870">
        <f>44583*3</f>
        <v>133749</v>
      </c>
      <c r="S84" s="719">
        <f>G84+J84+N84</f>
        <v>182684</v>
      </c>
      <c r="T84" s="526">
        <f>G84+K84+O84</f>
        <v>196121</v>
      </c>
      <c r="U84" s="699">
        <f t="shared" si="181"/>
        <v>62372</v>
      </c>
      <c r="V84" s="717">
        <f t="shared" si="161"/>
        <v>62372</v>
      </c>
      <c r="W84" s="688">
        <f t="shared" si="182"/>
        <v>13437</v>
      </c>
      <c r="X84" s="767">
        <v>44583</v>
      </c>
      <c r="Y84" s="865">
        <v>55000</v>
      </c>
      <c r="Z84" s="866">
        <v>59524</v>
      </c>
      <c r="AA84" s="867">
        <f t="shared" si="183"/>
        <v>4524</v>
      </c>
      <c r="AB84" s="767">
        <v>44583</v>
      </c>
      <c r="AC84" s="865">
        <v>55000</v>
      </c>
      <c r="AD84" s="866">
        <v>54773.5</v>
      </c>
      <c r="AE84" s="867">
        <f t="shared" si="184"/>
        <v>-226.5</v>
      </c>
      <c r="AF84" s="767">
        <v>44583</v>
      </c>
      <c r="AG84" s="865">
        <v>55000</v>
      </c>
      <c r="AH84" s="866">
        <v>50789.182999999997</v>
      </c>
      <c r="AI84" s="867">
        <f t="shared" si="168"/>
        <v>-4210.8170000000027</v>
      </c>
      <c r="AJ84" s="718">
        <f>X84+AB84+AF84</f>
        <v>133749</v>
      </c>
      <c r="AK84" s="870">
        <f>44583*3</f>
        <v>133749</v>
      </c>
      <c r="AL84" s="719">
        <f>Y84+AC84+AG84</f>
        <v>165000</v>
      </c>
      <c r="AM84" s="526">
        <f>Z84+AD84+AH84</f>
        <v>165086.68299999999</v>
      </c>
      <c r="AN84" s="721">
        <f t="shared" si="169"/>
        <v>31337.68299999999</v>
      </c>
      <c r="AO84" s="717">
        <f t="shared" si="162"/>
        <v>31337.68299999999</v>
      </c>
      <c r="AP84" s="762">
        <f>AM84-AL84</f>
        <v>86.682999999989988</v>
      </c>
      <c r="AQ84" s="718">
        <f>SUM(Q84,AJ84)</f>
        <v>267498</v>
      </c>
      <c r="AR84" s="805">
        <f>AK84+R84</f>
        <v>267498</v>
      </c>
      <c r="AS84" s="605">
        <f>S84+AL84</f>
        <v>347684</v>
      </c>
      <c r="AT84" s="720">
        <f>SUM(T84,AM84)</f>
        <v>361207.68299999996</v>
      </c>
      <c r="AU84" s="699">
        <f t="shared" si="170"/>
        <v>93709.682999999961</v>
      </c>
      <c r="AV84" s="717">
        <f t="shared" si="163"/>
        <v>93709.682999999961</v>
      </c>
      <c r="AW84" s="688">
        <f>AT84-AS84</f>
        <v>13523.682999999961</v>
      </c>
      <c r="AX84" s="722"/>
      <c r="AY84" s="723"/>
      <c r="AZ84" s="723"/>
      <c r="BE84" s="767">
        <v>56115</v>
      </c>
      <c r="BF84" s="865">
        <v>57000</v>
      </c>
      <c r="BG84" s="866">
        <f>43963.418</f>
        <v>43963.417999999998</v>
      </c>
      <c r="BH84" s="575">
        <f t="shared" si="171"/>
        <v>-13036.582000000002</v>
      </c>
      <c r="BI84" s="767">
        <v>56115</v>
      </c>
      <c r="BJ84" s="865">
        <f>50000</f>
        <v>50000</v>
      </c>
      <c r="BK84" s="866">
        <v>53557.224999999999</v>
      </c>
      <c r="BL84" s="867">
        <f t="shared" si="185"/>
        <v>3557.2249999999985</v>
      </c>
      <c r="BM84" s="767">
        <v>56115</v>
      </c>
      <c r="BN84" s="865">
        <v>40000</v>
      </c>
      <c r="BO84" s="866">
        <v>41748.694000000003</v>
      </c>
      <c r="BP84" s="575">
        <f t="shared" si="172"/>
        <v>1748.6940000000031</v>
      </c>
      <c r="BQ84" s="718">
        <f>BE84+BI84+BM84</f>
        <v>168345</v>
      </c>
      <c r="BR84" s="719"/>
      <c r="BS84" s="719">
        <f>BF84+BJ84+BN84</f>
        <v>147000</v>
      </c>
      <c r="BT84" s="526">
        <f>BG84+BK84+BO84</f>
        <v>139269.337</v>
      </c>
      <c r="BU84" s="699">
        <f t="shared" si="173"/>
        <v>-29075.663</v>
      </c>
      <c r="BV84" s="717"/>
      <c r="BW84" s="688">
        <f t="shared" si="174"/>
        <v>-7730.6630000000005</v>
      </c>
      <c r="BX84" s="767">
        <v>56325</v>
      </c>
      <c r="BY84" s="865">
        <v>41000</v>
      </c>
      <c r="BZ84" s="866">
        <v>28167.916000000001</v>
      </c>
      <c r="CA84" s="867">
        <f t="shared" si="186"/>
        <v>-12832.083999999999</v>
      </c>
      <c r="CB84" s="767">
        <v>56325</v>
      </c>
      <c r="CC84" s="865">
        <v>60000</v>
      </c>
      <c r="CD84" s="868">
        <v>38000</v>
      </c>
      <c r="CE84" s="867">
        <f t="shared" si="187"/>
        <v>-22000</v>
      </c>
      <c r="CF84" s="767">
        <v>56325</v>
      </c>
      <c r="CG84" s="865">
        <v>49000</v>
      </c>
      <c r="CH84" s="868">
        <v>29000</v>
      </c>
      <c r="CI84" s="867">
        <f t="shared" si="175"/>
        <v>-20000</v>
      </c>
      <c r="CJ84" s="718">
        <f>BX84+CB84+CF84</f>
        <v>168975</v>
      </c>
      <c r="CK84" s="719"/>
      <c r="CL84" s="719">
        <f>BY84+CC84+CG84</f>
        <v>150000</v>
      </c>
      <c r="CM84" s="526">
        <f>BZ84+CD84+CH84</f>
        <v>95167.915999999997</v>
      </c>
      <c r="CN84" s="721">
        <f t="shared" si="176"/>
        <v>-73807.084000000003</v>
      </c>
      <c r="CO84" s="696"/>
      <c r="CP84" s="762">
        <f>CM84-CL84</f>
        <v>-54832.084000000003</v>
      </c>
      <c r="CQ84" s="718">
        <f>SUM(BQ84,CJ84)</f>
        <v>337320</v>
      </c>
      <c r="CR84" s="937"/>
      <c r="CS84" s="605">
        <f>BS84+CL84</f>
        <v>297000</v>
      </c>
      <c r="CT84" s="720">
        <f>SUM(BT84,CM84)</f>
        <v>234437.253</v>
      </c>
      <c r="CU84" s="699">
        <f t="shared" si="177"/>
        <v>-102882.747</v>
      </c>
      <c r="CV84" s="717"/>
      <c r="CW84" s="688">
        <f>CT84-CS84</f>
        <v>-62562.747000000003</v>
      </c>
      <c r="CX84" s="722"/>
      <c r="CY84" s="723"/>
      <c r="CZ84" s="556"/>
      <c r="DA84" s="556"/>
      <c r="DB84" s="556"/>
      <c r="DC84" s="493"/>
      <c r="DD84" s="493"/>
    </row>
    <row r="85" spans="1:108">
      <c r="A85" s="1014"/>
      <c r="B85" s="1015"/>
      <c r="C85" s="1018" t="s">
        <v>360</v>
      </c>
      <c r="D85" s="1019"/>
      <c r="E85" s="814">
        <v>317</v>
      </c>
      <c r="F85" s="847">
        <v>317</v>
      </c>
      <c r="G85" s="848">
        <v>452</v>
      </c>
      <c r="H85" s="849">
        <f t="shared" si="178"/>
        <v>135</v>
      </c>
      <c r="I85" s="814">
        <v>317</v>
      </c>
      <c r="J85" s="847">
        <v>476</v>
      </c>
      <c r="K85" s="848">
        <v>547</v>
      </c>
      <c r="L85" s="849">
        <f t="shared" si="179"/>
        <v>71</v>
      </c>
      <c r="M85" s="814">
        <v>317</v>
      </c>
      <c r="N85" s="847">
        <v>550</v>
      </c>
      <c r="O85" s="848">
        <v>621</v>
      </c>
      <c r="P85" s="849">
        <f t="shared" si="180"/>
        <v>71</v>
      </c>
      <c r="Q85" s="851">
        <f>E85+I85+M85</f>
        <v>951</v>
      </c>
      <c r="R85" s="852">
        <f>600*3</f>
        <v>1800</v>
      </c>
      <c r="S85" s="853">
        <f>G85+J85+N85</f>
        <v>1478</v>
      </c>
      <c r="T85" s="574">
        <f>G85+K85+O85</f>
        <v>1620</v>
      </c>
      <c r="U85" s="574">
        <f t="shared" si="181"/>
        <v>669</v>
      </c>
      <c r="V85" s="574">
        <f t="shared" si="161"/>
        <v>-180</v>
      </c>
      <c r="W85" s="574">
        <f t="shared" si="182"/>
        <v>142</v>
      </c>
      <c r="X85" s="814">
        <v>450</v>
      </c>
      <c r="Y85" s="847">
        <v>550</v>
      </c>
      <c r="Z85" s="848">
        <v>556</v>
      </c>
      <c r="AA85" s="849">
        <f t="shared" si="183"/>
        <v>6</v>
      </c>
      <c r="AB85" s="814">
        <v>450</v>
      </c>
      <c r="AC85" s="847">
        <v>550</v>
      </c>
      <c r="AD85" s="848">
        <v>489</v>
      </c>
      <c r="AE85" s="849">
        <f t="shared" si="184"/>
        <v>-61</v>
      </c>
      <c r="AF85" s="814">
        <v>450</v>
      </c>
      <c r="AG85" s="847">
        <v>500</v>
      </c>
      <c r="AH85" s="848">
        <v>924</v>
      </c>
      <c r="AI85" s="849">
        <f t="shared" si="168"/>
        <v>424</v>
      </c>
      <c r="AJ85" s="854">
        <f>X85+AB85+AF85</f>
        <v>1350</v>
      </c>
      <c r="AK85" s="852">
        <f>600*3</f>
        <v>1800</v>
      </c>
      <c r="AL85" s="853">
        <f>Y85+AC85+AG85</f>
        <v>1600</v>
      </c>
      <c r="AM85" s="574">
        <f>Z85+AD85+AH85</f>
        <v>1969</v>
      </c>
      <c r="AN85" s="574">
        <f t="shared" si="169"/>
        <v>619</v>
      </c>
      <c r="AO85" s="574">
        <f t="shared" si="162"/>
        <v>169</v>
      </c>
      <c r="AP85" s="1083">
        <f>AM87/AL87</f>
        <v>1.1107070344715446</v>
      </c>
      <c r="AQ85" s="863">
        <f>SUM(Q85,AJ85)</f>
        <v>2301</v>
      </c>
      <c r="AR85" s="772">
        <f>AK85+R85</f>
        <v>3600</v>
      </c>
      <c r="AS85" s="855">
        <f>S85+AL85</f>
        <v>3078</v>
      </c>
      <c r="AT85" s="574">
        <f>SUM(T85,AM85)</f>
        <v>3589</v>
      </c>
      <c r="AU85" s="574">
        <f t="shared" si="170"/>
        <v>1288</v>
      </c>
      <c r="AV85" s="574">
        <f t="shared" si="163"/>
        <v>-11</v>
      </c>
      <c r="AW85" s="1083">
        <f>AT87/AS87</f>
        <v>1.1538861985889119</v>
      </c>
      <c r="AX85" s="820"/>
      <c r="AY85" s="821"/>
      <c r="AZ85" s="821"/>
      <c r="BA85" s="570"/>
      <c r="BB85" s="570"/>
      <c r="BC85" s="570"/>
      <c r="BD85" s="570"/>
      <c r="BE85" s="814">
        <v>550</v>
      </c>
      <c r="BF85" s="847">
        <v>570</v>
      </c>
      <c r="BG85" s="848">
        <v>637</v>
      </c>
      <c r="BH85" s="849">
        <f t="shared" si="171"/>
        <v>67</v>
      </c>
      <c r="BI85" s="814">
        <v>550</v>
      </c>
      <c r="BJ85" s="847">
        <v>610</v>
      </c>
      <c r="BK85" s="848">
        <f>516</f>
        <v>516</v>
      </c>
      <c r="BL85" s="849">
        <f t="shared" si="185"/>
        <v>-94</v>
      </c>
      <c r="BM85" s="814">
        <v>550</v>
      </c>
      <c r="BN85" s="847">
        <v>690</v>
      </c>
      <c r="BO85" s="848">
        <v>532</v>
      </c>
      <c r="BP85" s="849">
        <f t="shared" si="172"/>
        <v>-158</v>
      </c>
      <c r="BQ85" s="854">
        <f>BE85+BI85+BM85</f>
        <v>1650</v>
      </c>
      <c r="BR85" s="853"/>
      <c r="BS85" s="853">
        <f>BF85+BJ85+BN85</f>
        <v>1870</v>
      </c>
      <c r="BT85" s="574">
        <f>BG85+BK85+BO85</f>
        <v>1685</v>
      </c>
      <c r="BU85" s="574">
        <f t="shared" si="173"/>
        <v>35</v>
      </c>
      <c r="BV85" s="574"/>
      <c r="BW85" s="574">
        <f t="shared" si="174"/>
        <v>-185</v>
      </c>
      <c r="BX85" s="814">
        <v>550</v>
      </c>
      <c r="BY85" s="847">
        <v>815</v>
      </c>
      <c r="BZ85" s="848">
        <v>1015</v>
      </c>
      <c r="CA85" s="849">
        <f t="shared" si="186"/>
        <v>200</v>
      </c>
      <c r="CB85" s="814">
        <v>550</v>
      </c>
      <c r="CC85" s="847">
        <v>695</v>
      </c>
      <c r="CD85" s="850">
        <v>625</v>
      </c>
      <c r="CE85" s="849">
        <f t="shared" si="187"/>
        <v>-70</v>
      </c>
      <c r="CF85" s="814">
        <v>550</v>
      </c>
      <c r="CG85" s="847">
        <v>600</v>
      </c>
      <c r="CH85" s="850">
        <v>515</v>
      </c>
      <c r="CI85" s="849">
        <f t="shared" si="175"/>
        <v>-85</v>
      </c>
      <c r="CJ85" s="854">
        <f>BX85+CB85+CF85</f>
        <v>1650</v>
      </c>
      <c r="CK85" s="853"/>
      <c r="CL85" s="853">
        <f>BY85+CC85+CG85</f>
        <v>2110</v>
      </c>
      <c r="CM85" s="574">
        <f>BZ85+CD85+CH85</f>
        <v>2155</v>
      </c>
      <c r="CN85" s="574">
        <f t="shared" si="176"/>
        <v>505</v>
      </c>
      <c r="CO85" s="1351"/>
      <c r="CP85" s="1083">
        <f>CM87/CL87</f>
        <v>0.84451010516788316</v>
      </c>
      <c r="CQ85" s="863">
        <f>SUM(BQ85,CJ85)</f>
        <v>3300</v>
      </c>
      <c r="CR85" s="855"/>
      <c r="CS85" s="855">
        <f>BS85+CL85</f>
        <v>3980</v>
      </c>
      <c r="CT85" s="574">
        <f>SUM(BT85,CM85)</f>
        <v>3840</v>
      </c>
      <c r="CU85" s="574">
        <f t="shared" si="177"/>
        <v>540</v>
      </c>
      <c r="CV85" s="1351"/>
      <c r="CW85" s="1083">
        <f>CT87/CS87</f>
        <v>0.86397550287292812</v>
      </c>
      <c r="CX85" s="722"/>
      <c r="CY85" s="821"/>
      <c r="CZ85" s="587"/>
      <c r="DA85" s="587"/>
      <c r="DB85" s="587"/>
      <c r="DC85" s="570"/>
      <c r="DD85" s="570"/>
    </row>
    <row r="86" spans="1:108">
      <c r="A86" s="1014"/>
      <c r="B86" s="1015"/>
      <c r="C86" s="1018" t="s">
        <v>361</v>
      </c>
      <c r="D86" s="1019"/>
      <c r="E86" s="814">
        <f>E87/E85</f>
        <v>179.81072555205049</v>
      </c>
      <c r="F86" s="856">
        <f>F87/F85</f>
        <v>179.81072555205049</v>
      </c>
      <c r="G86" s="857">
        <f>G87/G85</f>
        <v>153.75221238938053</v>
      </c>
      <c r="H86" s="858">
        <f t="shared" si="178"/>
        <v>-26.058513162669954</v>
      </c>
      <c r="I86" s="814">
        <f>I87/I85</f>
        <v>179.81072555205049</v>
      </c>
      <c r="J86" s="856">
        <f>J87/J85</f>
        <v>163.8655462184874</v>
      </c>
      <c r="K86" s="857">
        <f>K87/K85</f>
        <v>197.37294332723948</v>
      </c>
      <c r="L86" s="858">
        <f t="shared" si="179"/>
        <v>33.507397108752087</v>
      </c>
      <c r="M86" s="814">
        <f>M87/M85</f>
        <v>179.81072555205049</v>
      </c>
      <c r="N86" s="856">
        <f>N87/N85</f>
        <v>154.54545454545453</v>
      </c>
      <c r="O86" s="857">
        <f>O87/O85</f>
        <v>163.34460547504025</v>
      </c>
      <c r="P86" s="858">
        <f t="shared" si="180"/>
        <v>8.7991509295857213</v>
      </c>
      <c r="Q86" s="860">
        <f>Q87/Q85</f>
        <v>179.81072555205049</v>
      </c>
      <c r="R86" s="861">
        <f>R87/R85</f>
        <v>145.43333333333334</v>
      </c>
      <c r="S86" s="862">
        <f>S87/S85</f>
        <v>157.3044654939107</v>
      </c>
      <c r="T86" s="574">
        <f>T87/T85</f>
        <v>172.15802469135804</v>
      </c>
      <c r="U86" s="574">
        <f t="shared" si="181"/>
        <v>-7.6527008606924483</v>
      </c>
      <c r="V86" s="574">
        <f t="shared" si="161"/>
        <v>26.7246913580247</v>
      </c>
      <c r="W86" s="574">
        <f t="shared" si="182"/>
        <v>14.853559197447339</v>
      </c>
      <c r="X86" s="814">
        <f>X87/X85</f>
        <v>151.85111111111112</v>
      </c>
      <c r="Y86" s="856">
        <f>Y87/Y85</f>
        <v>150.90909090909091</v>
      </c>
      <c r="Z86" s="857">
        <f>Z87/Z85</f>
        <v>166.36510791366908</v>
      </c>
      <c r="AA86" s="858">
        <f t="shared" si="183"/>
        <v>15.456017004578172</v>
      </c>
      <c r="AB86" s="814">
        <f>AB87/AB85</f>
        <v>151.85111111111112</v>
      </c>
      <c r="AC86" s="856">
        <f>AC87/AC85</f>
        <v>150.90909090909091</v>
      </c>
      <c r="AD86" s="857">
        <f>AD87/AD85</f>
        <v>154.32229038854808</v>
      </c>
      <c r="AE86" s="858">
        <f t="shared" si="184"/>
        <v>3.4131994794571767</v>
      </c>
      <c r="AF86" s="814">
        <f>AF87/AF85</f>
        <v>151.85111111111112</v>
      </c>
      <c r="AG86" s="856">
        <f>AG87/AG85</f>
        <v>160</v>
      </c>
      <c r="AH86" s="857">
        <f>AH87/AH85</f>
        <v>113.93001134199135</v>
      </c>
      <c r="AI86" s="858">
        <f t="shared" si="168"/>
        <v>-46.069988658008654</v>
      </c>
      <c r="AJ86" s="863">
        <f>AJ87/AJ85</f>
        <v>151.85111111111112</v>
      </c>
      <c r="AK86" s="861">
        <f>AK87/AK85</f>
        <v>145.43333333333334</v>
      </c>
      <c r="AL86" s="862">
        <f>AL87/AL85</f>
        <v>153.75</v>
      </c>
      <c r="AM86" s="574">
        <f>AM87/AM85</f>
        <v>138.76786718131029</v>
      </c>
      <c r="AN86" s="574">
        <f t="shared" si="169"/>
        <v>-13.08324392980083</v>
      </c>
      <c r="AO86" s="574">
        <f t="shared" si="162"/>
        <v>-6.6654661520230434</v>
      </c>
      <c r="AP86" s="574">
        <f>AM86-AL86</f>
        <v>-14.982132818689706</v>
      </c>
      <c r="AQ86" s="863">
        <f>AQ87/AQ85</f>
        <v>163.40677966101694</v>
      </c>
      <c r="AR86" s="864">
        <f>AR87/AR85</f>
        <v>145.43333333333334</v>
      </c>
      <c r="AS86" s="862">
        <f>AS87/AS85</f>
        <v>155.45679012345678</v>
      </c>
      <c r="AT86" s="574">
        <f>AT87/AT85</f>
        <v>153.83949024240735</v>
      </c>
      <c r="AU86" s="574">
        <f t="shared" si="170"/>
        <v>-9.5672894186095903</v>
      </c>
      <c r="AV86" s="574">
        <f t="shared" si="163"/>
        <v>8.4061569090740136</v>
      </c>
      <c r="AW86" s="574">
        <f>AT86-AS86</f>
        <v>-1.6172998810494335</v>
      </c>
      <c r="AX86" s="820"/>
      <c r="AY86" s="821"/>
      <c r="AZ86" s="821"/>
      <c r="BA86" s="570"/>
      <c r="BB86" s="570"/>
      <c r="BC86" s="570"/>
      <c r="BD86" s="570"/>
      <c r="BE86" s="814">
        <f>BE87/BE85</f>
        <v>163.63636363636363</v>
      </c>
      <c r="BF86" s="856">
        <f>BF87/BF85</f>
        <v>163.15789473684211</v>
      </c>
      <c r="BG86" s="857">
        <f>BG87/BG85</f>
        <v>169.95383210361067</v>
      </c>
      <c r="BH86" s="858">
        <f t="shared" si="171"/>
        <v>6.7959373667685554</v>
      </c>
      <c r="BI86" s="814">
        <f>BI87/BI85</f>
        <v>163.63636363636363</v>
      </c>
      <c r="BJ86" s="856">
        <f>BJ87/BJ85</f>
        <v>150.81967213114754</v>
      </c>
      <c r="BK86" s="857">
        <f>BK87/BK85</f>
        <v>157.30267248062017</v>
      </c>
      <c r="BL86" s="858">
        <f t="shared" si="185"/>
        <v>6.4830003494726327</v>
      </c>
      <c r="BM86" s="814">
        <f>BM87/BM85</f>
        <v>163.63636363636363</v>
      </c>
      <c r="BN86" s="856">
        <f>BN87/BN85</f>
        <v>153.62318840579709</v>
      </c>
      <c r="BO86" s="857">
        <f>BO87/BO85</f>
        <v>129.05075187969925</v>
      </c>
      <c r="BP86" s="858">
        <f t="shared" si="172"/>
        <v>-24.572436526097846</v>
      </c>
      <c r="BQ86" s="863">
        <f>BQ87/BQ85</f>
        <v>163.63636363636363</v>
      </c>
      <c r="BR86" s="862"/>
      <c r="BS86" s="862">
        <f>BS87/BS85</f>
        <v>155.61497326203209</v>
      </c>
      <c r="BT86" s="574">
        <f>BT87/BT85</f>
        <v>153.16544216617211</v>
      </c>
      <c r="BU86" s="574">
        <f t="shared" si="173"/>
        <v>-10.470921470191513</v>
      </c>
      <c r="BV86" s="574"/>
      <c r="BW86" s="574">
        <f t="shared" si="174"/>
        <v>-2.4495310958599816</v>
      </c>
      <c r="BX86" s="814">
        <f>BX87/BX85</f>
        <v>163.63636363636363</v>
      </c>
      <c r="BY86" s="856">
        <f>BY87/BY85</f>
        <v>157.66871165644173</v>
      </c>
      <c r="BZ86" s="857">
        <f>BZ87/BZ85</f>
        <v>144.08345913300491</v>
      </c>
      <c r="CA86" s="858">
        <f t="shared" si="186"/>
        <v>-13.585252523436822</v>
      </c>
      <c r="CB86" s="814">
        <f>CB87/CB85</f>
        <v>163.63636363636363</v>
      </c>
      <c r="CC86" s="856">
        <f>CC87/CC85</f>
        <v>158.27338129496403</v>
      </c>
      <c r="CD86" s="859">
        <f>CD87/CD85</f>
        <v>121.6</v>
      </c>
      <c r="CE86" s="858">
        <f t="shared" si="187"/>
        <v>-36.673381294964031</v>
      </c>
      <c r="CF86" s="814">
        <f>CF87/CF85</f>
        <v>163.63636363636363</v>
      </c>
      <c r="CG86" s="856">
        <f>CG87/CG85</f>
        <v>173.33333333333334</v>
      </c>
      <c r="CH86" s="859">
        <f>CH87/CH85</f>
        <v>130.09708737864077</v>
      </c>
      <c r="CI86" s="858">
        <f t="shared" si="175"/>
        <v>-43.236245954692578</v>
      </c>
      <c r="CJ86" s="863">
        <f>CJ87/CJ85</f>
        <v>163.63636363636363</v>
      </c>
      <c r="CK86" s="862"/>
      <c r="CL86" s="862">
        <f>CL87/CL85</f>
        <v>162.32227488151659</v>
      </c>
      <c r="CM86" s="574">
        <f>CM87/CM85</f>
        <v>134.22028353596286</v>
      </c>
      <c r="CN86" s="574">
        <f t="shared" si="176"/>
        <v>-29.416080100400762</v>
      </c>
      <c r="CO86" s="574"/>
      <c r="CP86" s="574">
        <f>CM86-CL86</f>
        <v>-28.101991345553728</v>
      </c>
      <c r="CQ86" s="863">
        <f>CQ87/CQ85</f>
        <v>163.63636363636363</v>
      </c>
      <c r="CR86" s="862"/>
      <c r="CS86" s="862">
        <f>CS87/CS85</f>
        <v>159.17085427135677</v>
      </c>
      <c r="CT86" s="574">
        <f>CT87/CT85</f>
        <v>142.53345861197917</v>
      </c>
      <c r="CU86" s="574">
        <f>CT86-CQ86</f>
        <v>-21.102905024384455</v>
      </c>
      <c r="CV86" s="574"/>
      <c r="CW86" s="574">
        <f>CT86-CS86</f>
        <v>-16.637395659377603</v>
      </c>
      <c r="CX86" s="722"/>
      <c r="CY86" s="821"/>
      <c r="CZ86" s="587"/>
      <c r="DA86" s="587"/>
      <c r="DB86" s="587"/>
      <c r="DC86" s="570"/>
      <c r="DD86" s="570"/>
    </row>
    <row r="87" spans="1:108">
      <c r="A87" s="659"/>
      <c r="B87" s="663"/>
      <c r="C87" s="670" t="s">
        <v>362</v>
      </c>
      <c r="D87" s="668"/>
      <c r="E87" s="767">
        <v>57000</v>
      </c>
      <c r="F87" s="865">
        <v>57000</v>
      </c>
      <c r="G87" s="866">
        <v>69496</v>
      </c>
      <c r="H87" s="867">
        <f t="shared" si="178"/>
        <v>12496</v>
      </c>
      <c r="I87" s="767">
        <v>57000</v>
      </c>
      <c r="J87" s="865">
        <v>78000</v>
      </c>
      <c r="K87" s="866">
        <v>107963</v>
      </c>
      <c r="L87" s="867">
        <f t="shared" si="179"/>
        <v>29963</v>
      </c>
      <c r="M87" s="767">
        <v>57000</v>
      </c>
      <c r="N87" s="865">
        <v>85000</v>
      </c>
      <c r="O87" s="866">
        <v>101437</v>
      </c>
      <c r="P87" s="867">
        <f t="shared" si="180"/>
        <v>16437</v>
      </c>
      <c r="Q87" s="869">
        <f>E87+I87+M87</f>
        <v>171000</v>
      </c>
      <c r="R87" s="870">
        <f>87260*3</f>
        <v>261780</v>
      </c>
      <c r="S87" s="719">
        <f>G87+J87+N87</f>
        <v>232496</v>
      </c>
      <c r="T87" s="526">
        <f>G87+K87+O87</f>
        <v>278896</v>
      </c>
      <c r="U87" s="699">
        <f t="shared" si="181"/>
        <v>107896</v>
      </c>
      <c r="V87" s="717">
        <f t="shared" si="161"/>
        <v>17116</v>
      </c>
      <c r="W87" s="688">
        <f t="shared" si="182"/>
        <v>46400</v>
      </c>
      <c r="X87" s="767">
        <v>68333</v>
      </c>
      <c r="Y87" s="865">
        <v>83000</v>
      </c>
      <c r="Z87" s="866">
        <v>92499</v>
      </c>
      <c r="AA87" s="867">
        <f t="shared" si="183"/>
        <v>9499</v>
      </c>
      <c r="AB87" s="767">
        <v>68333</v>
      </c>
      <c r="AC87" s="865">
        <v>83000</v>
      </c>
      <c r="AD87" s="866">
        <v>75463.600000000006</v>
      </c>
      <c r="AE87" s="867">
        <f t="shared" si="184"/>
        <v>-7536.3999999999942</v>
      </c>
      <c r="AF87" s="767">
        <v>68333</v>
      </c>
      <c r="AG87" s="865">
        <v>80000</v>
      </c>
      <c r="AH87" s="866">
        <v>105271.33048</v>
      </c>
      <c r="AI87" s="867">
        <f t="shared" si="168"/>
        <v>25271.330480000004</v>
      </c>
      <c r="AJ87" s="718">
        <f>X87+AB87+AF87</f>
        <v>204999</v>
      </c>
      <c r="AK87" s="870">
        <f>87260*3</f>
        <v>261780</v>
      </c>
      <c r="AL87" s="719">
        <f t="shared" ref="AL87:AM90" si="188">Y87+AC87+AG87</f>
        <v>246000</v>
      </c>
      <c r="AM87" s="526">
        <f t="shared" si="188"/>
        <v>273233.93047999998</v>
      </c>
      <c r="AN87" s="721">
        <f t="shared" si="169"/>
        <v>68234.930479999981</v>
      </c>
      <c r="AO87" s="717">
        <f t="shared" si="162"/>
        <v>11453.930479999981</v>
      </c>
      <c r="AP87" s="688">
        <f>AM87-AL87</f>
        <v>27233.930479999981</v>
      </c>
      <c r="AQ87" s="718">
        <f>SUM(Q87,AJ87)</f>
        <v>375999</v>
      </c>
      <c r="AR87" s="805">
        <f>AK87+R87</f>
        <v>523560</v>
      </c>
      <c r="AS87" s="605">
        <f>S87+AL87</f>
        <v>478496</v>
      </c>
      <c r="AT87" s="720">
        <f>SUM(T87,AM87)</f>
        <v>552129.93047999998</v>
      </c>
      <c r="AU87" s="717">
        <f t="shared" si="170"/>
        <v>176130.93047999998</v>
      </c>
      <c r="AV87" s="717">
        <f t="shared" si="163"/>
        <v>28569.930479999981</v>
      </c>
      <c r="AW87" s="688">
        <f>AT87-AS87</f>
        <v>73633.930479999981</v>
      </c>
      <c r="AX87" s="722"/>
      <c r="AY87" s="723"/>
      <c r="AZ87" s="723"/>
      <c r="BE87" s="767">
        <v>90000</v>
      </c>
      <c r="BF87" s="865">
        <v>93000</v>
      </c>
      <c r="BG87" s="866">
        <f>108260.59105</f>
        <v>108260.59105</v>
      </c>
      <c r="BH87" s="575">
        <f t="shared" si="171"/>
        <v>15260.591050000003</v>
      </c>
      <c r="BI87" s="767">
        <v>90000</v>
      </c>
      <c r="BJ87" s="865">
        <f>92000</f>
        <v>92000</v>
      </c>
      <c r="BK87" s="866">
        <f>81168.179</f>
        <v>81168.179000000004</v>
      </c>
      <c r="BL87" s="867">
        <f t="shared" si="185"/>
        <v>-10831.820999999996</v>
      </c>
      <c r="BM87" s="767">
        <v>90000</v>
      </c>
      <c r="BN87" s="865">
        <v>106000</v>
      </c>
      <c r="BO87" s="866">
        <v>68655</v>
      </c>
      <c r="BP87" s="575">
        <f t="shared" si="172"/>
        <v>-37345</v>
      </c>
      <c r="BQ87" s="718">
        <f>BE87+BI87+BM87</f>
        <v>270000</v>
      </c>
      <c r="BR87" s="719"/>
      <c r="BS87" s="719">
        <f t="shared" ref="BS87:BT90" si="189">BF87+BJ87+BN87</f>
        <v>291000</v>
      </c>
      <c r="BT87" s="526">
        <f t="shared" si="189"/>
        <v>258083.77004999999</v>
      </c>
      <c r="BU87" s="699">
        <f t="shared" si="173"/>
        <v>-11916.229950000008</v>
      </c>
      <c r="BV87" s="717"/>
      <c r="BW87" s="688">
        <f t="shared" si="174"/>
        <v>-32916.229950000008</v>
      </c>
      <c r="BX87" s="767">
        <v>90000</v>
      </c>
      <c r="BY87" s="865">
        <v>128500</v>
      </c>
      <c r="BZ87" s="866">
        <v>146244.71101999999</v>
      </c>
      <c r="CA87" s="867">
        <f t="shared" si="186"/>
        <v>17744.711019999988</v>
      </c>
      <c r="CB87" s="767">
        <v>90000</v>
      </c>
      <c r="CC87" s="865">
        <v>110000</v>
      </c>
      <c r="CD87" s="868">
        <v>76000</v>
      </c>
      <c r="CE87" s="867">
        <f t="shared" si="187"/>
        <v>-34000</v>
      </c>
      <c r="CF87" s="767">
        <v>90000</v>
      </c>
      <c r="CG87" s="865">
        <v>104000</v>
      </c>
      <c r="CH87" s="868">
        <v>67000</v>
      </c>
      <c r="CI87" s="867">
        <f t="shared" si="175"/>
        <v>-37000</v>
      </c>
      <c r="CJ87" s="718">
        <f>BX87+CB87+CF87</f>
        <v>270000</v>
      </c>
      <c r="CK87" s="719"/>
      <c r="CL87" s="719">
        <f t="shared" ref="CL87:CM90" si="190">BY87+CC87+CG87</f>
        <v>342500</v>
      </c>
      <c r="CM87" s="526">
        <f t="shared" si="190"/>
        <v>289244.71101999999</v>
      </c>
      <c r="CN87" s="721">
        <f t="shared" si="176"/>
        <v>19244.711019999988</v>
      </c>
      <c r="CO87" s="721"/>
      <c r="CP87" s="688">
        <f>CM87-CL87</f>
        <v>-53255.288980000012</v>
      </c>
      <c r="CQ87" s="718">
        <f>SUM(BQ87,CJ87)</f>
        <v>540000</v>
      </c>
      <c r="CR87" s="937"/>
      <c r="CS87" s="605">
        <f>BS87+CL87</f>
        <v>633500</v>
      </c>
      <c r="CT87" s="720">
        <f>SUM(BT87,CM87)</f>
        <v>547328.48106999998</v>
      </c>
      <c r="CU87" s="717">
        <f t="shared" si="177"/>
        <v>7328.4810699999798</v>
      </c>
      <c r="CV87" s="717"/>
      <c r="CW87" s="688">
        <f>CT87-CS87</f>
        <v>-86171.51893000002</v>
      </c>
      <c r="CX87" s="722"/>
      <c r="CY87" s="723"/>
      <c r="CZ87" s="556"/>
      <c r="DA87" s="556"/>
      <c r="DB87" s="556"/>
      <c r="DC87" s="493"/>
      <c r="DD87" s="493"/>
    </row>
    <row r="88" spans="1:108" s="1257" customFormat="1">
      <c r="A88" s="659"/>
      <c r="B88" s="663"/>
      <c r="C88" s="670" t="s">
        <v>469</v>
      </c>
      <c r="D88" s="668"/>
      <c r="E88" s="767"/>
      <c r="F88" s="865"/>
      <c r="G88" s="866"/>
      <c r="H88" s="867"/>
      <c r="I88" s="767"/>
      <c r="J88" s="865"/>
      <c r="K88" s="866"/>
      <c r="L88" s="867"/>
      <c r="M88" s="767"/>
      <c r="N88" s="865"/>
      <c r="O88" s="866"/>
      <c r="P88" s="867"/>
      <c r="Q88" s="869"/>
      <c r="R88" s="870"/>
      <c r="S88" s="719"/>
      <c r="T88" s="526"/>
      <c r="U88" s="699"/>
      <c r="V88" s="717"/>
      <c r="W88" s="688"/>
      <c r="X88" s="767"/>
      <c r="Y88" s="865"/>
      <c r="Z88" s="866"/>
      <c r="AA88" s="867"/>
      <c r="AB88" s="767"/>
      <c r="AC88" s="865"/>
      <c r="AD88" s="866"/>
      <c r="AE88" s="867"/>
      <c r="AF88" s="767"/>
      <c r="AG88" s="865"/>
      <c r="AH88" s="866"/>
      <c r="AI88" s="867"/>
      <c r="AJ88" s="718"/>
      <c r="AK88" s="870"/>
      <c r="AL88" s="719"/>
      <c r="AM88" s="526"/>
      <c r="AN88" s="721"/>
      <c r="AO88" s="717"/>
      <c r="AP88" s="688"/>
      <c r="AQ88" s="718"/>
      <c r="AR88" s="805"/>
      <c r="AS88" s="605"/>
      <c r="AT88" s="937"/>
      <c r="AU88" s="761"/>
      <c r="AV88" s="717"/>
      <c r="AW88" s="688"/>
      <c r="AX88" s="722"/>
      <c r="AY88" s="723"/>
      <c r="AZ88" s="723"/>
      <c r="BA88" s="493"/>
      <c r="BB88" s="493"/>
      <c r="BC88" s="493"/>
      <c r="BD88" s="493"/>
      <c r="BE88" s="814"/>
      <c r="BF88" s="856">
        <v>180</v>
      </c>
      <c r="BG88" s="857">
        <v>39</v>
      </c>
      <c r="BH88" s="1270"/>
      <c r="BI88" s="814"/>
      <c r="BJ88" s="856">
        <v>210</v>
      </c>
      <c r="BK88" s="857">
        <v>51</v>
      </c>
      <c r="BL88" s="858"/>
      <c r="BM88" s="814"/>
      <c r="BN88" s="856">
        <v>160</v>
      </c>
      <c r="BO88" s="857">
        <v>42</v>
      </c>
      <c r="BP88" s="1270"/>
      <c r="BQ88" s="863"/>
      <c r="BR88" s="862"/>
      <c r="BS88" s="862">
        <f t="shared" si="189"/>
        <v>550</v>
      </c>
      <c r="BT88" s="574">
        <f t="shared" si="189"/>
        <v>132</v>
      </c>
      <c r="BU88" s="818">
        <f>BT88-BQ88</f>
        <v>132</v>
      </c>
      <c r="BV88" s="888"/>
      <c r="BW88" s="885">
        <f>BT88-BS88</f>
        <v>-418</v>
      </c>
      <c r="BX88" s="814"/>
      <c r="BY88" s="856">
        <v>70</v>
      </c>
      <c r="BZ88" s="848">
        <v>171</v>
      </c>
      <c r="CA88" s="858"/>
      <c r="CB88" s="814"/>
      <c r="CC88" s="856">
        <v>150</v>
      </c>
      <c r="CD88" s="850">
        <v>70</v>
      </c>
      <c r="CE88" s="858"/>
      <c r="CF88" s="814"/>
      <c r="CG88" s="856">
        <v>150</v>
      </c>
      <c r="CH88" s="850">
        <v>70</v>
      </c>
      <c r="CI88" s="858"/>
      <c r="CJ88" s="863">
        <f>BX88+CB88+CF88</f>
        <v>0</v>
      </c>
      <c r="CK88" s="862"/>
      <c r="CL88" s="862">
        <f t="shared" si="190"/>
        <v>370</v>
      </c>
      <c r="CM88" s="574">
        <f t="shared" si="190"/>
        <v>311</v>
      </c>
      <c r="CN88" s="816">
        <f>CM88-CJ88</f>
        <v>311</v>
      </c>
      <c r="CO88" s="816"/>
      <c r="CP88" s="885">
        <f>CM90/CL90</f>
        <v>0.89253246753246751</v>
      </c>
      <c r="CQ88" s="863">
        <f>SUM(BQ88,CJ88)</f>
        <v>0</v>
      </c>
      <c r="CR88" s="855"/>
      <c r="CS88" s="572">
        <f>BS88+CL88</f>
        <v>920</v>
      </c>
      <c r="CT88" s="855">
        <f>SUM(BT88,CM88)</f>
        <v>443</v>
      </c>
      <c r="CU88" s="888">
        <f>CT88-CQ88</f>
        <v>443</v>
      </c>
      <c r="CV88" s="888"/>
      <c r="CW88" s="885"/>
      <c r="CX88" s="820"/>
      <c r="CY88" s="821"/>
      <c r="CZ88" s="587"/>
      <c r="DA88" s="587"/>
      <c r="DB88" s="587"/>
      <c r="DC88" s="493"/>
      <c r="DD88" s="493"/>
    </row>
    <row r="89" spans="1:108">
      <c r="A89" s="642"/>
      <c r="B89" s="643"/>
      <c r="C89" s="616" t="s">
        <v>472</v>
      </c>
      <c r="D89" s="654"/>
      <c r="E89" s="794"/>
      <c r="F89" s="795"/>
      <c r="G89" s="796"/>
      <c r="H89" s="871">
        <f t="shared" si="178"/>
        <v>0</v>
      </c>
      <c r="I89" s="794"/>
      <c r="J89" s="795"/>
      <c r="K89" s="796"/>
      <c r="L89" s="871">
        <f t="shared" si="179"/>
        <v>0</v>
      </c>
      <c r="M89" s="794"/>
      <c r="N89" s="795"/>
      <c r="O89" s="796"/>
      <c r="P89" s="871">
        <f t="shared" si="180"/>
        <v>0</v>
      </c>
      <c r="Q89" s="872">
        <f>E89+I89+M89</f>
        <v>0</v>
      </c>
      <c r="R89" s="873"/>
      <c r="S89" s="719">
        <f>G89+J89+N89</f>
        <v>0</v>
      </c>
      <c r="T89" s="874">
        <f>G89+K89+O89</f>
        <v>0</v>
      </c>
      <c r="U89" s="754">
        <f t="shared" si="181"/>
        <v>0</v>
      </c>
      <c r="V89" s="755">
        <f t="shared" si="161"/>
        <v>0</v>
      </c>
      <c r="W89" s="756">
        <f t="shared" si="182"/>
        <v>0</v>
      </c>
      <c r="X89" s="794"/>
      <c r="Y89" s="795"/>
      <c r="Z89" s="796"/>
      <c r="AA89" s="871">
        <f t="shared" si="183"/>
        <v>0</v>
      </c>
      <c r="AB89" s="794"/>
      <c r="AC89" s="795"/>
      <c r="AD89" s="796"/>
      <c r="AE89" s="871">
        <f t="shared" si="184"/>
        <v>0</v>
      </c>
      <c r="AF89" s="794"/>
      <c r="AG89" s="795"/>
      <c r="AH89" s="796"/>
      <c r="AI89" s="871">
        <f t="shared" si="168"/>
        <v>0</v>
      </c>
      <c r="AJ89" s="875">
        <f>X89+AB89+AF89</f>
        <v>0</v>
      </c>
      <c r="AK89" s="873"/>
      <c r="AL89" s="719">
        <f t="shared" si="188"/>
        <v>0</v>
      </c>
      <c r="AM89" s="874">
        <f t="shared" si="188"/>
        <v>0</v>
      </c>
      <c r="AN89" s="757">
        <f t="shared" si="169"/>
        <v>0</v>
      </c>
      <c r="AO89" s="755">
        <f t="shared" si="162"/>
        <v>0</v>
      </c>
      <c r="AP89" s="756">
        <f>AM89-AL89</f>
        <v>0</v>
      </c>
      <c r="AQ89" s="718">
        <f>SUM(Q89,AJ89)</f>
        <v>0</v>
      </c>
      <c r="AR89" s="876"/>
      <c r="AS89" s="580">
        <f>S89+AL89</f>
        <v>0</v>
      </c>
      <c r="AT89" s="580">
        <f>T89+AM89</f>
        <v>0</v>
      </c>
      <c r="AU89" s="761">
        <f t="shared" si="170"/>
        <v>0</v>
      </c>
      <c r="AV89" s="755">
        <f t="shared" si="163"/>
        <v>0</v>
      </c>
      <c r="AW89" s="694">
        <f>AT89-AS89</f>
        <v>0</v>
      </c>
      <c r="AX89" s="877"/>
      <c r="AY89" s="878"/>
      <c r="AZ89" s="878"/>
      <c r="BA89" s="581"/>
      <c r="BB89" s="581"/>
      <c r="BC89" s="581"/>
      <c r="BD89" s="581"/>
      <c r="BE89" s="1264"/>
      <c r="BF89" s="1265">
        <v>15300</v>
      </c>
      <c r="BG89" s="1271">
        <v>3621.7</v>
      </c>
      <c r="BH89" s="1266">
        <f t="shared" si="171"/>
        <v>-11678.3</v>
      </c>
      <c r="BI89" s="1264"/>
      <c r="BJ89" s="1265">
        <v>18450</v>
      </c>
      <c r="BK89" s="1271">
        <v>4630</v>
      </c>
      <c r="BL89" s="1266">
        <f t="shared" si="185"/>
        <v>-13820</v>
      </c>
      <c r="BM89" s="1264"/>
      <c r="BN89" s="1265">
        <v>14400</v>
      </c>
      <c r="BO89" s="1271">
        <v>384.6</v>
      </c>
      <c r="BP89" s="1266">
        <f t="shared" si="172"/>
        <v>-14015.4</v>
      </c>
      <c r="BQ89" s="875">
        <f>BE89+BI89+BM89</f>
        <v>0</v>
      </c>
      <c r="BR89" s="987"/>
      <c r="BS89" s="719">
        <f t="shared" si="189"/>
        <v>48150</v>
      </c>
      <c r="BT89" s="876">
        <f t="shared" si="189"/>
        <v>8636.3000000000011</v>
      </c>
      <c r="BU89" s="805">
        <f t="shared" si="173"/>
        <v>8636.3000000000011</v>
      </c>
      <c r="BV89" s="806"/>
      <c r="BW89" s="763">
        <f t="shared" si="174"/>
        <v>-39513.699999999997</v>
      </c>
      <c r="BX89" s="1264"/>
      <c r="BY89" s="1265">
        <v>6230</v>
      </c>
      <c r="BZ89" s="1271">
        <v>15334.5</v>
      </c>
      <c r="CA89" s="1266">
        <f t="shared" si="186"/>
        <v>9104.5</v>
      </c>
      <c r="CB89" s="1264"/>
      <c r="CC89" s="1265">
        <v>13350</v>
      </c>
      <c r="CD89" s="1275">
        <v>6230</v>
      </c>
      <c r="CE89" s="1266">
        <f t="shared" si="187"/>
        <v>-7120</v>
      </c>
      <c r="CF89" s="1264"/>
      <c r="CG89" s="1265">
        <v>13350</v>
      </c>
      <c r="CH89" s="1275">
        <v>6230</v>
      </c>
      <c r="CI89" s="1266">
        <f t="shared" si="175"/>
        <v>-7120</v>
      </c>
      <c r="CJ89" s="875">
        <f>BX89+CB89+CF89</f>
        <v>0</v>
      </c>
      <c r="CK89" s="987"/>
      <c r="CL89" s="719">
        <f t="shared" si="190"/>
        <v>32930</v>
      </c>
      <c r="CM89" s="876">
        <f t="shared" si="190"/>
        <v>27794.5</v>
      </c>
      <c r="CN89" s="687">
        <f t="shared" si="176"/>
        <v>27794.5</v>
      </c>
      <c r="CO89" s="687"/>
      <c r="CP89" s="763">
        <f>CM89-CL89</f>
        <v>-5135.5</v>
      </c>
      <c r="CQ89" s="718">
        <f>SUM(BQ89,CJ89)</f>
        <v>0</v>
      </c>
      <c r="CR89" s="937"/>
      <c r="CS89" s="580">
        <f>BS89+CL89</f>
        <v>81080</v>
      </c>
      <c r="CT89" s="580">
        <f>BT89+CM89</f>
        <v>36430.800000000003</v>
      </c>
      <c r="CU89" s="761">
        <f t="shared" si="177"/>
        <v>36430.800000000003</v>
      </c>
      <c r="CV89" s="761"/>
      <c r="CW89" s="688">
        <f>CT89-CS89</f>
        <v>-44649.2</v>
      </c>
      <c r="CX89" s="722"/>
      <c r="CY89" s="878"/>
      <c r="CZ89" s="1388"/>
      <c r="DA89" s="1388"/>
      <c r="DB89" s="1388"/>
      <c r="DC89" s="581"/>
      <c r="DD89" s="581"/>
    </row>
    <row r="90" spans="1:108">
      <c r="A90" s="1418" t="s">
        <v>363</v>
      </c>
      <c r="B90" s="1419"/>
      <c r="C90" s="1419"/>
      <c r="D90" s="1009"/>
      <c r="E90" s="809">
        <f>E82+E85</f>
        <v>617</v>
      </c>
      <c r="F90" s="847">
        <f>F82+F85</f>
        <v>617</v>
      </c>
      <c r="G90" s="848">
        <f>G82+G85</f>
        <v>911</v>
      </c>
      <c r="H90" s="849">
        <f>G90-F90</f>
        <v>294</v>
      </c>
      <c r="I90" s="809">
        <f>I82+I85</f>
        <v>617</v>
      </c>
      <c r="J90" s="847">
        <f>J82+J85</f>
        <v>876</v>
      </c>
      <c r="K90" s="848">
        <f>K82+K85</f>
        <v>870</v>
      </c>
      <c r="L90" s="849">
        <f>K90-J90</f>
        <v>-6</v>
      </c>
      <c r="M90" s="809">
        <f>M82+M85</f>
        <v>617</v>
      </c>
      <c r="N90" s="847">
        <f>N82+N85</f>
        <v>950</v>
      </c>
      <c r="O90" s="848">
        <f>O82+O85</f>
        <v>1150</v>
      </c>
      <c r="P90" s="849">
        <f>O90-N90</f>
        <v>200</v>
      </c>
      <c r="Q90" s="851">
        <f>E90+I90+M90</f>
        <v>1851</v>
      </c>
      <c r="R90" s="852">
        <f>R82+R85</f>
        <v>2700</v>
      </c>
      <c r="S90" s="853">
        <f>G90+J90+N90</f>
        <v>2737</v>
      </c>
      <c r="T90" s="879">
        <f>G90+K90+O90</f>
        <v>2931</v>
      </c>
      <c r="U90" s="880">
        <f t="shared" si="181"/>
        <v>1080</v>
      </c>
      <c r="V90" s="881">
        <f t="shared" si="161"/>
        <v>231</v>
      </c>
      <c r="W90" s="882">
        <f t="shared" si="182"/>
        <v>194</v>
      </c>
      <c r="X90" s="809">
        <f>X82+X85</f>
        <v>750</v>
      </c>
      <c r="Y90" s="847">
        <f>Y82+Y85</f>
        <v>950</v>
      </c>
      <c r="Z90" s="848">
        <f>Z82+Z85</f>
        <v>959</v>
      </c>
      <c r="AA90" s="849">
        <f t="shared" si="183"/>
        <v>9</v>
      </c>
      <c r="AB90" s="809">
        <f>AB82+AB85</f>
        <v>750</v>
      </c>
      <c r="AC90" s="847">
        <f>AC82+AC85</f>
        <v>950</v>
      </c>
      <c r="AD90" s="848">
        <f>AD82+AD85</f>
        <v>822</v>
      </c>
      <c r="AE90" s="849">
        <f>AD90-AC90</f>
        <v>-128</v>
      </c>
      <c r="AF90" s="809">
        <f>AF82+AF85</f>
        <v>750</v>
      </c>
      <c r="AG90" s="847">
        <f>AG82+AG85</f>
        <v>900</v>
      </c>
      <c r="AH90" s="848">
        <f>AH82+AH85</f>
        <v>1280</v>
      </c>
      <c r="AI90" s="849">
        <f t="shared" si="168"/>
        <v>380</v>
      </c>
      <c r="AJ90" s="854">
        <f>X90+AB90+AF90</f>
        <v>2250</v>
      </c>
      <c r="AK90" s="852">
        <f>AK82+AK85</f>
        <v>2700</v>
      </c>
      <c r="AL90" s="853">
        <f t="shared" si="188"/>
        <v>2800</v>
      </c>
      <c r="AM90" s="879">
        <f t="shared" si="188"/>
        <v>3061</v>
      </c>
      <c r="AN90" s="883">
        <f t="shared" si="169"/>
        <v>811</v>
      </c>
      <c r="AO90" s="881">
        <f t="shared" si="162"/>
        <v>361</v>
      </c>
      <c r="AP90" s="882">
        <f>AM90-AL90</f>
        <v>261</v>
      </c>
      <c r="AQ90" s="854">
        <f>SUM(Q90,AJ90)</f>
        <v>4101</v>
      </c>
      <c r="AR90" s="879">
        <f>AR82+AR85</f>
        <v>5400</v>
      </c>
      <c r="AS90" s="884">
        <f>S90+AL90</f>
        <v>5537</v>
      </c>
      <c r="AT90" s="879">
        <f>SUM(T90,AM90)</f>
        <v>5992</v>
      </c>
      <c r="AU90" s="880">
        <f t="shared" si="170"/>
        <v>1891</v>
      </c>
      <c r="AV90" s="881">
        <f t="shared" si="163"/>
        <v>592</v>
      </c>
      <c r="AW90" s="885">
        <f>AT90-AS90</f>
        <v>455</v>
      </c>
      <c r="AX90" s="820"/>
      <c r="AY90" s="821"/>
      <c r="AZ90" s="821"/>
      <c r="BA90" s="570"/>
      <c r="BB90" s="570"/>
      <c r="BC90" s="570"/>
      <c r="BD90" s="570"/>
      <c r="BE90" s="809">
        <f>BE82+BE85</f>
        <v>913</v>
      </c>
      <c r="BF90" s="847">
        <f>BF82+BF85</f>
        <v>940</v>
      </c>
      <c r="BG90" s="848">
        <f>BG82+BG85</f>
        <v>908</v>
      </c>
      <c r="BH90" s="849">
        <f>BG90-BF90</f>
        <v>-32</v>
      </c>
      <c r="BI90" s="809">
        <f>BI82+BI85</f>
        <v>913</v>
      </c>
      <c r="BJ90" s="847">
        <f>BJ82+BJ85</f>
        <v>930</v>
      </c>
      <c r="BK90" s="848">
        <f>BK82+BK85</f>
        <v>851</v>
      </c>
      <c r="BL90" s="849">
        <f>BK90-BJ90</f>
        <v>-79</v>
      </c>
      <c r="BM90" s="809">
        <f>BM82+BM85</f>
        <v>913</v>
      </c>
      <c r="BN90" s="847">
        <f>BN82+BN85</f>
        <v>950</v>
      </c>
      <c r="BO90" s="848">
        <f>BO82+BO85</f>
        <v>788</v>
      </c>
      <c r="BP90" s="849">
        <f>BO90-BN90</f>
        <v>-162</v>
      </c>
      <c r="BQ90" s="854">
        <f>BE90+BI90+BM90</f>
        <v>2739</v>
      </c>
      <c r="BR90" s="853"/>
      <c r="BS90" s="853">
        <f t="shared" si="189"/>
        <v>2820</v>
      </c>
      <c r="BT90" s="879">
        <f t="shared" si="189"/>
        <v>2547</v>
      </c>
      <c r="BU90" s="880">
        <f t="shared" si="173"/>
        <v>-192</v>
      </c>
      <c r="BV90" s="881"/>
      <c r="BW90" s="882">
        <f t="shared" si="174"/>
        <v>-273</v>
      </c>
      <c r="BX90" s="809">
        <f>BX82+BX85</f>
        <v>915</v>
      </c>
      <c r="BY90" s="847">
        <f>BY82+BY85</f>
        <v>1085</v>
      </c>
      <c r="BZ90" s="848">
        <f>BZ82+BZ85</f>
        <v>1189</v>
      </c>
      <c r="CA90" s="849">
        <f t="shared" si="186"/>
        <v>104</v>
      </c>
      <c r="CB90" s="809">
        <f>CB82+CB85</f>
        <v>915</v>
      </c>
      <c r="CC90" s="847">
        <f>CC82+CC85</f>
        <v>1085</v>
      </c>
      <c r="CD90" s="850">
        <f>CD82+CD85</f>
        <v>865</v>
      </c>
      <c r="CE90" s="849">
        <f>CD90-CC90</f>
        <v>-220</v>
      </c>
      <c r="CF90" s="809">
        <f>CF82+CF85</f>
        <v>915</v>
      </c>
      <c r="CG90" s="847">
        <f>CG82+CG85</f>
        <v>910</v>
      </c>
      <c r="CH90" s="850">
        <f>CH82+CH85</f>
        <v>695</v>
      </c>
      <c r="CI90" s="849">
        <f t="shared" si="175"/>
        <v>-215</v>
      </c>
      <c r="CJ90" s="854">
        <f>BX90+CB90+CF90</f>
        <v>2745</v>
      </c>
      <c r="CK90" s="853"/>
      <c r="CL90" s="853">
        <f t="shared" si="190"/>
        <v>3080</v>
      </c>
      <c r="CM90" s="879">
        <f t="shared" si="190"/>
        <v>2749</v>
      </c>
      <c r="CN90" s="883">
        <f t="shared" si="176"/>
        <v>4</v>
      </c>
      <c r="CO90" s="883"/>
      <c r="CP90" s="882">
        <f>CM90-CL90</f>
        <v>-331</v>
      </c>
      <c r="CQ90" s="854">
        <f>SUM(BQ90,CJ90)</f>
        <v>5484</v>
      </c>
      <c r="CR90" s="884"/>
      <c r="CS90" s="884">
        <f>BS90+CL90</f>
        <v>5900</v>
      </c>
      <c r="CT90" s="879">
        <f>SUM(BT90,CM90)</f>
        <v>5296</v>
      </c>
      <c r="CU90" s="880">
        <f t="shared" si="177"/>
        <v>-188</v>
      </c>
      <c r="CV90" s="888"/>
      <c r="CW90" s="885">
        <f>CT90-CS90</f>
        <v>-604</v>
      </c>
      <c r="CX90" s="722"/>
      <c r="CY90" s="821"/>
      <c r="CZ90" s="587"/>
      <c r="DA90" s="587"/>
      <c r="DB90" s="587"/>
      <c r="DC90" s="570"/>
      <c r="DD90" s="570"/>
    </row>
    <row r="91" spans="1:108">
      <c r="A91" s="1014" t="s">
        <v>364</v>
      </c>
      <c r="B91" s="1010"/>
      <c r="C91" s="1010"/>
      <c r="D91" s="1009"/>
      <c r="E91" s="814">
        <f>E93/E90</f>
        <v>164.64019448946516</v>
      </c>
      <c r="F91" s="856">
        <f>F93/F90</f>
        <v>164.64019448946516</v>
      </c>
      <c r="G91" s="857">
        <f>G93/G90</f>
        <v>156.0702524698134</v>
      </c>
      <c r="H91" s="858">
        <f>G91-F91</f>
        <v>-8.5699420196517622</v>
      </c>
      <c r="I91" s="814">
        <f>I93/I90</f>
        <v>164.64019448946516</v>
      </c>
      <c r="J91" s="856">
        <f>J93/J90</f>
        <v>151.82648401826484</v>
      </c>
      <c r="K91" s="857">
        <f>K93/K90</f>
        <v>180.85862068965517</v>
      </c>
      <c r="L91" s="858">
        <f>K91-J91</f>
        <v>29.032136671390333</v>
      </c>
      <c r="M91" s="814">
        <f>M93/M90</f>
        <v>164.64019448946516</v>
      </c>
      <c r="N91" s="856">
        <f>N93/N90</f>
        <v>147.36842105263159</v>
      </c>
      <c r="O91" s="857">
        <f>O93/O90</f>
        <v>152.6</v>
      </c>
      <c r="P91" s="858">
        <f>O91-N91</f>
        <v>5.2315789473684049</v>
      </c>
      <c r="Q91" s="860">
        <f>Q93/Q90</f>
        <v>164.64019448946516</v>
      </c>
      <c r="R91" s="861">
        <f>R93/R90</f>
        <v>146.49222222222221</v>
      </c>
      <c r="S91" s="862">
        <f>S93/S90</f>
        <v>151.69163317500914</v>
      </c>
      <c r="T91" s="574">
        <f>T93/T90</f>
        <v>162.06653019447288</v>
      </c>
      <c r="U91" s="574">
        <f t="shared" si="181"/>
        <v>-2.5736642949922839</v>
      </c>
      <c r="V91" s="574">
        <f t="shared" si="161"/>
        <v>15.574307972250665</v>
      </c>
      <c r="W91" s="574">
        <f t="shared" si="182"/>
        <v>10.374897019463731</v>
      </c>
      <c r="X91" s="814">
        <f>X93/X90</f>
        <v>150.55466666666666</v>
      </c>
      <c r="Y91" s="856">
        <f>Y93/Y90</f>
        <v>145.26315789473685</v>
      </c>
      <c r="Z91" s="857">
        <f>Z93/Z90</f>
        <v>158.52241918665277</v>
      </c>
      <c r="AA91" s="858">
        <f t="shared" si="183"/>
        <v>13.259261291915919</v>
      </c>
      <c r="AB91" s="814">
        <f>AB93/AB90</f>
        <v>150.55466666666666</v>
      </c>
      <c r="AC91" s="856">
        <f>AC93/AC90</f>
        <v>145.26315789473685</v>
      </c>
      <c r="AD91" s="857">
        <f>AD93/AD90</f>
        <v>158.43929440389294</v>
      </c>
      <c r="AE91" s="858">
        <f>AD91-AC91</f>
        <v>13.176136509156095</v>
      </c>
      <c r="AF91" s="814">
        <f>AF93/AF90</f>
        <v>150.55466666666666</v>
      </c>
      <c r="AG91" s="856">
        <f>AG93/AG90</f>
        <v>150</v>
      </c>
      <c r="AH91" s="857">
        <f>AH93/AH90</f>
        <v>121.92227615624999</v>
      </c>
      <c r="AI91" s="858">
        <f t="shared" si="168"/>
        <v>-28.077723843750007</v>
      </c>
      <c r="AJ91" s="863">
        <f>AJ93/AJ90</f>
        <v>150.55466666666666</v>
      </c>
      <c r="AK91" s="861">
        <f>AK93/AK90</f>
        <v>146.49222222222221</v>
      </c>
      <c r="AL91" s="862">
        <f>AL93/AL90</f>
        <v>146.78571428571428</v>
      </c>
      <c r="AM91" s="574">
        <f>AM93/AM90</f>
        <v>143.19523472067951</v>
      </c>
      <c r="AN91" s="574">
        <f t="shared" si="169"/>
        <v>-7.3594319459871542</v>
      </c>
      <c r="AO91" s="574">
        <f t="shared" si="162"/>
        <v>-3.2969875015427021</v>
      </c>
      <c r="AP91" s="574">
        <f>AM91-AL91</f>
        <v>-3.5904795650347694</v>
      </c>
      <c r="AQ91" s="863">
        <f>AQ93/AQ90</f>
        <v>156.91221653255303</v>
      </c>
      <c r="AR91" s="864">
        <f>AR93/AR90</f>
        <v>146.49222222222221</v>
      </c>
      <c r="AS91" s="862">
        <f>AS93/AS90</f>
        <v>149.21076395159835</v>
      </c>
      <c r="AT91" s="574">
        <f>AT93/AT90</f>
        <v>152.42617047396527</v>
      </c>
      <c r="AU91" s="574">
        <f t="shared" si="170"/>
        <v>-4.4860460585877604</v>
      </c>
      <c r="AV91" s="574">
        <f t="shared" si="163"/>
        <v>5.9339482517430611</v>
      </c>
      <c r="AW91" s="574">
        <f>AT91-AS91</f>
        <v>3.2154065223669193</v>
      </c>
      <c r="AX91" s="820"/>
      <c r="AY91" s="821"/>
      <c r="AZ91" s="821"/>
      <c r="BA91" s="570"/>
      <c r="BB91" s="570"/>
      <c r="BC91" s="570"/>
      <c r="BD91" s="570"/>
      <c r="BE91" s="814">
        <f>BE93/BE90</f>
        <v>160.03833515881709</v>
      </c>
      <c r="BF91" s="856">
        <f>BF93/BF90</f>
        <v>159.57446808510639</v>
      </c>
      <c r="BG91" s="857">
        <f>BG93/BG90</f>
        <v>167.64758705947136</v>
      </c>
      <c r="BH91" s="858">
        <f>BG91-BF91</f>
        <v>8.0731189743649736</v>
      </c>
      <c r="BI91" s="814">
        <f>BI93/BI90</f>
        <v>160.03833515881709</v>
      </c>
      <c r="BJ91" s="856">
        <f>BJ93/BJ90</f>
        <v>152.68817204301075</v>
      </c>
      <c r="BK91" s="857">
        <f>BK93/BK90</f>
        <v>158.31422326674502</v>
      </c>
      <c r="BL91" s="858">
        <f>BK91-BJ91</f>
        <v>5.6260512237342652</v>
      </c>
      <c r="BM91" s="814">
        <f>BM93/BM90</f>
        <v>160.03833515881709</v>
      </c>
      <c r="BN91" s="856">
        <f>BN93/BN90</f>
        <v>153.68421052631578</v>
      </c>
      <c r="BO91" s="857">
        <f>BO93/BO90</f>
        <v>140.10621065989849</v>
      </c>
      <c r="BP91" s="886">
        <f>BO91-BN91</f>
        <v>-13.577999866417287</v>
      </c>
      <c r="BQ91" s="863">
        <f>BQ93/BQ90</f>
        <v>160.03833515881709</v>
      </c>
      <c r="BR91" s="862"/>
      <c r="BS91" s="862">
        <f>BS93/BS90</f>
        <v>155.31914893617022</v>
      </c>
      <c r="BT91" s="574">
        <f>BT93/BT90</f>
        <v>156.00828702394975</v>
      </c>
      <c r="BU91" s="574">
        <f t="shared" si="173"/>
        <v>-4.0300481348673429</v>
      </c>
      <c r="BV91" s="574"/>
      <c r="BW91" s="574">
        <f t="shared" si="174"/>
        <v>0.68913808777952568</v>
      </c>
      <c r="BX91" s="814">
        <f>BX93/BX90</f>
        <v>159.91803278688525</v>
      </c>
      <c r="BY91" s="856">
        <f>BY93/BY90</f>
        <v>156.22119815668202</v>
      </c>
      <c r="BZ91" s="857">
        <f>BZ93/BZ90</f>
        <v>146.6885004373423</v>
      </c>
      <c r="CA91" s="886">
        <f t="shared" si="186"/>
        <v>-9.5326977193397227</v>
      </c>
      <c r="CB91" s="814">
        <f>CB93/CB90</f>
        <v>159.91803278688525</v>
      </c>
      <c r="CC91" s="856">
        <f>CC93/CC90</f>
        <v>156.68202764976959</v>
      </c>
      <c r="CD91" s="859">
        <f>CD93/CD90</f>
        <v>131.79190751445086</v>
      </c>
      <c r="CE91" s="858">
        <f>CD91-CC91</f>
        <v>-24.890120135318739</v>
      </c>
      <c r="CF91" s="814">
        <f>CF93/CF90</f>
        <v>159.91803278688525</v>
      </c>
      <c r="CG91" s="856">
        <f>CG93/CG90</f>
        <v>168.13186813186815</v>
      </c>
      <c r="CH91" s="859">
        <f>CH93/CH90</f>
        <v>138.12949640287769</v>
      </c>
      <c r="CI91" s="858">
        <f t="shared" si="175"/>
        <v>-30.002371728990454</v>
      </c>
      <c r="CJ91" s="863">
        <f>CJ93/CJ90</f>
        <v>159.91803278688525</v>
      </c>
      <c r="CK91" s="862"/>
      <c r="CL91" s="862">
        <f>CL93/CL90</f>
        <v>159.90259740259739</v>
      </c>
      <c r="CM91" s="574">
        <f>CM93/CM90</f>
        <v>139.83725973808657</v>
      </c>
      <c r="CN91" s="574">
        <f t="shared" si="176"/>
        <v>-20.080773048798676</v>
      </c>
      <c r="CO91" s="574"/>
      <c r="CP91" s="574">
        <f>CM91-CL91</f>
        <v>-20.065337664510821</v>
      </c>
      <c r="CQ91" s="863">
        <f>CQ93/CQ90</f>
        <v>159.97811816192561</v>
      </c>
      <c r="CR91" s="862"/>
      <c r="CS91" s="862">
        <f>CS93/CS90</f>
        <v>157.71186440677965</v>
      </c>
      <c r="CT91" s="574">
        <f>CT93/CT90</f>
        <v>147.61437576850454</v>
      </c>
      <c r="CU91" s="574">
        <f t="shared" si="177"/>
        <v>-12.363742393421063</v>
      </c>
      <c r="CV91" s="574"/>
      <c r="CW91" s="574">
        <f>CT91-CS91</f>
        <v>-10.097488638275109</v>
      </c>
      <c r="CX91" s="722"/>
      <c r="CY91" s="821"/>
      <c r="CZ91" s="587"/>
      <c r="DA91" s="587"/>
      <c r="DB91" s="587"/>
      <c r="DC91" s="570"/>
      <c r="DD91" s="570"/>
    </row>
    <row r="92" spans="1:108">
      <c r="A92" s="659" t="s">
        <v>161</v>
      </c>
      <c r="B92" s="664"/>
      <c r="C92" s="664"/>
      <c r="D92" s="665"/>
      <c r="E92" s="695"/>
      <c r="F92" s="837"/>
      <c r="G92" s="838"/>
      <c r="H92" s="839">
        <f>G93/F93</f>
        <v>1.3996436411604305</v>
      </c>
      <c r="I92" s="695"/>
      <c r="J92" s="837"/>
      <c r="K92" s="838"/>
      <c r="L92" s="1097">
        <f>K93/J93</f>
        <v>1.1830601503759399</v>
      </c>
      <c r="M92" s="695"/>
      <c r="N92" s="837"/>
      <c r="O92" s="838"/>
      <c r="P92" s="1097">
        <f>O93/N93</f>
        <v>1.2535000000000001</v>
      </c>
      <c r="Q92" s="841"/>
      <c r="R92" s="842"/>
      <c r="S92" s="843"/>
      <c r="T92" s="514"/>
      <c r="U92" s="1094">
        <f>T93/Q93</f>
        <v>1.5587155331108551</v>
      </c>
      <c r="V92" s="1076">
        <f>T93/R93</f>
        <v>1.2009663008274993</v>
      </c>
      <c r="W92" s="1068">
        <f>T93/S93</f>
        <v>1.1441230309745172</v>
      </c>
      <c r="X92" s="695"/>
      <c r="Y92" s="837"/>
      <c r="Z92" s="838"/>
      <c r="AA92" s="1097">
        <f>Z93/Y93</f>
        <v>1.1016159420289855</v>
      </c>
      <c r="AB92" s="695"/>
      <c r="AC92" s="837"/>
      <c r="AD92" s="838"/>
      <c r="AE92" s="1098">
        <f>AD93/AC93</f>
        <v>0.94374710144927543</v>
      </c>
      <c r="AF92" s="695"/>
      <c r="AG92" s="837"/>
      <c r="AH92" s="838"/>
      <c r="AI92" s="1098">
        <f>AH93/AG93</f>
        <v>1.1560038035555555</v>
      </c>
      <c r="AJ92" s="771"/>
      <c r="AK92" s="842"/>
      <c r="AL92" s="843"/>
      <c r="AM92" s="514"/>
      <c r="AN92" s="1096">
        <f>AM93/AJ93</f>
        <v>1.2939430298629067</v>
      </c>
      <c r="AO92" s="1076">
        <f>AM93/AK93</f>
        <v>1.1081883085184649</v>
      </c>
      <c r="AP92" s="1087">
        <f>AM93/AL93</f>
        <v>1.0664735121167881</v>
      </c>
      <c r="AQ92" s="563"/>
      <c r="AR92" s="772"/>
      <c r="AS92" s="606"/>
      <c r="AT92" s="532"/>
      <c r="AU92" s="1076">
        <f>AT93/AQ93</f>
        <v>1.4193346876209212</v>
      </c>
      <c r="AV92" s="1076">
        <f>AT93/AR93</f>
        <v>1.1545773046729821</v>
      </c>
      <c r="AW92" s="1087">
        <f>AT93/AS93</f>
        <v>1.1054947027040112</v>
      </c>
      <c r="AX92" s="722"/>
      <c r="AY92" s="723"/>
      <c r="AZ92" s="697"/>
      <c r="BE92" s="695"/>
      <c r="BF92" s="837"/>
      <c r="BG92" s="838"/>
      <c r="BH92" s="1097">
        <f>BG93/BF93</f>
        <v>1.014826727</v>
      </c>
      <c r="BI92" s="695"/>
      <c r="BJ92" s="837"/>
      <c r="BK92" s="838"/>
      <c r="BL92" s="1097">
        <f>BK93/BJ93</f>
        <v>0.94877045070422539</v>
      </c>
      <c r="BM92" s="695"/>
      <c r="BN92" s="837"/>
      <c r="BO92" s="838"/>
      <c r="BP92" s="1097">
        <f>BO93/BN93</f>
        <v>0.75618968493150684</v>
      </c>
      <c r="BQ92" s="771"/>
      <c r="BR92" s="843"/>
      <c r="BS92" s="843"/>
      <c r="BT92" s="514"/>
      <c r="BU92" s="1094">
        <f>BT93/BQ93</f>
        <v>0.90648486249415416</v>
      </c>
      <c r="BV92" s="1100"/>
      <c r="BW92" s="1068">
        <f>BT93/BS93</f>
        <v>0.907198874543379</v>
      </c>
      <c r="BX92" s="695"/>
      <c r="BY92" s="837"/>
      <c r="BZ92" s="838"/>
      <c r="CA92" s="1097">
        <f>BZ93/BY93</f>
        <v>1.0289830502654866</v>
      </c>
      <c r="CB92" s="695"/>
      <c r="CC92" s="837"/>
      <c r="CD92" s="840"/>
      <c r="CE92" s="1098">
        <f>CD93/CC93</f>
        <v>0.6705882352941176</v>
      </c>
      <c r="CF92" s="695"/>
      <c r="CG92" s="837"/>
      <c r="CH92" s="840"/>
      <c r="CI92" s="1098">
        <f>CH93/CG93</f>
        <v>0.62745098039215685</v>
      </c>
      <c r="CJ92" s="771"/>
      <c r="CK92" s="843"/>
      <c r="CL92" s="843"/>
      <c r="CM92" s="514"/>
      <c r="CN92" s="1096">
        <f>CM93/CJ93</f>
        <v>0.87570505614214933</v>
      </c>
      <c r="CO92" s="1096"/>
      <c r="CP92" s="1087">
        <f>CM93/CL93</f>
        <v>0.78053325283248731</v>
      </c>
      <c r="CQ92" s="563"/>
      <c r="CR92" s="606"/>
      <c r="CS92" s="606"/>
      <c r="CT92" s="532"/>
      <c r="CU92" s="1076">
        <f>CT93/CQ93</f>
        <v>0.89108390788993752</v>
      </c>
      <c r="CV92" s="1076"/>
      <c r="CW92" s="1087">
        <f>CT93/CS93</f>
        <v>0.84015661909725958</v>
      </c>
      <c r="CX92" s="722"/>
      <c r="CY92" s="723"/>
      <c r="CZ92" s="556"/>
      <c r="DA92" s="556"/>
      <c r="DB92" s="556"/>
      <c r="DC92" s="493"/>
      <c r="DD92" s="493"/>
    </row>
    <row r="93" spans="1:108">
      <c r="A93" s="647" t="s">
        <v>365</v>
      </c>
      <c r="B93" s="661"/>
      <c r="C93" s="997"/>
      <c r="D93" s="995"/>
      <c r="E93" s="822">
        <f>E84+E87+E89</f>
        <v>101583</v>
      </c>
      <c r="F93" s="887">
        <f>F84+F87+F89</f>
        <v>101583</v>
      </c>
      <c r="G93" s="824">
        <f>G84+G87+G89</f>
        <v>142180</v>
      </c>
      <c r="H93" s="825">
        <f>G93-F93</f>
        <v>40597</v>
      </c>
      <c r="I93" s="822">
        <f>I84+I87+I89</f>
        <v>101583</v>
      </c>
      <c r="J93" s="887">
        <f>J84+J87+J89</f>
        <v>133000</v>
      </c>
      <c r="K93" s="824">
        <f>K84+K87+K89</f>
        <v>157347</v>
      </c>
      <c r="L93" s="825">
        <f>K93-J93</f>
        <v>24347</v>
      </c>
      <c r="M93" s="822">
        <f>M84+M87+M89</f>
        <v>101583</v>
      </c>
      <c r="N93" s="887">
        <f>N84+N87+N89</f>
        <v>140000</v>
      </c>
      <c r="O93" s="824">
        <f>O84+O87+O89</f>
        <v>175490</v>
      </c>
      <c r="P93" s="825">
        <f>O93-N93</f>
        <v>35490</v>
      </c>
      <c r="Q93" s="827">
        <f>E93+I93+M93</f>
        <v>304749</v>
      </c>
      <c r="R93" s="828">
        <f>R84+R87+R89</f>
        <v>395529</v>
      </c>
      <c r="S93" s="714">
        <f>G93+J93+N93</f>
        <v>415180</v>
      </c>
      <c r="T93" s="520">
        <f>G93+K93+O93</f>
        <v>475017</v>
      </c>
      <c r="U93" s="712">
        <f>T93-Q93</f>
        <v>170268</v>
      </c>
      <c r="V93" s="711">
        <f t="shared" si="161"/>
        <v>79488</v>
      </c>
      <c r="W93" s="716">
        <f>T93-S93</f>
        <v>59837</v>
      </c>
      <c r="X93" s="822">
        <f>X84+X87+X89</f>
        <v>112916</v>
      </c>
      <c r="Y93" s="887">
        <f>Y84+Y87+Y89</f>
        <v>138000</v>
      </c>
      <c r="Z93" s="824">
        <f>Z84+Z87+Z89</f>
        <v>152023</v>
      </c>
      <c r="AA93" s="825">
        <f t="shared" ref="AA93:AA100" si="191">Z93-Y93</f>
        <v>14023</v>
      </c>
      <c r="AB93" s="822">
        <f>AB84+AB87+AB89</f>
        <v>112916</v>
      </c>
      <c r="AC93" s="887">
        <f>AC84+AC87+AC89</f>
        <v>138000</v>
      </c>
      <c r="AD93" s="824">
        <f>AD84+AD87+AD89</f>
        <v>130237.1</v>
      </c>
      <c r="AE93" s="825">
        <f t="shared" ref="AE93:AE98" si="192">AD93-AC93</f>
        <v>-7762.8999999999942</v>
      </c>
      <c r="AF93" s="822">
        <f>AF84+AF87+AF89</f>
        <v>112916</v>
      </c>
      <c r="AG93" s="887">
        <f>AG84+AG87+AG89</f>
        <v>135000</v>
      </c>
      <c r="AH93" s="824">
        <f>AH84+AH87+AH89</f>
        <v>156060.51347999999</v>
      </c>
      <c r="AI93" s="825">
        <f>AH93-AG93</f>
        <v>21060.513479999994</v>
      </c>
      <c r="AJ93" s="713">
        <f>X93+AB93+AF93</f>
        <v>338748</v>
      </c>
      <c r="AK93" s="828">
        <f>AK84+AK87+AK89</f>
        <v>395529</v>
      </c>
      <c r="AL93" s="714">
        <f t="shared" ref="AL93:AM95" si="193">Y93+AC93+AG93</f>
        <v>411000</v>
      </c>
      <c r="AM93" s="520">
        <f t="shared" si="193"/>
        <v>438320.61347999994</v>
      </c>
      <c r="AN93" s="739">
        <f>AM93-AJ93</f>
        <v>99572.613479999942</v>
      </c>
      <c r="AO93" s="711">
        <f t="shared" si="162"/>
        <v>42791.613479999942</v>
      </c>
      <c r="AP93" s="688">
        <f>AM93-AL93</f>
        <v>27320.613479999942</v>
      </c>
      <c r="AQ93" s="718">
        <f>SUM(Q93,AJ93)</f>
        <v>643497</v>
      </c>
      <c r="AR93" s="720">
        <f>AR84+AR87+AR89</f>
        <v>791058</v>
      </c>
      <c r="AS93" s="605">
        <f>S93+AL93</f>
        <v>826180</v>
      </c>
      <c r="AT93" s="520">
        <f>SUM(T93,AM93)</f>
        <v>913337.61347999994</v>
      </c>
      <c r="AU93" s="711">
        <f>AT93-AQ93</f>
        <v>269840.61347999994</v>
      </c>
      <c r="AV93" s="711">
        <f t="shared" si="163"/>
        <v>122279.61347999994</v>
      </c>
      <c r="AW93" s="688">
        <f>AT93-AS93</f>
        <v>87157.613479999942</v>
      </c>
      <c r="AX93" s="722">
        <f>AQ93/6</f>
        <v>107249.5</v>
      </c>
      <c r="AY93" s="709">
        <f>AR93/6</f>
        <v>131843</v>
      </c>
      <c r="AZ93" s="723">
        <f>AT93/6</f>
        <v>152222.93557999999</v>
      </c>
      <c r="BA93" s="829">
        <f>AZ93/AX93</f>
        <v>1.4193346876209212</v>
      </c>
      <c r="BB93" s="493">
        <f>AZ93-AX93</f>
        <v>44973.43557999999</v>
      </c>
      <c r="BC93" s="516">
        <f>AZ93-AY93</f>
        <v>20379.93557999999</v>
      </c>
      <c r="BD93" s="493">
        <f>AW93/6</f>
        <v>14526.268913333324</v>
      </c>
      <c r="BE93" s="822">
        <f>BE84+BE87</f>
        <v>146115</v>
      </c>
      <c r="BF93" s="887">
        <f>BF84+BF87</f>
        <v>150000</v>
      </c>
      <c r="BG93" s="824">
        <f>BG84+BG87</f>
        <v>152224.00904999999</v>
      </c>
      <c r="BH93" s="825">
        <f>BG93-BF93</f>
        <v>2224.0090499999933</v>
      </c>
      <c r="BI93" s="822">
        <f>BI84+BI87</f>
        <v>146115</v>
      </c>
      <c r="BJ93" s="887">
        <f>BJ84+BJ87</f>
        <v>142000</v>
      </c>
      <c r="BK93" s="824">
        <f>BK84+BK87</f>
        <v>134725.40400000001</v>
      </c>
      <c r="BL93" s="825">
        <f>BK93-BJ93</f>
        <v>-7274.5959999999905</v>
      </c>
      <c r="BM93" s="822">
        <f>BM84+BM87</f>
        <v>146115</v>
      </c>
      <c r="BN93" s="887">
        <f>BN84+BN87</f>
        <v>146000</v>
      </c>
      <c r="BO93" s="824">
        <f>BO84+BO87</f>
        <v>110403.694</v>
      </c>
      <c r="BP93" s="825">
        <f>BO93-BN93</f>
        <v>-35596.305999999997</v>
      </c>
      <c r="BQ93" s="713">
        <f>BE93+BI93+BM93</f>
        <v>438345</v>
      </c>
      <c r="BR93" s="714"/>
      <c r="BS93" s="714">
        <f>BF93+BJ93+BN93</f>
        <v>438000</v>
      </c>
      <c r="BT93" s="520">
        <f>BG93+BK93+BO93</f>
        <v>397353.10704999999</v>
      </c>
      <c r="BU93" s="712">
        <f>BT93-BQ93</f>
        <v>-40991.892950000009</v>
      </c>
      <c r="BV93" s="711"/>
      <c r="BW93" s="716">
        <f>BT93-BS93</f>
        <v>-40646.892950000009</v>
      </c>
      <c r="BX93" s="822">
        <f>BX84+BX87</f>
        <v>146325</v>
      </c>
      <c r="BY93" s="887">
        <f>BY84+BY87</f>
        <v>169500</v>
      </c>
      <c r="BZ93" s="824">
        <f>BZ84+BZ87</f>
        <v>174412.62701999999</v>
      </c>
      <c r="CA93" s="825">
        <f t="shared" ref="CA93:CA98" si="194">BZ93-BY93</f>
        <v>4912.6270199999854</v>
      </c>
      <c r="CB93" s="822">
        <f>CB84+CB87</f>
        <v>146325</v>
      </c>
      <c r="CC93" s="887">
        <f>CC84+CC87</f>
        <v>170000</v>
      </c>
      <c r="CD93" s="826">
        <f>CD84+CD87</f>
        <v>114000</v>
      </c>
      <c r="CE93" s="825">
        <f t="shared" ref="CE93:CE98" si="195">CD93-CC93</f>
        <v>-56000</v>
      </c>
      <c r="CF93" s="822">
        <f>CF84+CF87</f>
        <v>146325</v>
      </c>
      <c r="CG93" s="887">
        <f>CG84+CG87</f>
        <v>153000</v>
      </c>
      <c r="CH93" s="826">
        <f>CH84+CH87</f>
        <v>96000</v>
      </c>
      <c r="CI93" s="825">
        <f>CH93-CG93</f>
        <v>-57000</v>
      </c>
      <c r="CJ93" s="713">
        <f>BX93+CB93+CF93</f>
        <v>438975</v>
      </c>
      <c r="CK93" s="714"/>
      <c r="CL93" s="714">
        <f>BY93+CC93+CG93</f>
        <v>492500</v>
      </c>
      <c r="CM93" s="520">
        <f>BZ93+CD93+CH93</f>
        <v>384412.62702000001</v>
      </c>
      <c r="CN93" s="739">
        <f>CM93-CJ93</f>
        <v>-54562.372979999986</v>
      </c>
      <c r="CO93" s="739"/>
      <c r="CP93" s="688">
        <f>CM93-CL93</f>
        <v>-108087.37297999999</v>
      </c>
      <c r="CQ93" s="718">
        <f>SUM(BQ93,CJ93)</f>
        <v>877320</v>
      </c>
      <c r="CR93" s="937"/>
      <c r="CS93" s="605">
        <f>BS93+CL93</f>
        <v>930500</v>
      </c>
      <c r="CT93" s="520">
        <f>SUM(BT93,CM93)</f>
        <v>781765.73407000001</v>
      </c>
      <c r="CU93" s="711">
        <f>CT93-CQ93</f>
        <v>-95554.265929999994</v>
      </c>
      <c r="CV93" s="711"/>
      <c r="CW93" s="688">
        <f>CT93-CS93</f>
        <v>-148734.26592999999</v>
      </c>
      <c r="CX93" s="722">
        <f t="shared" ref="CX93:CX98" si="196">CQ93/6</f>
        <v>146220</v>
      </c>
      <c r="CY93" s="723">
        <f>CT93/6</f>
        <v>130294.28901166667</v>
      </c>
      <c r="CZ93" s="829">
        <f>CY93/CX93</f>
        <v>0.89108390788993752</v>
      </c>
      <c r="DA93" s="556">
        <f>CY93-CX93</f>
        <v>-15925.710988333332</v>
      </c>
      <c r="DB93" s="556">
        <f>CW93/6</f>
        <v>-24789.044321666664</v>
      </c>
      <c r="DC93" s="516"/>
      <c r="DD93" s="493"/>
    </row>
    <row r="94" spans="1:108">
      <c r="A94" s="644"/>
      <c r="B94" s="645"/>
      <c r="C94" s="1021" t="s">
        <v>366</v>
      </c>
      <c r="D94" s="1022"/>
      <c r="E94" s="809">
        <v>0</v>
      </c>
      <c r="F94" s="847"/>
      <c r="G94" s="848"/>
      <c r="H94" s="849">
        <f>G94-F94</f>
        <v>0</v>
      </c>
      <c r="I94" s="809"/>
      <c r="J94" s="847"/>
      <c r="K94" s="848"/>
      <c r="L94" s="849">
        <f>K94-J94</f>
        <v>0</v>
      </c>
      <c r="M94" s="809"/>
      <c r="N94" s="847"/>
      <c r="O94" s="848"/>
      <c r="P94" s="849">
        <f>O94-N94</f>
        <v>0</v>
      </c>
      <c r="Q94" s="851">
        <f>E94+I94+M94</f>
        <v>0</v>
      </c>
      <c r="R94" s="852">
        <v>0</v>
      </c>
      <c r="S94" s="883">
        <f>G94+J94+N94</f>
        <v>0</v>
      </c>
      <c r="T94" s="582">
        <f>G94+K94+O94</f>
        <v>0</v>
      </c>
      <c r="U94" s="880">
        <f>T94-Q94</f>
        <v>0</v>
      </c>
      <c r="V94" s="881">
        <f t="shared" si="161"/>
        <v>0</v>
      </c>
      <c r="W94" s="583">
        <f>T94-S94</f>
        <v>0</v>
      </c>
      <c r="X94" s="809"/>
      <c r="Y94" s="847"/>
      <c r="Z94" s="848"/>
      <c r="AA94" s="849">
        <f t="shared" si="191"/>
        <v>0</v>
      </c>
      <c r="AB94" s="809"/>
      <c r="AC94" s="847"/>
      <c r="AD94" s="848"/>
      <c r="AE94" s="849">
        <f t="shared" si="192"/>
        <v>0</v>
      </c>
      <c r="AF94" s="809"/>
      <c r="AG94" s="847"/>
      <c r="AH94" s="848"/>
      <c r="AI94" s="858">
        <f>AH94-AG94</f>
        <v>0</v>
      </c>
      <c r="AJ94" s="863">
        <f>X94+AB94+AF94</f>
        <v>0</v>
      </c>
      <c r="AK94" s="852">
        <v>0</v>
      </c>
      <c r="AL94" s="862">
        <f t="shared" si="193"/>
        <v>0</v>
      </c>
      <c r="AM94" s="574">
        <f t="shared" si="193"/>
        <v>0</v>
      </c>
      <c r="AN94" s="816">
        <f>AM94-AJ94</f>
        <v>0</v>
      </c>
      <c r="AO94" s="881">
        <f t="shared" si="162"/>
        <v>0</v>
      </c>
      <c r="AP94" s="885">
        <f>AM94-AL94</f>
        <v>0</v>
      </c>
      <c r="AQ94" s="863">
        <f>SUM(Q94,AJ94)</f>
        <v>0</v>
      </c>
      <c r="AR94" s="879">
        <f>AK94+R94</f>
        <v>0</v>
      </c>
      <c r="AS94" s="855">
        <f>S94+AL94</f>
        <v>0</v>
      </c>
      <c r="AT94" s="584">
        <f>SUM(T94,AM94)</f>
        <v>0</v>
      </c>
      <c r="AU94" s="888">
        <f>AT94-AQ94</f>
        <v>0</v>
      </c>
      <c r="AV94" s="881">
        <f t="shared" si="163"/>
        <v>0</v>
      </c>
      <c r="AW94" s="885">
        <f>AT94-AS94</f>
        <v>0</v>
      </c>
      <c r="AX94" s="722"/>
      <c r="AY94" s="723"/>
      <c r="AZ94" s="723"/>
      <c r="BA94" s="555"/>
      <c r="BB94" s="555"/>
      <c r="BC94" s="555"/>
      <c r="BD94" s="555"/>
      <c r="BE94" s="809"/>
      <c r="BF94" s="847"/>
      <c r="BG94" s="848"/>
      <c r="BH94" s="849">
        <f>BG94-BF94</f>
        <v>0</v>
      </c>
      <c r="BI94" s="809"/>
      <c r="BJ94" s="847"/>
      <c r="BK94" s="848"/>
      <c r="BL94" s="849">
        <f>BK94-BJ94</f>
        <v>0</v>
      </c>
      <c r="BM94" s="809"/>
      <c r="BN94" s="847"/>
      <c r="BO94" s="848"/>
      <c r="BP94" s="849">
        <f>BO94-BN94</f>
        <v>0</v>
      </c>
      <c r="BQ94" s="854">
        <f>BE94+BI94+BM94</f>
        <v>0</v>
      </c>
      <c r="BR94" s="853"/>
      <c r="BS94" s="883">
        <f t="shared" ref="BS94:BT95" si="197">BF94+BJ94+BN94</f>
        <v>0</v>
      </c>
      <c r="BT94" s="582">
        <f t="shared" si="197"/>
        <v>0</v>
      </c>
      <c r="BU94" s="880">
        <f>BT94-BQ94</f>
        <v>0</v>
      </c>
      <c r="BV94" s="881"/>
      <c r="BW94" s="583">
        <f>BT94-BS94</f>
        <v>0</v>
      </c>
      <c r="BX94" s="809"/>
      <c r="BY94" s="847"/>
      <c r="BZ94" s="848"/>
      <c r="CA94" s="849">
        <f t="shared" si="194"/>
        <v>0</v>
      </c>
      <c r="CB94" s="809"/>
      <c r="CC94" s="847"/>
      <c r="CD94" s="850"/>
      <c r="CE94" s="849">
        <f t="shared" si="195"/>
        <v>0</v>
      </c>
      <c r="CF94" s="809"/>
      <c r="CG94" s="847"/>
      <c r="CH94" s="850"/>
      <c r="CI94" s="858">
        <f>CH94-CG94</f>
        <v>0</v>
      </c>
      <c r="CJ94" s="863">
        <f>BX94+CB94+CF94</f>
        <v>0</v>
      </c>
      <c r="CK94" s="862"/>
      <c r="CL94" s="862">
        <f t="shared" ref="CL94:CM95" si="198">BY94+CC94+CG94</f>
        <v>0</v>
      </c>
      <c r="CM94" s="574">
        <f t="shared" si="198"/>
        <v>0</v>
      </c>
      <c r="CN94" s="816">
        <f>CM94-CJ94</f>
        <v>0</v>
      </c>
      <c r="CO94" s="816"/>
      <c r="CP94" s="885">
        <f>CM94-CL94</f>
        <v>0</v>
      </c>
      <c r="CQ94" s="863">
        <f>SUM(BQ94,CJ94)</f>
        <v>0</v>
      </c>
      <c r="CR94" s="855"/>
      <c r="CS94" s="855">
        <f>BS94+CL94</f>
        <v>0</v>
      </c>
      <c r="CT94" s="584">
        <f>SUM(BT94,CM94)</f>
        <v>0</v>
      </c>
      <c r="CU94" s="888">
        <f>CT94-CQ94</f>
        <v>0</v>
      </c>
      <c r="CV94" s="888"/>
      <c r="CW94" s="885">
        <f>CT94-CS94</f>
        <v>0</v>
      </c>
      <c r="CX94" s="722">
        <f t="shared" si="196"/>
        <v>0</v>
      </c>
      <c r="CY94" s="723"/>
      <c r="CZ94" s="555"/>
      <c r="DA94" s="555"/>
      <c r="DB94" s="555"/>
      <c r="DC94" s="555"/>
      <c r="DD94" s="555"/>
    </row>
    <row r="95" spans="1:108">
      <c r="A95" s="1012"/>
      <c r="B95" s="620"/>
      <c r="C95" s="1023" t="s">
        <v>367</v>
      </c>
      <c r="D95" s="1000"/>
      <c r="E95" s="767"/>
      <c r="F95" s="865"/>
      <c r="G95" s="866"/>
      <c r="H95" s="889">
        <f>G95-F95</f>
        <v>0</v>
      </c>
      <c r="I95" s="767"/>
      <c r="J95" s="865"/>
      <c r="K95" s="866"/>
      <c r="L95" s="889">
        <f>K95-J95</f>
        <v>0</v>
      </c>
      <c r="M95" s="767"/>
      <c r="N95" s="865"/>
      <c r="O95" s="866"/>
      <c r="P95" s="889">
        <f>O95-N95</f>
        <v>0</v>
      </c>
      <c r="Q95" s="869">
        <f>E95+I95+M95</f>
        <v>0</v>
      </c>
      <c r="R95" s="870">
        <v>0</v>
      </c>
      <c r="S95" s="721">
        <f>G95+J95+N95</f>
        <v>0</v>
      </c>
      <c r="T95" s="526">
        <f>G95+K95+O95</f>
        <v>0</v>
      </c>
      <c r="U95" s="699">
        <f>T95-Q95</f>
        <v>0</v>
      </c>
      <c r="V95" s="717">
        <f t="shared" si="161"/>
        <v>0</v>
      </c>
      <c r="W95" s="508">
        <f>T95-S95</f>
        <v>0</v>
      </c>
      <c r="X95" s="767"/>
      <c r="Y95" s="865"/>
      <c r="Z95" s="866"/>
      <c r="AA95" s="889">
        <f t="shared" si="191"/>
        <v>0</v>
      </c>
      <c r="AB95" s="767"/>
      <c r="AC95" s="865"/>
      <c r="AD95" s="866"/>
      <c r="AE95" s="889">
        <f t="shared" si="192"/>
        <v>0</v>
      </c>
      <c r="AF95" s="767"/>
      <c r="AG95" s="865"/>
      <c r="AH95" s="866"/>
      <c r="AI95" s="867">
        <f>AH95-AG95</f>
        <v>0</v>
      </c>
      <c r="AJ95" s="718">
        <f>X95+AB95+AF95</f>
        <v>0</v>
      </c>
      <c r="AK95" s="870">
        <v>0</v>
      </c>
      <c r="AL95" s="719">
        <f t="shared" si="193"/>
        <v>0</v>
      </c>
      <c r="AM95" s="526">
        <f t="shared" si="193"/>
        <v>0</v>
      </c>
      <c r="AN95" s="721">
        <f>AM95-AJ95</f>
        <v>0</v>
      </c>
      <c r="AO95" s="717">
        <f t="shared" si="162"/>
        <v>0</v>
      </c>
      <c r="AP95" s="688">
        <f>AM95-AL95</f>
        <v>0</v>
      </c>
      <c r="AQ95" s="718">
        <f>SUM(Q95,AJ95)</f>
        <v>0</v>
      </c>
      <c r="AR95" s="805">
        <f>AK95+R95</f>
        <v>0</v>
      </c>
      <c r="AS95" s="605">
        <f>S95+AL95</f>
        <v>0</v>
      </c>
      <c r="AT95" s="520">
        <f>SUM(T95,AM95)</f>
        <v>0</v>
      </c>
      <c r="AU95" s="523">
        <f>AT95-AQ95</f>
        <v>0</v>
      </c>
      <c r="AV95" s="717">
        <f t="shared" si="163"/>
        <v>0</v>
      </c>
      <c r="AW95" s="688">
        <f>AT95-AS95</f>
        <v>0</v>
      </c>
      <c r="AX95" s="722"/>
      <c r="AY95" s="723"/>
      <c r="AZ95" s="723"/>
      <c r="BA95" s="555"/>
      <c r="BB95" s="555"/>
      <c r="BC95" s="555"/>
      <c r="BD95" s="555"/>
      <c r="BE95" s="767"/>
      <c r="BF95" s="865"/>
      <c r="BG95" s="866"/>
      <c r="BH95" s="889">
        <f>BG95-BF95</f>
        <v>0</v>
      </c>
      <c r="BI95" s="767"/>
      <c r="BJ95" s="865"/>
      <c r="BK95" s="866"/>
      <c r="BL95" s="889">
        <f>BK95-BJ95</f>
        <v>0</v>
      </c>
      <c r="BM95" s="767"/>
      <c r="BN95" s="865"/>
      <c r="BO95" s="866"/>
      <c r="BP95" s="889">
        <f>BO95-BN95</f>
        <v>0</v>
      </c>
      <c r="BQ95" s="718">
        <f>BE95+BI95+BM95</f>
        <v>0</v>
      </c>
      <c r="BR95" s="719"/>
      <c r="BS95" s="721">
        <f t="shared" si="197"/>
        <v>0</v>
      </c>
      <c r="BT95" s="526">
        <f t="shared" si="197"/>
        <v>0</v>
      </c>
      <c r="BU95" s="699">
        <f>BT95-BQ95</f>
        <v>0</v>
      </c>
      <c r="BV95" s="717"/>
      <c r="BW95" s="508">
        <f>BT95-BS95</f>
        <v>0</v>
      </c>
      <c r="BX95" s="767"/>
      <c r="BY95" s="865"/>
      <c r="BZ95" s="866"/>
      <c r="CA95" s="889">
        <f t="shared" si="194"/>
        <v>0</v>
      </c>
      <c r="CB95" s="767"/>
      <c r="CC95" s="865"/>
      <c r="CD95" s="868"/>
      <c r="CE95" s="889">
        <f t="shared" si="195"/>
        <v>0</v>
      </c>
      <c r="CF95" s="767"/>
      <c r="CG95" s="865"/>
      <c r="CH95" s="868"/>
      <c r="CI95" s="867">
        <f>CH95-CG95</f>
        <v>0</v>
      </c>
      <c r="CJ95" s="718">
        <f>BX95+CB95+CF95</f>
        <v>0</v>
      </c>
      <c r="CK95" s="719"/>
      <c r="CL95" s="719">
        <f t="shared" si="198"/>
        <v>0</v>
      </c>
      <c r="CM95" s="526">
        <f t="shared" si="198"/>
        <v>0</v>
      </c>
      <c r="CN95" s="721">
        <f>CM95-CJ95</f>
        <v>0</v>
      </c>
      <c r="CO95" s="721"/>
      <c r="CP95" s="688">
        <f>CM95-CL95</f>
        <v>0</v>
      </c>
      <c r="CQ95" s="718">
        <f>SUM(BQ95,CJ95)</f>
        <v>0</v>
      </c>
      <c r="CR95" s="937"/>
      <c r="CS95" s="605">
        <f>BS95+CL95</f>
        <v>0</v>
      </c>
      <c r="CT95" s="520">
        <f>SUM(BT95,CM95)</f>
        <v>0</v>
      </c>
      <c r="CU95" s="523">
        <f>CT95-CQ95</f>
        <v>0</v>
      </c>
      <c r="CV95" s="523"/>
      <c r="CW95" s="688">
        <f>CT95-CS95</f>
        <v>0</v>
      </c>
      <c r="CX95" s="722">
        <f t="shared" si="196"/>
        <v>0</v>
      </c>
      <c r="CY95" s="723"/>
      <c r="CZ95" s="555"/>
      <c r="DA95" s="555"/>
      <c r="DB95" s="555"/>
      <c r="DC95" s="555"/>
      <c r="DD95" s="555"/>
    </row>
    <row r="96" spans="1:108">
      <c r="A96" s="1012"/>
      <c r="B96" s="620"/>
      <c r="C96" s="998"/>
      <c r="D96" s="1024"/>
      <c r="E96" s="809"/>
      <c r="F96" s="847"/>
      <c r="G96" s="848"/>
      <c r="H96" s="849"/>
      <c r="I96" s="809"/>
      <c r="J96" s="847"/>
      <c r="K96" s="848"/>
      <c r="L96" s="849"/>
      <c r="M96" s="809"/>
      <c r="N96" s="847"/>
      <c r="O96" s="848"/>
      <c r="P96" s="849"/>
      <c r="Q96" s="851"/>
      <c r="R96" s="852"/>
      <c r="S96" s="883"/>
      <c r="T96" s="582"/>
      <c r="U96" s="880"/>
      <c r="V96" s="881">
        <f t="shared" si="161"/>
        <v>0</v>
      </c>
      <c r="W96" s="583"/>
      <c r="X96" s="809"/>
      <c r="Y96" s="847"/>
      <c r="Z96" s="848"/>
      <c r="AA96" s="849">
        <f t="shared" si="191"/>
        <v>0</v>
      </c>
      <c r="AB96" s="809"/>
      <c r="AC96" s="847"/>
      <c r="AD96" s="848"/>
      <c r="AE96" s="849">
        <f t="shared" si="192"/>
        <v>0</v>
      </c>
      <c r="AF96" s="809"/>
      <c r="AG96" s="847"/>
      <c r="AH96" s="848"/>
      <c r="AI96" s="858"/>
      <c r="AJ96" s="854"/>
      <c r="AK96" s="852"/>
      <c r="AL96" s="853"/>
      <c r="AM96" s="582"/>
      <c r="AN96" s="883"/>
      <c r="AO96" s="881">
        <f t="shared" si="162"/>
        <v>0</v>
      </c>
      <c r="AP96" s="882"/>
      <c r="AQ96" s="854"/>
      <c r="AR96" s="879"/>
      <c r="AS96" s="884"/>
      <c r="AT96" s="585"/>
      <c r="AU96" s="881"/>
      <c r="AV96" s="881">
        <f t="shared" si="163"/>
        <v>0</v>
      </c>
      <c r="AW96" s="882"/>
      <c r="AX96" s="722"/>
      <c r="AY96" s="723"/>
      <c r="AZ96" s="723"/>
      <c r="BA96" s="555"/>
      <c r="BB96" s="555"/>
      <c r="BC96" s="555"/>
      <c r="BD96" s="555"/>
      <c r="BE96" s="809"/>
      <c r="BF96" s="847"/>
      <c r="BG96" s="848"/>
      <c r="BH96" s="849"/>
      <c r="BI96" s="809"/>
      <c r="BJ96" s="847"/>
      <c r="BK96" s="848"/>
      <c r="BL96" s="849"/>
      <c r="BM96" s="809"/>
      <c r="BN96" s="847"/>
      <c r="BO96" s="848"/>
      <c r="BP96" s="849"/>
      <c r="BQ96" s="854"/>
      <c r="BR96" s="853"/>
      <c r="BS96" s="883"/>
      <c r="BT96" s="582"/>
      <c r="BU96" s="880"/>
      <c r="BV96" s="881"/>
      <c r="BW96" s="583"/>
      <c r="BX96" s="809"/>
      <c r="BY96" s="847"/>
      <c r="BZ96" s="848"/>
      <c r="CA96" s="849">
        <f t="shared" si="194"/>
        <v>0</v>
      </c>
      <c r="CB96" s="809"/>
      <c r="CC96" s="847"/>
      <c r="CD96" s="850"/>
      <c r="CE96" s="849">
        <f t="shared" si="195"/>
        <v>0</v>
      </c>
      <c r="CF96" s="809"/>
      <c r="CG96" s="847"/>
      <c r="CH96" s="850"/>
      <c r="CI96" s="858"/>
      <c r="CJ96" s="854"/>
      <c r="CK96" s="853"/>
      <c r="CL96" s="853"/>
      <c r="CM96" s="582"/>
      <c r="CN96" s="883"/>
      <c r="CO96" s="883"/>
      <c r="CP96" s="882"/>
      <c r="CQ96" s="854"/>
      <c r="CR96" s="884"/>
      <c r="CS96" s="884"/>
      <c r="CT96" s="585"/>
      <c r="CU96" s="881"/>
      <c r="CV96" s="881"/>
      <c r="CW96" s="882"/>
      <c r="CX96" s="722">
        <f t="shared" si="196"/>
        <v>0</v>
      </c>
      <c r="CY96" s="723"/>
      <c r="CZ96" s="555"/>
      <c r="DA96" s="555"/>
      <c r="DB96" s="555"/>
      <c r="DC96" s="555"/>
      <c r="DD96" s="555"/>
    </row>
    <row r="97" spans="1:108">
      <c r="A97" s="1012"/>
      <c r="B97" s="620"/>
      <c r="C97" s="1023" t="s">
        <v>368</v>
      </c>
      <c r="D97" s="1000"/>
      <c r="E97" s="767"/>
      <c r="F97" s="800"/>
      <c r="G97" s="801"/>
      <c r="H97" s="889">
        <f>G97-F97</f>
        <v>0</v>
      </c>
      <c r="I97" s="767"/>
      <c r="J97" s="800"/>
      <c r="K97" s="801"/>
      <c r="L97" s="889">
        <f>K97-J97</f>
        <v>0</v>
      </c>
      <c r="M97" s="767"/>
      <c r="N97" s="800"/>
      <c r="O97" s="801"/>
      <c r="P97" s="889">
        <f>O97-N97</f>
        <v>0</v>
      </c>
      <c r="Q97" s="869">
        <f>E97+I97+M97</f>
        <v>0</v>
      </c>
      <c r="R97" s="870">
        <v>0</v>
      </c>
      <c r="S97" s="721">
        <f>G97+J97+N97</f>
        <v>0</v>
      </c>
      <c r="T97" s="526">
        <f>G97+K97+O97</f>
        <v>0</v>
      </c>
      <c r="U97" s="760">
        <f>T97-Q97</f>
        <v>0</v>
      </c>
      <c r="V97" s="761">
        <f t="shared" si="161"/>
        <v>0</v>
      </c>
      <c r="W97" s="762">
        <f>T97-S97</f>
        <v>0</v>
      </c>
      <c r="X97" s="767"/>
      <c r="Y97" s="800"/>
      <c r="Z97" s="801"/>
      <c r="AA97" s="889">
        <f t="shared" si="191"/>
        <v>0</v>
      </c>
      <c r="AB97" s="767"/>
      <c r="AC97" s="800"/>
      <c r="AD97" s="801"/>
      <c r="AE97" s="889">
        <f t="shared" si="192"/>
        <v>0</v>
      </c>
      <c r="AF97" s="767"/>
      <c r="AG97" s="800"/>
      <c r="AH97" s="801"/>
      <c r="AI97" s="867">
        <f>AH97-AG97</f>
        <v>0</v>
      </c>
      <c r="AJ97" s="718">
        <f>X97+AB97+AF97</f>
        <v>0</v>
      </c>
      <c r="AK97" s="870">
        <v>0</v>
      </c>
      <c r="AL97" s="719">
        <f>Y97+AC97+AG97</f>
        <v>0</v>
      </c>
      <c r="AM97" s="526">
        <f>Z97+AD97+AH97</f>
        <v>0</v>
      </c>
      <c r="AN97" s="721">
        <f>AM97-AJ97</f>
        <v>0</v>
      </c>
      <c r="AO97" s="761">
        <f t="shared" si="162"/>
        <v>0</v>
      </c>
      <c r="AP97" s="688">
        <f>AM97-AL97</f>
        <v>0</v>
      </c>
      <c r="AQ97" s="718">
        <f>SUM(Q97,AJ97)</f>
        <v>0</v>
      </c>
      <c r="AR97" s="720">
        <f>AK97+R97</f>
        <v>0</v>
      </c>
      <c r="AS97" s="605">
        <f>S97+AL97</f>
        <v>0</v>
      </c>
      <c r="AT97" s="520">
        <f>SUM(T97,AM97)</f>
        <v>0</v>
      </c>
      <c r="AU97" s="523">
        <f>AT97-AQ97</f>
        <v>0</v>
      </c>
      <c r="AV97" s="761">
        <f t="shared" si="163"/>
        <v>0</v>
      </c>
      <c r="AW97" s="688">
        <f>AT97-AS97</f>
        <v>0</v>
      </c>
      <c r="AX97" s="722">
        <f>AQ97/6</f>
        <v>0</v>
      </c>
      <c r="AY97" s="709">
        <f>AR97/6</f>
        <v>0</v>
      </c>
      <c r="AZ97" s="723">
        <f>AT97/6</f>
        <v>0</v>
      </c>
      <c r="BA97" s="829" t="e">
        <f>AZ97/AX97</f>
        <v>#DIV/0!</v>
      </c>
      <c r="BB97" s="493">
        <f>AZ97-AX97</f>
        <v>0</v>
      </c>
      <c r="BC97" s="516">
        <f>AZ97-AY97</f>
        <v>0</v>
      </c>
      <c r="BD97" s="493">
        <f>AW97/6</f>
        <v>0</v>
      </c>
      <c r="BE97" s="767"/>
      <c r="BF97" s="800"/>
      <c r="BG97" s="801"/>
      <c r="BH97" s="889">
        <f>BG97-BF97</f>
        <v>0</v>
      </c>
      <c r="BI97" s="767"/>
      <c r="BJ97" s="800"/>
      <c r="BK97" s="801"/>
      <c r="BL97" s="889">
        <f>BK97-BJ97</f>
        <v>0</v>
      </c>
      <c r="BM97" s="767"/>
      <c r="BN97" s="800"/>
      <c r="BO97" s="801"/>
      <c r="BP97" s="889">
        <f>BO97-BN97</f>
        <v>0</v>
      </c>
      <c r="BQ97" s="718">
        <f>BE97+BI97+BM97</f>
        <v>0</v>
      </c>
      <c r="BR97" s="719"/>
      <c r="BS97" s="721">
        <f>BF97+BJ97+BN97</f>
        <v>0</v>
      </c>
      <c r="BT97" s="526">
        <f>BG97+BK97+BO97</f>
        <v>0</v>
      </c>
      <c r="BU97" s="760">
        <f>BT97-BQ97</f>
        <v>0</v>
      </c>
      <c r="BV97" s="761"/>
      <c r="BW97" s="762">
        <f>BT97-BS97</f>
        <v>0</v>
      </c>
      <c r="BX97" s="767"/>
      <c r="BY97" s="800"/>
      <c r="BZ97" s="801"/>
      <c r="CA97" s="889">
        <f t="shared" si="194"/>
        <v>0</v>
      </c>
      <c r="CB97" s="767"/>
      <c r="CC97" s="800"/>
      <c r="CD97" s="803"/>
      <c r="CE97" s="889">
        <f t="shared" si="195"/>
        <v>0</v>
      </c>
      <c r="CF97" s="767"/>
      <c r="CG97" s="800"/>
      <c r="CH97" s="803"/>
      <c r="CI97" s="867">
        <f>CH97-CG97</f>
        <v>0</v>
      </c>
      <c r="CJ97" s="718">
        <f>BX97+CB97+CF97</f>
        <v>0</v>
      </c>
      <c r="CK97" s="719"/>
      <c r="CL97" s="719">
        <f>BY97+CC97+CG97</f>
        <v>0</v>
      </c>
      <c r="CM97" s="526">
        <f>BZ97+CD97+CH97</f>
        <v>0</v>
      </c>
      <c r="CN97" s="721">
        <f>CM97-CJ97</f>
        <v>0</v>
      </c>
      <c r="CO97" s="721"/>
      <c r="CP97" s="688">
        <f>CM97-CL97</f>
        <v>0</v>
      </c>
      <c r="CQ97" s="718">
        <f>SUM(BQ97,CJ97)</f>
        <v>0</v>
      </c>
      <c r="CR97" s="937"/>
      <c r="CS97" s="605">
        <f>BS97+CL97</f>
        <v>0</v>
      </c>
      <c r="CT97" s="520">
        <f>SUM(BT97,CM97)</f>
        <v>0</v>
      </c>
      <c r="CU97" s="523">
        <f>CT97-CQ97</f>
        <v>0</v>
      </c>
      <c r="CV97" s="523"/>
      <c r="CW97" s="688">
        <f>CT97-CS97</f>
        <v>0</v>
      </c>
      <c r="CX97" s="722">
        <f t="shared" si="196"/>
        <v>0</v>
      </c>
      <c r="CY97" s="723">
        <f>CT97/6</f>
        <v>0</v>
      </c>
      <c r="CZ97" s="829" t="e">
        <f>CY97/CX97</f>
        <v>#DIV/0!</v>
      </c>
      <c r="DA97" s="556">
        <f>CY97-CX97</f>
        <v>0</v>
      </c>
      <c r="DB97" s="556">
        <f>CW97/6</f>
        <v>0</v>
      </c>
      <c r="DC97" s="516"/>
      <c r="DD97" s="493"/>
    </row>
    <row r="98" spans="1:108">
      <c r="A98" s="648"/>
      <c r="B98" s="649"/>
      <c r="C98" s="1025" t="s">
        <v>369</v>
      </c>
      <c r="D98" s="653"/>
      <c r="E98" s="809">
        <f>E94+E96</f>
        <v>0</v>
      </c>
      <c r="F98" s="847">
        <f>F94+F96</f>
        <v>0</v>
      </c>
      <c r="G98" s="848">
        <f>G94+G96</f>
        <v>0</v>
      </c>
      <c r="H98" s="849">
        <f>G98-F98</f>
        <v>0</v>
      </c>
      <c r="I98" s="809">
        <f>I94+I96</f>
        <v>0</v>
      </c>
      <c r="J98" s="847">
        <f>J94+J96</f>
        <v>0</v>
      </c>
      <c r="K98" s="848">
        <f>K94+K96</f>
        <v>0</v>
      </c>
      <c r="L98" s="849">
        <f>K98-J98</f>
        <v>0</v>
      </c>
      <c r="M98" s="809">
        <f>M94+M96</f>
        <v>0</v>
      </c>
      <c r="N98" s="847">
        <f>N94+N96</f>
        <v>0</v>
      </c>
      <c r="O98" s="848">
        <f>O94+O96</f>
        <v>0</v>
      </c>
      <c r="P98" s="849">
        <f>O98-N98</f>
        <v>0</v>
      </c>
      <c r="Q98" s="851">
        <f>E98+I98+M98</f>
        <v>0</v>
      </c>
      <c r="R98" s="852">
        <v>0</v>
      </c>
      <c r="S98" s="883">
        <f>G98+J98+N98</f>
        <v>0</v>
      </c>
      <c r="T98" s="582">
        <f>G98+K98+O98</f>
        <v>0</v>
      </c>
      <c r="U98" s="880">
        <f>T98-Q98</f>
        <v>0</v>
      </c>
      <c r="V98" s="880">
        <f t="shared" si="161"/>
        <v>0</v>
      </c>
      <c r="W98" s="882">
        <f>T98-S98</f>
        <v>0</v>
      </c>
      <c r="X98" s="809">
        <f>X94+X96</f>
        <v>0</v>
      </c>
      <c r="Y98" s="847">
        <f>Y94+Y96</f>
        <v>0</v>
      </c>
      <c r="Z98" s="848">
        <f>Z94+Z96</f>
        <v>0</v>
      </c>
      <c r="AA98" s="849">
        <f t="shared" si="191"/>
        <v>0</v>
      </c>
      <c r="AB98" s="809">
        <f>AB94+AB96</f>
        <v>0</v>
      </c>
      <c r="AC98" s="847">
        <f>AC94+AC96</f>
        <v>0</v>
      </c>
      <c r="AD98" s="848">
        <f>AD94+AD96</f>
        <v>0</v>
      </c>
      <c r="AE98" s="849">
        <f t="shared" si="192"/>
        <v>0</v>
      </c>
      <c r="AF98" s="809">
        <f>AF94+AF96</f>
        <v>0</v>
      </c>
      <c r="AG98" s="847">
        <f>AG94+AG96</f>
        <v>0</v>
      </c>
      <c r="AH98" s="848">
        <f>AH94+AH96</f>
        <v>0</v>
      </c>
      <c r="AI98" s="849">
        <f>AH98-AG98</f>
        <v>0</v>
      </c>
      <c r="AJ98" s="854">
        <f>X98+AB98+AF98</f>
        <v>0</v>
      </c>
      <c r="AK98" s="852">
        <v>0</v>
      </c>
      <c r="AL98" s="853">
        <f>Y98+AC98+AG98</f>
        <v>0</v>
      </c>
      <c r="AM98" s="879">
        <f>Z98+AD98+AH98</f>
        <v>0</v>
      </c>
      <c r="AN98" s="883">
        <f>AM98-AJ98</f>
        <v>0</v>
      </c>
      <c r="AO98" s="880">
        <f t="shared" si="162"/>
        <v>0</v>
      </c>
      <c r="AP98" s="882">
        <f>AM98-AL98</f>
        <v>0</v>
      </c>
      <c r="AQ98" s="854">
        <f>SUM(Q98,AJ98)</f>
        <v>0</v>
      </c>
      <c r="AR98" s="879">
        <f>AR94+AR96</f>
        <v>0</v>
      </c>
      <c r="AS98" s="884">
        <f>S98+AL98</f>
        <v>0</v>
      </c>
      <c r="AT98" s="582">
        <f>SUM(T98,AM98)</f>
        <v>0</v>
      </c>
      <c r="AU98" s="880">
        <f>AT98-AQ98</f>
        <v>0</v>
      </c>
      <c r="AV98" s="880">
        <f t="shared" si="163"/>
        <v>0</v>
      </c>
      <c r="AW98" s="882">
        <f>AT98-AS98</f>
        <v>0</v>
      </c>
      <c r="AX98" s="820"/>
      <c r="AY98" s="821"/>
      <c r="AZ98" s="821"/>
      <c r="BA98" s="570"/>
      <c r="BB98" s="570"/>
      <c r="BC98" s="570"/>
      <c r="BD98" s="570"/>
      <c r="BE98" s="809">
        <f>BE94+BE96</f>
        <v>0</v>
      </c>
      <c r="BF98" s="847">
        <f>BF94+BF96</f>
        <v>0</v>
      </c>
      <c r="BG98" s="848">
        <f>BG94+BG96</f>
        <v>0</v>
      </c>
      <c r="BH98" s="849">
        <f>BG98-BF98</f>
        <v>0</v>
      </c>
      <c r="BI98" s="809">
        <f>BI94+BI96</f>
        <v>0</v>
      </c>
      <c r="BJ98" s="847">
        <f>BJ94+BJ96</f>
        <v>0</v>
      </c>
      <c r="BK98" s="848"/>
      <c r="BL98" s="849">
        <f>BK98-BJ98</f>
        <v>0</v>
      </c>
      <c r="BM98" s="809">
        <f>BM94+BM96</f>
        <v>0</v>
      </c>
      <c r="BN98" s="847"/>
      <c r="BO98" s="848"/>
      <c r="BP98" s="890">
        <f>BO98-BN98</f>
        <v>0</v>
      </c>
      <c r="BQ98" s="854">
        <f>BE98+BI98+BM98</f>
        <v>0</v>
      </c>
      <c r="BR98" s="853"/>
      <c r="BS98" s="883">
        <f>BF98+BJ98+BN98</f>
        <v>0</v>
      </c>
      <c r="BT98" s="582">
        <f>BG98+BK98+BO98</f>
        <v>0</v>
      </c>
      <c r="BU98" s="880">
        <f>BT98-BQ98</f>
        <v>0</v>
      </c>
      <c r="BV98" s="881"/>
      <c r="BW98" s="882">
        <f>BT98-BS98</f>
        <v>0</v>
      </c>
      <c r="BX98" s="809">
        <f>BX94+BX96</f>
        <v>0</v>
      </c>
      <c r="BY98" s="847"/>
      <c r="BZ98" s="848"/>
      <c r="CA98" s="890">
        <f t="shared" si="194"/>
        <v>0</v>
      </c>
      <c r="CB98" s="809">
        <f>CB94+CB96</f>
        <v>0</v>
      </c>
      <c r="CC98" s="847"/>
      <c r="CD98" s="850"/>
      <c r="CE98" s="849">
        <f t="shared" si="195"/>
        <v>0</v>
      </c>
      <c r="CF98" s="809">
        <f>CF94+CF96</f>
        <v>0</v>
      </c>
      <c r="CG98" s="847"/>
      <c r="CH98" s="850"/>
      <c r="CI98" s="849">
        <f>CH98-CG98</f>
        <v>0</v>
      </c>
      <c r="CJ98" s="854">
        <f>BX98+CB98+CF98</f>
        <v>0</v>
      </c>
      <c r="CK98" s="853"/>
      <c r="CL98" s="853">
        <f>BY98+CC98+CG98</f>
        <v>0</v>
      </c>
      <c r="CM98" s="879">
        <f>BZ98+CD98+CH98</f>
        <v>0</v>
      </c>
      <c r="CN98" s="883">
        <f>CM98-CJ98</f>
        <v>0</v>
      </c>
      <c r="CO98" s="883"/>
      <c r="CP98" s="882">
        <f>CM98-CL98</f>
        <v>0</v>
      </c>
      <c r="CQ98" s="854">
        <f>SUM(BQ98,CJ98)</f>
        <v>0</v>
      </c>
      <c r="CR98" s="884"/>
      <c r="CS98" s="884">
        <f>BS98+CL98</f>
        <v>0</v>
      </c>
      <c r="CT98" s="582">
        <f>SUM(BT98,CM98)</f>
        <v>0</v>
      </c>
      <c r="CU98" s="880">
        <f>CT98-CQ98</f>
        <v>0</v>
      </c>
      <c r="CV98" s="881"/>
      <c r="CW98" s="882">
        <f>CT98-CS98</f>
        <v>0</v>
      </c>
      <c r="CX98" s="722">
        <f t="shared" si="196"/>
        <v>0</v>
      </c>
      <c r="CY98" s="821"/>
      <c r="CZ98" s="587"/>
      <c r="DA98" s="587"/>
      <c r="DB98" s="587"/>
      <c r="DC98" s="570"/>
      <c r="DD98" s="570"/>
    </row>
    <row r="99" spans="1:108">
      <c r="A99" s="659" t="s">
        <v>161</v>
      </c>
      <c r="B99" s="664"/>
      <c r="C99" s="664"/>
      <c r="D99" s="665"/>
      <c r="E99" s="814"/>
      <c r="F99" s="891"/>
      <c r="G99" s="892"/>
      <c r="H99" s="839" t="e">
        <f>G100/F100</f>
        <v>#DIV/0!</v>
      </c>
      <c r="I99" s="814"/>
      <c r="J99" s="891"/>
      <c r="K99" s="892"/>
      <c r="L99" s="1097" t="e">
        <f>K100/J100</f>
        <v>#DIV/0!</v>
      </c>
      <c r="M99" s="814"/>
      <c r="N99" s="891"/>
      <c r="O99" s="892"/>
      <c r="P99" s="1097">
        <f>O100/N100</f>
        <v>23.278688524590162</v>
      </c>
      <c r="Q99" s="860"/>
      <c r="R99" s="861"/>
      <c r="S99" s="862"/>
      <c r="T99" s="514"/>
      <c r="U99" s="1094" t="e">
        <f>T100/Q100</f>
        <v>#DIV/0!</v>
      </c>
      <c r="V99" s="1076" t="e">
        <f>T100/R100</f>
        <v>#DIV/0!</v>
      </c>
      <c r="W99" s="1068">
        <f>T100/S100</f>
        <v>1.8797540055025086</v>
      </c>
      <c r="X99" s="814"/>
      <c r="Y99" s="891"/>
      <c r="Z99" s="892"/>
      <c r="AA99" s="1097">
        <f>Z100/Y100</f>
        <v>1.5175117616309461</v>
      </c>
      <c r="AB99" s="814"/>
      <c r="AC99" s="891"/>
      <c r="AD99" s="892"/>
      <c r="AE99" s="1099">
        <f>AD100/AC100</f>
        <v>0</v>
      </c>
      <c r="AF99" s="814"/>
      <c r="AG99" s="891"/>
      <c r="AH99" s="892"/>
      <c r="AI99" s="1098">
        <f>AH100/AG100</f>
        <v>0</v>
      </c>
      <c r="AJ99" s="771"/>
      <c r="AK99" s="861"/>
      <c r="AL99" s="843"/>
      <c r="AM99" s="532"/>
      <c r="AN99" s="1096" t="e">
        <f>AM100/AJ100</f>
        <v>#DIV/0!</v>
      </c>
      <c r="AO99" s="1076" t="e">
        <f>AM100/AK100</f>
        <v>#DIV/0!</v>
      </c>
      <c r="AP99" s="1087">
        <f>AM100/AL100</f>
        <v>0.54130151034868546</v>
      </c>
      <c r="AQ99" s="563"/>
      <c r="AR99" s="864"/>
      <c r="AS99" s="606"/>
      <c r="AT99" s="532"/>
      <c r="AU99" s="1076" t="e">
        <f>AT100/AQ100</f>
        <v>#DIV/0!</v>
      </c>
      <c r="AV99" s="1076" t="e">
        <f>AT100/AR100</f>
        <v>#DIV/0!</v>
      </c>
      <c r="AW99" s="1087">
        <f>AT100/AS100</f>
        <v>1.7728619719148808</v>
      </c>
      <c r="AX99" s="722"/>
      <c r="AY99" s="723"/>
      <c r="AZ99" s="697"/>
      <c r="BE99" s="814"/>
      <c r="BF99" s="891"/>
      <c r="BG99" s="892"/>
      <c r="BH99" s="1097">
        <f>BG100/BF100</f>
        <v>0</v>
      </c>
      <c r="BI99" s="814"/>
      <c r="BJ99" s="891"/>
      <c r="BK99" s="892"/>
      <c r="BL99" s="1097">
        <f>BK100/BJ100</f>
        <v>2.4848484848484849</v>
      </c>
      <c r="BM99" s="814"/>
      <c r="BN99" s="891"/>
      <c r="BO99" s="892"/>
      <c r="BP99" s="1097" t="e">
        <f>BO100/BN100</f>
        <v>#DIV/0!</v>
      </c>
      <c r="BQ99" s="863"/>
      <c r="BR99" s="862"/>
      <c r="BS99" s="862"/>
      <c r="BT99" s="514"/>
      <c r="BU99" s="1094" t="e">
        <f>BT100/BQ100</f>
        <v>#DIV/0!</v>
      </c>
      <c r="BV99" s="1100"/>
      <c r="BW99" s="1068">
        <f>BT100/BS100</f>
        <v>0.71304347826086956</v>
      </c>
      <c r="BX99" s="814"/>
      <c r="BY99" s="891"/>
      <c r="BZ99" s="892"/>
      <c r="CA99" s="1097" t="e">
        <f>BZ100/BY100</f>
        <v>#DIV/0!</v>
      </c>
      <c r="CB99" s="814"/>
      <c r="CC99" s="891"/>
      <c r="CD99" s="893"/>
      <c r="CE99" s="1099" t="e">
        <f>CD100/CC100</f>
        <v>#DIV/0!</v>
      </c>
      <c r="CF99" s="814"/>
      <c r="CG99" s="891"/>
      <c r="CH99" s="893"/>
      <c r="CI99" s="1098" t="e">
        <f>CH100/CG100</f>
        <v>#DIV/0!</v>
      </c>
      <c r="CJ99" s="771"/>
      <c r="CK99" s="843"/>
      <c r="CL99" s="843"/>
      <c r="CM99" s="532"/>
      <c r="CN99" s="1096" t="e">
        <f>CM100/CJ100</f>
        <v>#DIV/0!</v>
      </c>
      <c r="CO99" s="1096"/>
      <c r="CP99" s="1087" t="e">
        <f>CM100/CL100</f>
        <v>#DIV/0!</v>
      </c>
      <c r="CQ99" s="563"/>
      <c r="CR99" s="606"/>
      <c r="CS99" s="606"/>
      <c r="CT99" s="532"/>
      <c r="CU99" s="1076" t="e">
        <f>CT100/CQ100</f>
        <v>#DIV/0!</v>
      </c>
      <c r="CV99" s="1076"/>
      <c r="CW99" s="1087">
        <f>CT100/CS100</f>
        <v>1.278840579710145</v>
      </c>
      <c r="CX99" s="722"/>
      <c r="CY99" s="723"/>
      <c r="CZ99" s="556"/>
      <c r="DA99" s="556"/>
      <c r="DB99" s="556"/>
      <c r="DC99" s="493"/>
      <c r="DD99" s="493"/>
    </row>
    <row r="100" spans="1:108">
      <c r="A100" s="1011" t="s">
        <v>370</v>
      </c>
      <c r="B100" s="997"/>
      <c r="C100" s="997"/>
      <c r="D100" s="995"/>
      <c r="E100" s="822">
        <f>E95+E97</f>
        <v>0</v>
      </c>
      <c r="F100" s="887"/>
      <c r="G100" s="824">
        <v>5935</v>
      </c>
      <c r="H100" s="825"/>
      <c r="I100" s="822"/>
      <c r="J100" s="887"/>
      <c r="K100" s="824">
        <f>K95+K97</f>
        <v>0</v>
      </c>
      <c r="L100" s="825"/>
      <c r="M100" s="822"/>
      <c r="N100" s="887">
        <v>244</v>
      </c>
      <c r="O100" s="824">
        <v>5680</v>
      </c>
      <c r="P100" s="825">
        <f>O100-N100</f>
        <v>5436</v>
      </c>
      <c r="Q100" s="869">
        <f>E100+I100+M100</f>
        <v>0</v>
      </c>
      <c r="R100" s="870">
        <v>0</v>
      </c>
      <c r="S100" s="721">
        <f>G100+J100+N100</f>
        <v>6179</v>
      </c>
      <c r="T100" s="526">
        <f>G100+K100+O100</f>
        <v>11615</v>
      </c>
      <c r="U100" s="699">
        <f>T100-Q100</f>
        <v>11615</v>
      </c>
      <c r="V100" s="717">
        <f t="shared" si="161"/>
        <v>11615</v>
      </c>
      <c r="W100" s="716"/>
      <c r="X100" s="822"/>
      <c r="Y100" s="887">
        <v>191.3</v>
      </c>
      <c r="Z100" s="824">
        <v>290.3</v>
      </c>
      <c r="AA100" s="825">
        <f t="shared" si="191"/>
        <v>99</v>
      </c>
      <c r="AB100" s="822"/>
      <c r="AC100" s="887">
        <v>99</v>
      </c>
      <c r="AD100" s="824">
        <v>0</v>
      </c>
      <c r="AE100" s="825">
        <f>AD100-AC100</f>
        <v>-99</v>
      </c>
      <c r="AF100" s="822"/>
      <c r="AG100" s="844">
        <v>246</v>
      </c>
      <c r="AH100" s="824">
        <v>0</v>
      </c>
      <c r="AI100" s="825">
        <f>AH100-AG100</f>
        <v>-246</v>
      </c>
      <c r="AJ100" s="713">
        <f>X100+AB100+AF100</f>
        <v>0</v>
      </c>
      <c r="AK100" s="870">
        <v>0</v>
      </c>
      <c r="AL100" s="714">
        <f>Y100+AC100+AG100</f>
        <v>536.29999999999995</v>
      </c>
      <c r="AM100" s="520">
        <f>Z100+AD100+AH100</f>
        <v>290.3</v>
      </c>
      <c r="AN100" s="739">
        <f>AM100-AJ100</f>
        <v>290.3</v>
      </c>
      <c r="AO100" s="717">
        <f t="shared" si="162"/>
        <v>290.3</v>
      </c>
      <c r="AP100" s="688">
        <f>AM100-AL100</f>
        <v>-245.99999999999994</v>
      </c>
      <c r="AQ100" s="718">
        <f>SUM(Q100,AJ100)</f>
        <v>0</v>
      </c>
      <c r="AR100" s="720">
        <f>AK100+R100</f>
        <v>0</v>
      </c>
      <c r="AS100" s="605">
        <f>S100+AL100</f>
        <v>6715.3</v>
      </c>
      <c r="AT100" s="715">
        <f>SUM(T100,AM100)</f>
        <v>11905.3</v>
      </c>
      <c r="AU100" s="711">
        <f>AT100-AQ100</f>
        <v>11905.3</v>
      </c>
      <c r="AV100" s="717">
        <f t="shared" si="163"/>
        <v>11905.3</v>
      </c>
      <c r="AW100" s="688">
        <f>AT100-AS100</f>
        <v>5189.9999999999991</v>
      </c>
      <c r="AX100" s="722">
        <f>AQ100/6</f>
        <v>0</v>
      </c>
      <c r="AY100" s="709">
        <f>AR100/6</f>
        <v>0</v>
      </c>
      <c r="AZ100" s="723">
        <f>AT100/6</f>
        <v>1984.2166666666665</v>
      </c>
      <c r="BA100" s="829" t="e">
        <f>AZ100/AX100</f>
        <v>#DIV/0!</v>
      </c>
      <c r="BB100" s="493">
        <f>AZ100-AX100</f>
        <v>1984.2166666666665</v>
      </c>
      <c r="BC100" s="516">
        <f>AZ100-AY100</f>
        <v>1984.2166666666665</v>
      </c>
      <c r="BD100" s="493">
        <f>AW100/6</f>
        <v>864.99999999999989</v>
      </c>
      <c r="BE100" s="822">
        <f>BE95+BE97</f>
        <v>0</v>
      </c>
      <c r="BF100" s="844">
        <v>246</v>
      </c>
      <c r="BG100" s="845">
        <v>0</v>
      </c>
      <c r="BH100" s="825">
        <f>BG100-BF100</f>
        <v>-246</v>
      </c>
      <c r="BI100" s="822">
        <f>BI95+BI97</f>
        <v>0</v>
      </c>
      <c r="BJ100" s="844">
        <v>99</v>
      </c>
      <c r="BK100" s="845">
        <v>246</v>
      </c>
      <c r="BL100" s="825">
        <f>BK100-BJ100</f>
        <v>147</v>
      </c>
      <c r="BM100" s="822">
        <f>BM95+BM97</f>
        <v>0</v>
      </c>
      <c r="BN100" s="844">
        <v>0</v>
      </c>
      <c r="BO100" s="845">
        <v>0</v>
      </c>
      <c r="BP100" s="825">
        <f>BO100-BN100</f>
        <v>0</v>
      </c>
      <c r="BQ100" s="713">
        <f>BE100+BI100+BM100</f>
        <v>0</v>
      </c>
      <c r="BR100" s="714"/>
      <c r="BS100" s="711">
        <f>BF100+BJ100+BN100</f>
        <v>345</v>
      </c>
      <c r="BT100" s="520">
        <f>BG100+BK100+BO100</f>
        <v>246</v>
      </c>
      <c r="BU100" s="712">
        <f>BT100-BQ100</f>
        <v>246</v>
      </c>
      <c r="BV100" s="711"/>
      <c r="BW100" s="716">
        <f>BT100-BS100</f>
        <v>-99</v>
      </c>
      <c r="BX100" s="822">
        <f t="shared" ref="BX100:CF100" si="199">BX95+BX97</f>
        <v>0</v>
      </c>
      <c r="BY100" s="844">
        <v>0</v>
      </c>
      <c r="BZ100" s="845">
        <v>195.2</v>
      </c>
      <c r="CA100" s="825">
        <f t="shared" si="199"/>
        <v>0</v>
      </c>
      <c r="CB100" s="822">
        <f t="shared" si="199"/>
        <v>0</v>
      </c>
      <c r="CC100" s="844">
        <v>0</v>
      </c>
      <c r="CD100" s="846">
        <v>0</v>
      </c>
      <c r="CE100" s="825">
        <f t="shared" si="199"/>
        <v>0</v>
      </c>
      <c r="CF100" s="822">
        <f t="shared" si="199"/>
        <v>0</v>
      </c>
      <c r="CG100" s="844">
        <v>0</v>
      </c>
      <c r="CH100" s="846">
        <v>0</v>
      </c>
      <c r="CI100" s="825">
        <f>CH100-CG100</f>
        <v>0</v>
      </c>
      <c r="CJ100" s="713">
        <f>BX100+CB100+CF100</f>
        <v>0</v>
      </c>
      <c r="CK100" s="714"/>
      <c r="CL100" s="714">
        <f>BY100+CC100+CG100</f>
        <v>0</v>
      </c>
      <c r="CM100" s="520">
        <f>BZ100+CD100+CH100</f>
        <v>195.2</v>
      </c>
      <c r="CN100" s="739">
        <f>CM100-CJ100</f>
        <v>195.2</v>
      </c>
      <c r="CO100" s="739"/>
      <c r="CP100" s="688">
        <f>CM100-CL100</f>
        <v>195.2</v>
      </c>
      <c r="CQ100" s="718">
        <f>SUM(BQ100,CJ100)</f>
        <v>0</v>
      </c>
      <c r="CR100" s="937"/>
      <c r="CS100" s="605">
        <f>BS100+CL100</f>
        <v>345</v>
      </c>
      <c r="CT100" s="715">
        <f>SUM(BT100,CM100)</f>
        <v>441.2</v>
      </c>
      <c r="CU100" s="711">
        <f>CT100-CQ100</f>
        <v>441.2</v>
      </c>
      <c r="CV100" s="711"/>
      <c r="CW100" s="688">
        <f>CT100-CS100</f>
        <v>96.199999999999989</v>
      </c>
      <c r="CX100" s="722">
        <f>CQ100/6</f>
        <v>0</v>
      </c>
      <c r="CY100" s="723">
        <f>CT100/6</f>
        <v>73.533333333333331</v>
      </c>
      <c r="CZ100" s="829" t="e">
        <f>CY100/CX100</f>
        <v>#DIV/0!</v>
      </c>
      <c r="DA100" s="556">
        <f>CY100-CX100</f>
        <v>73.533333333333331</v>
      </c>
      <c r="DB100" s="556">
        <f>CW100/6</f>
        <v>16.033333333333331</v>
      </c>
      <c r="DC100" s="516"/>
      <c r="DD100" s="493"/>
    </row>
    <row r="101" spans="1:108">
      <c r="A101" s="669" t="s">
        <v>161</v>
      </c>
      <c r="B101" s="664"/>
      <c r="C101" s="664"/>
      <c r="D101" s="665"/>
      <c r="E101" s="769"/>
      <c r="F101" s="895"/>
      <c r="G101" s="896"/>
      <c r="H101" s="812">
        <f>G102/F102</f>
        <v>1.5</v>
      </c>
      <c r="I101" s="769"/>
      <c r="J101" s="895"/>
      <c r="K101" s="896"/>
      <c r="L101" s="1093">
        <f>K102/J102</f>
        <v>1.523628</v>
      </c>
      <c r="M101" s="769"/>
      <c r="N101" s="895"/>
      <c r="O101" s="896"/>
      <c r="P101" s="1093">
        <f>O102/N102</f>
        <v>1.3752952029520296</v>
      </c>
      <c r="Q101" s="769"/>
      <c r="R101" s="898"/>
      <c r="S101" s="899"/>
      <c r="T101" s="596"/>
      <c r="U101" s="1094">
        <f>T102/Q102</f>
        <v>1.4198839103869656</v>
      </c>
      <c r="V101" s="1070">
        <f>T102/R102</f>
        <v>1.4198839103869656</v>
      </c>
      <c r="W101" s="1068">
        <f>T102/S102</f>
        <v>1.2598066459190846</v>
      </c>
      <c r="X101" s="769"/>
      <c r="Y101" s="895"/>
      <c r="Z101" s="896"/>
      <c r="AA101" s="1093">
        <f>Z102/Y102</f>
        <v>1.5419762258543834</v>
      </c>
      <c r="AB101" s="769"/>
      <c r="AC101" s="895"/>
      <c r="AD101" s="896"/>
      <c r="AE101" s="1095">
        <f>AD102/AC102</f>
        <v>2.2393607692307693</v>
      </c>
      <c r="AF101" s="769"/>
      <c r="AG101" s="895"/>
      <c r="AH101" s="896"/>
      <c r="AI101" s="1095">
        <f>AH102/AG102</f>
        <v>2.1177536231884058</v>
      </c>
      <c r="AJ101" s="684"/>
      <c r="AK101" s="898"/>
      <c r="AL101" s="899"/>
      <c r="AM101" s="596"/>
      <c r="AN101" s="1096">
        <f>AM102/AJ102</f>
        <v>1.7523558902413865</v>
      </c>
      <c r="AO101" s="1070">
        <f>AM102/AK102</f>
        <v>1.7523558902413865</v>
      </c>
      <c r="AP101" s="1083">
        <f>AM102/AL102</f>
        <v>1.9743535564853556</v>
      </c>
      <c r="AQ101" s="505"/>
      <c r="AR101" s="741"/>
      <c r="AS101" s="651"/>
      <c r="AT101" s="532"/>
      <c r="AU101" s="1070">
        <f>AT102/AQ102</f>
        <v>1.5937984027627887</v>
      </c>
      <c r="AV101" s="1070">
        <f>AT102/AR102</f>
        <v>1.5937984027627887</v>
      </c>
      <c r="AW101" s="1083">
        <f>AT102/AS102</f>
        <v>1.5909653649340156</v>
      </c>
      <c r="AX101" s="722"/>
      <c r="AY101" s="723"/>
      <c r="AZ101" s="723"/>
      <c r="BA101" s="556"/>
      <c r="BB101" s="556"/>
      <c r="BC101" s="556"/>
      <c r="BD101" s="556"/>
      <c r="BE101" s="769"/>
      <c r="BF101" s="895"/>
      <c r="BG101" s="896"/>
      <c r="BH101" s="1093">
        <f>BG102/BF102</f>
        <v>1.6685496545768566</v>
      </c>
      <c r="BI101" s="769"/>
      <c r="BJ101" s="895"/>
      <c r="BK101" s="896"/>
      <c r="BL101" s="1093">
        <f>BK102/BJ102</f>
        <v>1.5833546307151232</v>
      </c>
      <c r="BM101" s="769"/>
      <c r="BN101" s="895"/>
      <c r="BO101" s="896"/>
      <c r="BP101" s="1093">
        <f>BO102/BN102</f>
        <v>1.3919413919413919</v>
      </c>
      <c r="BQ101" s="684"/>
      <c r="BR101" s="899"/>
      <c r="BS101" s="899"/>
      <c r="BT101" s="596"/>
      <c r="BU101" s="1094">
        <f>BT102/BQ102</f>
        <v>2.1030093218789983</v>
      </c>
      <c r="BV101" s="1100"/>
      <c r="BW101" s="1068">
        <f>BT102/BS102</f>
        <v>1.5196888125742967</v>
      </c>
      <c r="BX101" s="769"/>
      <c r="BY101" s="895"/>
      <c r="BZ101" s="896"/>
      <c r="CA101" s="1093">
        <f>BZ102/BY102</f>
        <v>1.37581217750258</v>
      </c>
      <c r="CB101" s="769"/>
      <c r="CC101" s="895"/>
      <c r="CD101" s="897"/>
      <c r="CE101" s="1095">
        <f>CD102/CC102</f>
        <v>1</v>
      </c>
      <c r="CF101" s="769"/>
      <c r="CG101" s="895"/>
      <c r="CH101" s="897"/>
      <c r="CI101" s="1095">
        <f>CH102/CG102</f>
        <v>1</v>
      </c>
      <c r="CJ101" s="684"/>
      <c r="CK101" s="899"/>
      <c r="CL101" s="899"/>
      <c r="CM101" s="596"/>
      <c r="CN101" s="1096">
        <f>CM102/CJ102</f>
        <v>1.0468464685998933</v>
      </c>
      <c r="CO101" s="1096"/>
      <c r="CP101" s="1083">
        <f>CM102/CL102</f>
        <v>1.1412575640031033</v>
      </c>
      <c r="CQ101" s="505"/>
      <c r="CR101" s="651"/>
      <c r="CS101" s="651"/>
      <c r="CT101" s="532"/>
      <c r="CU101" s="1070">
        <f>CT102/CQ102</f>
        <v>1.5677865128020194</v>
      </c>
      <c r="CV101" s="1070"/>
      <c r="CW101" s="1083">
        <f>CT102/CS102</f>
        <v>1.3663776223776223</v>
      </c>
      <c r="CX101" s="722"/>
      <c r="CY101" s="723"/>
      <c r="CZ101" s="556"/>
      <c r="DA101" s="556"/>
      <c r="DB101" s="556"/>
      <c r="DC101" s="556"/>
      <c r="DD101" s="556"/>
    </row>
    <row r="102" spans="1:108">
      <c r="A102" s="647" t="s">
        <v>371</v>
      </c>
      <c r="B102" s="661"/>
      <c r="C102" s="658"/>
      <c r="D102" s="668"/>
      <c r="E102" s="822">
        <v>1417</v>
      </c>
      <c r="F102" s="887">
        <v>1417</v>
      </c>
      <c r="G102" s="824">
        <v>2125.5</v>
      </c>
      <c r="H102" s="825">
        <f>G102-F102</f>
        <v>708.5</v>
      </c>
      <c r="I102" s="822">
        <v>1417</v>
      </c>
      <c r="J102" s="887">
        <v>1500</v>
      </c>
      <c r="K102" s="824">
        <v>2285.442</v>
      </c>
      <c r="L102" s="825">
        <f>K102-J102</f>
        <v>785.44200000000001</v>
      </c>
      <c r="M102" s="822">
        <v>1585</v>
      </c>
      <c r="N102" s="887">
        <v>1355</v>
      </c>
      <c r="O102" s="824">
        <v>1863.5250000000001</v>
      </c>
      <c r="P102" s="825">
        <f>O102-N102</f>
        <v>508.52500000000009</v>
      </c>
      <c r="Q102" s="827">
        <f>E102+I102+M102</f>
        <v>4419</v>
      </c>
      <c r="R102" s="828">
        <v>4419</v>
      </c>
      <c r="S102" s="714">
        <f>G102+J102+N102</f>
        <v>4980.5</v>
      </c>
      <c r="T102" s="520">
        <f>G102+K102+O102</f>
        <v>6274.4670000000006</v>
      </c>
      <c r="U102" s="712">
        <f>T102-Q102</f>
        <v>1855.4670000000006</v>
      </c>
      <c r="V102" s="711">
        <f t="shared" si="161"/>
        <v>1855.4670000000006</v>
      </c>
      <c r="W102" s="716">
        <f>T102-S102</f>
        <v>1293.9670000000006</v>
      </c>
      <c r="X102" s="822">
        <v>1651</v>
      </c>
      <c r="Y102" s="887">
        <v>1346</v>
      </c>
      <c r="Z102" s="824">
        <v>2075.5</v>
      </c>
      <c r="AA102" s="825">
        <f>Z102-Y102</f>
        <v>729.5</v>
      </c>
      <c r="AB102" s="822">
        <v>1639</v>
      </c>
      <c r="AC102" s="887">
        <v>1300</v>
      </c>
      <c r="AD102" s="824">
        <v>2911.1689999999999</v>
      </c>
      <c r="AE102" s="825">
        <f>AD102-AC102</f>
        <v>1611.1689999999999</v>
      </c>
      <c r="AF102" s="822">
        <v>1557</v>
      </c>
      <c r="AG102" s="887">
        <v>1656</v>
      </c>
      <c r="AH102" s="824">
        <v>3507</v>
      </c>
      <c r="AI102" s="825">
        <f>AH102-AG102</f>
        <v>1851</v>
      </c>
      <c r="AJ102" s="713">
        <f>X102+AB102+AF102</f>
        <v>4847</v>
      </c>
      <c r="AK102" s="828">
        <v>4847</v>
      </c>
      <c r="AL102" s="714">
        <f>Y102+AC102+AG102</f>
        <v>4302</v>
      </c>
      <c r="AM102" s="520">
        <f>Z102+AD102+AH102</f>
        <v>8493.6689999999999</v>
      </c>
      <c r="AN102" s="739">
        <f>AM102-AJ102</f>
        <v>3646.6689999999999</v>
      </c>
      <c r="AO102" s="711">
        <f t="shared" si="162"/>
        <v>3646.6689999999999</v>
      </c>
      <c r="AP102" s="688">
        <f>AM102-AL102</f>
        <v>4191.6689999999999</v>
      </c>
      <c r="AQ102" s="525">
        <f>SUM(Q102,AJ102)</f>
        <v>9266</v>
      </c>
      <c r="AR102" s="720">
        <f>AK102+R102</f>
        <v>9266</v>
      </c>
      <c r="AS102" s="605">
        <f>S102+AL102</f>
        <v>9282.5</v>
      </c>
      <c r="AT102" s="520">
        <f>SUM(T102,AM102)</f>
        <v>14768.136</v>
      </c>
      <c r="AU102" s="711">
        <f>AT102-AQ102</f>
        <v>5502.1360000000004</v>
      </c>
      <c r="AV102" s="711">
        <f t="shared" si="163"/>
        <v>5502.1360000000004</v>
      </c>
      <c r="AW102" s="688">
        <f>AT102-AS102</f>
        <v>5485.6360000000004</v>
      </c>
      <c r="AX102" s="722">
        <f>AQ102/6</f>
        <v>1544.3333333333333</v>
      </c>
      <c r="AY102" s="709">
        <f>AR102/6</f>
        <v>1544.3333333333333</v>
      </c>
      <c r="AZ102" s="723">
        <f>AT102/6</f>
        <v>2461.3560000000002</v>
      </c>
      <c r="BA102" s="1246">
        <f>AZ102/AX102</f>
        <v>1.5937984027627889</v>
      </c>
      <c r="BB102" s="493">
        <f>AZ102-AX102</f>
        <v>917.02266666666696</v>
      </c>
      <c r="BC102" s="516">
        <f>AZ102-AY102</f>
        <v>917.02266666666696</v>
      </c>
      <c r="BD102" s="493">
        <f>AW102/6</f>
        <v>914.27266666666674</v>
      </c>
      <c r="BE102" s="822">
        <v>1916</v>
      </c>
      <c r="BF102" s="887">
        <v>2316</v>
      </c>
      <c r="BG102" s="824">
        <v>3864.3609999999999</v>
      </c>
      <c r="BH102" s="825">
        <f>BG102-BF102</f>
        <v>1548.3609999999999</v>
      </c>
      <c r="BI102" s="822">
        <v>1706</v>
      </c>
      <c r="BJ102" s="887">
        <v>1706</v>
      </c>
      <c r="BK102" s="824">
        <v>2701.203</v>
      </c>
      <c r="BL102" s="825">
        <f>BK102-BJ102</f>
        <v>995.20299999999997</v>
      </c>
      <c r="BM102" s="822">
        <v>1849</v>
      </c>
      <c r="BN102" s="887">
        <v>3549</v>
      </c>
      <c r="BO102" s="824">
        <v>4940</v>
      </c>
      <c r="BP102" s="825">
        <f>BO102-BN102</f>
        <v>1391</v>
      </c>
      <c r="BQ102" s="713">
        <f>BE102+BI102+BM102</f>
        <v>5471</v>
      </c>
      <c r="BR102" s="714"/>
      <c r="BS102" s="714">
        <f>BF102+BJ102+BN102</f>
        <v>7571</v>
      </c>
      <c r="BT102" s="520">
        <f>BG102+BK102+BO102</f>
        <v>11505.564</v>
      </c>
      <c r="BU102" s="712">
        <f>BT102-BQ102</f>
        <v>6034.5640000000003</v>
      </c>
      <c r="BV102" s="711"/>
      <c r="BW102" s="716">
        <f>BT102-BS102</f>
        <v>3934.5640000000003</v>
      </c>
      <c r="BX102" s="822">
        <v>1938</v>
      </c>
      <c r="BY102" s="887">
        <v>1938</v>
      </c>
      <c r="BZ102" s="824">
        <v>2666.3240000000001</v>
      </c>
      <c r="CA102" s="825">
        <f>BZ102-BY102</f>
        <v>728.32400000000007</v>
      </c>
      <c r="CB102" s="822">
        <v>2118</v>
      </c>
      <c r="CC102" s="887">
        <v>2118</v>
      </c>
      <c r="CD102" s="826">
        <v>2118</v>
      </c>
      <c r="CE102" s="825">
        <f>CD102-CC102</f>
        <v>0</v>
      </c>
      <c r="CF102" s="822">
        <v>1565</v>
      </c>
      <c r="CG102" s="887">
        <v>1100</v>
      </c>
      <c r="CH102" s="826">
        <v>1100</v>
      </c>
      <c r="CI102" s="825">
        <f>CH102-CG102</f>
        <v>0</v>
      </c>
      <c r="CJ102" s="713">
        <f>BX102+CB102+CF102</f>
        <v>5621</v>
      </c>
      <c r="CK102" s="714"/>
      <c r="CL102" s="714">
        <f>BY102+CC102+CG102</f>
        <v>5156</v>
      </c>
      <c r="CM102" s="520">
        <f>BZ102+CD102+CH102</f>
        <v>5884.3240000000005</v>
      </c>
      <c r="CN102" s="739">
        <f>CM102-CJ102</f>
        <v>263.32400000000052</v>
      </c>
      <c r="CO102" s="739"/>
      <c r="CP102" s="688">
        <f>CM102-CL102</f>
        <v>728.32400000000052</v>
      </c>
      <c r="CQ102" s="525">
        <f>SUM(BQ102,CJ102)</f>
        <v>11092</v>
      </c>
      <c r="CR102" s="605"/>
      <c r="CS102" s="605">
        <f>BS102+CL102</f>
        <v>12727</v>
      </c>
      <c r="CT102" s="520">
        <f>SUM(BT102,CM102)</f>
        <v>17389.887999999999</v>
      </c>
      <c r="CU102" s="711">
        <f>CT102-CQ102</f>
        <v>6297.887999999999</v>
      </c>
      <c r="CV102" s="711"/>
      <c r="CW102" s="688">
        <f>CT102-CS102</f>
        <v>4662.887999999999</v>
      </c>
      <c r="CX102" s="722">
        <f>CQ102/6</f>
        <v>1848.6666666666667</v>
      </c>
      <c r="CY102" s="723">
        <f>CT102/6</f>
        <v>2898.3146666666667</v>
      </c>
      <c r="CZ102" s="1389">
        <f>CY102/CX102</f>
        <v>1.5677865128020194</v>
      </c>
      <c r="DA102" s="556">
        <f>CY102-CX102</f>
        <v>1049.6479999999999</v>
      </c>
      <c r="DB102" s="556">
        <f>CW102/6</f>
        <v>777.1479999999998</v>
      </c>
      <c r="DC102" s="516"/>
      <c r="DD102" s="493"/>
    </row>
    <row r="103" spans="1:108" customFormat="1" ht="14.25">
      <c r="A103" s="648" t="s">
        <v>372</v>
      </c>
      <c r="B103" s="649"/>
      <c r="C103" s="649"/>
      <c r="D103" s="667"/>
      <c r="E103" s="814"/>
      <c r="F103" s="856"/>
      <c r="G103" s="857">
        <v>1</v>
      </c>
      <c r="H103" s="858"/>
      <c r="I103" s="814"/>
      <c r="J103" s="856"/>
      <c r="K103" s="857"/>
      <c r="L103" s="858"/>
      <c r="M103" s="814"/>
      <c r="N103" s="856"/>
      <c r="O103" s="857"/>
      <c r="P103" s="858"/>
      <c r="Q103" s="860"/>
      <c r="R103" s="861"/>
      <c r="S103" s="862"/>
      <c r="T103" s="574"/>
      <c r="U103" s="818"/>
      <c r="V103" s="880">
        <f t="shared" si="161"/>
        <v>0</v>
      </c>
      <c r="W103" s="885"/>
      <c r="X103" s="814"/>
      <c r="Y103" s="856"/>
      <c r="Z103" s="857"/>
      <c r="AA103" s="858"/>
      <c r="AB103" s="814"/>
      <c r="AC103" s="856">
        <v>7</v>
      </c>
      <c r="AD103" s="857">
        <v>7</v>
      </c>
      <c r="AE103" s="858"/>
      <c r="AF103" s="814"/>
      <c r="AG103" s="856"/>
      <c r="AH103" s="857"/>
      <c r="AI103" s="858"/>
      <c r="AJ103" s="863"/>
      <c r="AK103" s="861"/>
      <c r="AL103" s="862"/>
      <c r="AM103" s="574"/>
      <c r="AN103" s="816"/>
      <c r="AO103" s="888">
        <f t="shared" si="162"/>
        <v>0</v>
      </c>
      <c r="AP103" s="885"/>
      <c r="AQ103" s="573"/>
      <c r="AR103" s="864"/>
      <c r="AS103" s="572"/>
      <c r="AT103" s="574"/>
      <c r="AU103" s="888"/>
      <c r="AV103" s="880">
        <f t="shared" si="163"/>
        <v>0</v>
      </c>
      <c r="AW103" s="885"/>
      <c r="AX103" s="820"/>
      <c r="AY103" s="821"/>
      <c r="AZ103" s="821"/>
      <c r="BA103" s="1247"/>
      <c r="BB103" s="587"/>
      <c r="BC103" s="587"/>
      <c r="BD103" s="587"/>
      <c r="BE103" s="814"/>
      <c r="BF103" s="856"/>
      <c r="BG103" s="857"/>
      <c r="BH103" s="858"/>
      <c r="BI103" s="814"/>
      <c r="BJ103" s="856"/>
      <c r="BK103" s="857"/>
      <c r="BL103" s="858"/>
      <c r="BM103" s="814"/>
      <c r="BN103" s="856"/>
      <c r="BO103" s="857"/>
      <c r="BP103" s="858"/>
      <c r="BQ103" s="863"/>
      <c r="BR103" s="862"/>
      <c r="BS103" s="862"/>
      <c r="BT103" s="574"/>
      <c r="BU103" s="818"/>
      <c r="BV103" s="888"/>
      <c r="BW103" s="885"/>
      <c r="BX103" s="814"/>
      <c r="BY103" s="856"/>
      <c r="BZ103" s="857"/>
      <c r="CA103" s="858"/>
      <c r="CB103" s="814"/>
      <c r="CC103" s="856"/>
      <c r="CD103" s="897"/>
      <c r="CE103" s="858"/>
      <c r="CF103" s="814"/>
      <c r="CG103" s="856"/>
      <c r="CH103" s="859"/>
      <c r="CI103" s="858"/>
      <c r="CJ103" s="863"/>
      <c r="CK103" s="862"/>
      <c r="CL103" s="862"/>
      <c r="CM103" s="574"/>
      <c r="CN103" s="816"/>
      <c r="CO103" s="816"/>
      <c r="CP103" s="885"/>
      <c r="CQ103" s="573"/>
      <c r="CR103" s="572"/>
      <c r="CS103" s="572"/>
      <c r="CT103" s="574"/>
      <c r="CU103" s="888"/>
      <c r="CV103" s="888"/>
      <c r="CW103" s="885"/>
      <c r="CX103" s="722"/>
      <c r="CY103" s="821"/>
      <c r="CZ103" s="1247"/>
      <c r="DA103" s="587"/>
      <c r="DB103" s="587"/>
      <c r="DC103" s="587"/>
      <c r="DD103" s="587"/>
    </row>
    <row r="104" spans="1:108">
      <c r="A104" s="659" t="s">
        <v>161</v>
      </c>
      <c r="B104" s="664"/>
      <c r="C104" s="664"/>
      <c r="D104" s="665"/>
      <c r="E104" s="695"/>
      <c r="F104" s="837"/>
      <c r="G104" s="838"/>
      <c r="H104" s="839" t="e">
        <f>G105/F105</f>
        <v>#DIV/0!</v>
      </c>
      <c r="I104" s="695"/>
      <c r="J104" s="837"/>
      <c r="K104" s="838"/>
      <c r="L104" s="1097" t="e">
        <f>K105/J105</f>
        <v>#DIV/0!</v>
      </c>
      <c r="M104" s="695"/>
      <c r="N104" s="837"/>
      <c r="O104" s="838"/>
      <c r="P104" s="1097" t="e">
        <f>O105/N105</f>
        <v>#DIV/0!</v>
      </c>
      <c r="Q104" s="695"/>
      <c r="R104" s="901"/>
      <c r="S104" s="696"/>
      <c r="T104" s="514"/>
      <c r="U104" s="1094" t="e">
        <f>T105/Q105</f>
        <v>#DIV/0!</v>
      </c>
      <c r="V104" s="1076" t="e">
        <f>T105/R105</f>
        <v>#DIV/0!</v>
      </c>
      <c r="W104" s="1068">
        <f>T105/S105</f>
        <v>1.1071428571428572</v>
      </c>
      <c r="X104" s="695"/>
      <c r="Y104" s="837"/>
      <c r="Z104" s="838"/>
      <c r="AA104" s="1097" t="e">
        <f>Z105/Y105</f>
        <v>#DIV/0!</v>
      </c>
      <c r="AB104" s="695"/>
      <c r="AC104" s="837"/>
      <c r="AD104" s="838"/>
      <c r="AE104" s="1098">
        <f>AD105/AC105</f>
        <v>1</v>
      </c>
      <c r="AF104" s="695"/>
      <c r="AG104" s="837"/>
      <c r="AH104" s="838"/>
      <c r="AI104" s="1098">
        <f>AH105/AG105</f>
        <v>1.4153333333333333</v>
      </c>
      <c r="AJ104" s="700"/>
      <c r="AK104" s="901"/>
      <c r="AL104" s="696"/>
      <c r="AM104" s="514"/>
      <c r="AN104" s="1096" t="e">
        <f>AM105/AJ105</f>
        <v>#DIV/0!</v>
      </c>
      <c r="AO104" s="1100">
        <f t="shared" si="162"/>
        <v>0</v>
      </c>
      <c r="AP104" s="1087">
        <f>AM105/AL105</f>
        <v>1.1246</v>
      </c>
      <c r="AQ104" s="656"/>
      <c r="AR104" s="760"/>
      <c r="AS104" s="651"/>
      <c r="AT104" s="532"/>
      <c r="AU104" s="1076" t="e">
        <f>AT105/AQ105</f>
        <v>#DIV/0!</v>
      </c>
      <c r="AV104" s="1076" t="e">
        <f>AT105/AR105</f>
        <v>#DIV/0!</v>
      </c>
      <c r="AW104" s="1087">
        <f>AT105/AS105</f>
        <v>1.1190454545454545</v>
      </c>
      <c r="AX104" s="722"/>
      <c r="AY104" s="723"/>
      <c r="AZ104" s="723"/>
      <c r="BA104" s="556"/>
      <c r="BB104" s="556"/>
      <c r="BC104" s="556"/>
      <c r="BD104" s="556"/>
      <c r="BE104" s="695"/>
      <c r="BF104" s="837"/>
      <c r="BG104" s="838"/>
      <c r="BH104" s="1097" t="e">
        <f>BG105/BF105</f>
        <v>#DIV/0!</v>
      </c>
      <c r="BI104" s="695"/>
      <c r="BJ104" s="837"/>
      <c r="BK104" s="838"/>
      <c r="BL104" s="1097" t="e">
        <f>BK105/BJ105</f>
        <v>#DIV/0!</v>
      </c>
      <c r="BM104" s="695"/>
      <c r="BN104" s="837"/>
      <c r="BO104" s="838"/>
      <c r="BP104" s="1097" t="e">
        <f>BO105/BN105</f>
        <v>#DIV/0!</v>
      </c>
      <c r="BQ104" s="700"/>
      <c r="BR104" s="696"/>
      <c r="BS104" s="696"/>
      <c r="BT104" s="514"/>
      <c r="BU104" s="1094" t="e">
        <f>BT105/BQ105</f>
        <v>#DIV/0!</v>
      </c>
      <c r="BV104" s="1100"/>
      <c r="BW104" s="1068" t="e">
        <f>BT105/BS105</f>
        <v>#DIV/0!</v>
      </c>
      <c r="BX104" s="695"/>
      <c r="BY104" s="837"/>
      <c r="BZ104" s="838"/>
      <c r="CA104" s="1097" t="e">
        <f>BZ105/BY105</f>
        <v>#DIV/0!</v>
      </c>
      <c r="CB104" s="695"/>
      <c r="CC104" s="837"/>
      <c r="CD104" s="840"/>
      <c r="CE104" s="1098" t="e">
        <f>CD105/CC105</f>
        <v>#DIV/0!</v>
      </c>
      <c r="CF104" s="695"/>
      <c r="CG104" s="837"/>
      <c r="CH104" s="840"/>
      <c r="CI104" s="1098" t="e">
        <f>CH105/CG105</f>
        <v>#DIV/0!</v>
      </c>
      <c r="CJ104" s="700"/>
      <c r="CK104" s="696"/>
      <c r="CL104" s="696"/>
      <c r="CM104" s="514"/>
      <c r="CN104" s="1096" t="e">
        <f>CM105/CJ105</f>
        <v>#DIV/0!</v>
      </c>
      <c r="CO104" s="1096"/>
      <c r="CP104" s="1087" t="e">
        <f>CM105/CL105</f>
        <v>#DIV/0!</v>
      </c>
      <c r="CQ104" s="656"/>
      <c r="CR104" s="651"/>
      <c r="CS104" s="651"/>
      <c r="CT104" s="532"/>
      <c r="CU104" s="1076" t="e">
        <f>CT105/CQ105</f>
        <v>#DIV/0!</v>
      </c>
      <c r="CV104" s="1076"/>
      <c r="CW104" s="1087" t="e">
        <f>CT105/CS105</f>
        <v>#DIV/0!</v>
      </c>
      <c r="CX104" s="722"/>
      <c r="CY104" s="723"/>
      <c r="CZ104" s="556"/>
      <c r="DA104" s="556"/>
      <c r="DB104" s="556"/>
      <c r="DC104" s="556"/>
      <c r="DD104" s="556"/>
    </row>
    <row r="105" spans="1:108">
      <c r="A105" s="647" t="s">
        <v>373</v>
      </c>
      <c r="B105" s="661"/>
      <c r="C105" s="658"/>
      <c r="D105" s="668"/>
      <c r="E105" s="822"/>
      <c r="F105" s="887"/>
      <c r="G105" s="824">
        <v>140</v>
      </c>
      <c r="H105" s="825">
        <f>G105-F105</f>
        <v>140</v>
      </c>
      <c r="I105" s="822"/>
      <c r="J105" s="887"/>
      <c r="K105" s="824">
        <v>15</v>
      </c>
      <c r="L105" s="825">
        <f>K105-J105</f>
        <v>15</v>
      </c>
      <c r="M105" s="822"/>
      <c r="N105" s="887"/>
      <c r="O105" s="824">
        <v>0</v>
      </c>
      <c r="P105" s="825">
        <f>O105-N105</f>
        <v>0</v>
      </c>
      <c r="Q105" s="827">
        <f>E105+I105+M105</f>
        <v>0</v>
      </c>
      <c r="R105" s="828">
        <v>0</v>
      </c>
      <c r="S105" s="714">
        <f>G105+J105+N105</f>
        <v>140</v>
      </c>
      <c r="T105" s="520">
        <f>G105+K105+O105</f>
        <v>155</v>
      </c>
      <c r="U105" s="712">
        <f>T105-Q105</f>
        <v>155</v>
      </c>
      <c r="V105" s="711">
        <f t="shared" si="161"/>
        <v>155</v>
      </c>
      <c r="W105" s="716">
        <f>T105-S105</f>
        <v>15</v>
      </c>
      <c r="X105" s="822"/>
      <c r="Y105" s="887">
        <v>0</v>
      </c>
      <c r="Z105" s="824">
        <v>0</v>
      </c>
      <c r="AA105" s="825">
        <f>Z105-Y105</f>
        <v>0</v>
      </c>
      <c r="AB105" s="822"/>
      <c r="AC105" s="887">
        <v>210</v>
      </c>
      <c r="AD105" s="824">
        <v>210</v>
      </c>
      <c r="AE105" s="825">
        <f>AD105-AC105</f>
        <v>0</v>
      </c>
      <c r="AF105" s="822"/>
      <c r="AG105" s="887">
        <v>90</v>
      </c>
      <c r="AH105" s="824">
        <v>127.38</v>
      </c>
      <c r="AI105" s="825">
        <f>AH105-AG105</f>
        <v>37.379999999999995</v>
      </c>
      <c r="AJ105" s="713">
        <f>X105+AB105+AF105</f>
        <v>0</v>
      </c>
      <c r="AK105" s="828">
        <v>0</v>
      </c>
      <c r="AL105" s="714">
        <f>Y105+AC105+AG105</f>
        <v>300</v>
      </c>
      <c r="AM105" s="520">
        <f>Z105+AD105+AH105</f>
        <v>337.38</v>
      </c>
      <c r="AN105" s="739">
        <f>AM105-AJ105</f>
        <v>337.38</v>
      </c>
      <c r="AO105" s="711">
        <f t="shared" si="162"/>
        <v>337.38</v>
      </c>
      <c r="AP105" s="688">
        <f>AM105-AL105</f>
        <v>37.379999999999995</v>
      </c>
      <c r="AQ105" s="525">
        <f>SUM(Q105,AJ105)</f>
        <v>0</v>
      </c>
      <c r="AR105" s="720">
        <f>AK105+R105</f>
        <v>0</v>
      </c>
      <c r="AS105" s="605">
        <f>S105+AL105</f>
        <v>440</v>
      </c>
      <c r="AT105" s="520">
        <f>SUM(T105,AM105)</f>
        <v>492.38</v>
      </c>
      <c r="AU105" s="711">
        <f>AT105-AQ105</f>
        <v>492.38</v>
      </c>
      <c r="AV105" s="711">
        <f t="shared" si="163"/>
        <v>492.38</v>
      </c>
      <c r="AW105" s="688">
        <f>AT105-AS105</f>
        <v>52.379999999999995</v>
      </c>
      <c r="AX105" s="722">
        <f>AQ105/6</f>
        <v>0</v>
      </c>
      <c r="AY105" s="709">
        <f>AR105/6</f>
        <v>0</v>
      </c>
      <c r="AZ105" s="723">
        <f>AT105/6</f>
        <v>82.063333333333333</v>
      </c>
      <c r="BA105" s="1246" t="e">
        <f>AZ105/AX105</f>
        <v>#DIV/0!</v>
      </c>
      <c r="BB105" s="493">
        <f>AZ105-AX105</f>
        <v>82.063333333333333</v>
      </c>
      <c r="BC105" s="516">
        <f>AZ105-AY105</f>
        <v>82.063333333333333</v>
      </c>
      <c r="BD105" s="493">
        <f>AW105/6</f>
        <v>8.7299999999999986</v>
      </c>
      <c r="BE105" s="822"/>
      <c r="BF105" s="887"/>
      <c r="BG105" s="824">
        <v>165</v>
      </c>
      <c r="BH105" s="825">
        <f>BG105-BF105</f>
        <v>165</v>
      </c>
      <c r="BI105" s="822"/>
      <c r="BJ105" s="887">
        <v>0</v>
      </c>
      <c r="BK105" s="824">
        <v>0</v>
      </c>
      <c r="BL105" s="825">
        <f>BK105-BJ105</f>
        <v>0</v>
      </c>
      <c r="BM105" s="822"/>
      <c r="BN105" s="887"/>
      <c r="BO105" s="824">
        <v>0</v>
      </c>
      <c r="BP105" s="825">
        <f>BO105-BN105</f>
        <v>0</v>
      </c>
      <c r="BQ105" s="713">
        <f>BE105+BI105+BM105</f>
        <v>0</v>
      </c>
      <c r="BR105" s="714"/>
      <c r="BS105" s="714">
        <f>BF105+BJ105+BN105</f>
        <v>0</v>
      </c>
      <c r="BT105" s="520">
        <f>BG105+BK105+BO105</f>
        <v>165</v>
      </c>
      <c r="BU105" s="712">
        <f>BT105-BQ105</f>
        <v>165</v>
      </c>
      <c r="BV105" s="711"/>
      <c r="BW105" s="716">
        <f>BT105-BS105</f>
        <v>165</v>
      </c>
      <c r="BX105" s="822"/>
      <c r="BY105" s="887"/>
      <c r="BZ105" s="824">
        <v>152.66900000000001</v>
      </c>
      <c r="CA105" s="825">
        <f>BZ105-BY105</f>
        <v>152.66900000000001</v>
      </c>
      <c r="CB105" s="822"/>
      <c r="CC105" s="887"/>
      <c r="CD105" s="826">
        <v>100</v>
      </c>
      <c r="CE105" s="825">
        <f>CD105-CC105</f>
        <v>100</v>
      </c>
      <c r="CF105" s="822"/>
      <c r="CG105" s="887"/>
      <c r="CH105" s="826"/>
      <c r="CI105" s="825">
        <f>CH105-CG105</f>
        <v>0</v>
      </c>
      <c r="CJ105" s="713">
        <f>BX105+CB105+CF105</f>
        <v>0</v>
      </c>
      <c r="CK105" s="714"/>
      <c r="CL105" s="714">
        <f>BY105+CC105+CG105</f>
        <v>0</v>
      </c>
      <c r="CM105" s="520">
        <f>BZ105+CD105+CH105</f>
        <v>252.66900000000001</v>
      </c>
      <c r="CN105" s="739">
        <f>CM105-CJ105</f>
        <v>252.66900000000001</v>
      </c>
      <c r="CO105" s="739"/>
      <c r="CP105" s="688">
        <f>CM105-CL105</f>
        <v>252.66900000000001</v>
      </c>
      <c r="CQ105" s="525">
        <f>SUM(BQ105,CJ105)</f>
        <v>0</v>
      </c>
      <c r="CR105" s="605"/>
      <c r="CS105" s="605">
        <f>BS105+CL105</f>
        <v>0</v>
      </c>
      <c r="CT105" s="520">
        <f>SUM(BT105,CM105)</f>
        <v>417.66899999999998</v>
      </c>
      <c r="CU105" s="711">
        <f>CT105-CQ105</f>
        <v>417.66899999999998</v>
      </c>
      <c r="CV105" s="711"/>
      <c r="CW105" s="688">
        <f>CT105-CS105</f>
        <v>417.66899999999998</v>
      </c>
      <c r="CX105" s="722">
        <f>CQ105/6</f>
        <v>0</v>
      </c>
      <c r="CY105" s="723">
        <f>CT105/6</f>
        <v>69.611499999999992</v>
      </c>
      <c r="CZ105" s="1389" t="e">
        <f>CY105/CX105</f>
        <v>#DIV/0!</v>
      </c>
      <c r="DA105" s="556">
        <f>CY105-CX105</f>
        <v>69.611499999999992</v>
      </c>
      <c r="DB105" s="556">
        <f>CW105/6</f>
        <v>69.611499999999992</v>
      </c>
      <c r="DC105" s="516"/>
      <c r="DD105" s="493"/>
    </row>
    <row r="106" spans="1:108" s="1257" customFormat="1">
      <c r="A106" s="659" t="s">
        <v>469</v>
      </c>
      <c r="B106" s="662"/>
      <c r="C106" s="664"/>
      <c r="D106" s="665"/>
      <c r="E106" s="1261"/>
      <c r="F106" s="837"/>
      <c r="G106" s="838"/>
      <c r="H106" s="972"/>
      <c r="I106" s="1261"/>
      <c r="J106" s="837"/>
      <c r="K106" s="838"/>
      <c r="L106" s="972"/>
      <c r="M106" s="1261"/>
      <c r="N106" s="837"/>
      <c r="O106" s="838"/>
      <c r="P106" s="972"/>
      <c r="Q106" s="1262"/>
      <c r="R106" s="1263"/>
      <c r="S106" s="731"/>
      <c r="T106" s="532"/>
      <c r="U106" s="730"/>
      <c r="V106" s="729"/>
      <c r="W106" s="1260"/>
      <c r="X106" s="1261"/>
      <c r="Y106" s="837"/>
      <c r="Z106" s="838"/>
      <c r="AA106" s="972"/>
      <c r="AB106" s="1261"/>
      <c r="AC106" s="837"/>
      <c r="AD106" s="838"/>
      <c r="AE106" s="972"/>
      <c r="AF106" s="1261"/>
      <c r="AG106" s="837"/>
      <c r="AH106" s="838"/>
      <c r="AI106" s="972"/>
      <c r="AJ106" s="738"/>
      <c r="AK106" s="1263"/>
      <c r="AL106" s="731"/>
      <c r="AM106" s="532"/>
      <c r="AN106" s="981"/>
      <c r="AO106" s="729"/>
      <c r="AP106" s="762"/>
      <c r="AQ106" s="563"/>
      <c r="AR106" s="772"/>
      <c r="AS106" s="606"/>
      <c r="AT106" s="532"/>
      <c r="AU106" s="729"/>
      <c r="AV106" s="729"/>
      <c r="AW106" s="762"/>
      <c r="AX106" s="722"/>
      <c r="AY106" s="709"/>
      <c r="AZ106" s="723"/>
      <c r="BA106" s="1246"/>
      <c r="BB106" s="493"/>
      <c r="BC106" s="516"/>
      <c r="BD106" s="493"/>
      <c r="BE106" s="1267"/>
      <c r="BF106" s="1268">
        <v>200</v>
      </c>
      <c r="BG106" s="1272">
        <v>7</v>
      </c>
      <c r="BH106" s="1269"/>
      <c r="BI106" s="1267"/>
      <c r="BJ106" s="1268">
        <v>200</v>
      </c>
      <c r="BK106" s="1272">
        <v>43</v>
      </c>
      <c r="BL106" s="1269"/>
      <c r="BM106" s="1267"/>
      <c r="BN106" s="1268">
        <v>63</v>
      </c>
      <c r="BO106" s="1272">
        <v>118</v>
      </c>
      <c r="BP106" s="1269"/>
      <c r="BQ106" s="1352"/>
      <c r="BR106" s="1353"/>
      <c r="BS106" s="1353">
        <f>BF106+BJ106+BN106</f>
        <v>463</v>
      </c>
      <c r="BT106" s="584">
        <f>BG106+BK106+BO106</f>
        <v>168</v>
      </c>
      <c r="BU106" s="924"/>
      <c r="BV106" s="1354"/>
      <c r="BW106" s="1355"/>
      <c r="BX106" s="1267"/>
      <c r="BY106" s="1268">
        <v>66</v>
      </c>
      <c r="BZ106" s="1272">
        <v>51</v>
      </c>
      <c r="CA106" s="1269"/>
      <c r="CB106" s="1267"/>
      <c r="CC106" s="1268">
        <v>458</v>
      </c>
      <c r="CD106" s="1276">
        <v>140</v>
      </c>
      <c r="CE106" s="1269"/>
      <c r="CF106" s="1267"/>
      <c r="CG106" s="1268">
        <v>308</v>
      </c>
      <c r="CH106" s="1276">
        <v>515</v>
      </c>
      <c r="CI106" s="1269"/>
      <c r="CJ106" s="1352">
        <f>BX106+CB106+CF106</f>
        <v>0</v>
      </c>
      <c r="CK106" s="1353"/>
      <c r="CL106" s="1353">
        <f>BY106+CC106+CG106</f>
        <v>832</v>
      </c>
      <c r="CM106" s="584">
        <f>BZ106+CD106+CH106</f>
        <v>706</v>
      </c>
      <c r="CN106" s="1356"/>
      <c r="CO106" s="1356"/>
      <c r="CP106" s="885"/>
      <c r="CQ106" s="573"/>
      <c r="CR106" s="572"/>
      <c r="CS106" s="572">
        <f>BS106+CL106</f>
        <v>1295</v>
      </c>
      <c r="CT106" s="584">
        <f>SUM(BT106,CM106)</f>
        <v>874</v>
      </c>
      <c r="CU106" s="1354"/>
      <c r="CV106" s="1354"/>
      <c r="CW106" s="885"/>
      <c r="CX106" s="820"/>
      <c r="CY106" s="821"/>
      <c r="CZ106" s="1247"/>
      <c r="DA106" s="587"/>
      <c r="DB106" s="587"/>
      <c r="DC106" s="516"/>
      <c r="DD106" s="493"/>
    </row>
    <row r="107" spans="1:108">
      <c r="A107" s="669" t="s">
        <v>161</v>
      </c>
      <c r="B107" s="664"/>
      <c r="C107" s="664"/>
      <c r="D107" s="665"/>
      <c r="E107" s="769"/>
      <c r="F107" s="895"/>
      <c r="G107" s="896"/>
      <c r="H107" s="812">
        <f>G108/F108</f>
        <v>1</v>
      </c>
      <c r="I107" s="769"/>
      <c r="J107" s="895"/>
      <c r="K107" s="896"/>
      <c r="L107" s="1093">
        <f>K108/J108</f>
        <v>2.0945945945945947</v>
      </c>
      <c r="M107" s="769"/>
      <c r="N107" s="895"/>
      <c r="O107" s="896"/>
      <c r="P107" s="1093">
        <f>O108/N108</f>
        <v>9.0144230769230768E-2</v>
      </c>
      <c r="Q107" s="769"/>
      <c r="R107" s="898"/>
      <c r="S107" s="899"/>
      <c r="T107" s="596"/>
      <c r="U107" s="1094">
        <f>T108/Q108</f>
        <v>2.8417508417508417</v>
      </c>
      <c r="V107" s="1070">
        <f>T108/R108</f>
        <v>2.8417508417508417</v>
      </c>
      <c r="W107" s="1068">
        <f>T108/S108</f>
        <v>0.25645700395016713</v>
      </c>
      <c r="X107" s="769"/>
      <c r="Y107" s="895"/>
      <c r="Z107" s="896"/>
      <c r="AA107" s="1093">
        <f>Z108/Y108</f>
        <v>0</v>
      </c>
      <c r="AB107" s="769"/>
      <c r="AC107" s="895"/>
      <c r="AD107" s="896"/>
      <c r="AE107" s="1095">
        <f>AD108/AC108</f>
        <v>5.3066666666666666</v>
      </c>
      <c r="AF107" s="769"/>
      <c r="AG107" s="895"/>
      <c r="AH107" s="896"/>
      <c r="AI107" s="1095">
        <f>AH108/AG108</f>
        <v>0.15533333333333332</v>
      </c>
      <c r="AJ107" s="684"/>
      <c r="AK107" s="898"/>
      <c r="AL107" s="899"/>
      <c r="AM107" s="596"/>
      <c r="AN107" s="1096">
        <f>AM108/AJ108</f>
        <v>3.3222222222222224</v>
      </c>
      <c r="AO107" s="1070">
        <f>AM108/AK108</f>
        <v>3.3222222222222224</v>
      </c>
      <c r="AP107" s="1083">
        <f>AM108/AL108</f>
        <v>0.31145833333333334</v>
      </c>
      <c r="AQ107" s="505"/>
      <c r="AR107" s="741"/>
      <c r="AS107" s="651"/>
      <c r="AT107" s="532"/>
      <c r="AU107" s="1070">
        <f>AT108/AQ108</f>
        <v>3.1311914323962515</v>
      </c>
      <c r="AV107" s="1070">
        <f>AT108/AR108</f>
        <v>3.1311914323962515</v>
      </c>
      <c r="AW107" s="1083">
        <f>AT108/AS108</f>
        <v>0.28908663947596097</v>
      </c>
      <c r="AX107" s="722"/>
      <c r="AY107" s="723"/>
      <c r="AZ107" s="723"/>
      <c r="BA107" s="556"/>
      <c r="BB107" s="556"/>
      <c r="BC107" s="556"/>
      <c r="BD107" s="556"/>
      <c r="BE107" s="695"/>
      <c r="BF107" s="837"/>
      <c r="BG107" s="838"/>
      <c r="BH107" s="1097">
        <f>BG108/BF108</f>
        <v>6.0578947368421052E-2</v>
      </c>
      <c r="BI107" s="695"/>
      <c r="BJ107" s="837"/>
      <c r="BK107" s="838"/>
      <c r="BL107" s="1097">
        <f>BK108/BJ108</f>
        <v>0.43357894736842106</v>
      </c>
      <c r="BM107" s="695"/>
      <c r="BN107" s="837"/>
      <c r="BO107" s="838"/>
      <c r="BP107" s="1098">
        <f>BO108/BN108</f>
        <v>1.7439593629873695</v>
      </c>
      <c r="BQ107" s="700"/>
      <c r="BR107" s="696"/>
      <c r="BS107" s="696"/>
      <c r="BT107" s="514"/>
      <c r="BU107" s="1094">
        <f>BT108/BQ108</f>
        <v>0.38757894736842108</v>
      </c>
      <c r="BV107" s="1100"/>
      <c r="BW107" s="1068">
        <f>BT108/BS108</f>
        <v>0.48785442982068722</v>
      </c>
      <c r="BX107" s="695"/>
      <c r="BY107" s="837"/>
      <c r="BZ107" s="838"/>
      <c r="CA107" s="1098">
        <f>BZ108/BY108</f>
        <v>0.69567748508222971</v>
      </c>
      <c r="CB107" s="695"/>
      <c r="CC107" s="837"/>
      <c r="CD107" s="840"/>
      <c r="CE107" s="1098">
        <f>CD108/CC108</f>
        <v>0.56640820410205106</v>
      </c>
      <c r="CF107" s="695"/>
      <c r="CG107" s="837"/>
      <c r="CH107" s="840"/>
      <c r="CI107" s="1098">
        <f>CH108/CG108</f>
        <v>2.1692</v>
      </c>
      <c r="CJ107" s="700"/>
      <c r="CK107" s="696"/>
      <c r="CL107" s="696"/>
      <c r="CM107" s="514"/>
      <c r="CN107" s="1096">
        <f>CM108/CJ108</f>
        <v>2.1488157894736841</v>
      </c>
      <c r="CO107" s="1096"/>
      <c r="CP107" s="1087">
        <f>CM108/CL108</f>
        <v>1.136449040375221</v>
      </c>
      <c r="CQ107" s="656"/>
      <c r="CR107" s="651"/>
      <c r="CS107" s="651"/>
      <c r="CT107" s="532"/>
      <c r="CU107" s="1076">
        <f>CT108/CQ108</f>
        <v>1.0920736842105263</v>
      </c>
      <c r="CV107" s="1076"/>
      <c r="CW107" s="1087">
        <f>CT108/CS108</f>
        <v>0.88570452896230845</v>
      </c>
      <c r="CX107" s="722"/>
      <c r="CY107" s="723"/>
      <c r="CZ107" s="556"/>
      <c r="DA107" s="556"/>
      <c r="DB107" s="556"/>
      <c r="DC107" s="556"/>
      <c r="DD107" s="556"/>
    </row>
    <row r="108" spans="1:108">
      <c r="A108" s="647" t="s">
        <v>374</v>
      </c>
      <c r="B108" s="661"/>
      <c r="C108" s="658"/>
      <c r="D108" s="668"/>
      <c r="E108" s="822">
        <v>99</v>
      </c>
      <c r="F108" s="887">
        <v>194</v>
      </c>
      <c r="G108" s="824">
        <v>194</v>
      </c>
      <c r="H108" s="825">
        <f>G108-F108</f>
        <v>0</v>
      </c>
      <c r="I108" s="822">
        <v>99</v>
      </c>
      <c r="J108" s="887">
        <v>185</v>
      </c>
      <c r="K108" s="824">
        <v>387.5</v>
      </c>
      <c r="L108" s="825">
        <f>K108-J108</f>
        <v>202.5</v>
      </c>
      <c r="M108" s="822">
        <v>99</v>
      </c>
      <c r="N108" s="887">
        <v>2912</v>
      </c>
      <c r="O108" s="824">
        <v>262.5</v>
      </c>
      <c r="P108" s="825">
        <f>O108-N108</f>
        <v>-2649.5</v>
      </c>
      <c r="Q108" s="827">
        <f>E108+I108+M108</f>
        <v>297</v>
      </c>
      <c r="R108" s="828">
        <v>297</v>
      </c>
      <c r="S108" s="714">
        <f>G108+J108+N108</f>
        <v>3291</v>
      </c>
      <c r="T108" s="520">
        <f>G108+K108+O108</f>
        <v>844</v>
      </c>
      <c r="U108" s="712">
        <f>T108-Q108</f>
        <v>547</v>
      </c>
      <c r="V108" s="711">
        <f t="shared" si="161"/>
        <v>547</v>
      </c>
      <c r="W108" s="716">
        <f>T108-S108</f>
        <v>-2447</v>
      </c>
      <c r="X108" s="822">
        <v>150</v>
      </c>
      <c r="Y108" s="887">
        <v>150</v>
      </c>
      <c r="Z108" s="824">
        <v>0</v>
      </c>
      <c r="AA108" s="825">
        <f>Z108-Y108</f>
        <v>-150</v>
      </c>
      <c r="AB108" s="822">
        <v>150</v>
      </c>
      <c r="AC108" s="887">
        <v>150</v>
      </c>
      <c r="AD108" s="824">
        <v>796</v>
      </c>
      <c r="AE108" s="825">
        <f>AD108-AC108</f>
        <v>646</v>
      </c>
      <c r="AF108" s="822">
        <v>150</v>
      </c>
      <c r="AG108" s="887">
        <v>4500</v>
      </c>
      <c r="AH108" s="824">
        <v>699</v>
      </c>
      <c r="AI108" s="825">
        <f>AH108-AG108</f>
        <v>-3801</v>
      </c>
      <c r="AJ108" s="713">
        <f>X108+AB108+AF108</f>
        <v>450</v>
      </c>
      <c r="AK108" s="828">
        <v>450</v>
      </c>
      <c r="AL108" s="714">
        <f>Y108+AC108+AG108</f>
        <v>4800</v>
      </c>
      <c r="AM108" s="520">
        <f>Z108+AD108+AH108</f>
        <v>1495</v>
      </c>
      <c r="AN108" s="739">
        <f>AM108-AJ108</f>
        <v>1045</v>
      </c>
      <c r="AO108" s="711">
        <f t="shared" si="162"/>
        <v>1045</v>
      </c>
      <c r="AP108" s="688">
        <f>AM108-AL108</f>
        <v>-3305</v>
      </c>
      <c r="AQ108" s="525">
        <f>SUM(Q108,AJ108)</f>
        <v>747</v>
      </c>
      <c r="AR108" s="720">
        <f>AK108+R108</f>
        <v>747</v>
      </c>
      <c r="AS108" s="605">
        <f>S108+AL108</f>
        <v>8091</v>
      </c>
      <c r="AT108" s="520">
        <f>SUM(T108,AM108)</f>
        <v>2339</v>
      </c>
      <c r="AU108" s="711">
        <f>AT108-AQ108</f>
        <v>1592</v>
      </c>
      <c r="AV108" s="711">
        <f t="shared" si="163"/>
        <v>1592</v>
      </c>
      <c r="AW108" s="688">
        <f>AT108-AS108</f>
        <v>-5752</v>
      </c>
      <c r="AX108" s="722">
        <f>AQ108/6</f>
        <v>124.5</v>
      </c>
      <c r="AY108" s="709">
        <f>AR108/6</f>
        <v>124.5</v>
      </c>
      <c r="AZ108" s="723">
        <f>AT108/6</f>
        <v>389.83333333333331</v>
      </c>
      <c r="BA108" s="1246">
        <f>AZ108/AX108</f>
        <v>3.1311914323962515</v>
      </c>
      <c r="BB108" s="493">
        <f>AZ108-AX108</f>
        <v>265.33333333333331</v>
      </c>
      <c r="BC108" s="516">
        <f>AZ108-AY108</f>
        <v>265.33333333333331</v>
      </c>
      <c r="BD108" s="493">
        <f>AW108/6</f>
        <v>-958.66666666666663</v>
      </c>
      <c r="BE108" s="822">
        <v>19000</v>
      </c>
      <c r="BF108" s="887">
        <v>19000</v>
      </c>
      <c r="BG108" s="824">
        <v>1151</v>
      </c>
      <c r="BH108" s="825">
        <f>BG108-BF108</f>
        <v>-17849</v>
      </c>
      <c r="BI108" s="822">
        <v>19000</v>
      </c>
      <c r="BJ108" s="887">
        <v>19000</v>
      </c>
      <c r="BK108" s="824">
        <v>8238</v>
      </c>
      <c r="BL108" s="825">
        <f>BK108-BJ108</f>
        <v>-10762</v>
      </c>
      <c r="BM108" s="822">
        <v>19000</v>
      </c>
      <c r="BN108" s="887">
        <v>7284</v>
      </c>
      <c r="BO108" s="824">
        <v>12703</v>
      </c>
      <c r="BP108" s="825">
        <f>BO108-BN108</f>
        <v>5419</v>
      </c>
      <c r="BQ108" s="713">
        <f>BE108+BI108+BM108</f>
        <v>57000</v>
      </c>
      <c r="BR108" s="714"/>
      <c r="BS108" s="714">
        <f>BF108+BJ108+BN108</f>
        <v>45284</v>
      </c>
      <c r="BT108" s="520">
        <f>BG108+BK108+BO108</f>
        <v>22092</v>
      </c>
      <c r="BU108" s="712">
        <f>BT108-BQ108</f>
        <v>-34908</v>
      </c>
      <c r="BV108" s="711"/>
      <c r="BW108" s="716">
        <f>BT108-BS108</f>
        <v>-23192</v>
      </c>
      <c r="BX108" s="822">
        <v>19000</v>
      </c>
      <c r="BY108" s="887">
        <v>6871</v>
      </c>
      <c r="BZ108" s="824">
        <v>4780</v>
      </c>
      <c r="CA108" s="825">
        <f>BZ108-BY108</f>
        <v>-2091</v>
      </c>
      <c r="CB108" s="822">
        <v>11400</v>
      </c>
      <c r="CC108" s="887">
        <v>39980</v>
      </c>
      <c r="CD108" s="826">
        <v>22645</v>
      </c>
      <c r="CE108" s="825">
        <f>CD108-CC108</f>
        <v>-17335</v>
      </c>
      <c r="CF108" s="822">
        <v>7600</v>
      </c>
      <c r="CG108" s="887">
        <v>25000</v>
      </c>
      <c r="CH108" s="826">
        <v>54230</v>
      </c>
      <c r="CI108" s="825">
        <f>CH108-CG108</f>
        <v>29230</v>
      </c>
      <c r="CJ108" s="713">
        <f>BX108+CB108+CF108</f>
        <v>38000</v>
      </c>
      <c r="CK108" s="714"/>
      <c r="CL108" s="714">
        <f>BY108+CC108+CG108</f>
        <v>71851</v>
      </c>
      <c r="CM108" s="520">
        <f>BZ108+CD108+CH108</f>
        <v>81655</v>
      </c>
      <c r="CN108" s="739">
        <f>CM108-CJ108</f>
        <v>43655</v>
      </c>
      <c r="CO108" s="739"/>
      <c r="CP108" s="688">
        <f>CM108-CL108</f>
        <v>9804</v>
      </c>
      <c r="CQ108" s="525">
        <f>SUM(BQ108,CJ108)</f>
        <v>95000</v>
      </c>
      <c r="CR108" s="605"/>
      <c r="CS108" s="605">
        <f>BS108+CL108</f>
        <v>117135</v>
      </c>
      <c r="CT108" s="520">
        <f>SUM(BT108,CM108)</f>
        <v>103747</v>
      </c>
      <c r="CU108" s="711">
        <f>CT108-CQ108</f>
        <v>8747</v>
      </c>
      <c r="CV108" s="711"/>
      <c r="CW108" s="688">
        <f>CT108-CS108</f>
        <v>-13388</v>
      </c>
      <c r="CX108" s="722">
        <f>CQ108/6</f>
        <v>15833.333333333334</v>
      </c>
      <c r="CY108" s="723">
        <f>CT108/6</f>
        <v>17291.166666666668</v>
      </c>
      <c r="CZ108" s="1389">
        <f>CY108/CX108</f>
        <v>1.0920736842105263</v>
      </c>
      <c r="DA108" s="556">
        <f>CY108-CX108</f>
        <v>1457.8333333333339</v>
      </c>
      <c r="DB108" s="556">
        <f>CW108/6</f>
        <v>-2231.3333333333335</v>
      </c>
      <c r="DC108" s="516"/>
      <c r="DD108" s="493"/>
    </row>
    <row r="109" spans="1:108">
      <c r="A109" s="664"/>
      <c r="B109" s="664"/>
      <c r="C109" s="664"/>
      <c r="D109" s="665"/>
      <c r="E109" s="695"/>
      <c r="F109" s="837"/>
      <c r="G109" s="838"/>
      <c r="H109" s="839">
        <f>G110/F110</f>
        <v>1.2655961387393553</v>
      </c>
      <c r="I109" s="695"/>
      <c r="J109" s="837"/>
      <c r="K109" s="838"/>
      <c r="L109" s="1097">
        <f>K110/J110</f>
        <v>1.0708807744350135</v>
      </c>
      <c r="M109" s="695"/>
      <c r="N109" s="837"/>
      <c r="O109" s="838"/>
      <c r="P109" s="1097">
        <f>O110/N110</f>
        <v>1.0542244930533025</v>
      </c>
      <c r="Q109" s="841"/>
      <c r="R109" s="842"/>
      <c r="S109" s="843"/>
      <c r="T109" s="532"/>
      <c r="U109" s="1094">
        <f>T110/Q110</f>
        <v>1.4853022580195197</v>
      </c>
      <c r="V109" s="1070">
        <f>T110/R110</f>
        <v>1.2948641962123251</v>
      </c>
      <c r="W109" s="1068">
        <f>T110/S110</f>
        <v>1.0418331684799598</v>
      </c>
      <c r="X109" s="695"/>
      <c r="Y109" s="837"/>
      <c r="Z109" s="838"/>
      <c r="AA109" s="1097">
        <f>Z110/Y110</f>
        <v>1.0721115968473114</v>
      </c>
      <c r="AB109" s="695"/>
      <c r="AC109" s="837"/>
      <c r="AD109" s="838"/>
      <c r="AE109" s="1098">
        <f>AD110/AC110</f>
        <v>0.99873303443346984</v>
      </c>
      <c r="AF109" s="695"/>
      <c r="AG109" s="837"/>
      <c r="AH109" s="838"/>
      <c r="AI109" s="1098">
        <f>AH110/AG110</f>
        <v>1.0564076301271463</v>
      </c>
      <c r="AJ109" s="771"/>
      <c r="AK109" s="842"/>
      <c r="AL109" s="843"/>
      <c r="AM109" s="532"/>
      <c r="AN109" s="1096">
        <f>AM110/AJ110</f>
        <v>1.2949100047885826</v>
      </c>
      <c r="AO109" s="1070">
        <f>AM110/AK110</f>
        <v>1.1978998865473889</v>
      </c>
      <c r="AP109" s="1087">
        <f>AM110/AL110</f>
        <v>1.0434222592830527</v>
      </c>
      <c r="AQ109" s="563"/>
      <c r="AR109" s="772"/>
      <c r="AS109" s="606"/>
      <c r="AT109" s="532"/>
      <c r="AU109" s="1070">
        <f>AT110/AQ110</f>
        <v>1.3925247556880955</v>
      </c>
      <c r="AV109" s="1070">
        <f>AT110/AR110</f>
        <v>1.2490498775757428</v>
      </c>
      <c r="AW109" s="1083">
        <f>AT110/AS110</f>
        <v>1.0425526450840901</v>
      </c>
      <c r="AX109" s="722"/>
      <c r="AY109" s="723"/>
      <c r="AZ109" s="723"/>
      <c r="BA109" s="556"/>
      <c r="BB109" s="556"/>
      <c r="BC109" s="556"/>
      <c r="BD109" s="556"/>
      <c r="BE109" s="695"/>
      <c r="BF109" s="837"/>
      <c r="BG109" s="838"/>
      <c r="BH109" s="1097">
        <f>BG110/BF110</f>
        <v>0.82581086196853659</v>
      </c>
      <c r="BI109" s="695"/>
      <c r="BJ109" s="837"/>
      <c r="BK109" s="838"/>
      <c r="BL109" s="1097">
        <f>BK110/BJ110</f>
        <v>0.93978097038822528</v>
      </c>
      <c r="BM109" s="695"/>
      <c r="BN109" s="837"/>
      <c r="BO109" s="838"/>
      <c r="BP109" s="1093">
        <f>BO110/BN110</f>
        <v>0.90670117746177381</v>
      </c>
      <c r="BQ109" s="771"/>
      <c r="BR109" s="843"/>
      <c r="BS109" s="843"/>
      <c r="BT109" s="532"/>
      <c r="BU109" s="1094">
        <f>BT110/BQ110</f>
        <v>0.85684097561453321</v>
      </c>
      <c r="BV109" s="1100"/>
      <c r="BW109" s="1068">
        <f>BT110/BS110</f>
        <v>0.88737162736713993</v>
      </c>
      <c r="BX109" s="695"/>
      <c r="BY109" s="837"/>
      <c r="BZ109" s="838"/>
      <c r="CA109" s="1093">
        <f>BZ110/BY110</f>
        <v>1.0108589364872802</v>
      </c>
      <c r="CB109" s="695"/>
      <c r="CC109" s="837"/>
      <c r="CD109" s="840"/>
      <c r="CE109" s="1098">
        <f>CD110/CC110</f>
        <v>0.7201558733926321</v>
      </c>
      <c r="CF109" s="695"/>
      <c r="CG109" s="837"/>
      <c r="CH109" s="840"/>
      <c r="CI109" s="1098">
        <f>CH110/CG110</f>
        <v>0.78479892761394099</v>
      </c>
      <c r="CJ109" s="771"/>
      <c r="CK109" s="843"/>
      <c r="CL109" s="843"/>
      <c r="CM109" s="532"/>
      <c r="CN109" s="1096">
        <f>CM110/CJ110</f>
        <v>0.96757861785333621</v>
      </c>
      <c r="CO109" s="1096"/>
      <c r="CP109" s="1087">
        <f>CM110/CL110</f>
        <v>0.84220044448921239</v>
      </c>
      <c r="CQ109" s="563"/>
      <c r="CR109" s="606"/>
      <c r="CS109" s="606"/>
      <c r="CT109" s="532"/>
      <c r="CU109" s="1070">
        <f>CT110/CQ110</f>
        <v>0.90982247627601232</v>
      </c>
      <c r="CV109" s="1070"/>
      <c r="CW109" s="1083">
        <f>CT110/CS110</f>
        <v>0.86379850931855329</v>
      </c>
      <c r="CX109" s="722"/>
      <c r="CY109" s="723"/>
      <c r="CZ109" s="556"/>
      <c r="DA109" s="556"/>
      <c r="DB109" s="556"/>
      <c r="DC109" s="556"/>
      <c r="DD109" s="556"/>
    </row>
    <row r="110" spans="1:108" ht="16.5" thickBot="1">
      <c r="A110" s="661" t="s">
        <v>375</v>
      </c>
      <c r="B110" s="661"/>
      <c r="C110" s="997"/>
      <c r="D110" s="995"/>
      <c r="E110" s="902">
        <f>E77+E81+E93+E100+E102+E105+E108</f>
        <v>353899</v>
      </c>
      <c r="F110" s="903">
        <f>F77+F81+F93+F100+F102+F105+F108</f>
        <v>414994</v>
      </c>
      <c r="G110" s="904">
        <f>G77+G81+G93+G100+G102+G105+G108</f>
        <v>525214.804</v>
      </c>
      <c r="H110" s="905">
        <f>G110-F110</f>
        <v>110220.804</v>
      </c>
      <c r="I110" s="902">
        <f>I77+I81+I93+I100+I102+I105+I108</f>
        <v>381799</v>
      </c>
      <c r="J110" s="903">
        <f>J77+J81+J93+J100+J102+J105+J108</f>
        <v>523685</v>
      </c>
      <c r="K110" s="904">
        <f>K77+K81+K93+K100+K102+K105+K108</f>
        <v>560804.19836000004</v>
      </c>
      <c r="L110" s="905">
        <f>K110-J110</f>
        <v>37119.198360000039</v>
      </c>
      <c r="M110" s="902">
        <f>M77+M81+M93+M100+M102+M105+M108</f>
        <v>382667</v>
      </c>
      <c r="N110" s="903">
        <f>N77+N81+N93+N100+N102+N105+N108</f>
        <v>545511</v>
      </c>
      <c r="O110" s="904">
        <f>O77+O81+O93+O100+O102+O105+O108</f>
        <v>575091.05743000004</v>
      </c>
      <c r="P110" s="905">
        <f>O110-N110</f>
        <v>29580.057430000044</v>
      </c>
      <c r="Q110" s="902">
        <f>Q77+Q81+Q93+Q100+Q102+Q105+Q108</f>
        <v>1118365</v>
      </c>
      <c r="R110" s="907">
        <f>R77+R81+R93+R100+R102+R105+R108</f>
        <v>1282845</v>
      </c>
      <c r="S110" s="908">
        <f>S77+S81+S93+S100+S102+S105+S108</f>
        <v>1594410.804</v>
      </c>
      <c r="T110" s="746">
        <f>T77+T81+T93+T100+T102+T105+T108</f>
        <v>1661110.0597900001</v>
      </c>
      <c r="U110" s="746">
        <f>T110-Q110</f>
        <v>542745.05979000009</v>
      </c>
      <c r="V110" s="745">
        <f>T110-R110</f>
        <v>378265.05979000009</v>
      </c>
      <c r="W110" s="748">
        <f>T110-S110</f>
        <v>66699.255790000083</v>
      </c>
      <c r="X110" s="902">
        <f>X77+X81+X93+X100+X102+X105+X108</f>
        <v>364117</v>
      </c>
      <c r="Y110" s="903">
        <f>Y77+Y81+Y93+Y100+Y102+Y105+Y108</f>
        <v>481687.15600000002</v>
      </c>
      <c r="Z110" s="904">
        <f>Z77+Z81+Z93+Z100+Z102+Z105+Z108</f>
        <v>516422.386</v>
      </c>
      <c r="AA110" s="905">
        <f>AA77+AA81+AA93+AA100+AA102+AA105+AA108</f>
        <v>34735.23000000001</v>
      </c>
      <c r="AB110" s="902">
        <f t="shared" ref="AB110:AZ110" si="200">AB77+AB81+AB93+AB100+AB102+AB105+AB108</f>
        <v>361205</v>
      </c>
      <c r="AC110" s="903">
        <f t="shared" si="200"/>
        <v>428159</v>
      </c>
      <c r="AD110" s="904">
        <f t="shared" si="200"/>
        <v>427616.53729000001</v>
      </c>
      <c r="AE110" s="905">
        <f>AE77+AE81+AE93+AE100+AE102+AE105+AE108</f>
        <v>-542.46271000000161</v>
      </c>
      <c r="AF110" s="902">
        <f>AF77+AF81+AF93+AF100+AF102+AF105+AF108</f>
        <v>337623</v>
      </c>
      <c r="AG110" s="903">
        <f>AG77+AG81+AG93+AG100+AG102+AG105+AG108</f>
        <v>409292</v>
      </c>
      <c r="AH110" s="904">
        <f>AH77+AH81+AH93+AH100+AH102+AH105+AH108</f>
        <v>432379.19175</v>
      </c>
      <c r="AI110" s="905">
        <f>AI77+AI81+AI93+AI100+AI102+AI105+AI108</f>
        <v>23087.191749999994</v>
      </c>
      <c r="AJ110" s="744">
        <f t="shared" si="200"/>
        <v>1062945</v>
      </c>
      <c r="AK110" s="907">
        <f>AK77+AK81+AK93+AK100+AK102+AK105+AK108</f>
        <v>1149026</v>
      </c>
      <c r="AL110" s="747">
        <f>AL77+AL81+AL93+AL100+AL102+AL105+AL108</f>
        <v>1319138.1560000002</v>
      </c>
      <c r="AM110" s="746">
        <f>AM77+AM81+AM93+AM100+AM102+AM105+AM108</f>
        <v>1376418.1150400001</v>
      </c>
      <c r="AN110" s="747">
        <f t="shared" si="200"/>
        <v>313473.11503999995</v>
      </c>
      <c r="AO110" s="745">
        <f>AM110-AK110</f>
        <v>227392.11504000006</v>
      </c>
      <c r="AP110" s="909">
        <f t="shared" si="200"/>
        <v>57279.959039999929</v>
      </c>
      <c r="AQ110" s="588">
        <f t="shared" si="200"/>
        <v>2181310</v>
      </c>
      <c r="AR110" s="746">
        <f>AR77+AR81+AR93+AR100+AR102+AR105+AR108</f>
        <v>2431871</v>
      </c>
      <c r="AS110" s="589">
        <f t="shared" si="200"/>
        <v>2913548.96</v>
      </c>
      <c r="AT110" s="541">
        <f t="shared" si="200"/>
        <v>3037528.1748299995</v>
      </c>
      <c r="AU110" s="540">
        <f t="shared" si="200"/>
        <v>856218.17483000015</v>
      </c>
      <c r="AV110" s="745">
        <f>AT110-AR110</f>
        <v>605657.17482999945</v>
      </c>
      <c r="AW110" s="909">
        <f t="shared" si="200"/>
        <v>123979.21483000001</v>
      </c>
      <c r="AX110" s="722">
        <f t="shared" si="200"/>
        <v>363551.66666666669</v>
      </c>
      <c r="AY110" s="709">
        <f>AR110/6</f>
        <v>405311.83333333331</v>
      </c>
      <c r="AZ110" s="723">
        <f t="shared" si="200"/>
        <v>506254.69580500002</v>
      </c>
      <c r="BA110" s="829">
        <f>AZ110/AX110</f>
        <v>1.3925247556880958</v>
      </c>
      <c r="BB110" s="493">
        <f>AZ110-AX110</f>
        <v>142703.02913833334</v>
      </c>
      <c r="BC110" s="516">
        <f>AZ110-AY110</f>
        <v>100942.86247166671</v>
      </c>
      <c r="BD110" s="493">
        <f>AW110/6</f>
        <v>20663.202471666667</v>
      </c>
      <c r="BE110" s="902">
        <f>BE77+BE81+BE93+BE100+BE102+BE105+BE108</f>
        <v>441831</v>
      </c>
      <c r="BF110" s="903">
        <f>BF77+BF81+BF93+BF100+BF102+BF105+BF108</f>
        <v>446362</v>
      </c>
      <c r="BG110" s="904">
        <f>BG77+BG81+BG93+BG100+BG102+BG105+BG108</f>
        <v>368610.58796999994</v>
      </c>
      <c r="BH110" s="905">
        <f>BG110-BF110</f>
        <v>-77751.412030000065</v>
      </c>
      <c r="BI110" s="902">
        <f>BI77+BI81+BI93+BI100+BI102+BI105+BI108</f>
        <v>406321</v>
      </c>
      <c r="BJ110" s="903">
        <f>BJ77+BJ81+BJ93+BJ100+BJ102+BJ105+BJ108</f>
        <v>371305</v>
      </c>
      <c r="BK110" s="904">
        <f>BK77+BK81+BK93+BK100+BK102+BK105+BK108</f>
        <v>348945.37320999999</v>
      </c>
      <c r="BL110" s="905">
        <f>BK110-BJ110</f>
        <v>-22359.626790000009</v>
      </c>
      <c r="BM110" s="902">
        <f>BM77+BM81+BM93+BM100+BM102+BM105+BM108</f>
        <v>428264</v>
      </c>
      <c r="BN110" s="903">
        <f>BN77+BN81+BN93+BN100+BN102+BN105+BN108</f>
        <v>414833</v>
      </c>
      <c r="BO110" s="904">
        <f>BO77+BO81+BO93+BO100+BO102+BO105+BO108</f>
        <v>376129.56955000001</v>
      </c>
      <c r="BP110" s="905">
        <f>BO110-BN110</f>
        <v>-38703.430449999985</v>
      </c>
      <c r="BQ110" s="744">
        <f>BQ77+BQ81+BQ93+BQ100+BQ102+BQ105+BQ108</f>
        <v>1276416</v>
      </c>
      <c r="BR110" s="908"/>
      <c r="BS110" s="746">
        <f>BS77+BS81+BS93+BS100+BS102+BS105+BS108</f>
        <v>1232500</v>
      </c>
      <c r="BT110" s="746">
        <f>BT77+BT81+BT93+BT100+BT102+BT105+BT108</f>
        <v>1093685.53073</v>
      </c>
      <c r="BU110" s="746">
        <f>BT110-BQ110</f>
        <v>-182730.46927</v>
      </c>
      <c r="BV110" s="745"/>
      <c r="BW110" s="748">
        <f>BT110-BS110</f>
        <v>-138814.46927</v>
      </c>
      <c r="BX110" s="902">
        <f t="shared" ref="BX110:CW110" si="201">BX77+BX81+BX93+BX100+BX102+BX105+BX108</f>
        <v>439963</v>
      </c>
      <c r="BY110" s="903">
        <f t="shared" si="201"/>
        <v>481809</v>
      </c>
      <c r="BZ110" s="904">
        <f t="shared" si="201"/>
        <v>487040.93332999997</v>
      </c>
      <c r="CA110" s="905">
        <f t="shared" si="201"/>
        <v>5036.7333299999718</v>
      </c>
      <c r="CB110" s="902">
        <f t="shared" si="201"/>
        <v>384643</v>
      </c>
      <c r="CC110" s="903">
        <f t="shared" si="201"/>
        <v>490398</v>
      </c>
      <c r="CD110" s="906">
        <f t="shared" si="201"/>
        <v>353163</v>
      </c>
      <c r="CE110" s="905">
        <f t="shared" si="201"/>
        <v>-137235</v>
      </c>
      <c r="CF110" s="902">
        <f t="shared" si="201"/>
        <v>346290</v>
      </c>
      <c r="CG110" s="903">
        <f t="shared" si="201"/>
        <v>373000</v>
      </c>
      <c r="CH110" s="906">
        <f t="shared" si="201"/>
        <v>292730</v>
      </c>
      <c r="CI110" s="905">
        <f t="shared" si="201"/>
        <v>-80270</v>
      </c>
      <c r="CJ110" s="744">
        <f t="shared" si="201"/>
        <v>1170896</v>
      </c>
      <c r="CK110" s="747"/>
      <c r="CL110" s="747">
        <f t="shared" si="201"/>
        <v>1345207</v>
      </c>
      <c r="CM110" s="746">
        <f t="shared" si="201"/>
        <v>1132933.9333299999</v>
      </c>
      <c r="CN110" s="747">
        <f t="shared" si="201"/>
        <v>-37962.06667</v>
      </c>
      <c r="CO110" s="747"/>
      <c r="CP110" s="909">
        <f t="shared" si="201"/>
        <v>-212273.06667</v>
      </c>
      <c r="CQ110" s="588">
        <f t="shared" si="201"/>
        <v>2447312</v>
      </c>
      <c r="CR110" s="589"/>
      <c r="CS110" s="589">
        <f t="shared" si="201"/>
        <v>2577707</v>
      </c>
      <c r="CT110" s="541">
        <f t="shared" si="201"/>
        <v>2226619.4640600001</v>
      </c>
      <c r="CU110" s="540">
        <f t="shared" si="201"/>
        <v>-220692.53594000012</v>
      </c>
      <c r="CV110" s="540"/>
      <c r="CW110" s="909">
        <f t="shared" si="201"/>
        <v>-351087.53594000015</v>
      </c>
      <c r="CX110" s="722">
        <f>CQ110/6</f>
        <v>407885.33333333331</v>
      </c>
      <c r="CY110" s="723">
        <f>CY77+CY81+CY93+CY100+CY102+CY105+CY108</f>
        <v>371103.24401000002</v>
      </c>
      <c r="CZ110" s="829">
        <f>CY110/CX110</f>
        <v>0.90982247627601232</v>
      </c>
      <c r="DA110" s="556">
        <f>CY110-CX110</f>
        <v>-36782.08932333329</v>
      </c>
      <c r="DB110" s="556">
        <f>CW110/6</f>
        <v>-58514.589323333355</v>
      </c>
      <c r="DC110" s="516"/>
      <c r="DD110" s="493"/>
    </row>
    <row r="111" spans="1:108">
      <c r="A111" s="989"/>
      <c r="B111" s="989"/>
      <c r="C111" s="989"/>
      <c r="D111" s="989"/>
      <c r="E111" s="697"/>
      <c r="F111" s="697"/>
      <c r="G111" s="697"/>
      <c r="H111" s="697"/>
      <c r="L111" s="697"/>
      <c r="P111" s="697"/>
      <c r="Q111" s="544">
        <f>Q110/3</f>
        <v>372788.33333333331</v>
      </c>
      <c r="R111" s="544"/>
      <c r="S111" s="544">
        <f>S110/3</f>
        <v>531470.26800000004</v>
      </c>
      <c r="T111" s="544">
        <f>T110/3</f>
        <v>553703.35326333332</v>
      </c>
      <c r="U111" s="544">
        <f>U110/3</f>
        <v>180915.01993000004</v>
      </c>
      <c r="V111" s="544"/>
      <c r="W111" s="544">
        <f>W110/3</f>
        <v>22233.08526333336</v>
      </c>
      <c r="AA111" s="697"/>
      <c r="AJ111" s="544">
        <f>AJ110/3</f>
        <v>354315</v>
      </c>
      <c r="AK111" s="544">
        <f>AK110/3</f>
        <v>383008.66666666669</v>
      </c>
      <c r="AL111" s="544">
        <f>AL110/3</f>
        <v>439712.71866666671</v>
      </c>
      <c r="AM111" s="544">
        <f>AM110/3</f>
        <v>458806.03834666667</v>
      </c>
      <c r="AN111" s="544"/>
      <c r="AO111" s="544"/>
      <c r="AQ111" s="544">
        <f>AQ110/6</f>
        <v>363551.66666666669</v>
      </c>
      <c r="AR111" s="723">
        <f>AR110/6</f>
        <v>405311.83333333331</v>
      </c>
      <c r="AS111" s="544">
        <f>AS110/6</f>
        <v>485591.49333333335</v>
      </c>
      <c r="AT111" s="544">
        <f>AT110/6</f>
        <v>506254.69580499991</v>
      </c>
      <c r="AV111" s="544"/>
      <c r="AX111" s="697"/>
      <c r="AY111" s="697"/>
      <c r="AZ111" s="697"/>
      <c r="BL111" s="697"/>
      <c r="BQ111" s="544">
        <f>BQ110/3</f>
        <v>425472</v>
      </c>
      <c r="BR111" s="544"/>
      <c r="BS111" s="544">
        <f>BS110/3</f>
        <v>410833.33333333331</v>
      </c>
      <c r="BT111" s="544">
        <f>BT110/3</f>
        <v>364561.84357666667</v>
      </c>
      <c r="BU111" s="544">
        <f>BU110/3</f>
        <v>-60910.156423333334</v>
      </c>
      <c r="BV111" s="544"/>
      <c r="BW111" s="544">
        <f>BW110/3</f>
        <v>-46271.48975666667</v>
      </c>
      <c r="CF111" s="697"/>
      <c r="CH111" s="697"/>
      <c r="CI111" s="697"/>
      <c r="CJ111" s="544">
        <f>CJ110/3</f>
        <v>390298.66666666669</v>
      </c>
      <c r="CK111" s="544"/>
      <c r="CL111" s="544">
        <f>CL110/3</f>
        <v>448402.33333333331</v>
      </c>
      <c r="CM111" s="544">
        <f>CM110/3</f>
        <v>377644.64444333332</v>
      </c>
      <c r="CN111" s="544"/>
      <c r="CO111" s="544"/>
      <c r="CP111" s="697"/>
      <c r="CQ111" s="544">
        <f>CQ110/6</f>
        <v>407885.33333333331</v>
      </c>
      <c r="CR111" s="544"/>
      <c r="CS111" s="544">
        <f>CS110/6</f>
        <v>429617.83333333331</v>
      </c>
      <c r="CT111" s="544">
        <f>CT110/6</f>
        <v>371103.24401000002</v>
      </c>
      <c r="CU111" s="655"/>
      <c r="CV111" s="655"/>
      <c r="CW111" s="697"/>
      <c r="CX111" s="697"/>
      <c r="CY111" s="723"/>
      <c r="CZ111" s="556"/>
      <c r="DA111" s="556"/>
      <c r="DB111" s="556"/>
      <c r="DC111" s="493"/>
      <c r="DD111" s="493"/>
    </row>
    <row r="112" spans="1:108" ht="20.25" thickBot="1">
      <c r="A112" s="1006" t="s">
        <v>376</v>
      </c>
      <c r="B112" s="1007"/>
      <c r="C112" s="1008"/>
      <c r="D112" s="1008"/>
      <c r="E112" s="697"/>
      <c r="F112" s="777"/>
      <c r="G112" s="777"/>
      <c r="H112" s="777"/>
      <c r="J112" s="777"/>
      <c r="K112" s="777"/>
      <c r="L112" s="777"/>
      <c r="N112" s="777"/>
      <c r="O112" s="777"/>
      <c r="P112" s="777"/>
      <c r="Q112" s="494"/>
      <c r="R112" s="494"/>
      <c r="S112" s="494"/>
      <c r="T112" s="657"/>
      <c r="U112" s="657"/>
      <c r="V112" s="657"/>
      <c r="W112" s="777"/>
      <c r="Y112" s="777"/>
      <c r="Z112" s="777"/>
      <c r="AA112" s="777"/>
      <c r="AC112" s="777"/>
      <c r="AD112" s="777"/>
      <c r="AE112" s="777"/>
      <c r="AG112" s="777"/>
      <c r="AH112" s="777"/>
      <c r="AI112" s="777"/>
      <c r="AJ112" s="494"/>
      <c r="AK112" s="494"/>
      <c r="AL112" s="494"/>
      <c r="AM112" s="657"/>
      <c r="AN112" s="657"/>
      <c r="AO112" s="657"/>
      <c r="AP112" s="777"/>
      <c r="AQ112" s="749"/>
      <c r="AR112" s="749"/>
      <c r="AT112" s="749"/>
      <c r="AU112" s="564"/>
      <c r="AV112" s="657"/>
      <c r="AW112" s="750" t="s">
        <v>179</v>
      </c>
      <c r="AX112" s="697"/>
      <c r="AY112" s="697"/>
      <c r="BF112" s="777"/>
      <c r="BG112" s="777"/>
      <c r="BH112" s="564"/>
      <c r="BJ112" s="777"/>
      <c r="BK112" s="777"/>
      <c r="BL112" s="777"/>
      <c r="BN112" s="777"/>
      <c r="BO112" s="777"/>
      <c r="BP112" s="564"/>
      <c r="BQ112" s="494"/>
      <c r="BR112" s="494"/>
      <c r="BS112" s="494"/>
      <c r="BT112" s="657"/>
      <c r="BU112" s="657"/>
      <c r="BV112" s="657"/>
      <c r="BW112" s="777"/>
      <c r="BY112" s="777"/>
      <c r="BZ112" s="777"/>
      <c r="CA112" s="777"/>
      <c r="CC112" s="777"/>
      <c r="CD112" s="777"/>
      <c r="CE112" s="777"/>
      <c r="CF112" s="697"/>
      <c r="CG112" s="777"/>
      <c r="CH112" s="777"/>
      <c r="CI112" s="777"/>
      <c r="CJ112" s="494"/>
      <c r="CK112" s="494"/>
      <c r="CL112" s="494"/>
      <c r="CM112" s="657"/>
      <c r="CN112" s="657"/>
      <c r="CO112" s="657"/>
      <c r="CP112" s="777"/>
      <c r="CQ112" s="749"/>
      <c r="CR112" s="749"/>
      <c r="CS112" s="655"/>
      <c r="CT112" s="749"/>
      <c r="CU112" s="564"/>
      <c r="CV112" s="564"/>
      <c r="CW112" s="750" t="s">
        <v>179</v>
      </c>
      <c r="CX112" s="697"/>
      <c r="CY112" s="1425">
        <f ca="1">NOW()</f>
        <v>43109.693275578706</v>
      </c>
      <c r="CZ112" s="1425"/>
      <c r="DA112" s="1425"/>
      <c r="DB112" s="1425"/>
      <c r="DC112" s="493"/>
      <c r="DD112" s="493"/>
    </row>
    <row r="113" spans="1:108" ht="16.5" thickBot="1">
      <c r="A113" s="991"/>
      <c r="B113" s="991"/>
      <c r="C113" s="991"/>
      <c r="D113" s="617"/>
      <c r="E113" s="1403" t="str">
        <f>E3</f>
        <v>17/3</v>
      </c>
      <c r="F113" s="1404"/>
      <c r="G113" s="1406"/>
      <c r="H113" s="1405">
        <v>0</v>
      </c>
      <c r="I113" s="1403" t="str">
        <f>I3</f>
        <v>17/4</v>
      </c>
      <c r="J113" s="1404"/>
      <c r="K113" s="1406"/>
      <c r="L113" s="1405">
        <v>0</v>
      </c>
      <c r="M113" s="1403" t="str">
        <f>M3</f>
        <v>17/5</v>
      </c>
      <c r="N113" s="1404"/>
      <c r="O113" s="1406"/>
      <c r="P113" s="1405">
        <v>0</v>
      </c>
      <c r="Q113" s="1403" t="str">
        <f>Q3</f>
        <v>17/3-17/5累計</v>
      </c>
      <c r="R113" s="1404"/>
      <c r="S113" s="1404"/>
      <c r="T113" s="1406"/>
      <c r="U113" s="1404"/>
      <c r="V113" s="1404"/>
      <c r="W113" s="1405"/>
      <c r="X113" s="1403" t="str">
        <f>X3</f>
        <v>17/6</v>
      </c>
      <c r="Y113" s="1404"/>
      <c r="Z113" s="1406"/>
      <c r="AA113" s="1405">
        <v>0</v>
      </c>
      <c r="AB113" s="1403" t="str">
        <f>AB3</f>
        <v>17/7</v>
      </c>
      <c r="AC113" s="1404"/>
      <c r="AD113" s="1406"/>
      <c r="AE113" s="1405">
        <v>0</v>
      </c>
      <c r="AF113" s="1403" t="str">
        <f>AF3</f>
        <v>17/8</v>
      </c>
      <c r="AG113" s="1404"/>
      <c r="AH113" s="1404"/>
      <c r="AI113" s="1405">
        <v>0</v>
      </c>
      <c r="AJ113" s="1403" t="str">
        <f>AJ3</f>
        <v>17/6-17/8累計</v>
      </c>
      <c r="AK113" s="1404"/>
      <c r="AL113" s="1404"/>
      <c r="AM113" s="1406"/>
      <c r="AN113" s="1404"/>
      <c r="AO113" s="1404"/>
      <c r="AP113" s="1405"/>
      <c r="AQ113" s="1407" t="str">
        <f>AQ3</f>
        <v>17/上(17/3-17/8)累計</v>
      </c>
      <c r="AR113" s="1408"/>
      <c r="AS113" s="1408"/>
      <c r="AT113" s="1408"/>
      <c r="AU113" s="1408"/>
      <c r="AV113" s="1408"/>
      <c r="AW113" s="1409"/>
      <c r="AX113" s="674"/>
      <c r="AY113" s="675"/>
      <c r="AZ113" s="676"/>
      <c r="BA113" s="495"/>
      <c r="BB113" s="495"/>
      <c r="BC113" s="495"/>
      <c r="BD113" s="495"/>
      <c r="BE113" s="1403" t="str">
        <f>BE3</f>
        <v>17/9</v>
      </c>
      <c r="BF113" s="1406"/>
      <c r="BG113" s="1406"/>
      <c r="BH113" s="1405">
        <v>0</v>
      </c>
      <c r="BI113" s="1403" t="str">
        <f>BI3</f>
        <v>17/10</v>
      </c>
      <c r="BJ113" s="1404"/>
      <c r="BK113" s="1406"/>
      <c r="BL113" s="1405">
        <v>0</v>
      </c>
      <c r="BM113" s="1403" t="str">
        <f>BM3</f>
        <v>17/11</v>
      </c>
      <c r="BN113" s="1404"/>
      <c r="BO113" s="1406"/>
      <c r="BP113" s="1405">
        <v>0</v>
      </c>
      <c r="BQ113" s="1403" t="str">
        <f>BQ3</f>
        <v>17/9-17/11累計</v>
      </c>
      <c r="BR113" s="1404"/>
      <c r="BS113" s="1404"/>
      <c r="BT113" s="1406"/>
      <c r="BU113" s="1404"/>
      <c r="BV113" s="1404"/>
      <c r="BW113" s="1405"/>
      <c r="BX113" s="1403" t="str">
        <f>BX3</f>
        <v>17/12</v>
      </c>
      <c r="BY113" s="1404"/>
      <c r="BZ113" s="1406"/>
      <c r="CA113" s="1405">
        <v>0</v>
      </c>
      <c r="CB113" s="1403" t="str">
        <f>CB3</f>
        <v>18/1</v>
      </c>
      <c r="CC113" s="1404"/>
      <c r="CD113" s="1406"/>
      <c r="CE113" s="1405">
        <v>0</v>
      </c>
      <c r="CF113" s="1403" t="str">
        <f>CF3</f>
        <v>18/2</v>
      </c>
      <c r="CG113" s="1404"/>
      <c r="CH113" s="1406"/>
      <c r="CI113" s="1405">
        <v>0</v>
      </c>
      <c r="CJ113" s="1403" t="str">
        <f>CJ3</f>
        <v>17/12-18/2累計</v>
      </c>
      <c r="CK113" s="1404"/>
      <c r="CL113" s="1404"/>
      <c r="CM113" s="1406"/>
      <c r="CN113" s="1404"/>
      <c r="CO113" s="1404"/>
      <c r="CP113" s="1405"/>
      <c r="CQ113" s="1407" t="str">
        <f>CQ3</f>
        <v>17/下(17/12-18/2)累計</v>
      </c>
      <c r="CR113" s="1408"/>
      <c r="CS113" s="1408"/>
      <c r="CT113" s="1408"/>
      <c r="CU113" s="1408"/>
      <c r="CV113" s="1408"/>
      <c r="CW113" s="1409"/>
      <c r="CX113" s="674"/>
      <c r="CY113" s="675"/>
      <c r="CZ113" s="1383"/>
      <c r="DA113" s="1383"/>
      <c r="DB113" s="1387"/>
      <c r="DC113" s="495"/>
      <c r="DD113" s="495"/>
    </row>
    <row r="114" spans="1:108" ht="16.5" thickTop="1">
      <c r="A114" s="491"/>
      <c r="B114" s="491"/>
      <c r="C114" s="491"/>
      <c r="D114" s="652"/>
      <c r="E114" s="910" t="s">
        <v>168</v>
      </c>
      <c r="F114" s="779" t="str">
        <f>F4</f>
        <v>今回計画</v>
      </c>
      <c r="G114" s="780" t="str">
        <f>G4</f>
        <v>実績</v>
      </c>
      <c r="H114" s="911" t="s">
        <v>170</v>
      </c>
      <c r="I114" s="910" t="s">
        <v>168</v>
      </c>
      <c r="J114" s="779" t="str">
        <f>J4</f>
        <v>前回計画</v>
      </c>
      <c r="K114" s="780" t="str">
        <f>K4</f>
        <v>実績</v>
      </c>
      <c r="L114" s="911" t="s">
        <v>170</v>
      </c>
      <c r="M114" s="910" t="s">
        <v>168</v>
      </c>
      <c r="N114" s="779" t="str">
        <f>N4</f>
        <v>前回計画</v>
      </c>
      <c r="O114" s="780" t="str">
        <f>O4</f>
        <v>実績</v>
      </c>
      <c r="P114" s="911" t="s">
        <v>170</v>
      </c>
      <c r="Q114" s="590" t="s">
        <v>168</v>
      </c>
      <c r="R114" s="783" t="str">
        <f>R4</f>
        <v>目標</v>
      </c>
      <c r="S114" s="500" t="str">
        <f>S35</f>
        <v>前回見通</v>
      </c>
      <c r="T114" s="498" t="str">
        <f>T71</f>
        <v>今回見通</v>
      </c>
      <c r="U114" s="497" t="s">
        <v>425</v>
      </c>
      <c r="V114" s="502" t="str">
        <f>V4</f>
        <v>目標差異</v>
      </c>
      <c r="W114" s="501" t="s">
        <v>427</v>
      </c>
      <c r="X114" s="910" t="s">
        <v>168</v>
      </c>
      <c r="Y114" s="779" t="str">
        <f>Y4</f>
        <v>計画</v>
      </c>
      <c r="Z114" s="780" t="s">
        <v>442</v>
      </c>
      <c r="AA114" s="911" t="s">
        <v>170</v>
      </c>
      <c r="AB114" s="910" t="s">
        <v>168</v>
      </c>
      <c r="AC114" s="779" t="str">
        <f>AC4</f>
        <v>今回計画</v>
      </c>
      <c r="AD114" s="780" t="str">
        <f>AD4</f>
        <v>実績</v>
      </c>
      <c r="AE114" s="911" t="s">
        <v>170</v>
      </c>
      <c r="AF114" s="910" t="s">
        <v>168</v>
      </c>
      <c r="AG114" s="1254" t="str">
        <f>AG4</f>
        <v>前回計画</v>
      </c>
      <c r="AH114" s="1255" t="str">
        <f>AH4</f>
        <v>実績</v>
      </c>
      <c r="AI114" s="911" t="s">
        <v>170</v>
      </c>
      <c r="AJ114" s="499" t="s">
        <v>168</v>
      </c>
      <c r="AK114" s="783" t="str">
        <f>AK4</f>
        <v>目標</v>
      </c>
      <c r="AL114" s="500" t="str">
        <f>AL35</f>
        <v>前回見通</v>
      </c>
      <c r="AM114" s="498" t="str">
        <f>AM71</f>
        <v>今回見通</v>
      </c>
      <c r="AN114" s="500" t="s">
        <v>461</v>
      </c>
      <c r="AO114" s="502" t="str">
        <f>AO4</f>
        <v>目標差異</v>
      </c>
      <c r="AP114" s="501" t="s">
        <v>462</v>
      </c>
      <c r="AQ114" s="496" t="s">
        <v>168</v>
      </c>
      <c r="AR114" s="678" t="str">
        <f>AR4</f>
        <v>目標</v>
      </c>
      <c r="AS114" s="548" t="str">
        <f>AS35</f>
        <v>前回見通</v>
      </c>
      <c r="AT114" s="498" t="str">
        <f>AT4</f>
        <v>今回見通</v>
      </c>
      <c r="AU114" s="546" t="s">
        <v>463</v>
      </c>
      <c r="AV114" s="502" t="str">
        <f>AV4</f>
        <v>目標差異</v>
      </c>
      <c r="AW114" s="501" t="s">
        <v>462</v>
      </c>
      <c r="AX114" s="677" t="s">
        <v>180</v>
      </c>
      <c r="AY114" s="682" t="str">
        <f>AY4</f>
        <v>目標平均</v>
      </c>
      <c r="AZ114" s="681" t="str">
        <f>AZ4</f>
        <v>見通し平均</v>
      </c>
      <c r="BA114" s="510"/>
      <c r="BB114" s="493" t="s">
        <v>457</v>
      </c>
      <c r="BC114" s="493" t="str">
        <f>BC4</f>
        <v>月目標差</v>
      </c>
      <c r="BD114" s="493" t="s">
        <v>460</v>
      </c>
      <c r="BE114" s="910" t="s">
        <v>168</v>
      </c>
      <c r="BF114" s="779" t="str">
        <f>BF4</f>
        <v>前回計画</v>
      </c>
      <c r="BG114" s="780" t="str">
        <f>BG4</f>
        <v>実績</v>
      </c>
      <c r="BH114" s="591" t="s">
        <v>170</v>
      </c>
      <c r="BI114" s="910" t="str">
        <f>BI4</f>
        <v>レビュー</v>
      </c>
      <c r="BJ114" s="779" t="str">
        <f>BJ4</f>
        <v>前回計画</v>
      </c>
      <c r="BK114" s="780" t="str">
        <f>BK4</f>
        <v>実績</v>
      </c>
      <c r="BL114" s="911" t="s">
        <v>170</v>
      </c>
      <c r="BM114" s="910" t="str">
        <f>BM4</f>
        <v>レビュー</v>
      </c>
      <c r="BN114" s="779" t="str">
        <f>BN4</f>
        <v>計画</v>
      </c>
      <c r="BO114" s="780" t="str">
        <f>BO4</f>
        <v>実績</v>
      </c>
      <c r="BP114" s="591" t="s">
        <v>170</v>
      </c>
      <c r="BQ114" s="910" t="str">
        <f>BQ4</f>
        <v>レビュー</v>
      </c>
      <c r="BR114" s="500"/>
      <c r="BS114" s="497" t="str">
        <f>BS35</f>
        <v>前回見通</v>
      </c>
      <c r="BT114" s="498" t="str">
        <f>BT71</f>
        <v>実績</v>
      </c>
      <c r="BU114" s="497" t="s">
        <v>502</v>
      </c>
      <c r="BV114" s="502"/>
      <c r="BW114" s="501" t="s">
        <v>505</v>
      </c>
      <c r="BX114" s="910" t="str">
        <f>BX4</f>
        <v>レビュー</v>
      </c>
      <c r="BY114" s="779" t="str">
        <f>BY4</f>
        <v>前回計画</v>
      </c>
      <c r="BZ114" s="780" t="str">
        <f>BZ4</f>
        <v>実績</v>
      </c>
      <c r="CA114" s="911" t="s">
        <v>170</v>
      </c>
      <c r="CB114" s="910" t="str">
        <f>CB4</f>
        <v>レビュー</v>
      </c>
      <c r="CC114" s="779" t="str">
        <f>CC4</f>
        <v>前回計画</v>
      </c>
      <c r="CD114" s="782" t="str">
        <f>CD4</f>
        <v>今回計画</v>
      </c>
      <c r="CE114" s="911" t="s">
        <v>170</v>
      </c>
      <c r="CF114" s="910" t="str">
        <f>CF4</f>
        <v>レビュー</v>
      </c>
      <c r="CG114" s="779" t="str">
        <f>CG4</f>
        <v>前回計画</v>
      </c>
      <c r="CH114" s="782" t="str">
        <f>CH4</f>
        <v>今回計画</v>
      </c>
      <c r="CI114" s="911" t="s">
        <v>170</v>
      </c>
      <c r="CJ114" s="499" t="str">
        <f>CJ4</f>
        <v>レビュー</v>
      </c>
      <c r="CK114" s="500"/>
      <c r="CL114" s="500" t="str">
        <f>CL35</f>
        <v>前回見通</v>
      </c>
      <c r="CM114" s="498" t="str">
        <f>CM71</f>
        <v>今回見通</v>
      </c>
      <c r="CN114" s="500" t="str">
        <f>CN4</f>
        <v>レビュー差異</v>
      </c>
      <c r="CO114" s="500"/>
      <c r="CP114" s="501" t="s">
        <v>545</v>
      </c>
      <c r="CQ114" s="496" t="str">
        <f>CQ4</f>
        <v>レビュー</v>
      </c>
      <c r="CR114" s="548"/>
      <c r="CS114" s="548" t="str">
        <f>CS35</f>
        <v>前回見通</v>
      </c>
      <c r="CT114" s="498" t="str">
        <f>CT4</f>
        <v>今回見通</v>
      </c>
      <c r="CU114" s="546" t="str">
        <f>CU4</f>
        <v>レビュー差異</v>
      </c>
      <c r="CV114" s="546"/>
      <c r="CW114" s="501" t="s">
        <v>546</v>
      </c>
      <c r="CX114" s="677" t="s">
        <v>180</v>
      </c>
      <c r="CY114" s="681" t="str">
        <f>CY4</f>
        <v>見通し平均</v>
      </c>
      <c r="CZ114" s="1385"/>
      <c r="DA114" s="556" t="s">
        <v>512</v>
      </c>
      <c r="DB114" s="556" t="s">
        <v>513</v>
      </c>
      <c r="DC114" s="493"/>
      <c r="DD114" s="493"/>
    </row>
    <row r="115" spans="1:108">
      <c r="A115" s="650"/>
      <c r="B115" s="1414" t="s">
        <v>377</v>
      </c>
      <c r="C115" s="1422"/>
      <c r="D115" s="623"/>
      <c r="E115" s="784">
        <v>7000</v>
      </c>
      <c r="F115" s="912">
        <v>8000</v>
      </c>
      <c r="G115" s="913">
        <v>9038.8042800000003</v>
      </c>
      <c r="H115" s="914">
        <f>G115-F115</f>
        <v>1038.8042800000003</v>
      </c>
      <c r="I115" s="784">
        <v>7700</v>
      </c>
      <c r="J115" s="912">
        <v>10000</v>
      </c>
      <c r="K115" s="913">
        <v>8682.0437099999999</v>
      </c>
      <c r="L115" s="914">
        <f t="shared" ref="L115:L120" si="202">K115-J115</f>
        <v>-1317.9562900000001</v>
      </c>
      <c r="M115" s="784">
        <v>8400</v>
      </c>
      <c r="N115" s="912">
        <v>11000</v>
      </c>
      <c r="O115" s="913">
        <v>12571.53</v>
      </c>
      <c r="P115" s="914">
        <f t="shared" ref="P115:P120" si="203">O115-N115</f>
        <v>1571.5300000000007</v>
      </c>
      <c r="Q115" s="768">
        <f t="shared" ref="Q115:Q120" si="204">E115+I115+M115</f>
        <v>23100</v>
      </c>
      <c r="R115" s="916">
        <v>23100</v>
      </c>
      <c r="S115" s="693">
        <f t="shared" ref="S115:S120" si="205">G115+J115+N115</f>
        <v>30038.80428</v>
      </c>
      <c r="T115" s="685">
        <f t="shared" ref="T115:T120" si="206">G115+K115+O115</f>
        <v>30292.377990000001</v>
      </c>
      <c r="U115" s="685">
        <f t="shared" ref="U115:U120" si="207">T115-Q115</f>
        <v>7192.3779900000009</v>
      </c>
      <c r="V115" s="686">
        <f>T115-R115</f>
        <v>7192.3779900000009</v>
      </c>
      <c r="W115" s="758">
        <f t="shared" ref="W115:W120" si="208">T115-S115</f>
        <v>253.57371000000057</v>
      </c>
      <c r="X115" s="784">
        <v>8400</v>
      </c>
      <c r="Y115" s="912">
        <v>8999.8559999999998</v>
      </c>
      <c r="Z115" s="913">
        <v>9968.9356000000007</v>
      </c>
      <c r="AA115" s="914">
        <f t="shared" ref="AA115:AA120" si="209">Z115-Y115</f>
        <v>969.07960000000094</v>
      </c>
      <c r="AB115" s="784">
        <v>8400</v>
      </c>
      <c r="AC115" s="912">
        <v>9000</v>
      </c>
      <c r="AD115" s="913">
        <v>8983.1579199999978</v>
      </c>
      <c r="AE115" s="914">
        <f t="shared" ref="AE115:AE120" si="210">AD115-AC115</f>
        <v>-16.84208000000217</v>
      </c>
      <c r="AF115" s="784">
        <v>7800</v>
      </c>
      <c r="AG115" s="912">
        <v>6800</v>
      </c>
      <c r="AH115" s="913">
        <v>6349.1081200000008</v>
      </c>
      <c r="AI115" s="914">
        <f t="shared" ref="AI115:AI120" si="211">AH115-AG115</f>
        <v>-450.89187999999922</v>
      </c>
      <c r="AJ115" s="692">
        <f t="shared" ref="AJ115:AJ120" si="212">X115+AB115+AF115</f>
        <v>24600</v>
      </c>
      <c r="AK115" s="916">
        <v>24600</v>
      </c>
      <c r="AL115" s="693">
        <f t="shared" ref="AL115:AM120" si="213">Y115+AC115+AG115</f>
        <v>24799.856</v>
      </c>
      <c r="AM115" s="685">
        <f t="shared" si="213"/>
        <v>25301.201639999999</v>
      </c>
      <c r="AN115" s="693">
        <f t="shared" ref="AN115:AN120" si="214">AM115-AJ115</f>
        <v>701.20163999999932</v>
      </c>
      <c r="AO115" s="686">
        <f>AM115-AK115</f>
        <v>701.20163999999932</v>
      </c>
      <c r="AP115" s="758">
        <f t="shared" ref="AP115:AP120" si="215">AM115-AL115</f>
        <v>501.34563999999955</v>
      </c>
      <c r="AQ115" s="692">
        <f t="shared" ref="AQ115:AQ120" si="216">SUM(Q115,AJ115)</f>
        <v>47700</v>
      </c>
      <c r="AR115" s="685">
        <f>AK115+R115</f>
        <v>47700</v>
      </c>
      <c r="AS115" s="613">
        <f t="shared" ref="AS115:AS120" si="217">S115+AL115</f>
        <v>54838.660279999996</v>
      </c>
      <c r="AT115" s="685">
        <f t="shared" ref="AT115:AT120" si="218">SUM(T115,AM115)</f>
        <v>55593.57963</v>
      </c>
      <c r="AU115" s="724">
        <f t="shared" ref="AU115:AU120" si="219">AT115-AQ115</f>
        <v>7893.5796300000002</v>
      </c>
      <c r="AV115" s="686">
        <f>AT115-AR115</f>
        <v>7893.5796300000002</v>
      </c>
      <c r="AW115" s="758">
        <f t="shared" ref="AW115:AW120" si="220">AT115-AS115</f>
        <v>754.91935000000376</v>
      </c>
      <c r="AX115" s="917"/>
      <c r="AY115" s="918"/>
      <c r="AZ115" s="918"/>
      <c r="BA115" s="581"/>
      <c r="BB115" s="581"/>
      <c r="BC115" s="581"/>
      <c r="BD115" s="581"/>
      <c r="BE115" s="784">
        <v>8200</v>
      </c>
      <c r="BF115" s="912">
        <v>8200</v>
      </c>
      <c r="BG115" s="913">
        <v>6400.5758800000003</v>
      </c>
      <c r="BH115" s="914">
        <f t="shared" ref="BH115:BH120" si="221">BG115-BF115</f>
        <v>-1799.4241199999997</v>
      </c>
      <c r="BI115" s="784">
        <v>6500</v>
      </c>
      <c r="BJ115" s="912">
        <v>5500</v>
      </c>
      <c r="BK115" s="913">
        <v>5290.2100799999998</v>
      </c>
      <c r="BL115" s="914">
        <f t="shared" ref="BL115:BL120" si="222">BK115-BJ115</f>
        <v>-209.78992000000017</v>
      </c>
      <c r="BM115" s="784">
        <v>6300</v>
      </c>
      <c r="BN115" s="912">
        <v>7500</v>
      </c>
      <c r="BO115" s="913">
        <v>7439.4185999999982</v>
      </c>
      <c r="BP115" s="914">
        <f t="shared" ref="BP115:BP120" si="223">BO115-BN115</f>
        <v>-60.58140000000185</v>
      </c>
      <c r="BQ115" s="692">
        <f t="shared" ref="BQ115:BQ120" si="224">BE115+BI115+BM115</f>
        <v>21000</v>
      </c>
      <c r="BR115" s="693"/>
      <c r="BS115" s="693">
        <f t="shared" ref="BS115:BT120" si="225">BF115+BJ115+BN115</f>
        <v>21200</v>
      </c>
      <c r="BT115" s="685">
        <f t="shared" si="225"/>
        <v>19130.204559999998</v>
      </c>
      <c r="BU115" s="685">
        <f t="shared" ref="BU115:BU120" si="226">BT115-BQ115</f>
        <v>-1869.7954400000017</v>
      </c>
      <c r="BV115" s="686"/>
      <c r="BW115" s="758">
        <f t="shared" ref="BW115:BW120" si="227">BT115-BS115</f>
        <v>-2069.7954400000017</v>
      </c>
      <c r="BX115" s="784">
        <v>6300</v>
      </c>
      <c r="BY115" s="912">
        <v>7000</v>
      </c>
      <c r="BZ115" s="913">
        <v>6421.748279999998</v>
      </c>
      <c r="CA115" s="914">
        <f>BZ115-BY115</f>
        <v>-578.25172000000202</v>
      </c>
      <c r="CB115" s="784">
        <v>5500</v>
      </c>
      <c r="CC115" s="912">
        <v>5000</v>
      </c>
      <c r="CD115" s="915">
        <f>CC115</f>
        <v>5000</v>
      </c>
      <c r="CE115" s="914">
        <f>CD115-CC115</f>
        <v>0</v>
      </c>
      <c r="CF115" s="784">
        <v>3500</v>
      </c>
      <c r="CG115" s="912">
        <v>4000</v>
      </c>
      <c r="CH115" s="915">
        <f>CG115</f>
        <v>4000</v>
      </c>
      <c r="CI115" s="914">
        <f>CH115-CG115</f>
        <v>0</v>
      </c>
      <c r="CJ115" s="692">
        <f t="shared" ref="CJ115:CJ120" si="228">BX115+CB115+CF115</f>
        <v>15300</v>
      </c>
      <c r="CK115" s="693"/>
      <c r="CL115" s="693">
        <f t="shared" ref="CL115:CM120" si="229">BY115+CC115+CG115</f>
        <v>16000</v>
      </c>
      <c r="CM115" s="685">
        <f t="shared" si="229"/>
        <v>15421.748279999998</v>
      </c>
      <c r="CN115" s="693">
        <f t="shared" ref="CN115:CN120" si="230">CM115-CJ115</f>
        <v>121.74827999999798</v>
      </c>
      <c r="CO115" s="899"/>
      <c r="CP115" s="758">
        <f t="shared" ref="CP115:CP120" si="231">CM115-CL115</f>
        <v>-578.25172000000202</v>
      </c>
      <c r="CQ115" s="692">
        <f t="shared" ref="CQ115:CQ120" si="232">SUM(BQ115,CJ115)</f>
        <v>36300</v>
      </c>
      <c r="CR115" s="952"/>
      <c r="CS115" s="613">
        <f t="shared" ref="CS115:CS120" si="233">BS115+CL115</f>
        <v>37200</v>
      </c>
      <c r="CT115" s="685">
        <f t="shared" ref="CT115:CT120" si="234">SUM(BT115,CM115)</f>
        <v>34551.952839999998</v>
      </c>
      <c r="CU115" s="724">
        <f t="shared" ref="CU115:CU120" si="235">CT115-CQ115</f>
        <v>-1748.0471600000019</v>
      </c>
      <c r="CV115" s="686"/>
      <c r="CW115" s="758">
        <f t="shared" ref="CW115:CW120" si="236">CT115-CS115</f>
        <v>-2648.0471600000019</v>
      </c>
      <c r="CX115" s="722"/>
      <c r="CY115" s="918"/>
      <c r="CZ115" s="1388"/>
      <c r="DA115" s="1388"/>
      <c r="DB115" s="1388"/>
      <c r="DC115" s="581"/>
      <c r="DD115" s="581"/>
    </row>
    <row r="116" spans="1:108">
      <c r="A116" s="992"/>
      <c r="B116" s="998"/>
      <c r="C116" s="1026" t="s">
        <v>378</v>
      </c>
      <c r="D116" s="1003"/>
      <c r="E116" s="769">
        <v>400</v>
      </c>
      <c r="F116" s="919">
        <v>400</v>
      </c>
      <c r="G116" s="920">
        <v>505.40499999999997</v>
      </c>
      <c r="H116" s="914">
        <f>G116-F116</f>
        <v>105.40499999999997</v>
      </c>
      <c r="I116" s="769">
        <v>400</v>
      </c>
      <c r="J116" s="919">
        <v>500</v>
      </c>
      <c r="K116" s="920">
        <v>139.19071</v>
      </c>
      <c r="L116" s="914">
        <f t="shared" si="202"/>
        <v>-360.80929000000003</v>
      </c>
      <c r="M116" s="769">
        <v>400</v>
      </c>
      <c r="N116" s="919">
        <v>400</v>
      </c>
      <c r="O116" s="920">
        <v>305.61458999999996</v>
      </c>
      <c r="P116" s="914">
        <f t="shared" si="203"/>
        <v>-94.385410000000036</v>
      </c>
      <c r="Q116" s="768">
        <f t="shared" si="204"/>
        <v>1200</v>
      </c>
      <c r="R116" s="916">
        <v>1200</v>
      </c>
      <c r="S116" s="693">
        <f t="shared" si="205"/>
        <v>1405.405</v>
      </c>
      <c r="T116" s="685">
        <f t="shared" si="206"/>
        <v>950.21029999999996</v>
      </c>
      <c r="U116" s="685">
        <f t="shared" si="207"/>
        <v>-249.78970000000004</v>
      </c>
      <c r="V116" s="686">
        <f t="shared" ref="V116:V158" si="237">T116-R116</f>
        <v>-249.78970000000004</v>
      </c>
      <c r="W116" s="758">
        <f t="shared" si="208"/>
        <v>-455.19470000000001</v>
      </c>
      <c r="X116" s="769">
        <v>500</v>
      </c>
      <c r="Y116" s="919">
        <v>500</v>
      </c>
      <c r="Z116" s="920">
        <v>240.86223999999999</v>
      </c>
      <c r="AA116" s="914">
        <f t="shared" si="209"/>
        <v>-259.13776000000001</v>
      </c>
      <c r="AB116" s="769">
        <v>500</v>
      </c>
      <c r="AC116" s="919">
        <v>250</v>
      </c>
      <c r="AD116" s="920">
        <v>300.52224000000001</v>
      </c>
      <c r="AE116" s="914">
        <f t="shared" si="210"/>
        <v>50.522240000000011</v>
      </c>
      <c r="AF116" s="769">
        <v>500</v>
      </c>
      <c r="AG116" s="919">
        <v>250</v>
      </c>
      <c r="AH116" s="920">
        <v>379.44612000000001</v>
      </c>
      <c r="AI116" s="914">
        <f t="shared" si="211"/>
        <v>129.44612000000001</v>
      </c>
      <c r="AJ116" s="692">
        <f t="shared" si="212"/>
        <v>1500</v>
      </c>
      <c r="AK116" s="916">
        <v>1500</v>
      </c>
      <c r="AL116" s="693">
        <f t="shared" si="213"/>
        <v>1000</v>
      </c>
      <c r="AM116" s="685">
        <f t="shared" si="213"/>
        <v>920.8306</v>
      </c>
      <c r="AN116" s="693">
        <f t="shared" si="214"/>
        <v>-579.1694</v>
      </c>
      <c r="AO116" s="686">
        <f t="shared" ref="AO116:AO158" si="238">AM116-AK116</f>
        <v>-579.1694</v>
      </c>
      <c r="AP116" s="758">
        <f t="shared" si="215"/>
        <v>-79.169399999999996</v>
      </c>
      <c r="AQ116" s="692">
        <f t="shared" si="216"/>
        <v>2700</v>
      </c>
      <c r="AR116" s="685">
        <f>AK116+R116</f>
        <v>2700</v>
      </c>
      <c r="AS116" s="613">
        <f t="shared" si="217"/>
        <v>2405.4049999999997</v>
      </c>
      <c r="AT116" s="685">
        <f t="shared" si="218"/>
        <v>1871.0409</v>
      </c>
      <c r="AU116" s="724">
        <f t="shared" si="219"/>
        <v>-828.95910000000003</v>
      </c>
      <c r="AV116" s="686">
        <f t="shared" ref="AV116:AV158" si="239">AT116-AR116</f>
        <v>-828.95910000000003</v>
      </c>
      <c r="AW116" s="758">
        <f t="shared" si="220"/>
        <v>-534.36409999999978</v>
      </c>
      <c r="AX116" s="695"/>
      <c r="AY116" s="696"/>
      <c r="AZ116" s="696"/>
      <c r="BA116" s="697"/>
      <c r="BB116" s="697"/>
      <c r="BC116" s="697"/>
      <c r="BD116" s="697"/>
      <c r="BE116" s="769">
        <v>250</v>
      </c>
      <c r="BF116" s="919">
        <v>250</v>
      </c>
      <c r="BG116" s="920">
        <v>224.95612</v>
      </c>
      <c r="BH116" s="914">
        <f t="shared" si="221"/>
        <v>-25.043880000000001</v>
      </c>
      <c r="BI116" s="769">
        <v>250</v>
      </c>
      <c r="BJ116" s="919">
        <v>250</v>
      </c>
      <c r="BK116" s="920">
        <v>90.62612</v>
      </c>
      <c r="BL116" s="914">
        <f t="shared" si="222"/>
        <v>-159.37387999999999</v>
      </c>
      <c r="BM116" s="769">
        <v>250</v>
      </c>
      <c r="BN116" s="919">
        <v>250</v>
      </c>
      <c r="BO116" s="920">
        <v>518.57141999999999</v>
      </c>
      <c r="BP116" s="914">
        <f t="shared" si="223"/>
        <v>268.57141999999999</v>
      </c>
      <c r="BQ116" s="692">
        <f t="shared" si="224"/>
        <v>750</v>
      </c>
      <c r="BR116" s="693"/>
      <c r="BS116" s="693">
        <f t="shared" si="225"/>
        <v>750</v>
      </c>
      <c r="BT116" s="685">
        <f t="shared" si="225"/>
        <v>834.15365999999995</v>
      </c>
      <c r="BU116" s="685">
        <f t="shared" si="226"/>
        <v>84.153659999999945</v>
      </c>
      <c r="BV116" s="686"/>
      <c r="BW116" s="758">
        <f t="shared" si="227"/>
        <v>84.153659999999945</v>
      </c>
      <c r="BX116" s="769">
        <v>240</v>
      </c>
      <c r="BY116" s="919">
        <v>250</v>
      </c>
      <c r="BZ116" s="920">
        <v>740.00300000000004</v>
      </c>
      <c r="CA116" s="914">
        <f>BZ116-BY116</f>
        <v>490.00300000000004</v>
      </c>
      <c r="CB116" s="769">
        <v>150</v>
      </c>
      <c r="CC116" s="919">
        <v>150</v>
      </c>
      <c r="CD116" s="921">
        <f>CC116</f>
        <v>150</v>
      </c>
      <c r="CE116" s="914">
        <f>CD116-CC116</f>
        <v>0</v>
      </c>
      <c r="CF116" s="769">
        <v>150</v>
      </c>
      <c r="CG116" s="919">
        <f t="shared" ref="CG116" si="240">CF116</f>
        <v>150</v>
      </c>
      <c r="CH116" s="921">
        <f>CG116</f>
        <v>150</v>
      </c>
      <c r="CI116" s="914">
        <f>CH116-CG116</f>
        <v>0</v>
      </c>
      <c r="CJ116" s="692">
        <f t="shared" si="228"/>
        <v>540</v>
      </c>
      <c r="CK116" s="693"/>
      <c r="CL116" s="693">
        <f t="shared" si="229"/>
        <v>550</v>
      </c>
      <c r="CM116" s="685">
        <f t="shared" si="229"/>
        <v>1040.0030000000002</v>
      </c>
      <c r="CN116" s="693">
        <f t="shared" si="230"/>
        <v>500.00300000000016</v>
      </c>
      <c r="CO116" s="899"/>
      <c r="CP116" s="758">
        <f t="shared" si="231"/>
        <v>490.00300000000016</v>
      </c>
      <c r="CQ116" s="692">
        <f t="shared" si="232"/>
        <v>1290</v>
      </c>
      <c r="CR116" s="952"/>
      <c r="CS116" s="613">
        <f t="shared" si="233"/>
        <v>1300</v>
      </c>
      <c r="CT116" s="685">
        <f t="shared" si="234"/>
        <v>1874.1566600000001</v>
      </c>
      <c r="CU116" s="724">
        <f t="shared" si="235"/>
        <v>584.1566600000001</v>
      </c>
      <c r="CV116" s="686"/>
      <c r="CW116" s="758">
        <f t="shared" si="236"/>
        <v>574.1566600000001</v>
      </c>
      <c r="CX116" s="722"/>
      <c r="CY116" s="696"/>
      <c r="CZ116" s="723"/>
      <c r="DA116" s="723"/>
      <c r="DB116" s="723"/>
      <c r="DC116" s="697"/>
      <c r="DD116" s="697"/>
    </row>
    <row r="117" spans="1:108">
      <c r="A117" s="992"/>
      <c r="B117" s="998"/>
      <c r="C117" s="1002"/>
      <c r="D117" s="1003" t="s">
        <v>379</v>
      </c>
      <c r="E117" s="769"/>
      <c r="F117" s="919"/>
      <c r="G117" s="920"/>
      <c r="H117" s="914"/>
      <c r="I117" s="769">
        <v>9050</v>
      </c>
      <c r="J117" s="919">
        <v>2200</v>
      </c>
      <c r="K117" s="920">
        <v>63.347000000000001</v>
      </c>
      <c r="L117" s="914">
        <f t="shared" si="202"/>
        <v>-2136.6529999999998</v>
      </c>
      <c r="M117" s="769">
        <v>9050</v>
      </c>
      <c r="N117" s="919">
        <v>1000</v>
      </c>
      <c r="O117" s="920">
        <v>1683.09</v>
      </c>
      <c r="P117" s="914">
        <f t="shared" si="203"/>
        <v>683.08999999999992</v>
      </c>
      <c r="Q117" s="768">
        <f t="shared" si="204"/>
        <v>18100</v>
      </c>
      <c r="R117" s="916">
        <v>31660</v>
      </c>
      <c r="S117" s="693">
        <f t="shared" si="205"/>
        <v>3200</v>
      </c>
      <c r="T117" s="685">
        <f t="shared" si="206"/>
        <v>1746.4369999999999</v>
      </c>
      <c r="U117" s="685">
        <f t="shared" si="207"/>
        <v>-16353.563</v>
      </c>
      <c r="V117" s="686">
        <f t="shared" si="237"/>
        <v>-29913.563000000002</v>
      </c>
      <c r="W117" s="758">
        <f t="shared" si="208"/>
        <v>-1453.5630000000001</v>
      </c>
      <c r="X117" s="769">
        <v>18100</v>
      </c>
      <c r="Y117" s="919">
        <v>4000</v>
      </c>
      <c r="Z117" s="920">
        <v>4709.8739999999998</v>
      </c>
      <c r="AA117" s="914">
        <f t="shared" si="209"/>
        <v>709.8739999999998</v>
      </c>
      <c r="AB117" s="769">
        <v>20800</v>
      </c>
      <c r="AC117" s="919">
        <v>8500</v>
      </c>
      <c r="AD117" s="920">
        <v>6557.14</v>
      </c>
      <c r="AE117" s="914">
        <f t="shared" si="210"/>
        <v>-1942.8599999999997</v>
      </c>
      <c r="AF117" s="769">
        <v>23700</v>
      </c>
      <c r="AG117" s="919">
        <v>12500</v>
      </c>
      <c r="AH117" s="920">
        <v>6956.415</v>
      </c>
      <c r="AI117" s="914">
        <f t="shared" si="211"/>
        <v>-5543.585</v>
      </c>
      <c r="AJ117" s="692">
        <f t="shared" si="212"/>
        <v>62600</v>
      </c>
      <c r="AK117" s="916">
        <v>74000</v>
      </c>
      <c r="AL117" s="693">
        <f t="shared" si="213"/>
        <v>25000</v>
      </c>
      <c r="AM117" s="685">
        <f t="shared" si="213"/>
        <v>18223.429</v>
      </c>
      <c r="AN117" s="693">
        <f t="shared" si="214"/>
        <v>-44376.570999999996</v>
      </c>
      <c r="AO117" s="686">
        <f t="shared" si="238"/>
        <v>-55776.570999999996</v>
      </c>
      <c r="AP117" s="758">
        <f t="shared" si="215"/>
        <v>-6776.5709999999999</v>
      </c>
      <c r="AQ117" s="692">
        <f t="shared" si="216"/>
        <v>80700</v>
      </c>
      <c r="AR117" s="685">
        <f>AK117+R117</f>
        <v>105660</v>
      </c>
      <c r="AS117" s="613">
        <f t="shared" si="217"/>
        <v>28200</v>
      </c>
      <c r="AT117" s="685">
        <f t="shared" si="218"/>
        <v>19969.866000000002</v>
      </c>
      <c r="AU117" s="724">
        <f t="shared" si="219"/>
        <v>-60730.133999999998</v>
      </c>
      <c r="AV117" s="686">
        <f t="shared" si="239"/>
        <v>-85690.133999999991</v>
      </c>
      <c r="AW117" s="758">
        <f t="shared" si="220"/>
        <v>-8230.1339999999982</v>
      </c>
      <c r="AX117" s="695"/>
      <c r="AY117" s="696"/>
      <c r="AZ117" s="696"/>
      <c r="BA117" s="697"/>
      <c r="BB117" s="697"/>
      <c r="BC117" s="697"/>
      <c r="BD117" s="697"/>
      <c r="BE117" s="769">
        <v>18000</v>
      </c>
      <c r="BF117" s="919">
        <v>18000</v>
      </c>
      <c r="BG117" s="920">
        <v>8904.39</v>
      </c>
      <c r="BH117" s="914">
        <f t="shared" si="221"/>
        <v>-9095.61</v>
      </c>
      <c r="BI117" s="769">
        <v>20000</v>
      </c>
      <c r="BJ117" s="919">
        <v>12000</v>
      </c>
      <c r="BK117" s="920">
        <v>9353.8770000000004</v>
      </c>
      <c r="BL117" s="914">
        <f t="shared" si="222"/>
        <v>-2646.1229999999996</v>
      </c>
      <c r="BM117" s="769">
        <v>22000</v>
      </c>
      <c r="BN117" s="919">
        <v>12000</v>
      </c>
      <c r="BO117" s="920">
        <v>9845.9519999999993</v>
      </c>
      <c r="BP117" s="914">
        <f t="shared" si="223"/>
        <v>-2154.0480000000007</v>
      </c>
      <c r="BQ117" s="692">
        <f t="shared" si="224"/>
        <v>60000</v>
      </c>
      <c r="BR117" s="693"/>
      <c r="BS117" s="693">
        <f t="shared" si="225"/>
        <v>42000</v>
      </c>
      <c r="BT117" s="685">
        <f t="shared" si="225"/>
        <v>28104.218999999997</v>
      </c>
      <c r="BU117" s="685">
        <f t="shared" si="226"/>
        <v>-31895.781000000003</v>
      </c>
      <c r="BV117" s="686"/>
      <c r="BW117" s="758">
        <f t="shared" si="227"/>
        <v>-13895.781000000003</v>
      </c>
      <c r="BX117" s="769">
        <v>22000</v>
      </c>
      <c r="BY117" s="919">
        <v>14000</v>
      </c>
      <c r="BZ117" s="920">
        <v>10896.575999999999</v>
      </c>
      <c r="CA117" s="914">
        <f>BZ117-BY117</f>
        <v>-3103.4240000000009</v>
      </c>
      <c r="CB117" s="769">
        <v>16000</v>
      </c>
      <c r="CC117" s="919">
        <v>12000</v>
      </c>
      <c r="CD117" s="921">
        <f>CC117</f>
        <v>12000</v>
      </c>
      <c r="CE117" s="914">
        <f>CD117-CC117</f>
        <v>0</v>
      </c>
      <c r="CF117" s="769">
        <v>10000</v>
      </c>
      <c r="CG117" s="919">
        <v>9000</v>
      </c>
      <c r="CH117" s="921">
        <f>CG117</f>
        <v>9000</v>
      </c>
      <c r="CI117" s="914">
        <f>CH117-CG117</f>
        <v>0</v>
      </c>
      <c r="CJ117" s="692">
        <f t="shared" si="228"/>
        <v>48000</v>
      </c>
      <c r="CK117" s="693"/>
      <c r="CL117" s="693">
        <f t="shared" si="229"/>
        <v>35000</v>
      </c>
      <c r="CM117" s="685">
        <f t="shared" si="229"/>
        <v>31896.576000000001</v>
      </c>
      <c r="CN117" s="693">
        <f t="shared" si="230"/>
        <v>-16103.423999999999</v>
      </c>
      <c r="CO117" s="899"/>
      <c r="CP117" s="758">
        <f t="shared" si="231"/>
        <v>-3103.4239999999991</v>
      </c>
      <c r="CQ117" s="692">
        <f t="shared" si="232"/>
        <v>108000</v>
      </c>
      <c r="CR117" s="952"/>
      <c r="CS117" s="613">
        <f t="shared" si="233"/>
        <v>77000</v>
      </c>
      <c r="CT117" s="685">
        <f t="shared" si="234"/>
        <v>60000.794999999998</v>
      </c>
      <c r="CU117" s="724">
        <f t="shared" si="235"/>
        <v>-47999.205000000002</v>
      </c>
      <c r="CV117" s="686"/>
      <c r="CW117" s="758">
        <f t="shared" si="236"/>
        <v>-16999.205000000002</v>
      </c>
      <c r="CX117" s="722"/>
      <c r="CY117" s="696"/>
      <c r="CZ117" s="723"/>
      <c r="DA117" s="723"/>
      <c r="DB117" s="723"/>
      <c r="DC117" s="697"/>
      <c r="DD117" s="697"/>
    </row>
    <row r="118" spans="1:108">
      <c r="A118" s="992"/>
      <c r="B118" s="998"/>
      <c r="C118" s="1002"/>
      <c r="D118" s="1003" t="s">
        <v>315</v>
      </c>
      <c r="E118" s="769"/>
      <c r="F118" s="919"/>
      <c r="G118" s="920"/>
      <c r="H118" s="914"/>
      <c r="I118" s="769">
        <v>4650</v>
      </c>
      <c r="J118" s="919">
        <v>1720</v>
      </c>
      <c r="K118" s="920">
        <v>0</v>
      </c>
      <c r="L118" s="914">
        <f t="shared" si="202"/>
        <v>-1720</v>
      </c>
      <c r="M118" s="769">
        <v>4650</v>
      </c>
      <c r="N118" s="919">
        <v>1700</v>
      </c>
      <c r="O118" s="920">
        <v>38.880000000000003</v>
      </c>
      <c r="P118" s="914">
        <f t="shared" si="203"/>
        <v>-1661.12</v>
      </c>
      <c r="Q118" s="768">
        <f t="shared" si="204"/>
        <v>9300</v>
      </c>
      <c r="R118" s="916">
        <v>17200</v>
      </c>
      <c r="S118" s="693">
        <f t="shared" si="205"/>
        <v>3420</v>
      </c>
      <c r="T118" s="685">
        <f t="shared" si="206"/>
        <v>38.880000000000003</v>
      </c>
      <c r="U118" s="685">
        <f t="shared" si="207"/>
        <v>-9261.1200000000008</v>
      </c>
      <c r="V118" s="686">
        <f t="shared" si="237"/>
        <v>-17161.12</v>
      </c>
      <c r="W118" s="758">
        <f t="shared" si="208"/>
        <v>-3381.12</v>
      </c>
      <c r="X118" s="769">
        <v>7600</v>
      </c>
      <c r="Y118" s="919">
        <v>1000</v>
      </c>
      <c r="Z118" s="920">
        <v>604.62900000000002</v>
      </c>
      <c r="AA118" s="914">
        <f t="shared" si="209"/>
        <v>-395.37099999999998</v>
      </c>
      <c r="AB118" s="769">
        <v>9200</v>
      </c>
      <c r="AC118" s="919">
        <v>2000</v>
      </c>
      <c r="AD118" s="920">
        <v>517.923</v>
      </c>
      <c r="AE118" s="914">
        <f t="shared" si="210"/>
        <v>-1482.077</v>
      </c>
      <c r="AF118" s="769">
        <v>10780</v>
      </c>
      <c r="AG118" s="919">
        <v>4000</v>
      </c>
      <c r="AH118" s="920">
        <v>963.77099999999996</v>
      </c>
      <c r="AI118" s="914">
        <f t="shared" si="211"/>
        <v>-3036.2290000000003</v>
      </c>
      <c r="AJ118" s="692">
        <f t="shared" si="212"/>
        <v>27580</v>
      </c>
      <c r="AK118" s="916">
        <v>40000</v>
      </c>
      <c r="AL118" s="693">
        <f>Y118+AC118+AG118</f>
        <v>7000</v>
      </c>
      <c r="AM118" s="685">
        <f t="shared" si="213"/>
        <v>2086.3230000000003</v>
      </c>
      <c r="AN118" s="693">
        <f t="shared" si="214"/>
        <v>-25493.677</v>
      </c>
      <c r="AO118" s="686">
        <f t="shared" si="238"/>
        <v>-37913.676999999996</v>
      </c>
      <c r="AP118" s="758">
        <f t="shared" si="215"/>
        <v>-4913.6769999999997</v>
      </c>
      <c r="AQ118" s="692">
        <f t="shared" si="216"/>
        <v>36880</v>
      </c>
      <c r="AR118" s="685">
        <f>AK118+R118</f>
        <v>57200</v>
      </c>
      <c r="AS118" s="613">
        <f t="shared" si="217"/>
        <v>10420</v>
      </c>
      <c r="AT118" s="685">
        <f t="shared" si="218"/>
        <v>2125.2030000000004</v>
      </c>
      <c r="AU118" s="724">
        <f t="shared" si="219"/>
        <v>-34754.796999999999</v>
      </c>
      <c r="AV118" s="686">
        <f t="shared" si="239"/>
        <v>-55074.796999999999</v>
      </c>
      <c r="AW118" s="758">
        <f t="shared" si="220"/>
        <v>-8294.7969999999987</v>
      </c>
      <c r="AX118" s="695"/>
      <c r="AY118" s="696"/>
      <c r="AZ118" s="696"/>
      <c r="BA118" s="697"/>
      <c r="BB118" s="697"/>
      <c r="BC118" s="697"/>
      <c r="BD118" s="697"/>
      <c r="BE118" s="769">
        <v>7000</v>
      </c>
      <c r="BF118" s="919">
        <v>7000</v>
      </c>
      <c r="BG118" s="920">
        <v>700.02700000000004</v>
      </c>
      <c r="BH118" s="914">
        <f t="shared" si="221"/>
        <v>-6299.973</v>
      </c>
      <c r="BI118" s="769">
        <v>9100</v>
      </c>
      <c r="BJ118" s="919">
        <v>1300</v>
      </c>
      <c r="BK118" s="920">
        <v>772.75699999999995</v>
      </c>
      <c r="BL118" s="914">
        <f t="shared" si="222"/>
        <v>-527.24300000000005</v>
      </c>
      <c r="BM118" s="769">
        <v>9100</v>
      </c>
      <c r="BN118" s="919">
        <v>1900</v>
      </c>
      <c r="BO118" s="920">
        <v>1004.696</v>
      </c>
      <c r="BP118" s="914">
        <f t="shared" si="223"/>
        <v>-895.30399999999997</v>
      </c>
      <c r="BQ118" s="692">
        <f>BE118+BI118+BM118</f>
        <v>25200</v>
      </c>
      <c r="BR118" s="693"/>
      <c r="BS118" s="693">
        <f t="shared" si="225"/>
        <v>10200</v>
      </c>
      <c r="BT118" s="685">
        <f t="shared" si="225"/>
        <v>2477.48</v>
      </c>
      <c r="BU118" s="685">
        <f t="shared" si="226"/>
        <v>-22722.52</v>
      </c>
      <c r="BV118" s="686"/>
      <c r="BW118" s="758">
        <f t="shared" si="227"/>
        <v>-7722.52</v>
      </c>
      <c r="BX118" s="769">
        <v>9000</v>
      </c>
      <c r="BY118" s="919">
        <v>2000</v>
      </c>
      <c r="BZ118" s="920">
        <v>988.49800000000005</v>
      </c>
      <c r="CA118" s="914">
        <f>BZ118-BY118</f>
        <v>-1011.502</v>
      </c>
      <c r="CB118" s="769">
        <v>7000</v>
      </c>
      <c r="CC118" s="919">
        <v>2000</v>
      </c>
      <c r="CD118" s="921">
        <f>CC118</f>
        <v>2000</v>
      </c>
      <c r="CE118" s="914">
        <f>CD118-CC118</f>
        <v>0</v>
      </c>
      <c r="CF118" s="769">
        <v>4400</v>
      </c>
      <c r="CG118" s="919">
        <v>1400</v>
      </c>
      <c r="CH118" s="921">
        <f>CG118</f>
        <v>1400</v>
      </c>
      <c r="CI118" s="914">
        <f>CH118-CG118</f>
        <v>0</v>
      </c>
      <c r="CJ118" s="692">
        <f>BX118+CB118+CF118</f>
        <v>20400</v>
      </c>
      <c r="CK118" s="693"/>
      <c r="CL118" s="693">
        <f t="shared" si="229"/>
        <v>5400</v>
      </c>
      <c r="CM118" s="685">
        <f t="shared" si="229"/>
        <v>4388.4979999999996</v>
      </c>
      <c r="CN118" s="693">
        <f t="shared" si="230"/>
        <v>-16011.502</v>
      </c>
      <c r="CO118" s="899"/>
      <c r="CP118" s="758">
        <f t="shared" si="231"/>
        <v>-1011.5020000000004</v>
      </c>
      <c r="CQ118" s="692">
        <f t="shared" si="232"/>
        <v>45600</v>
      </c>
      <c r="CR118" s="952"/>
      <c r="CS118" s="613">
        <f t="shared" si="233"/>
        <v>15600</v>
      </c>
      <c r="CT118" s="685">
        <f t="shared" si="234"/>
        <v>6865.9779999999992</v>
      </c>
      <c r="CU118" s="724">
        <f t="shared" si="235"/>
        <v>-38734.021999999997</v>
      </c>
      <c r="CV118" s="686"/>
      <c r="CW118" s="758">
        <f t="shared" si="236"/>
        <v>-8734.0220000000008</v>
      </c>
      <c r="CX118" s="722"/>
      <c r="CY118" s="696"/>
      <c r="CZ118" s="723"/>
      <c r="DA118" s="723"/>
      <c r="DB118" s="723"/>
      <c r="DC118" s="697"/>
      <c r="DD118" s="697"/>
    </row>
    <row r="119" spans="1:108">
      <c r="A119" s="992"/>
      <c r="B119" s="998"/>
      <c r="C119" s="1026" t="s">
        <v>163</v>
      </c>
      <c r="D119" s="1027"/>
      <c r="E119" s="769">
        <v>63400</v>
      </c>
      <c r="F119" s="919">
        <v>63400</v>
      </c>
      <c r="G119" s="922">
        <v>72572.497560000003</v>
      </c>
      <c r="H119" s="914">
        <f>G119-F119</f>
        <v>9172.4975600000034</v>
      </c>
      <c r="I119" s="769">
        <v>70600</v>
      </c>
      <c r="J119" s="919">
        <v>79500</v>
      </c>
      <c r="K119" s="922">
        <v>83016</v>
      </c>
      <c r="L119" s="914">
        <f t="shared" si="202"/>
        <v>3516</v>
      </c>
      <c r="M119" s="769">
        <v>70600</v>
      </c>
      <c r="N119" s="919">
        <v>82600</v>
      </c>
      <c r="O119" s="922">
        <v>83360.274640000003</v>
      </c>
      <c r="P119" s="914">
        <f t="shared" si="203"/>
        <v>760.27464000000327</v>
      </c>
      <c r="Q119" s="768">
        <f t="shared" si="204"/>
        <v>204600</v>
      </c>
      <c r="R119" s="916">
        <v>222300</v>
      </c>
      <c r="S119" s="693">
        <f t="shared" si="205"/>
        <v>234672.49755999999</v>
      </c>
      <c r="T119" s="685">
        <f t="shared" si="206"/>
        <v>238948.77220000001</v>
      </c>
      <c r="U119" s="685">
        <f t="shared" si="207"/>
        <v>34348.772200000007</v>
      </c>
      <c r="V119" s="686">
        <f t="shared" si="237"/>
        <v>16648.772200000007</v>
      </c>
      <c r="W119" s="758">
        <f t="shared" si="208"/>
        <v>4276.2746400000178</v>
      </c>
      <c r="X119" s="769">
        <v>70500</v>
      </c>
      <c r="Y119" s="919">
        <v>74500</v>
      </c>
      <c r="Z119" s="922">
        <v>82871.555439999982</v>
      </c>
      <c r="AA119" s="914">
        <f t="shared" si="209"/>
        <v>8371.5554399999819</v>
      </c>
      <c r="AB119" s="769">
        <v>77600</v>
      </c>
      <c r="AC119" s="919">
        <v>79750</v>
      </c>
      <c r="AD119" s="920">
        <v>80429.135149999987</v>
      </c>
      <c r="AE119" s="914">
        <f t="shared" si="210"/>
        <v>679.13514999998733</v>
      </c>
      <c r="AF119" s="769">
        <v>84700</v>
      </c>
      <c r="AG119" s="919">
        <v>84750</v>
      </c>
      <c r="AH119" s="920">
        <v>85392.547999999995</v>
      </c>
      <c r="AI119" s="914">
        <f t="shared" si="211"/>
        <v>642.54799999999523</v>
      </c>
      <c r="AJ119" s="692">
        <f t="shared" si="212"/>
        <v>232800</v>
      </c>
      <c r="AK119" s="916">
        <v>242100</v>
      </c>
      <c r="AL119" s="693">
        <f t="shared" si="213"/>
        <v>239000</v>
      </c>
      <c r="AM119" s="685">
        <f t="shared" si="213"/>
        <v>248693.23858999996</v>
      </c>
      <c r="AN119" s="693">
        <f t="shared" si="214"/>
        <v>15893.238589999964</v>
      </c>
      <c r="AO119" s="686">
        <f t="shared" si="238"/>
        <v>6593.2385899999645</v>
      </c>
      <c r="AP119" s="758">
        <f t="shared" si="215"/>
        <v>9693.2385899999645</v>
      </c>
      <c r="AQ119" s="692">
        <f t="shared" si="216"/>
        <v>437400</v>
      </c>
      <c r="AR119" s="685">
        <f>AK119+R119</f>
        <v>464400</v>
      </c>
      <c r="AS119" s="613">
        <f t="shared" si="217"/>
        <v>473672.49755999999</v>
      </c>
      <c r="AT119" s="685">
        <f t="shared" si="218"/>
        <v>487642.01078999997</v>
      </c>
      <c r="AU119" s="724">
        <f t="shared" si="219"/>
        <v>50242.010789999971</v>
      </c>
      <c r="AV119" s="686">
        <f t="shared" si="239"/>
        <v>23242.010789999971</v>
      </c>
      <c r="AW119" s="758">
        <f t="shared" si="220"/>
        <v>13969.513229999982</v>
      </c>
      <c r="AX119" s="695"/>
      <c r="AY119" s="696"/>
      <c r="AZ119" s="696"/>
      <c r="BA119" s="697"/>
      <c r="BB119" s="697"/>
      <c r="BC119" s="697"/>
      <c r="BD119" s="697"/>
      <c r="BE119" s="769">
        <v>91800</v>
      </c>
      <c r="BF119" s="919">
        <v>91750</v>
      </c>
      <c r="BG119" s="920">
        <v>93603.083659999989</v>
      </c>
      <c r="BH119" s="914">
        <f t="shared" si="221"/>
        <v>1853.0836599999893</v>
      </c>
      <c r="BI119" s="769">
        <v>89850</v>
      </c>
      <c r="BJ119" s="919">
        <v>89750</v>
      </c>
      <c r="BK119" s="920">
        <v>90280.562460000001</v>
      </c>
      <c r="BL119" s="914">
        <f t="shared" si="222"/>
        <v>530.56246000000101</v>
      </c>
      <c r="BM119" s="769">
        <v>86850</v>
      </c>
      <c r="BN119" s="919">
        <v>86750</v>
      </c>
      <c r="BO119" s="920">
        <v>86882.025240000017</v>
      </c>
      <c r="BP119" s="914">
        <f t="shared" si="223"/>
        <v>132.02524000001722</v>
      </c>
      <c r="BQ119" s="692">
        <f t="shared" si="224"/>
        <v>268500</v>
      </c>
      <c r="BR119" s="693"/>
      <c r="BS119" s="693">
        <f t="shared" si="225"/>
        <v>268250</v>
      </c>
      <c r="BT119" s="685">
        <f t="shared" si="225"/>
        <v>270765.67136000004</v>
      </c>
      <c r="BU119" s="685">
        <f t="shared" si="226"/>
        <v>2265.6713600000367</v>
      </c>
      <c r="BV119" s="686"/>
      <c r="BW119" s="758">
        <f t="shared" si="227"/>
        <v>2515.6713600000367</v>
      </c>
      <c r="BX119" s="769">
        <v>86600</v>
      </c>
      <c r="BY119" s="919">
        <v>86750</v>
      </c>
      <c r="BZ119" s="920">
        <v>87022.106000000014</v>
      </c>
      <c r="CA119" s="914">
        <f>BZ119-BY119</f>
        <v>272.10600000001432</v>
      </c>
      <c r="CB119" s="769">
        <v>72800</v>
      </c>
      <c r="CC119" s="919">
        <v>72850</v>
      </c>
      <c r="CD119" s="921">
        <f>CC119</f>
        <v>72850</v>
      </c>
      <c r="CE119" s="914">
        <f>CD119-CC119</f>
        <v>0</v>
      </c>
      <c r="CF119" s="769">
        <v>37400</v>
      </c>
      <c r="CG119" s="919">
        <v>37250</v>
      </c>
      <c r="CH119" s="921">
        <f>CG119</f>
        <v>37250</v>
      </c>
      <c r="CI119" s="914">
        <f>CH119-CG119</f>
        <v>0</v>
      </c>
      <c r="CJ119" s="692">
        <f t="shared" si="228"/>
        <v>196800</v>
      </c>
      <c r="CK119" s="693"/>
      <c r="CL119" s="693">
        <f t="shared" si="229"/>
        <v>196850</v>
      </c>
      <c r="CM119" s="685">
        <f t="shared" si="229"/>
        <v>197122.10600000003</v>
      </c>
      <c r="CN119" s="693">
        <f t="shared" si="230"/>
        <v>322.10600000002887</v>
      </c>
      <c r="CO119" s="899"/>
      <c r="CP119" s="758">
        <f t="shared" si="231"/>
        <v>272.10600000002887</v>
      </c>
      <c r="CQ119" s="692">
        <f t="shared" si="232"/>
        <v>465300</v>
      </c>
      <c r="CR119" s="952"/>
      <c r="CS119" s="613">
        <f t="shared" si="233"/>
        <v>465100</v>
      </c>
      <c r="CT119" s="685">
        <f t="shared" si="234"/>
        <v>467887.77736000007</v>
      </c>
      <c r="CU119" s="724">
        <f t="shared" si="235"/>
        <v>2587.7773600000655</v>
      </c>
      <c r="CV119" s="686"/>
      <c r="CW119" s="758">
        <f t="shared" si="236"/>
        <v>2787.7773600000655</v>
      </c>
      <c r="CX119" s="722"/>
      <c r="CY119" s="696"/>
      <c r="CZ119" s="723"/>
      <c r="DA119" s="723"/>
      <c r="DB119" s="723"/>
      <c r="DC119" s="697"/>
      <c r="DD119" s="697"/>
    </row>
    <row r="120" spans="1:108">
      <c r="A120" s="998"/>
      <c r="B120" s="1416" t="s">
        <v>380</v>
      </c>
      <c r="C120" s="1417"/>
      <c r="D120" s="1028"/>
      <c r="E120" s="769">
        <f>E116+E119</f>
        <v>63800</v>
      </c>
      <c r="F120" s="919">
        <f>F116+F119</f>
        <v>63800</v>
      </c>
      <c r="G120" s="920">
        <f>G116+G119</f>
        <v>73077.902560000002</v>
      </c>
      <c r="H120" s="914">
        <f>G120-F120</f>
        <v>9277.9025600000023</v>
      </c>
      <c r="I120" s="769">
        <f>I116+I119</f>
        <v>71000</v>
      </c>
      <c r="J120" s="919">
        <f>J116+J119</f>
        <v>80000</v>
      </c>
      <c r="K120" s="920">
        <f>K116+K119</f>
        <v>83155.190709999995</v>
      </c>
      <c r="L120" s="914">
        <f t="shared" si="202"/>
        <v>3155.1907099999953</v>
      </c>
      <c r="M120" s="769">
        <f>M116+M119</f>
        <v>71000</v>
      </c>
      <c r="N120" s="919">
        <f>N116+N119</f>
        <v>83000</v>
      </c>
      <c r="O120" s="920">
        <f>O116+O119</f>
        <v>83665.889230000001</v>
      </c>
      <c r="P120" s="914">
        <f t="shared" si="203"/>
        <v>665.88923000000068</v>
      </c>
      <c r="Q120" s="768">
        <f t="shared" si="204"/>
        <v>205800</v>
      </c>
      <c r="R120" s="916">
        <f>R116+R119</f>
        <v>223500</v>
      </c>
      <c r="S120" s="693">
        <f t="shared" si="205"/>
        <v>236077.90256000002</v>
      </c>
      <c r="T120" s="685">
        <f t="shared" si="206"/>
        <v>239898.98250000001</v>
      </c>
      <c r="U120" s="685">
        <f t="shared" si="207"/>
        <v>34098.982500000013</v>
      </c>
      <c r="V120" s="724">
        <f t="shared" si="237"/>
        <v>16398.982500000013</v>
      </c>
      <c r="W120" s="694">
        <f t="shared" si="208"/>
        <v>3821.079939999996</v>
      </c>
      <c r="X120" s="769">
        <f>X116+X119</f>
        <v>71000</v>
      </c>
      <c r="Y120" s="919">
        <f>Y116+Y119</f>
        <v>75000</v>
      </c>
      <c r="Z120" s="920">
        <f>Z116+Z119</f>
        <v>83112.417679999984</v>
      </c>
      <c r="AA120" s="914">
        <f t="shared" si="209"/>
        <v>8112.4176799999841</v>
      </c>
      <c r="AB120" s="769">
        <f>AB116+AB119</f>
        <v>78100</v>
      </c>
      <c r="AC120" s="919">
        <f>AC116+AC119</f>
        <v>80000</v>
      </c>
      <c r="AD120" s="920">
        <f>AD116+AD119</f>
        <v>80729.657389999993</v>
      </c>
      <c r="AE120" s="914">
        <f t="shared" si="210"/>
        <v>729.65738999999303</v>
      </c>
      <c r="AF120" s="769">
        <f>AF116+AF119</f>
        <v>85200</v>
      </c>
      <c r="AG120" s="919">
        <f>AG116+AG119</f>
        <v>85000</v>
      </c>
      <c r="AH120" s="920">
        <f>AH116+AH119</f>
        <v>85771.994119999988</v>
      </c>
      <c r="AI120" s="914">
        <f t="shared" si="211"/>
        <v>771.99411999998847</v>
      </c>
      <c r="AJ120" s="692">
        <f t="shared" si="212"/>
        <v>234300</v>
      </c>
      <c r="AK120" s="916">
        <f>AK116+AK119</f>
        <v>243600</v>
      </c>
      <c r="AL120" s="693">
        <f t="shared" si="213"/>
        <v>240000</v>
      </c>
      <c r="AM120" s="685">
        <f t="shared" si="213"/>
        <v>249614.06918999995</v>
      </c>
      <c r="AN120" s="693">
        <f t="shared" si="214"/>
        <v>15314.069189999951</v>
      </c>
      <c r="AO120" s="724">
        <f t="shared" si="238"/>
        <v>6014.069189999951</v>
      </c>
      <c r="AP120" s="694">
        <f t="shared" si="215"/>
        <v>9614.069189999951</v>
      </c>
      <c r="AQ120" s="692">
        <f t="shared" si="216"/>
        <v>440100</v>
      </c>
      <c r="AR120" s="685">
        <f>AR116+AR119</f>
        <v>467100</v>
      </c>
      <c r="AS120" s="512">
        <f t="shared" si="217"/>
        <v>476077.90256000002</v>
      </c>
      <c r="AT120" s="685">
        <f t="shared" si="218"/>
        <v>489513.05168999999</v>
      </c>
      <c r="AU120" s="724">
        <f t="shared" si="219"/>
        <v>49413.051689999993</v>
      </c>
      <c r="AV120" s="724">
        <f t="shared" si="239"/>
        <v>22413.051689999993</v>
      </c>
      <c r="AW120" s="694">
        <f t="shared" si="220"/>
        <v>13435.149129999976</v>
      </c>
      <c r="AX120" s="695"/>
      <c r="AY120" s="696"/>
      <c r="AZ120" s="696"/>
      <c r="BA120" s="697"/>
      <c r="BB120" s="697"/>
      <c r="BC120" s="697"/>
      <c r="BD120" s="697"/>
      <c r="BE120" s="769">
        <f>BE116+BE119</f>
        <v>92050</v>
      </c>
      <c r="BF120" s="919">
        <f>BF116+BF119</f>
        <v>92000</v>
      </c>
      <c r="BG120" s="920">
        <f>BG116+BG119</f>
        <v>93828.039779999992</v>
      </c>
      <c r="BH120" s="914">
        <f t="shared" si="221"/>
        <v>1828.0397799999919</v>
      </c>
      <c r="BI120" s="769">
        <f>BI116+BI119</f>
        <v>90100</v>
      </c>
      <c r="BJ120" s="919">
        <f>BJ116+BJ119</f>
        <v>90000</v>
      </c>
      <c r="BK120" s="920">
        <f>BK116+BK119</f>
        <v>90371.188580000002</v>
      </c>
      <c r="BL120" s="914">
        <f t="shared" si="222"/>
        <v>371.18858000000182</v>
      </c>
      <c r="BM120" s="769">
        <f>BM116+BM119</f>
        <v>87100</v>
      </c>
      <c r="BN120" s="919">
        <f>BN116+BN119</f>
        <v>87000</v>
      </c>
      <c r="BO120" s="920">
        <f>BO116+BO119</f>
        <v>87400.59666000001</v>
      </c>
      <c r="BP120" s="914">
        <f t="shared" si="223"/>
        <v>400.59666000001016</v>
      </c>
      <c r="BQ120" s="692">
        <f t="shared" si="224"/>
        <v>269250</v>
      </c>
      <c r="BR120" s="693"/>
      <c r="BS120" s="693">
        <f t="shared" si="225"/>
        <v>269000</v>
      </c>
      <c r="BT120" s="685">
        <f t="shared" si="225"/>
        <v>271599.82501999999</v>
      </c>
      <c r="BU120" s="685">
        <f t="shared" si="226"/>
        <v>2349.8250199999893</v>
      </c>
      <c r="BV120" s="724"/>
      <c r="BW120" s="694">
        <f t="shared" si="227"/>
        <v>2599.8250199999893</v>
      </c>
      <c r="BX120" s="769">
        <f>BX116+BX119</f>
        <v>86840</v>
      </c>
      <c r="BY120" s="919">
        <f>BY116+BY119</f>
        <v>87000</v>
      </c>
      <c r="BZ120" s="920">
        <v>87762.108999999997</v>
      </c>
      <c r="CA120" s="914"/>
      <c r="CB120" s="769">
        <f>CB116+CB119</f>
        <v>72950</v>
      </c>
      <c r="CC120" s="919">
        <f>CC116+CC119</f>
        <v>73000</v>
      </c>
      <c r="CD120" s="921">
        <f>CD116+CD119</f>
        <v>73000</v>
      </c>
      <c r="CE120" s="914"/>
      <c r="CF120" s="769">
        <f>CF116+CF119</f>
        <v>37550</v>
      </c>
      <c r="CG120" s="919">
        <f>CG116+CG119</f>
        <v>37400</v>
      </c>
      <c r="CH120" s="921">
        <f>CH116+CH119</f>
        <v>37400</v>
      </c>
      <c r="CI120" s="914"/>
      <c r="CJ120" s="692">
        <f t="shared" si="228"/>
        <v>197340</v>
      </c>
      <c r="CK120" s="693"/>
      <c r="CL120" s="693">
        <f t="shared" si="229"/>
        <v>197400</v>
      </c>
      <c r="CM120" s="685">
        <f t="shared" si="229"/>
        <v>198162.109</v>
      </c>
      <c r="CN120" s="693">
        <f t="shared" si="230"/>
        <v>822.10899999999674</v>
      </c>
      <c r="CO120" s="693"/>
      <c r="CP120" s="694">
        <f t="shared" si="231"/>
        <v>762.10899999999674</v>
      </c>
      <c r="CQ120" s="692">
        <f t="shared" si="232"/>
        <v>466590</v>
      </c>
      <c r="CR120" s="927"/>
      <c r="CS120" s="512">
        <f t="shared" si="233"/>
        <v>466400</v>
      </c>
      <c r="CT120" s="685">
        <f t="shared" si="234"/>
        <v>469761.93401999999</v>
      </c>
      <c r="CU120" s="724">
        <f t="shared" si="235"/>
        <v>3171.934019999986</v>
      </c>
      <c r="CV120" s="724"/>
      <c r="CW120" s="694">
        <f t="shared" si="236"/>
        <v>3361.934019999986</v>
      </c>
      <c r="CX120" s="722"/>
      <c r="CY120" s="696"/>
      <c r="CZ120" s="723"/>
      <c r="DA120" s="723"/>
      <c r="DB120" s="723"/>
      <c r="DC120" s="697"/>
      <c r="DD120" s="697"/>
    </row>
    <row r="121" spans="1:108">
      <c r="A121" s="1014" t="s">
        <v>161</v>
      </c>
      <c r="B121" s="1010"/>
      <c r="C121" s="1010"/>
      <c r="D121" s="1009"/>
      <c r="E121" s="809"/>
      <c r="F121" s="810"/>
      <c r="G121" s="811"/>
      <c r="H121" s="812">
        <f>G122/F122</f>
        <v>1.1436867247910862</v>
      </c>
      <c r="I121" s="809"/>
      <c r="J121" s="810"/>
      <c r="K121" s="811"/>
      <c r="L121" s="1093">
        <f>K122/J122</f>
        <v>1.0204137157777777</v>
      </c>
      <c r="M121" s="809"/>
      <c r="N121" s="810"/>
      <c r="O121" s="811"/>
      <c r="P121" s="1093">
        <f>O122/N122</f>
        <v>1.0238023322340426</v>
      </c>
      <c r="Q121" s="814"/>
      <c r="R121" s="815"/>
      <c r="S121" s="816"/>
      <c r="T121" s="706"/>
      <c r="U121" s="1094">
        <f>T122/Q122</f>
        <v>1.1803903909567497</v>
      </c>
      <c r="V121" s="1070">
        <f>T122/R122</f>
        <v>1.0956665064476885</v>
      </c>
      <c r="W121" s="1072">
        <f>T122/S122</f>
        <v>1.0153115289091934</v>
      </c>
      <c r="X121" s="809"/>
      <c r="Y121" s="810"/>
      <c r="Z121" s="811"/>
      <c r="AA121" s="1093">
        <f>Z122/Y122</f>
        <v>1.1081132481941396</v>
      </c>
      <c r="AB121" s="809"/>
      <c r="AC121" s="810"/>
      <c r="AD121" s="811"/>
      <c r="AE121" s="1101">
        <f>AD122/AC122</f>
        <v>1.0080091607865167</v>
      </c>
      <c r="AF121" s="809"/>
      <c r="AG121" s="810"/>
      <c r="AH121" s="811"/>
      <c r="AI121" s="1101">
        <f>AH122/AG122</f>
        <v>1.0034978457516339</v>
      </c>
      <c r="AJ121" s="817"/>
      <c r="AK121" s="815"/>
      <c r="AL121" s="888"/>
      <c r="AM121" s="706"/>
      <c r="AN121" s="1096">
        <f>AM122/AJ122</f>
        <v>1.0618589062572419</v>
      </c>
      <c r="AO121" s="1100">
        <f>AM122/AK122</f>
        <v>1.0250382954138699</v>
      </c>
      <c r="AP121" s="1085">
        <f>AM122/AL122</f>
        <v>1.0382002278354709</v>
      </c>
      <c r="AQ121" s="817"/>
      <c r="AR121" s="818"/>
      <c r="AS121" s="819"/>
      <c r="AT121" s="924"/>
      <c r="AU121" s="1096">
        <f>AT122/AQ122</f>
        <v>1.1174797690036899</v>
      </c>
      <c r="AV121" s="1070">
        <f>AT122/AR122</f>
        <v>1.05887069020979</v>
      </c>
      <c r="AW121" s="1085">
        <f>AT122/AS122</f>
        <v>1.0267274925538088</v>
      </c>
      <c r="AX121" s="820"/>
      <c r="AY121" s="821"/>
      <c r="AZ121" s="821"/>
      <c r="BA121" s="925"/>
      <c r="BB121" s="925"/>
      <c r="BC121" s="925"/>
      <c r="BD121" s="925"/>
      <c r="BE121" s="809"/>
      <c r="BF121" s="810"/>
      <c r="BG121" s="811"/>
      <c r="BH121" s="1093">
        <f>BG122/BF122</f>
        <v>1.0002855854291417</v>
      </c>
      <c r="BI121" s="809"/>
      <c r="BJ121" s="810"/>
      <c r="BK121" s="811"/>
      <c r="BL121" s="1093">
        <f>BK122/BJ122</f>
        <v>1.0016900383246075</v>
      </c>
      <c r="BM121" s="809"/>
      <c r="BN121" s="810"/>
      <c r="BO121" s="811"/>
      <c r="BP121" s="1101">
        <f>BO122/BN122</f>
        <v>1.0035980450793653</v>
      </c>
      <c r="BQ121" s="817"/>
      <c r="BR121" s="816"/>
      <c r="BS121" s="888"/>
      <c r="BT121" s="706"/>
      <c r="BU121" s="1094">
        <f>BT122/BQ122</f>
        <v>1.0016538486821707</v>
      </c>
      <c r="BV121" s="1100"/>
      <c r="BW121" s="1072">
        <f>BT122/BS122</f>
        <v>1.001826428600965</v>
      </c>
      <c r="BX121" s="809"/>
      <c r="BY121" s="810"/>
      <c r="BZ121" s="811"/>
      <c r="CA121" s="1101">
        <f>BZ122/BY122</f>
        <v>1.0019559285106383</v>
      </c>
      <c r="CB121" s="809"/>
      <c r="CC121" s="810"/>
      <c r="CD121" s="813"/>
      <c r="CE121" s="1101">
        <f>CD122/CC122</f>
        <v>1</v>
      </c>
      <c r="CF121" s="809"/>
      <c r="CG121" s="810"/>
      <c r="CH121" s="813"/>
      <c r="CI121" s="1101">
        <f>CH122/CG122</f>
        <v>1</v>
      </c>
      <c r="CJ121" s="817"/>
      <c r="CK121" s="816"/>
      <c r="CL121" s="888"/>
      <c r="CM121" s="706"/>
      <c r="CN121" s="1096">
        <f>CM122/CJ122</f>
        <v>1.0044387569601203</v>
      </c>
      <c r="CO121" s="1096"/>
      <c r="CP121" s="1085">
        <f>CM122/CL122</f>
        <v>1.0008615617619494</v>
      </c>
      <c r="CQ121" s="817"/>
      <c r="CR121" s="819"/>
      <c r="CS121" s="819"/>
      <c r="CT121" s="924"/>
      <c r="CU121" s="1096">
        <f>CT122/CQ122</f>
        <v>1.0028314081807155</v>
      </c>
      <c r="CV121" s="1096"/>
      <c r="CW121" s="1085">
        <f>CT122/CS122</f>
        <v>1.0014175672359016</v>
      </c>
      <c r="CX121" s="722"/>
      <c r="CY121" s="821"/>
      <c r="CZ121" s="821"/>
      <c r="DA121" s="821"/>
      <c r="DB121" s="821"/>
      <c r="DC121" s="925"/>
      <c r="DD121" s="925"/>
    </row>
    <row r="122" spans="1:108">
      <c r="A122" s="1011" t="s">
        <v>162</v>
      </c>
      <c r="B122" s="997"/>
      <c r="C122" s="997"/>
      <c r="D122" s="995"/>
      <c r="E122" s="822">
        <f>E115+E120</f>
        <v>70800</v>
      </c>
      <c r="F122" s="887">
        <f>F120+F115</f>
        <v>71800</v>
      </c>
      <c r="G122" s="824">
        <f>G120+G115</f>
        <v>82116.706839999999</v>
      </c>
      <c r="H122" s="825">
        <f>G122-F122</f>
        <v>10316.706839999999</v>
      </c>
      <c r="I122" s="822">
        <f>I115+I120</f>
        <v>78700</v>
      </c>
      <c r="J122" s="887">
        <f>J120+J115</f>
        <v>90000</v>
      </c>
      <c r="K122" s="824">
        <f>K120+K115</f>
        <v>91837.234419999993</v>
      </c>
      <c r="L122" s="825">
        <f t="shared" ref="L122:L127" si="241">K122-J122</f>
        <v>1837.2344199999934</v>
      </c>
      <c r="M122" s="822">
        <f>M115+M120</f>
        <v>79400</v>
      </c>
      <c r="N122" s="887">
        <f>N120+N115</f>
        <v>94000</v>
      </c>
      <c r="O122" s="824">
        <f>O120+O115</f>
        <v>96237.41923</v>
      </c>
      <c r="P122" s="825">
        <f t="shared" ref="P122:P127" si="242">O122-N122</f>
        <v>2237.4192299999995</v>
      </c>
      <c r="Q122" s="827">
        <f t="shared" ref="Q122:Q127" si="243">E122+I122+M122</f>
        <v>228900</v>
      </c>
      <c r="R122" s="828">
        <f>R120+R115</f>
        <v>246600</v>
      </c>
      <c r="S122" s="739">
        <f t="shared" ref="S122:S127" si="244">G122+J122+N122</f>
        <v>266116.70684</v>
      </c>
      <c r="T122" s="715">
        <f t="shared" ref="T122:T127" si="245">G122+K122+O122</f>
        <v>270191.36048999999</v>
      </c>
      <c r="U122" s="712">
        <f t="shared" ref="U122:U127" si="246">T122-Q122</f>
        <v>41291.360489999992</v>
      </c>
      <c r="V122" s="711">
        <f t="shared" si="237"/>
        <v>23591.360489999992</v>
      </c>
      <c r="W122" s="716">
        <f t="shared" ref="W122:W127" si="247">T122-S122</f>
        <v>4074.6536499999929</v>
      </c>
      <c r="X122" s="822">
        <f>X115+X120</f>
        <v>79400</v>
      </c>
      <c r="Y122" s="887">
        <f>Y120+Y115</f>
        <v>83999.856</v>
      </c>
      <c r="Z122" s="824">
        <f>Z120+Z115</f>
        <v>93081.353279999981</v>
      </c>
      <c r="AA122" s="825">
        <f t="shared" ref="AA122:AA127" si="248">Z122-Y122</f>
        <v>9081.4972799999814</v>
      </c>
      <c r="AB122" s="822">
        <f>AB115+AB120</f>
        <v>86500</v>
      </c>
      <c r="AC122" s="887">
        <f>AC120+AC115</f>
        <v>89000</v>
      </c>
      <c r="AD122" s="824">
        <f>AD120+AD115</f>
        <v>89712.815309999991</v>
      </c>
      <c r="AE122" s="825">
        <f t="shared" ref="AE122:AE127" si="249">AD122-AC122</f>
        <v>712.81530999999086</v>
      </c>
      <c r="AF122" s="822">
        <f>AF115+AF120</f>
        <v>93000</v>
      </c>
      <c r="AG122" s="887">
        <f>AG120+AG115</f>
        <v>91800</v>
      </c>
      <c r="AH122" s="824">
        <f>AH120+AH115</f>
        <v>92121.102239999993</v>
      </c>
      <c r="AI122" s="825">
        <f t="shared" ref="AI122:AI127" si="250">AH122-AG122</f>
        <v>321.10223999999289</v>
      </c>
      <c r="AJ122" s="713">
        <f t="shared" ref="AJ122:AJ127" si="251">X122+AB122+AF122</f>
        <v>258900</v>
      </c>
      <c r="AK122" s="828">
        <f>AK120+AK115</f>
        <v>268200</v>
      </c>
      <c r="AL122" s="739">
        <f t="shared" ref="AL122:AM127" si="252">Y122+AC122+AG122</f>
        <v>264799.85600000003</v>
      </c>
      <c r="AM122" s="715">
        <f t="shared" si="252"/>
        <v>274915.27082999994</v>
      </c>
      <c r="AN122" s="739">
        <f t="shared" ref="AN122:AN127" si="253">AM122-AJ122</f>
        <v>16015.270829999936</v>
      </c>
      <c r="AO122" s="711">
        <f t="shared" si="238"/>
        <v>6715.2708299999358</v>
      </c>
      <c r="AP122" s="688">
        <f t="shared" ref="AP122:AP127" si="254">AM122-AL122</f>
        <v>10115.414829999907</v>
      </c>
      <c r="AQ122" s="718">
        <f t="shared" ref="AQ122:AQ127" si="255">SUM(Q122,AJ122)</f>
        <v>487800</v>
      </c>
      <c r="AR122" s="715">
        <f>AR120+AR115</f>
        <v>514800</v>
      </c>
      <c r="AS122" s="613">
        <f t="shared" ref="AS122:AS127" si="256">S122+AL122</f>
        <v>530916.56284000003</v>
      </c>
      <c r="AT122" s="715">
        <f t="shared" ref="AT122:AT127" si="257">SUM(T122,AM122)</f>
        <v>545106.63131999993</v>
      </c>
      <c r="AU122" s="739">
        <f t="shared" ref="AU122:AU127" si="258">AT122-AQ122</f>
        <v>57306.631319999928</v>
      </c>
      <c r="AV122" s="711">
        <f t="shared" si="239"/>
        <v>30306.631319999928</v>
      </c>
      <c r="AW122" s="688">
        <f t="shared" ref="AW122:AW127" si="259">AT122-AS122</f>
        <v>14190.0684799999</v>
      </c>
      <c r="AX122" s="722">
        <f>AQ122/6</f>
        <v>81300</v>
      </c>
      <c r="AY122" s="709">
        <f>AR122/6</f>
        <v>85800</v>
      </c>
      <c r="AZ122" s="723">
        <f>AT122/6</f>
        <v>90851.105219999983</v>
      </c>
      <c r="BA122" s="829">
        <f>AZ122/AX122</f>
        <v>1.1174797690036897</v>
      </c>
      <c r="BB122" s="493">
        <f>AZ122-AX122</f>
        <v>9551.1052199999831</v>
      </c>
      <c r="BC122" s="516">
        <f>AZ122-AY122</f>
        <v>5051.1052199999831</v>
      </c>
      <c r="BD122" s="493">
        <f>AW122/6</f>
        <v>2365.0114133333168</v>
      </c>
      <c r="BE122" s="822">
        <f>BE115+BE120</f>
        <v>100250</v>
      </c>
      <c r="BF122" s="887">
        <f>BF120+BF115</f>
        <v>100200</v>
      </c>
      <c r="BG122" s="824">
        <f>BG120+BG115</f>
        <v>100228.61566</v>
      </c>
      <c r="BH122" s="825">
        <f t="shared" ref="BH122:BH127" si="260">BG122-BF122</f>
        <v>28.615659999995842</v>
      </c>
      <c r="BI122" s="822">
        <f>BI115+BI120</f>
        <v>96600</v>
      </c>
      <c r="BJ122" s="887">
        <f>BJ120+BJ115</f>
        <v>95500</v>
      </c>
      <c r="BK122" s="824">
        <f>BK120+BK115</f>
        <v>95661.398660000006</v>
      </c>
      <c r="BL122" s="825">
        <f t="shared" ref="BL122:BL127" si="261">BK122-BJ122</f>
        <v>161.3986600000062</v>
      </c>
      <c r="BM122" s="822">
        <f>BM115+BM120</f>
        <v>93400</v>
      </c>
      <c r="BN122" s="887">
        <f>BN120+BN115</f>
        <v>94500</v>
      </c>
      <c r="BO122" s="824">
        <f>BO120+BO115</f>
        <v>94840.015260000015</v>
      </c>
      <c r="BP122" s="825">
        <f t="shared" ref="BP122:BP127" si="262">BO122-BN122</f>
        <v>340.01526000001468</v>
      </c>
      <c r="BQ122" s="713">
        <f t="shared" ref="BQ122:BQ127" si="263">BE122+BI122+BM122</f>
        <v>290250</v>
      </c>
      <c r="BR122" s="714"/>
      <c r="BS122" s="739">
        <f t="shared" ref="BS122:BT127" si="264">BF122+BJ122+BN122</f>
        <v>290200</v>
      </c>
      <c r="BT122" s="715">
        <f t="shared" si="264"/>
        <v>290730.02958000003</v>
      </c>
      <c r="BU122" s="712">
        <f t="shared" ref="BU122:BU127" si="265">BT122-BQ122</f>
        <v>480.02958000003127</v>
      </c>
      <c r="BV122" s="711"/>
      <c r="BW122" s="716">
        <f t="shared" ref="BW122:BW127" si="266">BT122-BS122</f>
        <v>530.02958000003127</v>
      </c>
      <c r="BX122" s="822">
        <f>BX115+BX120</f>
        <v>93140</v>
      </c>
      <c r="BY122" s="887">
        <f>BY120+BY115</f>
        <v>94000</v>
      </c>
      <c r="BZ122" s="824">
        <f>BZ120+BZ115</f>
        <v>94183.857279999997</v>
      </c>
      <c r="CA122" s="825">
        <f>BZ122-BY122</f>
        <v>183.85727999999654</v>
      </c>
      <c r="CB122" s="822">
        <f>CB115+CB120</f>
        <v>78450</v>
      </c>
      <c r="CC122" s="887">
        <f>CC120+CC115</f>
        <v>78000</v>
      </c>
      <c r="CD122" s="826">
        <f>CD120+CD115</f>
        <v>78000</v>
      </c>
      <c r="CE122" s="825">
        <f>CD122-CC122</f>
        <v>0</v>
      </c>
      <c r="CF122" s="822">
        <f>CF115+CF120</f>
        <v>41050</v>
      </c>
      <c r="CG122" s="887">
        <f>CG120+CG115</f>
        <v>41400</v>
      </c>
      <c r="CH122" s="826">
        <f>CH120+CH115</f>
        <v>41400</v>
      </c>
      <c r="CI122" s="825">
        <f t="shared" ref="CI122:CI127" si="267">CH122-CG122</f>
        <v>0</v>
      </c>
      <c r="CJ122" s="713">
        <f t="shared" ref="CJ122:CJ127" si="268">BX122+CB122+CF122</f>
        <v>212640</v>
      </c>
      <c r="CK122" s="714"/>
      <c r="CL122" s="739">
        <f t="shared" ref="CL122:CM127" si="269">BY122+CC122+CG122</f>
        <v>213400</v>
      </c>
      <c r="CM122" s="715">
        <f t="shared" si="269"/>
        <v>213583.85728</v>
      </c>
      <c r="CN122" s="739">
        <f t="shared" ref="CN122:CN127" si="270">CM122-CJ122</f>
        <v>943.85727999999654</v>
      </c>
      <c r="CO122" s="739"/>
      <c r="CP122" s="688">
        <f t="shared" ref="CP122:CP127" si="271">CM122-CL122</f>
        <v>183.85727999999654</v>
      </c>
      <c r="CQ122" s="718">
        <f t="shared" ref="CQ122:CQ127" si="272">SUM(BQ122,CJ122)</f>
        <v>502890</v>
      </c>
      <c r="CR122" s="937"/>
      <c r="CS122" s="613">
        <f t="shared" ref="CS122:CS127" si="273">BS122+CL122</f>
        <v>503600</v>
      </c>
      <c r="CT122" s="715">
        <f t="shared" ref="CT122:CT127" si="274">SUM(BT122,CM122)</f>
        <v>504313.88686000003</v>
      </c>
      <c r="CU122" s="739">
        <f t="shared" ref="CU122:CU127" si="275">CT122-CQ122</f>
        <v>1423.8868600000278</v>
      </c>
      <c r="CV122" s="739"/>
      <c r="CW122" s="688">
        <f t="shared" ref="CW122:CW127" si="276">CT122-CS122</f>
        <v>713.88686000002781</v>
      </c>
      <c r="CX122" s="722">
        <f>CQ122/6</f>
        <v>83815</v>
      </c>
      <c r="CY122" s="723">
        <f>CT122/6</f>
        <v>84052.314476666666</v>
      </c>
      <c r="CZ122" s="829">
        <f>CY122/CX122</f>
        <v>1.0028314081807155</v>
      </c>
      <c r="DA122" s="556">
        <f>CY122-CX122</f>
        <v>237.31447666666645</v>
      </c>
      <c r="DB122" s="556">
        <f>CW122/6</f>
        <v>118.98114333333797</v>
      </c>
      <c r="DC122" s="516"/>
      <c r="DD122" s="493"/>
    </row>
    <row r="123" spans="1:108">
      <c r="A123" s="659"/>
      <c r="B123" s="634" t="s">
        <v>158</v>
      </c>
      <c r="C123" s="633"/>
      <c r="D123" s="635"/>
      <c r="E123" s="768">
        <v>12700</v>
      </c>
      <c r="F123" s="926">
        <f>ROUND(240000*0.05,-1)</f>
        <v>12000</v>
      </c>
      <c r="G123" s="831">
        <v>18510.240000000002</v>
      </c>
      <c r="H123" s="914">
        <f>G123-F123</f>
        <v>6510.2400000000016</v>
      </c>
      <c r="I123" s="768">
        <v>13800</v>
      </c>
      <c r="J123" s="926">
        <v>8750</v>
      </c>
      <c r="K123" s="831">
        <v>12274.4</v>
      </c>
      <c r="L123" s="914">
        <f t="shared" si="241"/>
        <v>3524.3999999999996</v>
      </c>
      <c r="M123" s="768">
        <v>13800</v>
      </c>
      <c r="N123" s="926">
        <v>9500</v>
      </c>
      <c r="O123" s="831">
        <v>12507.983</v>
      </c>
      <c r="P123" s="914">
        <f t="shared" si="242"/>
        <v>3007.9830000000002</v>
      </c>
      <c r="Q123" s="869">
        <f t="shared" si="243"/>
        <v>40300</v>
      </c>
      <c r="R123" s="870">
        <v>30000</v>
      </c>
      <c r="S123" s="693">
        <f t="shared" si="244"/>
        <v>36760.240000000005</v>
      </c>
      <c r="T123" s="526">
        <f t="shared" si="245"/>
        <v>43292.623</v>
      </c>
      <c r="U123" s="685">
        <f t="shared" si="246"/>
        <v>2992.6229999999996</v>
      </c>
      <c r="V123" s="724">
        <f t="shared" si="237"/>
        <v>13292.623</v>
      </c>
      <c r="W123" s="528">
        <f t="shared" si="247"/>
        <v>6532.3829999999944</v>
      </c>
      <c r="X123" s="768">
        <v>12800</v>
      </c>
      <c r="Y123" s="926">
        <v>9500</v>
      </c>
      <c r="Z123" s="831">
        <v>21727.905999999999</v>
      </c>
      <c r="AA123" s="914">
        <f t="shared" si="248"/>
        <v>12227.905999999999</v>
      </c>
      <c r="AB123" s="768">
        <v>12250</v>
      </c>
      <c r="AC123" s="926">
        <v>11500</v>
      </c>
      <c r="AD123" s="831">
        <v>10477.562</v>
      </c>
      <c r="AE123" s="914">
        <f t="shared" si="249"/>
        <v>-1022.4380000000001</v>
      </c>
      <c r="AF123" s="768">
        <v>10900</v>
      </c>
      <c r="AG123" s="926">
        <v>12000</v>
      </c>
      <c r="AH123" s="831">
        <v>11837.313</v>
      </c>
      <c r="AI123" s="914">
        <f t="shared" si="250"/>
        <v>-162.6869999999999</v>
      </c>
      <c r="AJ123" s="718">
        <f t="shared" si="251"/>
        <v>35950</v>
      </c>
      <c r="AK123" s="870">
        <v>46250</v>
      </c>
      <c r="AL123" s="693">
        <f t="shared" si="252"/>
        <v>33000</v>
      </c>
      <c r="AM123" s="720">
        <f t="shared" si="252"/>
        <v>44042.781000000003</v>
      </c>
      <c r="AN123" s="693">
        <f t="shared" si="253"/>
        <v>8092.7810000000027</v>
      </c>
      <c r="AO123" s="724">
        <f t="shared" si="238"/>
        <v>-2207.2189999999973</v>
      </c>
      <c r="AP123" s="528">
        <f t="shared" si="254"/>
        <v>11042.781000000003</v>
      </c>
      <c r="AQ123" s="529">
        <f t="shared" si="255"/>
        <v>76250</v>
      </c>
      <c r="AR123" s="720">
        <f>AK123+R123</f>
        <v>76250</v>
      </c>
      <c r="AS123" s="613">
        <f t="shared" si="256"/>
        <v>69760.240000000005</v>
      </c>
      <c r="AT123" s="530">
        <f t="shared" si="257"/>
        <v>87335.40400000001</v>
      </c>
      <c r="AU123" s="640">
        <f t="shared" si="258"/>
        <v>11085.40400000001</v>
      </c>
      <c r="AV123" s="724">
        <f t="shared" si="239"/>
        <v>11085.40400000001</v>
      </c>
      <c r="AW123" s="528">
        <f t="shared" si="259"/>
        <v>17575.164000000004</v>
      </c>
      <c r="AX123" s="722"/>
      <c r="AY123" s="723"/>
      <c r="AZ123" s="723"/>
      <c r="BA123" s="556"/>
      <c r="BB123" s="556"/>
      <c r="BC123" s="556"/>
      <c r="BD123" s="556"/>
      <c r="BE123" s="768">
        <v>19380</v>
      </c>
      <c r="BF123" s="926">
        <v>19380</v>
      </c>
      <c r="BG123" s="831">
        <v>13925.002</v>
      </c>
      <c r="BH123" s="914">
        <f t="shared" si="260"/>
        <v>-5454.9979999999996</v>
      </c>
      <c r="BI123" s="768">
        <v>10850</v>
      </c>
      <c r="BJ123" s="926">
        <f>ROUND(120000*0.08,-1)</f>
        <v>9600</v>
      </c>
      <c r="BK123" s="1357">
        <v>12881.253000000001</v>
      </c>
      <c r="BL123" s="914">
        <f t="shared" si="261"/>
        <v>3281.2530000000006</v>
      </c>
      <c r="BM123" s="768">
        <v>13950</v>
      </c>
      <c r="BN123" s="926">
        <v>13600</v>
      </c>
      <c r="BO123" s="1374">
        <v>14201.884</v>
      </c>
      <c r="BP123" s="914">
        <f t="shared" si="262"/>
        <v>601.88400000000001</v>
      </c>
      <c r="BQ123" s="718">
        <f t="shared" si="263"/>
        <v>44180</v>
      </c>
      <c r="BR123" s="719"/>
      <c r="BS123" s="693">
        <f t="shared" si="264"/>
        <v>42580</v>
      </c>
      <c r="BT123" s="526">
        <f t="shared" si="264"/>
        <v>41008.139000000003</v>
      </c>
      <c r="BU123" s="685">
        <f t="shared" si="265"/>
        <v>-3171.8609999999971</v>
      </c>
      <c r="BV123" s="724"/>
      <c r="BW123" s="528">
        <f t="shared" si="266"/>
        <v>-1571.8609999999971</v>
      </c>
      <c r="BX123" s="768">
        <v>11720</v>
      </c>
      <c r="BY123" s="926">
        <v>17360</v>
      </c>
      <c r="BZ123" s="831">
        <v>12672.526</v>
      </c>
      <c r="CA123" s="914">
        <v>0</v>
      </c>
      <c r="CB123" s="768">
        <v>10420</v>
      </c>
      <c r="CC123" s="926">
        <v>17600</v>
      </c>
      <c r="CD123" s="832">
        <v>12000</v>
      </c>
      <c r="CE123" s="914">
        <v>0</v>
      </c>
      <c r="CF123" s="768">
        <v>9770</v>
      </c>
      <c r="CG123" s="926">
        <v>12000</v>
      </c>
      <c r="CH123" s="832">
        <v>5000</v>
      </c>
      <c r="CI123" s="914">
        <f t="shared" si="267"/>
        <v>-7000</v>
      </c>
      <c r="CJ123" s="718">
        <f t="shared" si="268"/>
        <v>31910</v>
      </c>
      <c r="CK123" s="719"/>
      <c r="CL123" s="693">
        <f t="shared" si="269"/>
        <v>46960</v>
      </c>
      <c r="CM123" s="720">
        <f t="shared" si="269"/>
        <v>29672.525999999998</v>
      </c>
      <c r="CN123" s="693">
        <f t="shared" si="270"/>
        <v>-2237.474000000002</v>
      </c>
      <c r="CO123" s="693"/>
      <c r="CP123" s="528">
        <f t="shared" si="271"/>
        <v>-17287.474000000002</v>
      </c>
      <c r="CQ123" s="529">
        <f t="shared" si="272"/>
        <v>76090</v>
      </c>
      <c r="CR123" s="605"/>
      <c r="CS123" s="613">
        <f t="shared" si="273"/>
        <v>89540</v>
      </c>
      <c r="CT123" s="530">
        <f t="shared" si="274"/>
        <v>70680.665000000008</v>
      </c>
      <c r="CU123" s="640">
        <f t="shared" si="275"/>
        <v>-5409.3349999999919</v>
      </c>
      <c r="CV123" s="640"/>
      <c r="CW123" s="528">
        <f t="shared" si="276"/>
        <v>-18859.334999999992</v>
      </c>
      <c r="CX123" s="722"/>
      <c r="CY123" s="723"/>
      <c r="CZ123" s="556"/>
      <c r="DA123" s="556"/>
      <c r="DB123" s="556"/>
      <c r="DC123" s="556"/>
      <c r="DD123" s="556"/>
    </row>
    <row r="124" spans="1:108">
      <c r="A124" s="659"/>
      <c r="B124" s="634" t="s">
        <v>159</v>
      </c>
      <c r="C124" s="633"/>
      <c r="D124" s="635"/>
      <c r="E124" s="768">
        <f>180000-E123</f>
        <v>167300</v>
      </c>
      <c r="F124" s="926">
        <f>240000-F123</f>
        <v>228000</v>
      </c>
      <c r="G124" s="831">
        <v>240205.92749999999</v>
      </c>
      <c r="H124" s="914">
        <f>G124-F124</f>
        <v>12205.927499999991</v>
      </c>
      <c r="I124" s="768">
        <f>200000-I123</f>
        <v>186200</v>
      </c>
      <c r="J124" s="926">
        <v>202250</v>
      </c>
      <c r="K124" s="831">
        <v>258176.4</v>
      </c>
      <c r="L124" s="914">
        <f t="shared" si="241"/>
        <v>55926.399999999994</v>
      </c>
      <c r="M124" s="768">
        <f>200000-M123</f>
        <v>186200</v>
      </c>
      <c r="N124" s="926">
        <v>180500</v>
      </c>
      <c r="O124" s="831">
        <v>186997.59400000001</v>
      </c>
      <c r="P124" s="914">
        <f t="shared" si="242"/>
        <v>6497.5940000000119</v>
      </c>
      <c r="Q124" s="869">
        <f t="shared" si="243"/>
        <v>539700</v>
      </c>
      <c r="R124" s="870">
        <v>606000</v>
      </c>
      <c r="S124" s="693">
        <f t="shared" si="244"/>
        <v>622955.92749999999</v>
      </c>
      <c r="T124" s="526">
        <f t="shared" si="245"/>
        <v>685379.92150000005</v>
      </c>
      <c r="U124" s="685">
        <f t="shared" si="246"/>
        <v>145679.92150000005</v>
      </c>
      <c r="V124" s="724">
        <f t="shared" si="237"/>
        <v>79379.921500000055</v>
      </c>
      <c r="W124" s="528">
        <f t="shared" si="247"/>
        <v>62423.994000000064</v>
      </c>
      <c r="X124" s="768">
        <f>170000-X123</f>
        <v>157200</v>
      </c>
      <c r="Y124" s="926">
        <v>180500</v>
      </c>
      <c r="Z124" s="831">
        <v>198967.019</v>
      </c>
      <c r="AA124" s="914">
        <f t="shared" si="248"/>
        <v>18467.019</v>
      </c>
      <c r="AB124" s="768">
        <f>160000-AB123</f>
        <v>147750</v>
      </c>
      <c r="AC124" s="926">
        <v>218500</v>
      </c>
      <c r="AD124" s="831">
        <v>224423.584</v>
      </c>
      <c r="AE124" s="914">
        <f t="shared" si="249"/>
        <v>5923.5840000000026</v>
      </c>
      <c r="AF124" s="768">
        <f>130000-AF123</f>
        <v>119100</v>
      </c>
      <c r="AG124" s="926">
        <v>228000</v>
      </c>
      <c r="AH124" s="831">
        <v>228371.2965</v>
      </c>
      <c r="AI124" s="914">
        <f t="shared" si="250"/>
        <v>371.29649999999674</v>
      </c>
      <c r="AJ124" s="718">
        <f t="shared" si="251"/>
        <v>424050</v>
      </c>
      <c r="AK124" s="870">
        <v>433750</v>
      </c>
      <c r="AL124" s="693">
        <f t="shared" si="252"/>
        <v>627000</v>
      </c>
      <c r="AM124" s="720">
        <f t="shared" si="252"/>
        <v>651761.89950000006</v>
      </c>
      <c r="AN124" s="693">
        <f t="shared" si="253"/>
        <v>227711.89950000006</v>
      </c>
      <c r="AO124" s="724">
        <f t="shared" si="238"/>
        <v>218011.89950000006</v>
      </c>
      <c r="AP124" s="528">
        <f t="shared" si="254"/>
        <v>24761.899500000058</v>
      </c>
      <c r="AQ124" s="529">
        <f t="shared" si="255"/>
        <v>963750</v>
      </c>
      <c r="AR124" s="720">
        <f>AK124+R124</f>
        <v>1039750</v>
      </c>
      <c r="AS124" s="613">
        <f t="shared" si="256"/>
        <v>1249955.9275</v>
      </c>
      <c r="AT124" s="530">
        <f t="shared" si="257"/>
        <v>1337141.821</v>
      </c>
      <c r="AU124" s="640">
        <f t="shared" si="258"/>
        <v>373391.821</v>
      </c>
      <c r="AV124" s="724">
        <f t="shared" si="239"/>
        <v>297391.821</v>
      </c>
      <c r="AW124" s="528">
        <f t="shared" si="259"/>
        <v>87185.893500000006</v>
      </c>
      <c r="AX124" s="722"/>
      <c r="AY124" s="723"/>
      <c r="AZ124" s="723"/>
      <c r="BA124" s="556"/>
      <c r="BB124" s="556"/>
      <c r="BC124" s="556"/>
      <c r="BD124" s="556"/>
      <c r="BE124" s="768">
        <v>230620</v>
      </c>
      <c r="BF124" s="926">
        <v>230620</v>
      </c>
      <c r="BG124" s="831">
        <v>169091.57399999999</v>
      </c>
      <c r="BH124" s="914">
        <f t="shared" si="260"/>
        <v>-61528.426000000007</v>
      </c>
      <c r="BI124" s="768">
        <v>129150</v>
      </c>
      <c r="BJ124" s="926">
        <f>120000-BJ123</f>
        <v>110400</v>
      </c>
      <c r="BK124" s="831">
        <v>107379.5385</v>
      </c>
      <c r="BL124" s="914">
        <f t="shared" si="261"/>
        <v>-3020.4615000000049</v>
      </c>
      <c r="BM124" s="768">
        <v>166050</v>
      </c>
      <c r="BN124" s="926">
        <v>156400</v>
      </c>
      <c r="BO124" s="831">
        <v>149369.78450000001</v>
      </c>
      <c r="BP124" s="914">
        <f t="shared" si="262"/>
        <v>-7030.2154999999912</v>
      </c>
      <c r="BQ124" s="718">
        <f t="shared" si="263"/>
        <v>525820</v>
      </c>
      <c r="BR124" s="719"/>
      <c r="BS124" s="693">
        <f t="shared" si="264"/>
        <v>497420</v>
      </c>
      <c r="BT124" s="526">
        <f t="shared" si="264"/>
        <v>425840.897</v>
      </c>
      <c r="BU124" s="685">
        <f t="shared" si="265"/>
        <v>-99979.103000000003</v>
      </c>
      <c r="BV124" s="724"/>
      <c r="BW124" s="528">
        <f t="shared" si="266"/>
        <v>-71579.103000000003</v>
      </c>
      <c r="BX124" s="768">
        <v>168280</v>
      </c>
      <c r="BY124" s="926">
        <v>199640</v>
      </c>
      <c r="BZ124" s="831">
        <v>187982.23</v>
      </c>
      <c r="CA124" s="914">
        <v>0</v>
      </c>
      <c r="CB124" s="768">
        <v>149580</v>
      </c>
      <c r="CC124" s="926">
        <v>202400</v>
      </c>
      <c r="CD124" s="832">
        <v>138000</v>
      </c>
      <c r="CE124" s="914">
        <v>0</v>
      </c>
      <c r="CF124" s="768">
        <v>140230</v>
      </c>
      <c r="CG124" s="926">
        <v>138000</v>
      </c>
      <c r="CH124" s="832">
        <v>95000</v>
      </c>
      <c r="CI124" s="914">
        <f t="shared" si="267"/>
        <v>-43000</v>
      </c>
      <c r="CJ124" s="718">
        <f t="shared" si="268"/>
        <v>458090</v>
      </c>
      <c r="CK124" s="719"/>
      <c r="CL124" s="693">
        <f t="shared" si="269"/>
        <v>540040</v>
      </c>
      <c r="CM124" s="720">
        <f t="shared" si="269"/>
        <v>420982.23</v>
      </c>
      <c r="CN124" s="693">
        <f t="shared" si="270"/>
        <v>-37107.770000000019</v>
      </c>
      <c r="CO124" s="693"/>
      <c r="CP124" s="528">
        <f t="shared" si="271"/>
        <v>-119057.77000000002</v>
      </c>
      <c r="CQ124" s="529">
        <f t="shared" si="272"/>
        <v>983910</v>
      </c>
      <c r="CR124" s="605"/>
      <c r="CS124" s="613">
        <f t="shared" si="273"/>
        <v>1037460</v>
      </c>
      <c r="CT124" s="530">
        <f t="shared" si="274"/>
        <v>846823.12699999998</v>
      </c>
      <c r="CU124" s="640">
        <f t="shared" si="275"/>
        <v>-137086.87300000002</v>
      </c>
      <c r="CV124" s="640"/>
      <c r="CW124" s="528">
        <f t="shared" si="276"/>
        <v>-190636.87300000002</v>
      </c>
      <c r="CX124" s="722"/>
      <c r="CY124" s="723"/>
      <c r="CZ124" s="556"/>
      <c r="DA124" s="556"/>
      <c r="DB124" s="556"/>
      <c r="DC124" s="556"/>
      <c r="DD124" s="556"/>
    </row>
    <row r="125" spans="1:108">
      <c r="A125" s="659"/>
      <c r="B125" s="634" t="s">
        <v>160</v>
      </c>
      <c r="C125" s="633"/>
      <c r="D125" s="635"/>
      <c r="E125" s="768"/>
      <c r="F125" s="926"/>
      <c r="G125" s="831"/>
      <c r="H125" s="914">
        <f>G125-F125</f>
        <v>0</v>
      </c>
      <c r="I125" s="768"/>
      <c r="J125" s="926"/>
      <c r="K125" s="831"/>
      <c r="L125" s="914">
        <f t="shared" si="241"/>
        <v>0</v>
      </c>
      <c r="M125" s="768"/>
      <c r="N125" s="926"/>
      <c r="O125" s="831"/>
      <c r="P125" s="914">
        <f t="shared" si="242"/>
        <v>0</v>
      </c>
      <c r="Q125" s="869">
        <f t="shared" si="243"/>
        <v>0</v>
      </c>
      <c r="R125" s="870">
        <v>0</v>
      </c>
      <c r="S125" s="693">
        <f t="shared" si="244"/>
        <v>0</v>
      </c>
      <c r="T125" s="526">
        <f t="shared" si="245"/>
        <v>0</v>
      </c>
      <c r="U125" s="685">
        <f t="shared" si="246"/>
        <v>0</v>
      </c>
      <c r="V125" s="724">
        <f t="shared" si="237"/>
        <v>0</v>
      </c>
      <c r="W125" s="528">
        <f t="shared" si="247"/>
        <v>0</v>
      </c>
      <c r="X125" s="768"/>
      <c r="Y125" s="926"/>
      <c r="Z125" s="831"/>
      <c r="AA125" s="914">
        <f t="shared" si="248"/>
        <v>0</v>
      </c>
      <c r="AB125" s="768"/>
      <c r="AC125" s="926"/>
      <c r="AD125" s="831"/>
      <c r="AE125" s="914">
        <f t="shared" si="249"/>
        <v>0</v>
      </c>
      <c r="AF125" s="768"/>
      <c r="AG125" s="926"/>
      <c r="AH125" s="831"/>
      <c r="AI125" s="914">
        <f t="shared" si="250"/>
        <v>0</v>
      </c>
      <c r="AJ125" s="718">
        <f t="shared" si="251"/>
        <v>0</v>
      </c>
      <c r="AK125" s="870">
        <v>0</v>
      </c>
      <c r="AL125" s="693">
        <f t="shared" si="252"/>
        <v>0</v>
      </c>
      <c r="AM125" s="720">
        <f t="shared" si="252"/>
        <v>0</v>
      </c>
      <c r="AN125" s="693">
        <f t="shared" si="253"/>
        <v>0</v>
      </c>
      <c r="AO125" s="724">
        <f t="shared" si="238"/>
        <v>0</v>
      </c>
      <c r="AP125" s="528">
        <f t="shared" si="254"/>
        <v>0</v>
      </c>
      <c r="AQ125" s="529">
        <f t="shared" si="255"/>
        <v>0</v>
      </c>
      <c r="AR125" s="720">
        <f>AK125+R125</f>
        <v>0</v>
      </c>
      <c r="AS125" s="613">
        <f t="shared" si="256"/>
        <v>0</v>
      </c>
      <c r="AT125" s="530">
        <f t="shared" si="257"/>
        <v>0</v>
      </c>
      <c r="AU125" s="640">
        <f t="shared" si="258"/>
        <v>0</v>
      </c>
      <c r="AV125" s="724">
        <f t="shared" si="239"/>
        <v>0</v>
      </c>
      <c r="AW125" s="528">
        <f t="shared" si="259"/>
        <v>0</v>
      </c>
      <c r="AX125" s="722"/>
      <c r="AY125" s="723"/>
      <c r="AZ125" s="723"/>
      <c r="BA125" s="556"/>
      <c r="BB125" s="556"/>
      <c r="BC125" s="556"/>
      <c r="BD125" s="556"/>
      <c r="BE125" s="768"/>
      <c r="BF125" s="926"/>
      <c r="BG125" s="831"/>
      <c r="BH125" s="914">
        <f t="shared" si="260"/>
        <v>0</v>
      </c>
      <c r="BI125" s="768"/>
      <c r="BJ125" s="926"/>
      <c r="BK125" s="831"/>
      <c r="BL125" s="914">
        <f t="shared" si="261"/>
        <v>0</v>
      </c>
      <c r="BM125" s="768"/>
      <c r="BN125" s="926"/>
      <c r="BO125" s="831"/>
      <c r="BP125" s="914">
        <f t="shared" si="262"/>
        <v>0</v>
      </c>
      <c r="BQ125" s="718">
        <f t="shared" si="263"/>
        <v>0</v>
      </c>
      <c r="BR125" s="719"/>
      <c r="BS125" s="693">
        <f t="shared" si="264"/>
        <v>0</v>
      </c>
      <c r="BT125" s="526">
        <f t="shared" si="264"/>
        <v>0</v>
      </c>
      <c r="BU125" s="685">
        <f t="shared" si="265"/>
        <v>0</v>
      </c>
      <c r="BV125" s="724"/>
      <c r="BW125" s="528">
        <f t="shared" si="266"/>
        <v>0</v>
      </c>
      <c r="BX125" s="768"/>
      <c r="BY125" s="926"/>
      <c r="BZ125" s="831"/>
      <c r="CA125" s="914">
        <f>BZ125-BY125</f>
        <v>0</v>
      </c>
      <c r="CB125" s="768"/>
      <c r="CC125" s="926"/>
      <c r="CD125" s="832"/>
      <c r="CE125" s="914">
        <f>CD125-CC125</f>
        <v>0</v>
      </c>
      <c r="CF125" s="768"/>
      <c r="CG125" s="926"/>
      <c r="CH125" s="832"/>
      <c r="CI125" s="914">
        <f t="shared" si="267"/>
        <v>0</v>
      </c>
      <c r="CJ125" s="718">
        <f t="shared" si="268"/>
        <v>0</v>
      </c>
      <c r="CK125" s="719"/>
      <c r="CL125" s="693">
        <f t="shared" si="269"/>
        <v>0</v>
      </c>
      <c r="CM125" s="720">
        <f t="shared" si="269"/>
        <v>0</v>
      </c>
      <c r="CN125" s="693">
        <f t="shared" si="270"/>
        <v>0</v>
      </c>
      <c r="CO125" s="693"/>
      <c r="CP125" s="528">
        <f t="shared" si="271"/>
        <v>0</v>
      </c>
      <c r="CQ125" s="529">
        <f t="shared" si="272"/>
        <v>0</v>
      </c>
      <c r="CR125" s="605"/>
      <c r="CS125" s="613">
        <f t="shared" si="273"/>
        <v>0</v>
      </c>
      <c r="CT125" s="530">
        <f t="shared" si="274"/>
        <v>0</v>
      </c>
      <c r="CU125" s="640">
        <f t="shared" si="275"/>
        <v>0</v>
      </c>
      <c r="CV125" s="640"/>
      <c r="CW125" s="528">
        <f t="shared" si="276"/>
        <v>0</v>
      </c>
      <c r="CX125" s="722"/>
      <c r="CY125" s="723"/>
      <c r="CZ125" s="556"/>
      <c r="DA125" s="556"/>
      <c r="DB125" s="556"/>
      <c r="DC125" s="556"/>
      <c r="DD125" s="556"/>
    </row>
    <row r="126" spans="1:108">
      <c r="A126" s="659"/>
      <c r="B126" s="664"/>
      <c r="C126" s="634" t="s">
        <v>381</v>
      </c>
      <c r="D126" s="635"/>
      <c r="E126" s="768">
        <f>E78</f>
        <v>8980</v>
      </c>
      <c r="F126" s="919">
        <f>F78</f>
        <v>11400</v>
      </c>
      <c r="G126" s="920">
        <v>8622.11</v>
      </c>
      <c r="H126" s="914">
        <f>H78</f>
        <v>600</v>
      </c>
      <c r="I126" s="768">
        <f>I78</f>
        <v>9740</v>
      </c>
      <c r="J126" s="919">
        <v>6013.5</v>
      </c>
      <c r="K126" s="920">
        <v>9407</v>
      </c>
      <c r="L126" s="914">
        <f t="shared" si="241"/>
        <v>3393.5</v>
      </c>
      <c r="M126" s="768">
        <f>M78</f>
        <v>9750</v>
      </c>
      <c r="N126" s="919">
        <v>5900</v>
      </c>
      <c r="O126" s="831">
        <v>8205.0249999999996</v>
      </c>
      <c r="P126" s="914">
        <f t="shared" si="242"/>
        <v>2305.0249999999996</v>
      </c>
      <c r="Q126" s="833">
        <f t="shared" si="243"/>
        <v>28470</v>
      </c>
      <c r="R126" s="834">
        <v>30400</v>
      </c>
      <c r="S126" s="693">
        <f t="shared" si="244"/>
        <v>20535.61</v>
      </c>
      <c r="T126" s="530">
        <f t="shared" si="245"/>
        <v>26234.135000000002</v>
      </c>
      <c r="U126" s="741">
        <f t="shared" si="246"/>
        <v>-2235.864999999998</v>
      </c>
      <c r="V126" s="686">
        <f t="shared" si="237"/>
        <v>-4165.864999999998</v>
      </c>
      <c r="W126" s="758">
        <f t="shared" si="247"/>
        <v>5698.5250000000015</v>
      </c>
      <c r="X126" s="768">
        <f>X78</f>
        <v>8300</v>
      </c>
      <c r="Y126" s="919">
        <v>5900</v>
      </c>
      <c r="Z126" s="831">
        <v>9519.73</v>
      </c>
      <c r="AA126" s="914">
        <f t="shared" si="248"/>
        <v>3619.7299999999996</v>
      </c>
      <c r="AB126" s="768">
        <f>AB78</f>
        <v>7700</v>
      </c>
      <c r="AC126" s="919">
        <v>6490</v>
      </c>
      <c r="AD126" s="920">
        <v>8809.57</v>
      </c>
      <c r="AE126" s="914">
        <f t="shared" si="249"/>
        <v>2319.5699999999997</v>
      </c>
      <c r="AF126" s="768">
        <f>AF78</f>
        <v>6380</v>
      </c>
      <c r="AG126" s="919">
        <v>6770</v>
      </c>
      <c r="AH126" s="920">
        <v>7121.76</v>
      </c>
      <c r="AI126" s="914">
        <f t="shared" si="250"/>
        <v>351.76000000000022</v>
      </c>
      <c r="AJ126" s="725">
        <f t="shared" si="251"/>
        <v>22380</v>
      </c>
      <c r="AK126" s="834">
        <v>20450</v>
      </c>
      <c r="AL126" s="693">
        <f t="shared" si="252"/>
        <v>19160</v>
      </c>
      <c r="AM126" s="727">
        <f t="shared" si="252"/>
        <v>25451.059999999998</v>
      </c>
      <c r="AN126" s="927">
        <f t="shared" si="253"/>
        <v>3071.0599999999977</v>
      </c>
      <c r="AO126" s="686">
        <f t="shared" si="238"/>
        <v>5001.0599999999977</v>
      </c>
      <c r="AP126" s="758">
        <f t="shared" si="254"/>
        <v>6291.0599999999977</v>
      </c>
      <c r="AQ126" s="563">
        <f t="shared" si="255"/>
        <v>50850</v>
      </c>
      <c r="AR126" s="720">
        <f>AK126+R126</f>
        <v>50850</v>
      </c>
      <c r="AS126" s="595">
        <f t="shared" si="256"/>
        <v>39695.61</v>
      </c>
      <c r="AT126" s="571">
        <f t="shared" si="257"/>
        <v>51685.195</v>
      </c>
      <c r="AU126" s="686">
        <f t="shared" si="258"/>
        <v>835.19499999999971</v>
      </c>
      <c r="AV126" s="686">
        <f t="shared" si="239"/>
        <v>835.19499999999971</v>
      </c>
      <c r="AW126" s="758">
        <f t="shared" si="259"/>
        <v>11989.584999999999</v>
      </c>
      <c r="AX126" s="722"/>
      <c r="AY126" s="723"/>
      <c r="AZ126" s="723"/>
      <c r="BA126" s="556"/>
      <c r="BB126" s="556"/>
      <c r="BC126" s="556"/>
      <c r="BD126" s="556"/>
      <c r="BE126" s="768">
        <v>10610</v>
      </c>
      <c r="BF126" s="919">
        <v>10610</v>
      </c>
      <c r="BG126" s="920">
        <v>11386.841</v>
      </c>
      <c r="BH126" s="914">
        <f t="shared" si="260"/>
        <v>776.84100000000035</v>
      </c>
      <c r="BI126" s="768">
        <v>5940</v>
      </c>
      <c r="BJ126" s="919">
        <f>BJ78</f>
        <v>5050</v>
      </c>
      <c r="BK126" s="831">
        <v>11374.61</v>
      </c>
      <c r="BL126" s="914">
        <f t="shared" si="261"/>
        <v>6324.6100000000006</v>
      </c>
      <c r="BM126" s="768">
        <v>7630</v>
      </c>
      <c r="BN126" s="919">
        <v>7210</v>
      </c>
      <c r="BO126" s="920">
        <v>10274.474</v>
      </c>
      <c r="BP126" s="914">
        <f t="shared" si="262"/>
        <v>3064.4740000000002</v>
      </c>
      <c r="BQ126" s="725">
        <f t="shared" si="263"/>
        <v>24180</v>
      </c>
      <c r="BR126" s="726"/>
      <c r="BS126" s="693">
        <f t="shared" si="264"/>
        <v>22870</v>
      </c>
      <c r="BT126" s="530">
        <f t="shared" si="264"/>
        <v>33035.925000000003</v>
      </c>
      <c r="BU126" s="741">
        <f t="shared" si="265"/>
        <v>8855.9250000000029</v>
      </c>
      <c r="BV126" s="686"/>
      <c r="BW126" s="758">
        <f t="shared" si="266"/>
        <v>10165.925000000003</v>
      </c>
      <c r="BX126" s="768">
        <v>6309</v>
      </c>
      <c r="BY126" s="919">
        <v>9000</v>
      </c>
      <c r="BZ126" s="920">
        <v>8735.1200000000008</v>
      </c>
      <c r="CA126" s="914">
        <f>BZ126-BY126</f>
        <v>-264.8799999999992</v>
      </c>
      <c r="CB126" s="768">
        <v>6309</v>
      </c>
      <c r="CC126" s="919">
        <v>9000</v>
      </c>
      <c r="CD126" s="921">
        <v>6460</v>
      </c>
      <c r="CE126" s="914">
        <f>CD126-CC126</f>
        <v>-2540</v>
      </c>
      <c r="CF126" s="768">
        <v>6309</v>
      </c>
      <c r="CG126" s="919">
        <v>6460</v>
      </c>
      <c r="CH126" s="921">
        <v>0</v>
      </c>
      <c r="CI126" s="914">
        <f t="shared" si="267"/>
        <v>-6460</v>
      </c>
      <c r="CJ126" s="725">
        <f t="shared" si="268"/>
        <v>18927</v>
      </c>
      <c r="CK126" s="726"/>
      <c r="CL126" s="693">
        <f t="shared" si="269"/>
        <v>24460</v>
      </c>
      <c r="CM126" s="727">
        <f t="shared" si="269"/>
        <v>15195.12</v>
      </c>
      <c r="CN126" s="927">
        <f t="shared" si="270"/>
        <v>-3731.8799999999992</v>
      </c>
      <c r="CO126" s="899"/>
      <c r="CP126" s="758">
        <f t="shared" si="271"/>
        <v>-9264.8799999999992</v>
      </c>
      <c r="CQ126" s="563">
        <f t="shared" si="272"/>
        <v>43107</v>
      </c>
      <c r="CR126" s="606"/>
      <c r="CS126" s="595">
        <f t="shared" si="273"/>
        <v>47330</v>
      </c>
      <c r="CT126" s="571">
        <f t="shared" si="274"/>
        <v>48231.045000000006</v>
      </c>
      <c r="CU126" s="686">
        <f t="shared" si="275"/>
        <v>5124.0450000000055</v>
      </c>
      <c r="CV126" s="686"/>
      <c r="CW126" s="758">
        <f t="shared" si="276"/>
        <v>901.04500000000553</v>
      </c>
      <c r="CX126" s="722"/>
      <c r="CY126" s="723"/>
      <c r="CZ126" s="556"/>
      <c r="DA126" s="556"/>
      <c r="DB126" s="556"/>
      <c r="DC126" s="556"/>
      <c r="DD126" s="556"/>
    </row>
    <row r="127" spans="1:108">
      <c r="A127" s="659"/>
      <c r="B127" s="664"/>
      <c r="C127" s="634" t="s">
        <v>382</v>
      </c>
      <c r="D127" s="635"/>
      <c r="E127" s="768"/>
      <c r="F127" s="919">
        <f>F79</f>
        <v>216600</v>
      </c>
      <c r="G127" s="920">
        <v>231425.06299999999</v>
      </c>
      <c r="H127" s="914">
        <f>H79</f>
        <v>29310</v>
      </c>
      <c r="I127" s="768">
        <f>I79</f>
        <v>176050</v>
      </c>
      <c r="J127" s="919">
        <v>194436.5</v>
      </c>
      <c r="K127" s="920">
        <v>247256</v>
      </c>
      <c r="L127" s="914">
        <f t="shared" si="241"/>
        <v>52819.5</v>
      </c>
      <c r="M127" s="768">
        <f>M79</f>
        <v>176050</v>
      </c>
      <c r="N127" s="919">
        <v>180000</v>
      </c>
      <c r="O127" s="831">
        <v>177539.05300000001</v>
      </c>
      <c r="P127" s="914">
        <f t="shared" si="242"/>
        <v>-2460.9469999999856</v>
      </c>
      <c r="Q127" s="841">
        <f t="shared" si="243"/>
        <v>352100</v>
      </c>
      <c r="R127" s="842">
        <v>575600</v>
      </c>
      <c r="S127" s="696">
        <f t="shared" si="244"/>
        <v>605861.56299999997</v>
      </c>
      <c r="T127" s="571">
        <f t="shared" si="245"/>
        <v>656220.11599999992</v>
      </c>
      <c r="U127" s="685">
        <f t="shared" si="246"/>
        <v>304120.11599999992</v>
      </c>
      <c r="V127" s="724">
        <f t="shared" si="237"/>
        <v>80620.115999999922</v>
      </c>
      <c r="W127" s="694">
        <f t="shared" si="247"/>
        <v>50358.552999999956</v>
      </c>
      <c r="X127" s="768">
        <f>X79</f>
        <v>148000</v>
      </c>
      <c r="Y127" s="919">
        <v>180000</v>
      </c>
      <c r="Z127" s="831">
        <v>189457.299</v>
      </c>
      <c r="AA127" s="914">
        <f t="shared" si="248"/>
        <v>9457.2989999999991</v>
      </c>
      <c r="AB127" s="768">
        <f>AB79</f>
        <v>140000</v>
      </c>
      <c r="AC127" s="919">
        <v>209710</v>
      </c>
      <c r="AD127" s="920">
        <v>215879.576</v>
      </c>
      <c r="AE127" s="914">
        <f t="shared" si="249"/>
        <v>6169.5760000000009</v>
      </c>
      <c r="AF127" s="768">
        <f>AF79</f>
        <v>113670</v>
      </c>
      <c r="AG127" s="919">
        <v>218830</v>
      </c>
      <c r="AH127" s="920">
        <v>221392.89799999999</v>
      </c>
      <c r="AI127" s="914">
        <f t="shared" si="250"/>
        <v>2562.8979999999865</v>
      </c>
      <c r="AJ127" s="771">
        <f t="shared" si="251"/>
        <v>401670</v>
      </c>
      <c r="AK127" s="842">
        <v>413300</v>
      </c>
      <c r="AL127" s="696">
        <f t="shared" si="252"/>
        <v>608540</v>
      </c>
      <c r="AM127" s="772">
        <f t="shared" si="252"/>
        <v>626729.77300000004</v>
      </c>
      <c r="AN127" s="685">
        <f t="shared" si="253"/>
        <v>225059.77300000004</v>
      </c>
      <c r="AO127" s="724">
        <f t="shared" si="238"/>
        <v>213429.77300000004</v>
      </c>
      <c r="AP127" s="758">
        <f t="shared" si="254"/>
        <v>18189.773000000045</v>
      </c>
      <c r="AQ127" s="529">
        <f t="shared" si="255"/>
        <v>753770</v>
      </c>
      <c r="AR127" s="720">
        <f>AK127+R127</f>
        <v>988900</v>
      </c>
      <c r="AS127" s="512">
        <f t="shared" si="256"/>
        <v>1214401.5630000001</v>
      </c>
      <c r="AT127" s="530">
        <f t="shared" si="257"/>
        <v>1282949.889</v>
      </c>
      <c r="AU127" s="685">
        <f t="shared" si="258"/>
        <v>529179.88899999997</v>
      </c>
      <c r="AV127" s="724">
        <f t="shared" si="239"/>
        <v>294049.88899999997</v>
      </c>
      <c r="AW127" s="758">
        <f t="shared" si="259"/>
        <v>68548.325999999885</v>
      </c>
      <c r="AX127" s="722"/>
      <c r="AY127" s="723"/>
      <c r="AZ127" s="723"/>
      <c r="BA127" s="556"/>
      <c r="BB127" s="556"/>
      <c r="BC127" s="556"/>
      <c r="BD127" s="556"/>
      <c r="BE127" s="768">
        <v>220020</v>
      </c>
      <c r="BF127" s="919">
        <v>220020</v>
      </c>
      <c r="BG127" s="920">
        <v>156782.96799999999</v>
      </c>
      <c r="BH127" s="914">
        <f t="shared" si="260"/>
        <v>-63237.032000000007</v>
      </c>
      <c r="BI127" s="768">
        <v>123210</v>
      </c>
      <c r="BJ127" s="919">
        <f>BJ79</f>
        <v>104730</v>
      </c>
      <c r="BK127" s="831">
        <v>96694.430999999997</v>
      </c>
      <c r="BL127" s="914">
        <f t="shared" si="261"/>
        <v>-8035.5690000000031</v>
      </c>
      <c r="BM127" s="768">
        <v>158410</v>
      </c>
      <c r="BN127" s="919">
        <v>149610</v>
      </c>
      <c r="BO127" s="920">
        <v>137624.389</v>
      </c>
      <c r="BP127" s="914">
        <f t="shared" si="262"/>
        <v>-11985.611000000004</v>
      </c>
      <c r="BQ127" s="771">
        <f t="shared" si="263"/>
        <v>501640</v>
      </c>
      <c r="BR127" s="843"/>
      <c r="BS127" s="696">
        <f t="shared" si="264"/>
        <v>474360</v>
      </c>
      <c r="BT127" s="571">
        <f t="shared" si="264"/>
        <v>391101.78799999994</v>
      </c>
      <c r="BU127" s="685">
        <f t="shared" si="265"/>
        <v>-110538.21200000006</v>
      </c>
      <c r="BV127" s="724"/>
      <c r="BW127" s="694">
        <f t="shared" si="266"/>
        <v>-83258.212000000058</v>
      </c>
      <c r="BX127" s="768">
        <f>BX79</f>
        <v>158300</v>
      </c>
      <c r="BY127" s="919">
        <v>188000</v>
      </c>
      <c r="BZ127" s="920">
        <v>178893.891</v>
      </c>
      <c r="CA127" s="914">
        <f>BZ127-BY127</f>
        <v>-9106.1089999999967</v>
      </c>
      <c r="CB127" s="768">
        <v>148940</v>
      </c>
      <c r="CC127" s="919">
        <v>190000</v>
      </c>
      <c r="CD127" s="921">
        <v>131920</v>
      </c>
      <c r="CE127" s="914">
        <f>CD127-CC127</f>
        <v>-58080</v>
      </c>
      <c r="CF127" s="768">
        <v>131920</v>
      </c>
      <c r="CG127" s="919">
        <v>131920</v>
      </c>
      <c r="CH127" s="921">
        <v>95000</v>
      </c>
      <c r="CI127" s="914">
        <f t="shared" si="267"/>
        <v>-36920</v>
      </c>
      <c r="CJ127" s="771">
        <f t="shared" si="268"/>
        <v>439160</v>
      </c>
      <c r="CK127" s="843"/>
      <c r="CL127" s="696">
        <f t="shared" si="269"/>
        <v>509920</v>
      </c>
      <c r="CM127" s="772">
        <f t="shared" si="269"/>
        <v>405813.891</v>
      </c>
      <c r="CN127" s="685">
        <f t="shared" si="270"/>
        <v>-33346.108999999997</v>
      </c>
      <c r="CO127" s="686"/>
      <c r="CP127" s="758">
        <f t="shared" si="271"/>
        <v>-104106.109</v>
      </c>
      <c r="CQ127" s="529">
        <f t="shared" si="272"/>
        <v>940800</v>
      </c>
      <c r="CR127" s="531"/>
      <c r="CS127" s="512">
        <f t="shared" si="273"/>
        <v>984280</v>
      </c>
      <c r="CT127" s="530">
        <f t="shared" si="274"/>
        <v>796915.679</v>
      </c>
      <c r="CU127" s="685">
        <f t="shared" si="275"/>
        <v>-143884.321</v>
      </c>
      <c r="CV127" s="686"/>
      <c r="CW127" s="758">
        <f t="shared" si="276"/>
        <v>-187364.321</v>
      </c>
      <c r="CX127" s="722"/>
      <c r="CY127" s="723"/>
      <c r="CZ127" s="556"/>
      <c r="DA127" s="556"/>
      <c r="DB127" s="556"/>
      <c r="DC127" s="556"/>
      <c r="DD127" s="556"/>
    </row>
    <row r="128" spans="1:108">
      <c r="A128" s="1014" t="s">
        <v>161</v>
      </c>
      <c r="B128" s="1010"/>
      <c r="C128" s="1010"/>
      <c r="D128" s="1009"/>
      <c r="E128" s="809"/>
      <c r="F128" s="928"/>
      <c r="G128" s="929"/>
      <c r="H128" s="812">
        <f>G129/F129</f>
        <v>1.07798403125</v>
      </c>
      <c r="I128" s="809"/>
      <c r="J128" s="928"/>
      <c r="K128" s="929"/>
      <c r="L128" s="1093">
        <f>K129/J129</f>
        <v>1.2817573459715639</v>
      </c>
      <c r="M128" s="809"/>
      <c r="N128" s="928"/>
      <c r="O128" s="929"/>
      <c r="P128" s="1093">
        <f>O129/N129</f>
        <v>1.0500293526315791</v>
      </c>
      <c r="Q128" s="851"/>
      <c r="R128" s="852"/>
      <c r="S128" s="853"/>
      <c r="T128" s="596"/>
      <c r="U128" s="1094">
        <f>T129/Q129</f>
        <v>1.2563319732758622</v>
      </c>
      <c r="V128" s="1070">
        <f>T129/R129</f>
        <v>1.145711547955975</v>
      </c>
      <c r="W128" s="1072">
        <f>T129/S129</f>
        <v>1.1045243096911068</v>
      </c>
      <c r="X128" s="809"/>
      <c r="Y128" s="928"/>
      <c r="Z128" s="929"/>
      <c r="AA128" s="1093">
        <f>Z129/Y129</f>
        <v>1.1615522368421052</v>
      </c>
      <c r="AB128" s="809"/>
      <c r="AC128" s="928"/>
      <c r="AD128" s="929"/>
      <c r="AE128" s="1101">
        <f>AD129/AC129</f>
        <v>1.0213093304347827</v>
      </c>
      <c r="AF128" s="809"/>
      <c r="AG128" s="928"/>
      <c r="AH128" s="929"/>
      <c r="AI128" s="1101">
        <f>AH129/AG129</f>
        <v>1.00086920625</v>
      </c>
      <c r="AJ128" s="854"/>
      <c r="AK128" s="852"/>
      <c r="AL128" s="853"/>
      <c r="AM128" s="931"/>
      <c r="AN128" s="1096">
        <f>AM129/AJ129</f>
        <v>1.5126188706521739</v>
      </c>
      <c r="AO128" s="1100">
        <f>AM129/AK129</f>
        <v>1.449593084375</v>
      </c>
      <c r="AP128" s="1083">
        <f>AM129/AL129</f>
        <v>1.054249515909091</v>
      </c>
      <c r="AQ128" s="597"/>
      <c r="AR128" s="879"/>
      <c r="AS128" s="598"/>
      <c r="AT128" s="599"/>
      <c r="AU128" s="1096">
        <f>AT129/AQ129</f>
        <v>1.3696896394230771</v>
      </c>
      <c r="AV128" s="1070">
        <f>AT129/AR129</f>
        <v>1.2764132840501794</v>
      </c>
      <c r="AW128" s="1083">
        <f>AT129/AS129</f>
        <v>1.0793815064783618</v>
      </c>
      <c r="AX128" s="820"/>
      <c r="AY128" s="821"/>
      <c r="AZ128" s="821"/>
      <c r="BA128" s="570"/>
      <c r="BB128" s="570"/>
      <c r="BC128" s="570"/>
      <c r="BD128" s="570"/>
      <c r="BE128" s="809"/>
      <c r="BF128" s="928"/>
      <c r="BG128" s="929"/>
      <c r="BH128" s="1093">
        <f>BG129/BF129</f>
        <v>0.73206630400000006</v>
      </c>
      <c r="BI128" s="809"/>
      <c r="BJ128" s="928"/>
      <c r="BK128" s="929"/>
      <c r="BL128" s="1093">
        <f>BK129/BJ129</f>
        <v>1.0021732624999999</v>
      </c>
      <c r="BM128" s="809"/>
      <c r="BN128" s="928"/>
      <c r="BO128" s="929"/>
      <c r="BP128" s="1101">
        <f>BO129/BN129</f>
        <v>0.96218628529411765</v>
      </c>
      <c r="BQ128" s="854"/>
      <c r="BR128" s="853"/>
      <c r="BS128" s="853"/>
      <c r="BT128" s="596"/>
      <c r="BU128" s="1094">
        <f>BT129/BQ129</f>
        <v>0.81903339649122797</v>
      </c>
      <c r="BV128" s="1100"/>
      <c r="BW128" s="1072">
        <f>BT129/BS129</f>
        <v>0.86453525185185176</v>
      </c>
      <c r="BX128" s="809"/>
      <c r="BY128" s="928"/>
      <c r="BZ128" s="929"/>
      <c r="CA128" s="1101">
        <f>BZ129/BY129</f>
        <v>0.92467629493087566</v>
      </c>
      <c r="CB128" s="809"/>
      <c r="CC128" s="928"/>
      <c r="CD128" s="930"/>
      <c r="CE128" s="1101">
        <f>CD129/CC129</f>
        <v>0.68181818181818177</v>
      </c>
      <c r="CF128" s="809"/>
      <c r="CG128" s="928"/>
      <c r="CH128" s="930"/>
      <c r="CI128" s="1101">
        <f>CH129/CG129</f>
        <v>0.66666666666666663</v>
      </c>
      <c r="CJ128" s="854"/>
      <c r="CK128" s="853"/>
      <c r="CL128" s="853"/>
      <c r="CM128" s="931"/>
      <c r="CN128" s="1096">
        <f>CM129/CJ129</f>
        <v>0.91970358367346949</v>
      </c>
      <c r="CO128" s="1096"/>
      <c r="CP128" s="1083">
        <f>CM129/CL129</f>
        <v>0.76772530834752994</v>
      </c>
      <c r="CQ128" s="597"/>
      <c r="CR128" s="598"/>
      <c r="CS128" s="598"/>
      <c r="CT128" s="599"/>
      <c r="CU128" s="1096">
        <f>CT129/CQ129</f>
        <v>0.86556961509433961</v>
      </c>
      <c r="CV128" s="1096"/>
      <c r="CW128" s="1083">
        <f>CT129/CS129</f>
        <v>0.81411161668145515</v>
      </c>
      <c r="CX128" s="722"/>
      <c r="CY128" s="821"/>
      <c r="CZ128" s="587"/>
      <c r="DA128" s="587"/>
      <c r="DB128" s="587"/>
      <c r="DC128" s="570"/>
      <c r="DD128" s="570"/>
    </row>
    <row r="129" spans="1:108">
      <c r="A129" s="1011" t="s">
        <v>383</v>
      </c>
      <c r="B129" s="997"/>
      <c r="C129" s="997"/>
      <c r="D129" s="995"/>
      <c r="E129" s="822">
        <f>E123+E124</f>
        <v>180000</v>
      </c>
      <c r="F129" s="844">
        <f>F123+F124+F125</f>
        <v>240000</v>
      </c>
      <c r="G129" s="845">
        <v>258716.16750000001</v>
      </c>
      <c r="H129" s="825">
        <f>G129-F129</f>
        <v>18716.16750000001</v>
      </c>
      <c r="I129" s="822">
        <f>I123+I124</f>
        <v>200000</v>
      </c>
      <c r="J129" s="844">
        <v>211000</v>
      </c>
      <c r="K129" s="845">
        <f>K123+K124</f>
        <v>270450.8</v>
      </c>
      <c r="L129" s="825">
        <f>K129-J129</f>
        <v>59450.799999999988</v>
      </c>
      <c r="M129" s="822">
        <f>M123+M124</f>
        <v>200000</v>
      </c>
      <c r="N129" s="844">
        <f>N123+N124</f>
        <v>190000</v>
      </c>
      <c r="O129" s="845">
        <f>O123+O124</f>
        <v>199505.57700000002</v>
      </c>
      <c r="P129" s="825">
        <f>O129-N129</f>
        <v>9505.5770000000193</v>
      </c>
      <c r="Q129" s="827">
        <f>E129+I129+M129</f>
        <v>580000</v>
      </c>
      <c r="R129" s="828">
        <v>636000</v>
      </c>
      <c r="S129" s="739">
        <f>G129+J129+N129</f>
        <v>659716.16749999998</v>
      </c>
      <c r="T129" s="520">
        <f>G129+K129+O129</f>
        <v>728672.54450000008</v>
      </c>
      <c r="U129" s="699">
        <f>T129-Q129</f>
        <v>148672.54450000008</v>
      </c>
      <c r="V129" s="717">
        <f t="shared" si="237"/>
        <v>92672.544500000076</v>
      </c>
      <c r="W129" s="688">
        <f>T129-S129</f>
        <v>68956.377000000095</v>
      </c>
      <c r="X129" s="822">
        <f>X123+X124</f>
        <v>170000</v>
      </c>
      <c r="Y129" s="844">
        <f>Y123+Y124</f>
        <v>190000</v>
      </c>
      <c r="Z129" s="845">
        <f>Z123+Z124</f>
        <v>220694.92499999999</v>
      </c>
      <c r="AA129" s="825">
        <f>Z129-Y129</f>
        <v>30694.924999999988</v>
      </c>
      <c r="AB129" s="822">
        <f>AB123+AB124</f>
        <v>160000</v>
      </c>
      <c r="AC129" s="844">
        <f>AC123+AC124</f>
        <v>230000</v>
      </c>
      <c r="AD129" s="845">
        <f>AD123+AD124</f>
        <v>234901.14600000001</v>
      </c>
      <c r="AE129" s="825">
        <f>AD129-AC129</f>
        <v>4901.1460000000079</v>
      </c>
      <c r="AF129" s="822">
        <f>AF123+AF124</f>
        <v>130000</v>
      </c>
      <c r="AG129" s="844">
        <f>AG123+AG124</f>
        <v>240000</v>
      </c>
      <c r="AH129" s="845">
        <f>AH123+AH124</f>
        <v>240208.60949999999</v>
      </c>
      <c r="AI129" s="825">
        <f t="shared" ref="AI129:AI139" si="277">AH129-AG129</f>
        <v>208.60949999999139</v>
      </c>
      <c r="AJ129" s="713">
        <f>X129+AB129+AF129</f>
        <v>460000</v>
      </c>
      <c r="AK129" s="828">
        <v>480000</v>
      </c>
      <c r="AL129" s="711">
        <f>Y129+AC129+AG129</f>
        <v>660000</v>
      </c>
      <c r="AM129" s="715">
        <f>Z129+AD129+AH129</f>
        <v>695804.68050000002</v>
      </c>
      <c r="AN129" s="739">
        <f t="shared" ref="AN129:AN139" si="278">AM129-AJ129</f>
        <v>235804.68050000002</v>
      </c>
      <c r="AO129" s="717">
        <f t="shared" si="238"/>
        <v>215804.68050000002</v>
      </c>
      <c r="AP129" s="688">
        <f>AM129-AL129</f>
        <v>35804.680500000017</v>
      </c>
      <c r="AQ129" s="718">
        <f>SUM(Q129,AJ129)</f>
        <v>1040000</v>
      </c>
      <c r="AR129" s="715">
        <f>AR123+AR124+AR125</f>
        <v>1116000</v>
      </c>
      <c r="AS129" s="613">
        <f>S129+AL129</f>
        <v>1319716.1675</v>
      </c>
      <c r="AT129" s="715">
        <f>SUM(T129,AM129)</f>
        <v>1424477.2250000001</v>
      </c>
      <c r="AU129" s="739">
        <f>AT129-AQ129</f>
        <v>384477.22500000009</v>
      </c>
      <c r="AV129" s="717">
        <f t="shared" si="239"/>
        <v>308477.22500000009</v>
      </c>
      <c r="AW129" s="688">
        <f t="shared" ref="AW129:AW139" si="279">AT129-AS129</f>
        <v>104761.05750000011</v>
      </c>
      <c r="AX129" s="722">
        <f>AQ129/6</f>
        <v>173333.33333333334</v>
      </c>
      <c r="AY129" s="709">
        <f>AR129/6</f>
        <v>186000</v>
      </c>
      <c r="AZ129" s="723">
        <f>AT129/6</f>
        <v>237412.87083333335</v>
      </c>
      <c r="BA129" s="829">
        <f>AZ129/AX129</f>
        <v>1.3696896394230769</v>
      </c>
      <c r="BB129" s="493">
        <f>AZ129-AX129</f>
        <v>64079.537500000006</v>
      </c>
      <c r="BC129" s="516">
        <f>AZ129-AY129</f>
        <v>51412.870833333349</v>
      </c>
      <c r="BD129" s="493">
        <f>AW129/6</f>
        <v>17460.176250000019</v>
      </c>
      <c r="BE129" s="822">
        <f>BE123+BE124</f>
        <v>250000</v>
      </c>
      <c r="BF129" s="844">
        <f>BF123+BF124+BF125</f>
        <v>250000</v>
      </c>
      <c r="BG129" s="845">
        <f>BG123+BG124+BG125</f>
        <v>183016.576</v>
      </c>
      <c r="BH129" s="825">
        <f t="shared" ref="BH129:BH137" si="280">BG129-BF129</f>
        <v>-66983.423999999999</v>
      </c>
      <c r="BI129" s="822">
        <f>BI123+BI124</f>
        <v>140000</v>
      </c>
      <c r="BJ129" s="844">
        <f>BJ123+BJ124+BJ125</f>
        <v>120000</v>
      </c>
      <c r="BK129" s="845">
        <f>BK123+BK124+BK125</f>
        <v>120260.79149999999</v>
      </c>
      <c r="BL129" s="825">
        <f>BK129-BJ129</f>
        <v>260.79149999999208</v>
      </c>
      <c r="BM129" s="822">
        <f>BM123+BM124</f>
        <v>180000</v>
      </c>
      <c r="BN129" s="844">
        <f>BN123+BN124+BN125</f>
        <v>170000</v>
      </c>
      <c r="BO129" s="845">
        <v>163571.6685</v>
      </c>
      <c r="BP129" s="825">
        <f t="shared" ref="BP129:BP137" si="281">BO129-BN129</f>
        <v>-6428.3315000000002</v>
      </c>
      <c r="BQ129" s="713">
        <f>BE129+BI129+BM129</f>
        <v>570000</v>
      </c>
      <c r="BR129" s="714"/>
      <c r="BS129" s="711">
        <f>BF129+BJ129+BN129</f>
        <v>540000</v>
      </c>
      <c r="BT129" s="520">
        <f>BG129+BK129+BO129</f>
        <v>466849.03599999996</v>
      </c>
      <c r="BU129" s="699">
        <f t="shared" ref="BU129:BU139" si="282">BT129-BQ129</f>
        <v>-103150.96400000004</v>
      </c>
      <c r="BV129" s="717"/>
      <c r="BW129" s="688">
        <f>BT129-BS129</f>
        <v>-73150.964000000036</v>
      </c>
      <c r="BX129" s="822">
        <f>BX123+BX124</f>
        <v>180000</v>
      </c>
      <c r="BY129" s="844">
        <f>BY123+BY124+BY125</f>
        <v>217000</v>
      </c>
      <c r="BZ129" s="845">
        <f>BZ123+BZ124+BZ125</f>
        <v>200654.75600000002</v>
      </c>
      <c r="CA129" s="825">
        <f>BZ129-BY129</f>
        <v>-16345.243999999977</v>
      </c>
      <c r="CB129" s="822">
        <f>CB123+CB124</f>
        <v>160000</v>
      </c>
      <c r="CC129" s="844">
        <f>CC123+CC124+CC125</f>
        <v>220000</v>
      </c>
      <c r="CD129" s="846">
        <f>CD123+CD124+CD125</f>
        <v>150000</v>
      </c>
      <c r="CE129" s="825">
        <f>CD129-CC129</f>
        <v>-70000</v>
      </c>
      <c r="CF129" s="822">
        <f>CF123+CF124</f>
        <v>150000</v>
      </c>
      <c r="CG129" s="844">
        <f>CG123+CG124+CG125</f>
        <v>150000</v>
      </c>
      <c r="CH129" s="846">
        <f>CH123+CH124+CH125</f>
        <v>100000</v>
      </c>
      <c r="CI129" s="825">
        <f t="shared" ref="CI129:CI139" si="283">CH129-CG129</f>
        <v>-50000</v>
      </c>
      <c r="CJ129" s="713">
        <f>BX129+CB129+CF129</f>
        <v>490000</v>
      </c>
      <c r="CK129" s="714"/>
      <c r="CL129" s="711">
        <f>BY129+CC129+CG129</f>
        <v>587000</v>
      </c>
      <c r="CM129" s="715">
        <f>BZ129+CD129+CH129</f>
        <v>450654.75600000005</v>
      </c>
      <c r="CN129" s="739">
        <f t="shared" ref="CN129:CN139" si="284">CM129-CJ129</f>
        <v>-39345.243999999948</v>
      </c>
      <c r="CO129" s="739"/>
      <c r="CP129" s="688">
        <f>CM129-CL129</f>
        <v>-136345.24399999995</v>
      </c>
      <c r="CQ129" s="718">
        <f>SUM(BQ129,CJ129)</f>
        <v>1060000</v>
      </c>
      <c r="CR129" s="937"/>
      <c r="CS129" s="613">
        <f>BS129+CL129</f>
        <v>1127000</v>
      </c>
      <c r="CT129" s="715">
        <f>SUM(BT129,CM129)</f>
        <v>917503.79200000002</v>
      </c>
      <c r="CU129" s="739">
        <f>CT129-CQ129</f>
        <v>-142496.20799999998</v>
      </c>
      <c r="CV129" s="739"/>
      <c r="CW129" s="688">
        <f t="shared" ref="CW129:CW139" si="285">CT129-CS129</f>
        <v>-209496.20799999998</v>
      </c>
      <c r="CX129" s="722">
        <f>CQ129/6</f>
        <v>176666.66666666666</v>
      </c>
      <c r="CY129" s="723">
        <f>CT129/6</f>
        <v>152917.29866666667</v>
      </c>
      <c r="CZ129" s="829">
        <f>CY129/CX129</f>
        <v>0.86556961509433972</v>
      </c>
      <c r="DA129" s="556">
        <f>CY129-CX129</f>
        <v>-23749.367999999988</v>
      </c>
      <c r="DB129" s="556">
        <f>CW129/6</f>
        <v>-34916.034666666666</v>
      </c>
      <c r="DC129" s="516"/>
      <c r="DD129" s="493"/>
    </row>
    <row r="130" spans="1:108">
      <c r="A130" s="1014"/>
      <c r="B130" s="1015"/>
      <c r="C130" s="1016" t="s">
        <v>384</v>
      </c>
      <c r="D130" s="1017"/>
      <c r="E130" s="809">
        <v>250</v>
      </c>
      <c r="F130" s="847">
        <v>300</v>
      </c>
      <c r="G130" s="848">
        <v>387</v>
      </c>
      <c r="H130" s="849">
        <f t="shared" ref="H130:H137" si="286">G130-F130</f>
        <v>87</v>
      </c>
      <c r="I130" s="809">
        <v>250</v>
      </c>
      <c r="J130" s="847">
        <v>355</v>
      </c>
      <c r="K130" s="848">
        <v>336</v>
      </c>
      <c r="L130" s="849">
        <f t="shared" ref="L130:L137" si="287">K130-J130</f>
        <v>-19</v>
      </c>
      <c r="M130" s="809">
        <v>250</v>
      </c>
      <c r="N130" s="847">
        <v>390</v>
      </c>
      <c r="O130" s="848">
        <v>388</v>
      </c>
      <c r="P130" s="849">
        <f t="shared" ref="P130:P137" si="288">O130-N130</f>
        <v>-2</v>
      </c>
      <c r="Q130" s="851">
        <f>E130+I130+M130</f>
        <v>750</v>
      </c>
      <c r="R130" s="852">
        <f>300*3</f>
        <v>900</v>
      </c>
      <c r="S130" s="853">
        <f>G130+J130+N130</f>
        <v>1132</v>
      </c>
      <c r="T130" s="582">
        <f>G130+K130+O130</f>
        <v>1111</v>
      </c>
      <c r="U130" s="574">
        <f t="shared" ref="U130:U139" si="289">T130-Q130</f>
        <v>361</v>
      </c>
      <c r="V130" s="574">
        <f t="shared" si="237"/>
        <v>211</v>
      </c>
      <c r="W130" s="574">
        <f t="shared" ref="W130:W139" si="290">T130-S130</f>
        <v>-21</v>
      </c>
      <c r="X130" s="809">
        <v>350</v>
      </c>
      <c r="Y130" s="847">
        <v>340</v>
      </c>
      <c r="Z130" s="848">
        <v>348</v>
      </c>
      <c r="AA130" s="849">
        <f t="shared" ref="AA130:AA139" si="291">Z130-Y130</f>
        <v>8</v>
      </c>
      <c r="AB130" s="809">
        <v>350</v>
      </c>
      <c r="AC130" s="847">
        <v>400</v>
      </c>
      <c r="AD130" s="848">
        <v>396</v>
      </c>
      <c r="AE130" s="849">
        <f t="shared" ref="AE130:AE137" si="292">AD130-AC130</f>
        <v>-4</v>
      </c>
      <c r="AF130" s="809">
        <v>350</v>
      </c>
      <c r="AG130" s="847">
        <v>440</v>
      </c>
      <c r="AH130" s="848">
        <v>392</v>
      </c>
      <c r="AI130" s="849">
        <f t="shared" si="277"/>
        <v>-48</v>
      </c>
      <c r="AJ130" s="854">
        <f>X130+AB130+AF130</f>
        <v>1050</v>
      </c>
      <c r="AK130" s="852">
        <f>300*3</f>
        <v>900</v>
      </c>
      <c r="AL130" s="932">
        <f>Y130+AC130+AG130</f>
        <v>1180</v>
      </c>
      <c r="AM130" s="879">
        <f>Z130+AD130+AH130</f>
        <v>1136</v>
      </c>
      <c r="AN130" s="933">
        <f t="shared" si="278"/>
        <v>86</v>
      </c>
      <c r="AO130" s="574">
        <f t="shared" si="238"/>
        <v>236</v>
      </c>
      <c r="AP130" s="885"/>
      <c r="AQ130" s="854">
        <f>SUM(Q130,AJ130)</f>
        <v>1800</v>
      </c>
      <c r="AR130" s="879">
        <f>AK130+R130</f>
        <v>1800</v>
      </c>
      <c r="AS130" s="884">
        <f>S130+AL130</f>
        <v>2312</v>
      </c>
      <c r="AT130" s="879">
        <f>SUM(T130,AM130)</f>
        <v>2247</v>
      </c>
      <c r="AU130" s="881">
        <f t="shared" ref="AU130:AU139" si="293">AT130-AQ130</f>
        <v>447</v>
      </c>
      <c r="AV130" s="574">
        <f t="shared" si="239"/>
        <v>447</v>
      </c>
      <c r="AW130" s="882">
        <f t="shared" si="279"/>
        <v>-65</v>
      </c>
      <c r="AX130" s="820"/>
      <c r="AY130" s="821"/>
      <c r="AZ130" s="821"/>
      <c r="BA130" s="821"/>
      <c r="BB130" s="821"/>
      <c r="BC130" s="821"/>
      <c r="BD130" s="821"/>
      <c r="BE130" s="809">
        <v>363</v>
      </c>
      <c r="BF130" s="847">
        <v>360</v>
      </c>
      <c r="BG130" s="848">
        <v>399</v>
      </c>
      <c r="BH130" s="849">
        <f t="shared" si="280"/>
        <v>39</v>
      </c>
      <c r="BI130" s="809">
        <v>363</v>
      </c>
      <c r="BJ130" s="847">
        <v>300</v>
      </c>
      <c r="BK130" s="848">
        <f>315</f>
        <v>315</v>
      </c>
      <c r="BL130" s="849">
        <f t="shared" ref="BL130:BL137" si="294">BK130-BJ130</f>
        <v>15</v>
      </c>
      <c r="BM130" s="809">
        <v>363</v>
      </c>
      <c r="BN130" s="847">
        <v>315</v>
      </c>
      <c r="BO130" s="848">
        <v>292</v>
      </c>
      <c r="BP130" s="849">
        <f t="shared" si="281"/>
        <v>-23</v>
      </c>
      <c r="BQ130" s="854">
        <f>BE130+BI130+BM130</f>
        <v>1089</v>
      </c>
      <c r="BR130" s="853"/>
      <c r="BS130" s="932">
        <f>BF130+BJ130+BN130</f>
        <v>975</v>
      </c>
      <c r="BT130" s="582">
        <f>BG130+BK130+BO130</f>
        <v>1006</v>
      </c>
      <c r="BU130" s="880">
        <f t="shared" si="282"/>
        <v>-83</v>
      </c>
      <c r="BV130" s="888"/>
      <c r="BW130" s="885">
        <f>BT130-BS130</f>
        <v>31</v>
      </c>
      <c r="BX130" s="809">
        <v>365</v>
      </c>
      <c r="BY130" s="847">
        <v>300</v>
      </c>
      <c r="BZ130" s="848">
        <v>228</v>
      </c>
      <c r="CA130" s="849">
        <f t="shared" ref="CA130:CA139" si="295">BZ130-BY130</f>
        <v>-72</v>
      </c>
      <c r="CB130" s="809">
        <v>365</v>
      </c>
      <c r="CC130" s="847">
        <v>295</v>
      </c>
      <c r="CD130" s="850">
        <v>260</v>
      </c>
      <c r="CE130" s="849">
        <f t="shared" ref="CE130:CE139" si="296">CD130-CC130</f>
        <v>-35</v>
      </c>
      <c r="CF130" s="809">
        <v>365</v>
      </c>
      <c r="CG130" s="847">
        <v>290</v>
      </c>
      <c r="CH130" s="850">
        <v>230</v>
      </c>
      <c r="CI130" s="849">
        <f t="shared" si="283"/>
        <v>-60</v>
      </c>
      <c r="CJ130" s="854">
        <f>BX130+CB130+CF130</f>
        <v>1095</v>
      </c>
      <c r="CK130" s="853"/>
      <c r="CL130" s="932">
        <f>BY130+CC130+CG130</f>
        <v>885</v>
      </c>
      <c r="CM130" s="879">
        <f>BZ130+CD130+CH130</f>
        <v>718</v>
      </c>
      <c r="CN130" s="933">
        <f t="shared" si="284"/>
        <v>-377</v>
      </c>
      <c r="CO130" s="816"/>
      <c r="CP130" s="885"/>
      <c r="CQ130" s="854">
        <f>SUM(BQ130,CJ130)</f>
        <v>2184</v>
      </c>
      <c r="CR130" s="884"/>
      <c r="CS130" s="884">
        <f>BS130+CL130</f>
        <v>1860</v>
      </c>
      <c r="CT130" s="879">
        <f>SUM(BT130,CM130)</f>
        <v>1724</v>
      </c>
      <c r="CU130" s="881">
        <f t="shared" ref="CU130:CU139" si="297">CT130-CQ130</f>
        <v>-460</v>
      </c>
      <c r="CV130" s="881"/>
      <c r="CW130" s="882">
        <f t="shared" si="285"/>
        <v>-136</v>
      </c>
      <c r="CX130" s="722"/>
      <c r="CY130" s="821"/>
      <c r="CZ130" s="821"/>
      <c r="DA130" s="821"/>
      <c r="DB130" s="821"/>
      <c r="DC130" s="821"/>
      <c r="DD130" s="821"/>
    </row>
    <row r="131" spans="1:108">
      <c r="A131" s="1014"/>
      <c r="B131" s="1015"/>
      <c r="C131" s="1018" t="s">
        <v>358</v>
      </c>
      <c r="D131" s="1019"/>
      <c r="E131" s="814">
        <f>E132/E130</f>
        <v>178.33199999999999</v>
      </c>
      <c r="F131" s="856">
        <f>F132/F130</f>
        <v>150</v>
      </c>
      <c r="G131" s="857">
        <f>G132/G130</f>
        <v>163.96166142118864</v>
      </c>
      <c r="H131" s="858">
        <f t="shared" si="286"/>
        <v>13.961661421188637</v>
      </c>
      <c r="I131" s="814">
        <f>I132/I130</f>
        <v>178.33199999999999</v>
      </c>
      <c r="J131" s="856">
        <f>J132/J130</f>
        <v>140.8450704225352</v>
      </c>
      <c r="K131" s="857">
        <f>K132/K130</f>
        <v>140.1875</v>
      </c>
      <c r="L131" s="858">
        <f t="shared" si="287"/>
        <v>-0.65757042253520126</v>
      </c>
      <c r="M131" s="814">
        <f>M132/M130</f>
        <v>178.33199999999999</v>
      </c>
      <c r="N131" s="856">
        <f>N132/N130</f>
        <v>141.02564102564102</v>
      </c>
      <c r="O131" s="857">
        <f>O132/O130</f>
        <v>146.77061855670104</v>
      </c>
      <c r="P131" s="858">
        <f t="shared" si="288"/>
        <v>5.744977531060016</v>
      </c>
      <c r="Q131" s="860">
        <f>Q132/Q130</f>
        <v>178.33199999999999</v>
      </c>
      <c r="R131" s="861">
        <f>R132/R130</f>
        <v>148.61000000000001</v>
      </c>
      <c r="S131" s="862">
        <f>S132/S130</f>
        <v>148.8102146378092</v>
      </c>
      <c r="T131" s="574">
        <f>T132/T130</f>
        <v>150.76792346534654</v>
      </c>
      <c r="U131" s="574">
        <f t="shared" si="289"/>
        <v>-27.564076534653452</v>
      </c>
      <c r="V131" s="574">
        <f t="shared" si="237"/>
        <v>2.1579234653465278</v>
      </c>
      <c r="W131" s="574">
        <f t="shared" si="290"/>
        <v>1.9577088275373455</v>
      </c>
      <c r="X131" s="814">
        <f>X132/X130</f>
        <v>127.38</v>
      </c>
      <c r="Y131" s="856">
        <f>Y132/Y130</f>
        <v>147.05882352941177</v>
      </c>
      <c r="Z131" s="857">
        <f>Z132/Z130</f>
        <v>150.94747701149427</v>
      </c>
      <c r="AA131" s="858">
        <f t="shared" si="291"/>
        <v>3.8886534820825034</v>
      </c>
      <c r="AB131" s="814">
        <f>AB132/AB130</f>
        <v>127.38</v>
      </c>
      <c r="AC131" s="856">
        <f>AC132/AC130</f>
        <v>150</v>
      </c>
      <c r="AD131" s="857">
        <f>AD132/AD130</f>
        <v>155.79086882272728</v>
      </c>
      <c r="AE131" s="858">
        <f t="shared" si="292"/>
        <v>5.7908688227272762</v>
      </c>
      <c r="AF131" s="814">
        <f>AF132/AF130</f>
        <v>127.38</v>
      </c>
      <c r="AG131" s="856">
        <f>AG132/AG130</f>
        <v>147.72727272727272</v>
      </c>
      <c r="AH131" s="857">
        <f>AH132/AH130</f>
        <v>147.85255873010206</v>
      </c>
      <c r="AI131" s="858">
        <f t="shared" si="277"/>
        <v>0.12528600282934121</v>
      </c>
      <c r="AJ131" s="863">
        <f>AJ132/AJ130</f>
        <v>127.38</v>
      </c>
      <c r="AK131" s="861">
        <f>AK132/AK130</f>
        <v>148.61000000000001</v>
      </c>
      <c r="AL131" s="862">
        <f>AL132/AL130</f>
        <v>148.30508474576271</v>
      </c>
      <c r="AM131" s="574">
        <f>AM132/AM130</f>
        <v>151.56787770774648</v>
      </c>
      <c r="AN131" s="574">
        <f t="shared" si="278"/>
        <v>24.18787770774648</v>
      </c>
      <c r="AO131" s="574">
        <f t="shared" si="238"/>
        <v>2.9578777077464622</v>
      </c>
      <c r="AP131" s="574">
        <f>AM131-AL131</f>
        <v>3.262792961983763</v>
      </c>
      <c r="AQ131" s="863">
        <f>AQ132/AQ130</f>
        <v>148.61000000000001</v>
      </c>
      <c r="AR131" s="864">
        <f>AR132/AR130</f>
        <v>148.61000000000001</v>
      </c>
      <c r="AS131" s="862">
        <f>AS132/AS130</f>
        <v>148.55240612889273</v>
      </c>
      <c r="AT131" s="574">
        <f>AT132/AT130</f>
        <v>151.17235071028037</v>
      </c>
      <c r="AU131" s="574">
        <f t="shared" si="293"/>
        <v>2.5623507102803558</v>
      </c>
      <c r="AV131" s="574">
        <f t="shared" si="239"/>
        <v>2.5623507102803558</v>
      </c>
      <c r="AW131" s="574">
        <f t="shared" si="279"/>
        <v>2.6199445813876423</v>
      </c>
      <c r="AX131" s="820"/>
      <c r="AY131" s="821"/>
      <c r="AZ131" s="821"/>
      <c r="BA131" s="570"/>
      <c r="BB131" s="570"/>
      <c r="BC131" s="570"/>
      <c r="BD131" s="570"/>
      <c r="BE131" s="814">
        <f>BE132/BE130</f>
        <v>154.58677685950414</v>
      </c>
      <c r="BF131" s="856">
        <f>BF132/BF130</f>
        <v>155.55555555555554</v>
      </c>
      <c r="BG131" s="857">
        <f>BG132/BG130</f>
        <v>143.77725563909775</v>
      </c>
      <c r="BH131" s="858">
        <f t="shared" si="280"/>
        <v>-11.778299916457797</v>
      </c>
      <c r="BI131" s="814">
        <f>BI132/BI130</f>
        <v>154.58677685950414</v>
      </c>
      <c r="BJ131" s="856">
        <f>BJ132/BJ130</f>
        <v>170</v>
      </c>
      <c r="BK131" s="857">
        <f>BK132/BK130</f>
        <v>147.45180787999999</v>
      </c>
      <c r="BL131" s="858">
        <f t="shared" si="294"/>
        <v>-22.54819212000001</v>
      </c>
      <c r="BM131" s="814">
        <f>BM132/BM130</f>
        <v>154.58677685950414</v>
      </c>
      <c r="BN131" s="856">
        <f>BN132/BN130</f>
        <v>146.03174603174602</v>
      </c>
      <c r="BO131" s="857">
        <f>BO132/BO130</f>
        <v>157.99528060273974</v>
      </c>
      <c r="BP131" s="858">
        <f t="shared" si="281"/>
        <v>11.963534570993716</v>
      </c>
      <c r="BQ131" s="863">
        <f>BQ132/BQ130</f>
        <v>154.58677685950414</v>
      </c>
      <c r="BR131" s="862"/>
      <c r="BS131" s="862">
        <f>BS132/BS130</f>
        <v>156.92307692307693</v>
      </c>
      <c r="BT131" s="574">
        <f>BT132/BT130</f>
        <v>149.05473799025845</v>
      </c>
      <c r="BU131" s="574">
        <f t="shared" si="282"/>
        <v>-5.5320388692456959</v>
      </c>
      <c r="BV131" s="574"/>
      <c r="BW131" s="574">
        <f>BT131-BS131</f>
        <v>-7.8683389328184887</v>
      </c>
      <c r="BX131" s="814">
        <f>BX132/BX130</f>
        <v>154.31506849315068</v>
      </c>
      <c r="BY131" s="856">
        <f>BY132/BY130</f>
        <v>163.33333333333334</v>
      </c>
      <c r="BZ131" s="857">
        <f>BZ132/BZ130</f>
        <v>170.53010561052631</v>
      </c>
      <c r="CA131" s="858">
        <f t="shared" si="295"/>
        <v>7.196772277192963</v>
      </c>
      <c r="CB131" s="814">
        <f>CB132/CB130</f>
        <v>154.31506849315068</v>
      </c>
      <c r="CC131" s="856">
        <f>CC132/CC130</f>
        <v>164.40677966101694</v>
      </c>
      <c r="CD131" s="859">
        <f>CD132/CD130</f>
        <v>165.38461538461539</v>
      </c>
      <c r="CE131" s="858">
        <f t="shared" si="296"/>
        <v>0.97783572359844584</v>
      </c>
      <c r="CF131" s="814">
        <f>CF132/CF130</f>
        <v>154.31506849315068</v>
      </c>
      <c r="CG131" s="856">
        <f>CG132/CG130</f>
        <v>158.62068965517241</v>
      </c>
      <c r="CH131" s="859">
        <f>CH132/CH130</f>
        <v>169.56521739130434</v>
      </c>
      <c r="CI131" s="858">
        <f t="shared" si="283"/>
        <v>10.944527736131931</v>
      </c>
      <c r="CJ131" s="863">
        <f>CJ132/CJ130</f>
        <v>154.31506849315068</v>
      </c>
      <c r="CK131" s="862"/>
      <c r="CL131" s="862">
        <f>CL132/CL130</f>
        <v>162.14689265536722</v>
      </c>
      <c r="CM131" s="574">
        <f>CM132/CM130</f>
        <v>168.35774941392756</v>
      </c>
      <c r="CN131" s="574">
        <f t="shared" si="284"/>
        <v>14.042680920776888</v>
      </c>
      <c r="CO131" s="574"/>
      <c r="CP131" s="574">
        <f>CM131-CL131</f>
        <v>6.2108567585603396</v>
      </c>
      <c r="CQ131" s="863">
        <f>CQ132/CQ130</f>
        <v>154.45054945054946</v>
      </c>
      <c r="CR131" s="862"/>
      <c r="CS131" s="862">
        <f>CS132/CS130</f>
        <v>159.40860215053763</v>
      </c>
      <c r="CT131" s="574">
        <f>CT132/CT130</f>
        <v>157.0939272026682</v>
      </c>
      <c r="CU131" s="574">
        <f t="shared" si="297"/>
        <v>2.643377752118738</v>
      </c>
      <c r="CV131" s="574"/>
      <c r="CW131" s="574">
        <f t="shared" si="285"/>
        <v>-2.3146749478694346</v>
      </c>
      <c r="CX131" s="722"/>
      <c r="CY131" s="821"/>
      <c r="CZ131" s="587"/>
      <c r="DA131" s="587"/>
      <c r="DB131" s="587"/>
      <c r="DC131" s="570"/>
      <c r="DD131" s="570"/>
    </row>
    <row r="132" spans="1:108">
      <c r="A132" s="998"/>
      <c r="B132" s="1020"/>
      <c r="C132" s="998" t="s">
        <v>385</v>
      </c>
      <c r="D132" s="1000"/>
      <c r="E132" s="767">
        <v>44583</v>
      </c>
      <c r="F132" s="865">
        <v>45000</v>
      </c>
      <c r="G132" s="866">
        <v>63453.162969999998</v>
      </c>
      <c r="H132" s="867">
        <f t="shared" si="286"/>
        <v>18453.162969999998</v>
      </c>
      <c r="I132" s="767">
        <v>44583</v>
      </c>
      <c r="J132" s="865">
        <v>50000</v>
      </c>
      <c r="K132" s="866">
        <v>47103</v>
      </c>
      <c r="L132" s="867">
        <f t="shared" si="287"/>
        <v>-2897</v>
      </c>
      <c r="M132" s="767">
        <v>44583</v>
      </c>
      <c r="N132" s="865">
        <v>55000</v>
      </c>
      <c r="O132" s="866">
        <v>56947</v>
      </c>
      <c r="P132" s="867">
        <f t="shared" si="288"/>
        <v>1947</v>
      </c>
      <c r="Q132" s="869">
        <f>E132+I132+M132</f>
        <v>133749</v>
      </c>
      <c r="R132" s="870">
        <f>44583*3</f>
        <v>133749</v>
      </c>
      <c r="S132" s="719">
        <f>G132+J132+N132</f>
        <v>168453.16297</v>
      </c>
      <c r="T132" s="526">
        <f>G132+K132+O132</f>
        <v>167503.16297</v>
      </c>
      <c r="U132" s="699">
        <f t="shared" si="289"/>
        <v>33754.162970000005</v>
      </c>
      <c r="V132" s="717">
        <f t="shared" si="237"/>
        <v>33754.162970000005</v>
      </c>
      <c r="W132" s="688">
        <f t="shared" si="290"/>
        <v>-950</v>
      </c>
      <c r="X132" s="767">
        <v>44583</v>
      </c>
      <c r="Y132" s="865">
        <v>50000</v>
      </c>
      <c r="Z132" s="866">
        <v>52529.722000000002</v>
      </c>
      <c r="AA132" s="867">
        <f t="shared" si="291"/>
        <v>2529.7220000000016</v>
      </c>
      <c r="AB132" s="767">
        <v>44583</v>
      </c>
      <c r="AC132" s="865">
        <v>60000</v>
      </c>
      <c r="AD132" s="866">
        <v>61693.184053800003</v>
      </c>
      <c r="AE132" s="867">
        <f t="shared" si="292"/>
        <v>1693.1840538000033</v>
      </c>
      <c r="AF132" s="767">
        <v>44583</v>
      </c>
      <c r="AG132" s="865">
        <v>65000</v>
      </c>
      <c r="AH132" s="866">
        <v>57958.203022200003</v>
      </c>
      <c r="AI132" s="867">
        <f t="shared" si="277"/>
        <v>-7041.796977799997</v>
      </c>
      <c r="AJ132" s="718">
        <f>X132+AB132+AF132</f>
        <v>133749</v>
      </c>
      <c r="AK132" s="870">
        <f>44583*3</f>
        <v>133749</v>
      </c>
      <c r="AL132" s="721">
        <f>Y132+AC132+AG132</f>
        <v>175000</v>
      </c>
      <c r="AM132" s="526">
        <f>Z132+AD132+AH132</f>
        <v>172181.10907599999</v>
      </c>
      <c r="AN132" s="721">
        <f t="shared" si="278"/>
        <v>38432.109075999993</v>
      </c>
      <c r="AO132" s="717">
        <f t="shared" si="238"/>
        <v>38432.109075999993</v>
      </c>
      <c r="AP132" s="762">
        <f>AM132-AL132</f>
        <v>-2818.8909240000066</v>
      </c>
      <c r="AQ132" s="718">
        <f>SUM(Q132,AJ132)</f>
        <v>267498</v>
      </c>
      <c r="AR132" s="720">
        <f>AK132+R132</f>
        <v>267498</v>
      </c>
      <c r="AS132" s="613">
        <f>S132+AL132</f>
        <v>343453.16297</v>
      </c>
      <c r="AT132" s="720">
        <f>SUM(T132,AM132)</f>
        <v>339684.272046</v>
      </c>
      <c r="AU132" s="717">
        <f t="shared" si="293"/>
        <v>72186.272045999998</v>
      </c>
      <c r="AV132" s="717">
        <f t="shared" si="239"/>
        <v>72186.272045999998</v>
      </c>
      <c r="AW132" s="688">
        <f t="shared" si="279"/>
        <v>-3768.8909240000066</v>
      </c>
      <c r="AX132" s="722"/>
      <c r="AY132" s="723"/>
      <c r="AZ132" s="723"/>
      <c r="BA132" s="723"/>
      <c r="BB132" s="723"/>
      <c r="BC132" s="723"/>
      <c r="BD132" s="723"/>
      <c r="BE132" s="767">
        <v>56115</v>
      </c>
      <c r="BF132" s="865">
        <v>56000</v>
      </c>
      <c r="BG132" s="866">
        <v>57367.125</v>
      </c>
      <c r="BH132" s="867">
        <f t="shared" si="280"/>
        <v>1367.125</v>
      </c>
      <c r="BI132" s="767">
        <v>56115</v>
      </c>
      <c r="BJ132" s="865">
        <f>51000</f>
        <v>51000</v>
      </c>
      <c r="BK132" s="866">
        <f>46447.3194822</f>
        <v>46447.3194822</v>
      </c>
      <c r="BL132" s="867">
        <f t="shared" si="294"/>
        <v>-4552.6805177999995</v>
      </c>
      <c r="BM132" s="767">
        <v>56115</v>
      </c>
      <c r="BN132" s="865">
        <v>46000</v>
      </c>
      <c r="BO132" s="866">
        <v>46134.621936000003</v>
      </c>
      <c r="BP132" s="867">
        <f t="shared" si="281"/>
        <v>134.62193600000319</v>
      </c>
      <c r="BQ132" s="718">
        <f>BE132+BI132+BM132</f>
        <v>168345</v>
      </c>
      <c r="BR132" s="719"/>
      <c r="BS132" s="721">
        <f>BF132+BJ132+BN132</f>
        <v>153000</v>
      </c>
      <c r="BT132" s="526">
        <f>BG132+BK132+BO132</f>
        <v>149949.0664182</v>
      </c>
      <c r="BU132" s="699">
        <f t="shared" si="282"/>
        <v>-18395.933581799996</v>
      </c>
      <c r="BV132" s="761"/>
      <c r="BW132" s="762">
        <f>BT132-BS132</f>
        <v>-3050.9335817999963</v>
      </c>
      <c r="BX132" s="767">
        <v>56325</v>
      </c>
      <c r="BY132" s="865">
        <v>49000</v>
      </c>
      <c r="BZ132" s="866">
        <v>38880.864079200001</v>
      </c>
      <c r="CA132" s="867">
        <f t="shared" si="295"/>
        <v>-10119.135920799999</v>
      </c>
      <c r="CB132" s="767">
        <v>56325</v>
      </c>
      <c r="CC132" s="865">
        <v>48500</v>
      </c>
      <c r="CD132" s="868">
        <v>43000</v>
      </c>
      <c r="CE132" s="867">
        <f t="shared" si="296"/>
        <v>-5500</v>
      </c>
      <c r="CF132" s="767">
        <v>56325</v>
      </c>
      <c r="CG132" s="865">
        <v>46000</v>
      </c>
      <c r="CH132" s="868">
        <v>39000</v>
      </c>
      <c r="CI132" s="867">
        <f t="shared" si="283"/>
        <v>-7000</v>
      </c>
      <c r="CJ132" s="718">
        <f>BX132+CB132+CF132</f>
        <v>168975</v>
      </c>
      <c r="CK132" s="719"/>
      <c r="CL132" s="721">
        <f>BY132+CC132+CG132</f>
        <v>143500</v>
      </c>
      <c r="CM132" s="526">
        <f>BZ132+CD132+CH132</f>
        <v>120880.86407919999</v>
      </c>
      <c r="CN132" s="721">
        <f t="shared" si="284"/>
        <v>-48094.135920800007</v>
      </c>
      <c r="CO132" s="696"/>
      <c r="CP132" s="762">
        <f>CM132-CL132</f>
        <v>-22619.135920800007</v>
      </c>
      <c r="CQ132" s="718">
        <f>SUM(BQ132,CJ132)</f>
        <v>337320</v>
      </c>
      <c r="CR132" s="937"/>
      <c r="CS132" s="613">
        <f>BS132+CL132</f>
        <v>296500</v>
      </c>
      <c r="CT132" s="720">
        <f>SUM(BT132,CM132)</f>
        <v>270829.9304974</v>
      </c>
      <c r="CU132" s="717">
        <f t="shared" si="297"/>
        <v>-66490.069502600003</v>
      </c>
      <c r="CV132" s="717"/>
      <c r="CW132" s="688">
        <f t="shared" si="285"/>
        <v>-25670.069502600003</v>
      </c>
      <c r="CX132" s="722"/>
      <c r="CY132" s="723"/>
      <c r="CZ132" s="723"/>
      <c r="DA132" s="723"/>
      <c r="DB132" s="723"/>
      <c r="DC132" s="723"/>
      <c r="DD132" s="723"/>
    </row>
    <row r="133" spans="1:108">
      <c r="A133" s="1014"/>
      <c r="B133" s="1015"/>
      <c r="C133" s="1016" t="s">
        <v>386</v>
      </c>
      <c r="D133" s="1019"/>
      <c r="E133" s="814">
        <v>267</v>
      </c>
      <c r="F133" s="847">
        <v>250</v>
      </c>
      <c r="G133" s="848">
        <v>486</v>
      </c>
      <c r="H133" s="849">
        <f t="shared" si="286"/>
        <v>236</v>
      </c>
      <c r="I133" s="814">
        <v>267</v>
      </c>
      <c r="J133" s="847">
        <v>340</v>
      </c>
      <c r="K133" s="848">
        <v>461</v>
      </c>
      <c r="L133" s="849">
        <f t="shared" si="287"/>
        <v>121</v>
      </c>
      <c r="M133" s="814">
        <v>267</v>
      </c>
      <c r="N133" s="847">
        <v>400</v>
      </c>
      <c r="O133" s="848">
        <v>451</v>
      </c>
      <c r="P133" s="849">
        <f t="shared" si="288"/>
        <v>51</v>
      </c>
      <c r="Q133" s="851">
        <f>E133+I133+M133</f>
        <v>801</v>
      </c>
      <c r="R133" s="852">
        <f>550*3</f>
        <v>1650</v>
      </c>
      <c r="S133" s="853">
        <f>G133+J133+N133</f>
        <v>1226</v>
      </c>
      <c r="T133" s="574">
        <f>G133+K133+O133</f>
        <v>1398</v>
      </c>
      <c r="U133" s="574">
        <f t="shared" si="289"/>
        <v>597</v>
      </c>
      <c r="V133" s="574">
        <f t="shared" si="237"/>
        <v>-252</v>
      </c>
      <c r="W133" s="574">
        <f t="shared" si="290"/>
        <v>172</v>
      </c>
      <c r="X133" s="814">
        <v>500</v>
      </c>
      <c r="Y133" s="847">
        <v>460</v>
      </c>
      <c r="Z133" s="848">
        <v>408</v>
      </c>
      <c r="AA133" s="849">
        <f t="shared" si="291"/>
        <v>-52</v>
      </c>
      <c r="AB133" s="814">
        <v>500</v>
      </c>
      <c r="AC133" s="847">
        <v>450</v>
      </c>
      <c r="AD133" s="848">
        <v>547</v>
      </c>
      <c r="AE133" s="849">
        <f t="shared" si="292"/>
        <v>97</v>
      </c>
      <c r="AF133" s="814">
        <v>500</v>
      </c>
      <c r="AG133" s="847">
        <v>520</v>
      </c>
      <c r="AH133" s="848">
        <v>562</v>
      </c>
      <c r="AI133" s="849">
        <f t="shared" si="277"/>
        <v>42</v>
      </c>
      <c r="AJ133" s="863">
        <f>X133+AB133+AF133</f>
        <v>1500</v>
      </c>
      <c r="AK133" s="852">
        <f>550*3</f>
        <v>1650</v>
      </c>
      <c r="AL133" s="932">
        <f>Y133+AC133+AG133</f>
        <v>1430</v>
      </c>
      <c r="AM133" s="574">
        <f>Z133+AD133+AH133</f>
        <v>1517</v>
      </c>
      <c r="AN133" s="816">
        <f t="shared" si="278"/>
        <v>17</v>
      </c>
      <c r="AO133" s="574">
        <f t="shared" si="238"/>
        <v>-133</v>
      </c>
      <c r="AP133" s="882"/>
      <c r="AQ133" s="854">
        <f>SUM(Q133,AJ133)</f>
        <v>2301</v>
      </c>
      <c r="AR133" s="879">
        <f>AK133+R133</f>
        <v>3300</v>
      </c>
      <c r="AS133" s="884">
        <f>S133+AL133</f>
        <v>2656</v>
      </c>
      <c r="AT133" s="879">
        <f>SUM(T133,AM133)</f>
        <v>2915</v>
      </c>
      <c r="AU133" s="881">
        <f t="shared" si="293"/>
        <v>614</v>
      </c>
      <c r="AV133" s="574">
        <f t="shared" si="239"/>
        <v>-385</v>
      </c>
      <c r="AW133" s="882">
        <f t="shared" si="279"/>
        <v>259</v>
      </c>
      <c r="AX133" s="820"/>
      <c r="AY133" s="821"/>
      <c r="AZ133" s="821"/>
      <c r="BA133" s="821"/>
      <c r="BB133" s="821"/>
      <c r="BC133" s="821"/>
      <c r="BD133" s="821"/>
      <c r="BE133" s="809">
        <v>593.20000000000005</v>
      </c>
      <c r="BF133" s="847">
        <v>540</v>
      </c>
      <c r="BG133" s="848">
        <v>594</v>
      </c>
      <c r="BH133" s="849">
        <f t="shared" si="280"/>
        <v>54</v>
      </c>
      <c r="BI133" s="809">
        <v>593.20000000000005</v>
      </c>
      <c r="BJ133" s="847">
        <v>610</v>
      </c>
      <c r="BK133" s="848">
        <f>639</f>
        <v>639</v>
      </c>
      <c r="BL133" s="849">
        <f t="shared" si="294"/>
        <v>29</v>
      </c>
      <c r="BM133" s="809">
        <v>593.20000000000005</v>
      </c>
      <c r="BN133" s="847">
        <v>620</v>
      </c>
      <c r="BO133" s="848">
        <v>506</v>
      </c>
      <c r="BP133" s="849">
        <f t="shared" si="281"/>
        <v>-114</v>
      </c>
      <c r="BQ133" s="863">
        <f>BE133+BI133+BM133</f>
        <v>1779.6000000000001</v>
      </c>
      <c r="BR133" s="862"/>
      <c r="BS133" s="932">
        <f>BF133+BJ133+BN133</f>
        <v>1770</v>
      </c>
      <c r="BT133" s="574">
        <f>BG133+BK133+BO133</f>
        <v>1739</v>
      </c>
      <c r="BU133" s="818">
        <f t="shared" si="282"/>
        <v>-40.600000000000136</v>
      </c>
      <c r="BV133" s="888"/>
      <c r="BW133" s="882"/>
      <c r="BX133" s="809">
        <v>636</v>
      </c>
      <c r="BY133" s="847">
        <v>690</v>
      </c>
      <c r="BZ133" s="848">
        <v>780</v>
      </c>
      <c r="CA133" s="849">
        <f t="shared" si="295"/>
        <v>90</v>
      </c>
      <c r="CB133" s="809">
        <v>636</v>
      </c>
      <c r="CC133" s="847">
        <v>790</v>
      </c>
      <c r="CD133" s="850">
        <v>595</v>
      </c>
      <c r="CE133" s="849">
        <f t="shared" si="296"/>
        <v>-195</v>
      </c>
      <c r="CF133" s="809">
        <v>636</v>
      </c>
      <c r="CG133" s="847">
        <v>610</v>
      </c>
      <c r="CH133" s="850">
        <v>385</v>
      </c>
      <c r="CI133" s="849">
        <f t="shared" si="283"/>
        <v>-225</v>
      </c>
      <c r="CJ133" s="863">
        <f>BX133+CB133+CF133</f>
        <v>1908</v>
      </c>
      <c r="CK133" s="862"/>
      <c r="CL133" s="932">
        <f>BY133+CC133+CG133</f>
        <v>2090</v>
      </c>
      <c r="CM133" s="574">
        <f>BZ133+CD133+CH133</f>
        <v>1760</v>
      </c>
      <c r="CN133" s="816">
        <f t="shared" si="284"/>
        <v>-148</v>
      </c>
      <c r="CO133" s="816"/>
      <c r="CP133" s="882"/>
      <c r="CQ133" s="854">
        <f>SUM(BQ133,CJ133)</f>
        <v>3687.6000000000004</v>
      </c>
      <c r="CR133" s="884"/>
      <c r="CS133" s="884">
        <f>BS133+CL133</f>
        <v>3860</v>
      </c>
      <c r="CT133" s="879">
        <f>SUM(BT133,CM133)</f>
        <v>3499</v>
      </c>
      <c r="CU133" s="881">
        <f t="shared" si="297"/>
        <v>-188.60000000000036</v>
      </c>
      <c r="CV133" s="881"/>
      <c r="CW133" s="882">
        <f t="shared" si="285"/>
        <v>-361</v>
      </c>
      <c r="CX133" s="722"/>
      <c r="CY133" s="821"/>
      <c r="CZ133" s="821"/>
      <c r="DA133" s="821"/>
      <c r="DB133" s="821"/>
      <c r="DC133" s="821"/>
      <c r="DD133" s="821"/>
    </row>
    <row r="134" spans="1:108">
      <c r="A134" s="1014"/>
      <c r="B134" s="1015"/>
      <c r="C134" s="1018" t="s">
        <v>361</v>
      </c>
      <c r="D134" s="1019"/>
      <c r="E134" s="814">
        <f>E135/E133</f>
        <v>192.88389513108615</v>
      </c>
      <c r="F134" s="856">
        <f>F135/F133</f>
        <v>180</v>
      </c>
      <c r="G134" s="857">
        <f>G135/G133</f>
        <v>164.06108230452676</v>
      </c>
      <c r="H134" s="858">
        <f t="shared" si="286"/>
        <v>-15.938917695473236</v>
      </c>
      <c r="I134" s="814">
        <f>I135/I133</f>
        <v>192.88389513108615</v>
      </c>
      <c r="J134" s="856">
        <f>J135/J133</f>
        <v>147.05882352941177</v>
      </c>
      <c r="K134" s="857">
        <f>K135/K133</f>
        <v>157.14967462039044</v>
      </c>
      <c r="L134" s="858">
        <f t="shared" si="287"/>
        <v>10.090851090978674</v>
      </c>
      <c r="M134" s="814">
        <f>M135/M133</f>
        <v>192.88389513108615</v>
      </c>
      <c r="N134" s="856">
        <f>N135/N133</f>
        <v>162.5</v>
      </c>
      <c r="O134" s="857">
        <f>O135/O133</f>
        <v>141.75299334811533</v>
      </c>
      <c r="P134" s="858">
        <f t="shared" si="288"/>
        <v>-20.747006651884675</v>
      </c>
      <c r="Q134" s="860">
        <f>Q135/Q133</f>
        <v>192.88389513108615</v>
      </c>
      <c r="R134" s="861">
        <f>R135/R133</f>
        <v>143.19454545454545</v>
      </c>
      <c r="S134" s="862">
        <f>S135/S133</f>
        <v>158.83661174551386</v>
      </c>
      <c r="T134" s="574">
        <f>T135/T133</f>
        <v>154.58532618025751</v>
      </c>
      <c r="U134" s="574">
        <f t="shared" si="289"/>
        <v>-38.298568950828638</v>
      </c>
      <c r="V134" s="574">
        <f t="shared" si="237"/>
        <v>11.390780725712062</v>
      </c>
      <c r="W134" s="574">
        <f t="shared" si="290"/>
        <v>-4.251285565256353</v>
      </c>
      <c r="X134" s="814">
        <f>X135/X133</f>
        <v>147.666</v>
      </c>
      <c r="Y134" s="856">
        <f>Y135/Y133</f>
        <v>152.17391304347825</v>
      </c>
      <c r="Z134" s="857">
        <f>Z135/Z133</f>
        <v>156.59643627450978</v>
      </c>
      <c r="AA134" s="858">
        <f t="shared" si="291"/>
        <v>4.4225232310315334</v>
      </c>
      <c r="AB134" s="814">
        <f>AB135/AB133</f>
        <v>147.666</v>
      </c>
      <c r="AC134" s="856">
        <f>AC135/AC133</f>
        <v>155.55555555555554</v>
      </c>
      <c r="AD134" s="857">
        <f>AD135/AD133</f>
        <v>147.19077158939672</v>
      </c>
      <c r="AE134" s="858">
        <f t="shared" si="292"/>
        <v>-8.364783966158825</v>
      </c>
      <c r="AF134" s="814">
        <f>AF135/AF133</f>
        <v>147.666</v>
      </c>
      <c r="AG134" s="856">
        <f>AG135/AG133</f>
        <v>163.46153846153845</v>
      </c>
      <c r="AH134" s="857">
        <f>AH135/AH133</f>
        <v>143.61417259786475</v>
      </c>
      <c r="AI134" s="858">
        <f t="shared" si="277"/>
        <v>-19.847365863673701</v>
      </c>
      <c r="AJ134" s="863">
        <f>AJ135/AJ133</f>
        <v>147.666</v>
      </c>
      <c r="AK134" s="861">
        <f>AK135/AK133</f>
        <v>143.19454545454545</v>
      </c>
      <c r="AL134" s="862">
        <f>AL135/AL133</f>
        <v>157.34265734265733</v>
      </c>
      <c r="AM134" s="574">
        <f>AM135/AM133</f>
        <v>148.39542719802242</v>
      </c>
      <c r="AN134" s="574">
        <f t="shared" si="278"/>
        <v>0.72942719802242095</v>
      </c>
      <c r="AO134" s="574">
        <f t="shared" si="238"/>
        <v>5.2008817434769696</v>
      </c>
      <c r="AP134" s="574">
        <f>AM134-AL134</f>
        <v>-8.947230144634915</v>
      </c>
      <c r="AQ134" s="863">
        <f>AQ135/AQ133</f>
        <v>163.40677966101694</v>
      </c>
      <c r="AR134" s="864">
        <f>AR135/AR133</f>
        <v>143.19454545454545</v>
      </c>
      <c r="AS134" s="862">
        <f>AS135/AS133</f>
        <v>158.03226129518072</v>
      </c>
      <c r="AT134" s="574">
        <f>AT135/AT133</f>
        <v>151.36403055210977</v>
      </c>
      <c r="AU134" s="574">
        <f t="shared" si="293"/>
        <v>-12.042749108907174</v>
      </c>
      <c r="AV134" s="574">
        <f t="shared" si="239"/>
        <v>8.1694850975643192</v>
      </c>
      <c r="AW134" s="574">
        <f t="shared" si="279"/>
        <v>-6.66823074307095</v>
      </c>
      <c r="AX134" s="820"/>
      <c r="AY134" s="821"/>
      <c r="AZ134" s="821"/>
      <c r="BA134" s="570"/>
      <c r="BB134" s="570"/>
      <c r="BC134" s="570"/>
      <c r="BD134" s="570"/>
      <c r="BE134" s="814">
        <f>BE135/BE133</f>
        <v>163.85704652730951</v>
      </c>
      <c r="BF134" s="856">
        <f>BF135/BF133</f>
        <v>161.11111111111111</v>
      </c>
      <c r="BG134" s="857">
        <f>BG135/BG133</f>
        <v>145.4064377104377</v>
      </c>
      <c r="BH134" s="858">
        <f t="shared" si="280"/>
        <v>-15.704673400673414</v>
      </c>
      <c r="BI134" s="814">
        <f>BI135/BI133</f>
        <v>163.85704652730951</v>
      </c>
      <c r="BJ134" s="856">
        <f>BJ135/BJ133</f>
        <v>167.21311475409837</v>
      </c>
      <c r="BK134" s="857">
        <f>BK135/BK133</f>
        <v>145.92837241924883</v>
      </c>
      <c r="BL134" s="858">
        <f t="shared" si="294"/>
        <v>-21.28474233484954</v>
      </c>
      <c r="BM134" s="814">
        <f>BM135/BM133</f>
        <v>163.85704652730951</v>
      </c>
      <c r="BN134" s="856">
        <f>BN135/BN133</f>
        <v>148.38709677419354</v>
      </c>
      <c r="BO134" s="857">
        <f>BO135/BO133</f>
        <v>142.63884596837946</v>
      </c>
      <c r="BP134" s="858">
        <f t="shared" si="281"/>
        <v>-5.7482508058140809</v>
      </c>
      <c r="BQ134" s="863">
        <f>BQ135/BQ133</f>
        <v>163.85704652730951</v>
      </c>
      <c r="BR134" s="862"/>
      <c r="BS134" s="862">
        <f>BS135/BS133</f>
        <v>158.75706214689265</v>
      </c>
      <c r="BT134" s="574">
        <f>BT135/BT133</f>
        <v>144.79293274059805</v>
      </c>
      <c r="BU134" s="574">
        <f t="shared" si="282"/>
        <v>-19.064113786711459</v>
      </c>
      <c r="BV134" s="574"/>
      <c r="BW134" s="574">
        <f t="shared" ref="BW134:BW139" si="298">BT134-BS134</f>
        <v>-13.964129406294603</v>
      </c>
      <c r="BX134" s="814">
        <f>BX135/BX133</f>
        <v>166.66666666666666</v>
      </c>
      <c r="BY134" s="856">
        <f>BY135/BY133</f>
        <v>145.65217391304347</v>
      </c>
      <c r="BZ134" s="857">
        <f>BZ135/BZ133</f>
        <v>168.362024655</v>
      </c>
      <c r="CA134" s="858">
        <f t="shared" si="295"/>
        <v>22.709850741956529</v>
      </c>
      <c r="CB134" s="814">
        <f>CB135/CB133</f>
        <v>166.66666666666666</v>
      </c>
      <c r="CC134" s="856">
        <f>CC135/CC133</f>
        <v>170.8860759493671</v>
      </c>
      <c r="CD134" s="859">
        <f>CD135/CD133</f>
        <v>147.89915966386553</v>
      </c>
      <c r="CE134" s="858">
        <f t="shared" si="296"/>
        <v>-22.986916285501565</v>
      </c>
      <c r="CF134" s="814">
        <f>CF135/CF133</f>
        <v>166.66666666666666</v>
      </c>
      <c r="CG134" s="856">
        <f>CG135/CG133</f>
        <v>151.63934426229508</v>
      </c>
      <c r="CH134" s="859">
        <f>CH135/CH133</f>
        <v>142.85714285714286</v>
      </c>
      <c r="CI134" s="858">
        <f t="shared" si="283"/>
        <v>-8.7822014051522217</v>
      </c>
      <c r="CJ134" s="863">
        <f>CJ135/CJ133</f>
        <v>166.66666666666666</v>
      </c>
      <c r="CK134" s="862"/>
      <c r="CL134" s="862">
        <f>CL135/CL133</f>
        <v>156.9377990430622</v>
      </c>
      <c r="CM134" s="574">
        <f>CM135/CM133</f>
        <v>155.86498819937498</v>
      </c>
      <c r="CN134" s="574">
        <f t="shared" si="284"/>
        <v>-10.80167846729168</v>
      </c>
      <c r="CO134" s="574"/>
      <c r="CP134" s="574">
        <f>CM134-CL134</f>
        <v>-1.0728108436872219</v>
      </c>
      <c r="CQ134" s="863">
        <f>CQ135/CQ133</f>
        <v>165.31077123332247</v>
      </c>
      <c r="CR134" s="862"/>
      <c r="CS134" s="862">
        <f>CS135/CS133</f>
        <v>157.77202072538861</v>
      </c>
      <c r="CT134" s="574">
        <f>CT135/CT133</f>
        <v>150.36218612940843</v>
      </c>
      <c r="CU134" s="574">
        <f t="shared" si="297"/>
        <v>-14.948585103914041</v>
      </c>
      <c r="CV134" s="574"/>
      <c r="CW134" s="574">
        <f t="shared" si="285"/>
        <v>-7.4098345959801861</v>
      </c>
      <c r="CX134" s="722"/>
      <c r="CY134" s="821"/>
      <c r="CZ134" s="587"/>
      <c r="DA134" s="587"/>
      <c r="DB134" s="587"/>
      <c r="DC134" s="570"/>
      <c r="DD134" s="570"/>
    </row>
    <row r="135" spans="1:108">
      <c r="A135" s="998"/>
      <c r="B135" s="1020"/>
      <c r="C135" s="1023" t="s">
        <v>164</v>
      </c>
      <c r="D135" s="1000"/>
      <c r="E135" s="767">
        <v>51500</v>
      </c>
      <c r="F135" s="865">
        <v>45000</v>
      </c>
      <c r="G135" s="866">
        <v>79733.686000000002</v>
      </c>
      <c r="H135" s="867">
        <f t="shared" si="286"/>
        <v>34733.686000000002</v>
      </c>
      <c r="I135" s="767">
        <v>51500</v>
      </c>
      <c r="J135" s="865">
        <v>50000</v>
      </c>
      <c r="K135" s="866">
        <v>72446</v>
      </c>
      <c r="L135" s="867">
        <f t="shared" si="287"/>
        <v>22446</v>
      </c>
      <c r="M135" s="767">
        <v>51500</v>
      </c>
      <c r="N135" s="865">
        <v>65000</v>
      </c>
      <c r="O135" s="866">
        <f>O141-O132</f>
        <v>63930.600000000006</v>
      </c>
      <c r="P135" s="867">
        <f t="shared" si="288"/>
        <v>-1069.3999999999942</v>
      </c>
      <c r="Q135" s="869">
        <f>E135+I135+M135</f>
        <v>154500</v>
      </c>
      <c r="R135" s="870">
        <f>78757*3</f>
        <v>236271</v>
      </c>
      <c r="S135" s="719">
        <f>G135+J135+N135</f>
        <v>194733.68599999999</v>
      </c>
      <c r="T135" s="526">
        <f>G135+K135+O135</f>
        <v>216110.28599999999</v>
      </c>
      <c r="U135" s="699">
        <f t="shared" si="289"/>
        <v>61610.285999999993</v>
      </c>
      <c r="V135" s="717">
        <f t="shared" si="237"/>
        <v>-20160.714000000007</v>
      </c>
      <c r="W135" s="688">
        <f t="shared" si="290"/>
        <v>21376.600000000006</v>
      </c>
      <c r="X135" s="767">
        <v>73833</v>
      </c>
      <c r="Y135" s="865">
        <v>70000</v>
      </c>
      <c r="Z135" s="866">
        <v>63891.345999999998</v>
      </c>
      <c r="AA135" s="867">
        <f t="shared" si="291"/>
        <v>-6108.6540000000023</v>
      </c>
      <c r="AB135" s="767">
        <v>73833</v>
      </c>
      <c r="AC135" s="865">
        <v>70000</v>
      </c>
      <c r="AD135" s="866">
        <v>80513.3520594</v>
      </c>
      <c r="AE135" s="867">
        <f t="shared" si="292"/>
        <v>10513.3520594</v>
      </c>
      <c r="AF135" s="767">
        <v>73833</v>
      </c>
      <c r="AG135" s="865">
        <v>85000</v>
      </c>
      <c r="AH135" s="866">
        <v>80711.164999999994</v>
      </c>
      <c r="AI135" s="867">
        <f t="shared" si="277"/>
        <v>-4288.8350000000064</v>
      </c>
      <c r="AJ135" s="771">
        <f>X135+AB135+AF135</f>
        <v>221499</v>
      </c>
      <c r="AK135" s="870">
        <f>78757*3</f>
        <v>236271</v>
      </c>
      <c r="AL135" s="717">
        <f t="shared" ref="AL135:AM138" si="299">Y135+AC135+AG135</f>
        <v>225000</v>
      </c>
      <c r="AM135" s="571">
        <f t="shared" si="299"/>
        <v>225115.8630594</v>
      </c>
      <c r="AN135" s="696">
        <f t="shared" si="278"/>
        <v>3616.8630593999987</v>
      </c>
      <c r="AO135" s="717">
        <f t="shared" si="238"/>
        <v>-11155.136940600001</v>
      </c>
      <c r="AP135" s="688">
        <f>AM135-AL135</f>
        <v>115.86305939999875</v>
      </c>
      <c r="AQ135" s="718">
        <f>SUM(Q135,AJ135)</f>
        <v>375999</v>
      </c>
      <c r="AR135" s="720">
        <f>AK135+R135</f>
        <v>472542</v>
      </c>
      <c r="AS135" s="613">
        <f>S135+AL135</f>
        <v>419733.68599999999</v>
      </c>
      <c r="AT135" s="720">
        <f>SUM(T135,AM135)</f>
        <v>441226.14905939996</v>
      </c>
      <c r="AU135" s="717">
        <f t="shared" si="293"/>
        <v>65227.149059399962</v>
      </c>
      <c r="AV135" s="717">
        <f t="shared" si="239"/>
        <v>-31315.850940600038</v>
      </c>
      <c r="AW135" s="688">
        <f t="shared" si="279"/>
        <v>21492.463059399975</v>
      </c>
      <c r="AX135" s="722"/>
      <c r="AY135" s="723"/>
      <c r="AZ135" s="723"/>
      <c r="BA135" s="723"/>
      <c r="BB135" s="723"/>
      <c r="BC135" s="723"/>
      <c r="BD135" s="723"/>
      <c r="BE135" s="767">
        <v>97200</v>
      </c>
      <c r="BF135" s="865">
        <v>87000</v>
      </c>
      <c r="BG135" s="866">
        <v>86371.423999999999</v>
      </c>
      <c r="BH135" s="867">
        <f t="shared" si="280"/>
        <v>-628.57600000000093</v>
      </c>
      <c r="BI135" s="767">
        <v>97200</v>
      </c>
      <c r="BJ135" s="865">
        <f>102000</f>
        <v>102000</v>
      </c>
      <c r="BK135" s="866">
        <f>93260.2299759-12</f>
        <v>93248.229975900002</v>
      </c>
      <c r="BL135" s="867">
        <f t="shared" si="294"/>
        <v>-8751.7700240999984</v>
      </c>
      <c r="BM135" s="767">
        <v>97200</v>
      </c>
      <c r="BN135" s="865">
        <v>92000</v>
      </c>
      <c r="BO135" s="866">
        <v>72175.25606</v>
      </c>
      <c r="BP135" s="867">
        <f t="shared" si="281"/>
        <v>-19824.74394</v>
      </c>
      <c r="BQ135" s="718">
        <f>BE135+BI135+BM135</f>
        <v>291600</v>
      </c>
      <c r="BR135" s="719"/>
      <c r="BS135" s="717">
        <f t="shared" ref="BS135:BT138" si="300">BF135+BJ135+BN135</f>
        <v>281000</v>
      </c>
      <c r="BT135" s="526">
        <f t="shared" si="300"/>
        <v>251794.91003590001</v>
      </c>
      <c r="BU135" s="699">
        <f t="shared" si="282"/>
        <v>-39805.089964099985</v>
      </c>
      <c r="BV135" s="717"/>
      <c r="BW135" s="688">
        <f t="shared" si="298"/>
        <v>-29205.089964099985</v>
      </c>
      <c r="BX135" s="767">
        <v>106000</v>
      </c>
      <c r="BY135" s="865">
        <v>100500</v>
      </c>
      <c r="BZ135" s="866">
        <v>131322.3792309</v>
      </c>
      <c r="CA135" s="867">
        <f t="shared" si="295"/>
        <v>30822.379230899998</v>
      </c>
      <c r="CB135" s="767">
        <v>106000</v>
      </c>
      <c r="CC135" s="865">
        <v>135000</v>
      </c>
      <c r="CD135" s="868">
        <v>88000</v>
      </c>
      <c r="CE135" s="867">
        <f t="shared" si="296"/>
        <v>-47000</v>
      </c>
      <c r="CF135" s="767">
        <v>106000</v>
      </c>
      <c r="CG135" s="865">
        <v>92500</v>
      </c>
      <c r="CH135" s="868">
        <v>55000</v>
      </c>
      <c r="CI135" s="867">
        <f t="shared" si="283"/>
        <v>-37500</v>
      </c>
      <c r="CJ135" s="718">
        <f>BX135+CB135+CF135</f>
        <v>318000</v>
      </c>
      <c r="CK135" s="719"/>
      <c r="CL135" s="717">
        <f t="shared" ref="CL135:CM138" si="301">BY135+CC135+CG135</f>
        <v>328000</v>
      </c>
      <c r="CM135" s="526">
        <f t="shared" si="301"/>
        <v>274322.37923089997</v>
      </c>
      <c r="CN135" s="721">
        <f t="shared" si="284"/>
        <v>-43677.620769100031</v>
      </c>
      <c r="CO135" s="721"/>
      <c r="CP135" s="688">
        <f>CM135-CL135</f>
        <v>-53677.620769100031</v>
      </c>
      <c r="CQ135" s="718">
        <f>SUM(BQ135,CJ135)</f>
        <v>609600</v>
      </c>
      <c r="CR135" s="937"/>
      <c r="CS135" s="613">
        <f>BS135+CL135</f>
        <v>609000</v>
      </c>
      <c r="CT135" s="720">
        <f>SUM(BT135,CM135)</f>
        <v>526117.28926680004</v>
      </c>
      <c r="CU135" s="717">
        <f t="shared" si="297"/>
        <v>-83482.710733199958</v>
      </c>
      <c r="CV135" s="717"/>
      <c r="CW135" s="688">
        <f t="shared" si="285"/>
        <v>-82882.710733199958</v>
      </c>
      <c r="CX135" s="722"/>
      <c r="CY135" s="723"/>
      <c r="CZ135" s="723"/>
      <c r="DA135" s="723"/>
      <c r="DB135" s="723"/>
      <c r="DC135" s="723"/>
      <c r="DD135" s="723"/>
    </row>
    <row r="136" spans="1:108" s="1257" customFormat="1">
      <c r="A136" s="998"/>
      <c r="B136" s="1020"/>
      <c r="C136" s="1023" t="s">
        <v>469</v>
      </c>
      <c r="D136" s="1000"/>
      <c r="E136" s="767"/>
      <c r="F136" s="865"/>
      <c r="G136" s="866"/>
      <c r="H136" s="867"/>
      <c r="I136" s="767"/>
      <c r="J136" s="865"/>
      <c r="K136" s="866"/>
      <c r="L136" s="867"/>
      <c r="M136" s="767"/>
      <c r="N136" s="865"/>
      <c r="O136" s="866"/>
      <c r="P136" s="867"/>
      <c r="Q136" s="869"/>
      <c r="R136" s="870"/>
      <c r="S136" s="719"/>
      <c r="T136" s="526"/>
      <c r="U136" s="699"/>
      <c r="V136" s="717"/>
      <c r="W136" s="688"/>
      <c r="X136" s="767"/>
      <c r="Y136" s="865"/>
      <c r="Z136" s="866"/>
      <c r="AA136" s="867"/>
      <c r="AB136" s="767"/>
      <c r="AC136" s="865"/>
      <c r="AD136" s="866"/>
      <c r="AE136" s="867"/>
      <c r="AF136" s="767"/>
      <c r="AG136" s="865"/>
      <c r="AH136" s="866"/>
      <c r="AI136" s="889"/>
      <c r="AJ136" s="771"/>
      <c r="AK136" s="870"/>
      <c r="AL136" s="717"/>
      <c r="AM136" s="571"/>
      <c r="AN136" s="696"/>
      <c r="AO136" s="717"/>
      <c r="AP136" s="688"/>
      <c r="AQ136" s="718"/>
      <c r="AR136" s="720"/>
      <c r="AS136" s="613"/>
      <c r="AT136" s="720"/>
      <c r="AU136" s="717"/>
      <c r="AV136" s="717"/>
      <c r="AW136" s="688"/>
      <c r="AX136" s="722"/>
      <c r="AY136" s="723"/>
      <c r="AZ136" s="723"/>
      <c r="BA136" s="723"/>
      <c r="BB136" s="723"/>
      <c r="BC136" s="723"/>
      <c r="BD136" s="723"/>
      <c r="BE136" s="809"/>
      <c r="BF136" s="847">
        <v>50</v>
      </c>
      <c r="BG136" s="848">
        <v>61</v>
      </c>
      <c r="BH136" s="849">
        <f t="shared" si="280"/>
        <v>11</v>
      </c>
      <c r="BI136" s="809"/>
      <c r="BJ136" s="847">
        <v>130</v>
      </c>
      <c r="BK136" s="848">
        <v>61</v>
      </c>
      <c r="BL136" s="849"/>
      <c r="BM136" s="809"/>
      <c r="BN136" s="847">
        <v>170</v>
      </c>
      <c r="BO136" s="848">
        <v>47</v>
      </c>
      <c r="BP136" s="849"/>
      <c r="BQ136" s="854">
        <f>BE136+BI136+BM136</f>
        <v>0</v>
      </c>
      <c r="BR136" s="853"/>
      <c r="BS136" s="881">
        <f t="shared" si="300"/>
        <v>350</v>
      </c>
      <c r="BT136" s="582">
        <f t="shared" si="300"/>
        <v>169</v>
      </c>
      <c r="BU136" s="880">
        <f>BT136-BQ136</f>
        <v>169</v>
      </c>
      <c r="BV136" s="881"/>
      <c r="BW136" s="882">
        <f t="shared" si="298"/>
        <v>-181</v>
      </c>
      <c r="BX136" s="809"/>
      <c r="BY136" s="847">
        <v>70</v>
      </c>
      <c r="BZ136" s="848">
        <v>158</v>
      </c>
      <c r="CA136" s="849"/>
      <c r="CB136" s="809"/>
      <c r="CC136" s="847">
        <v>150</v>
      </c>
      <c r="CD136" s="850">
        <v>70</v>
      </c>
      <c r="CE136" s="849"/>
      <c r="CF136" s="809"/>
      <c r="CG136" s="847">
        <v>150</v>
      </c>
      <c r="CH136" s="850">
        <v>70</v>
      </c>
      <c r="CI136" s="849"/>
      <c r="CJ136" s="854">
        <f>BX136+CB136+CF136</f>
        <v>0</v>
      </c>
      <c r="CK136" s="853"/>
      <c r="CL136" s="881">
        <f t="shared" si="301"/>
        <v>370</v>
      </c>
      <c r="CM136" s="582">
        <f t="shared" si="301"/>
        <v>298</v>
      </c>
      <c r="CN136" s="883">
        <f>CM136-CJ136</f>
        <v>298</v>
      </c>
      <c r="CO136" s="883"/>
      <c r="CP136" s="882"/>
      <c r="CQ136" s="854">
        <f>SUM(BQ136,CJ136)</f>
        <v>0</v>
      </c>
      <c r="CR136" s="884"/>
      <c r="CS136" s="1358">
        <f>BS136+CL136</f>
        <v>720</v>
      </c>
      <c r="CT136" s="879">
        <f>SUM(BT136,CM136)</f>
        <v>467</v>
      </c>
      <c r="CU136" s="881">
        <f>CT136-CQ136</f>
        <v>467</v>
      </c>
      <c r="CV136" s="881"/>
      <c r="CW136" s="882"/>
      <c r="CX136" s="820"/>
      <c r="CY136" s="821"/>
      <c r="CZ136" s="821"/>
      <c r="DA136" s="821"/>
      <c r="DB136" s="821"/>
      <c r="DC136" s="723"/>
      <c r="DD136" s="723"/>
    </row>
    <row r="137" spans="1:108">
      <c r="A137" s="642"/>
      <c r="B137" s="643"/>
      <c r="C137" s="616" t="s">
        <v>470</v>
      </c>
      <c r="D137" s="654"/>
      <c r="E137" s="794"/>
      <c r="F137" s="795"/>
      <c r="G137" s="796"/>
      <c r="H137" s="871">
        <f t="shared" si="286"/>
        <v>0</v>
      </c>
      <c r="I137" s="794"/>
      <c r="J137" s="795"/>
      <c r="K137" s="796"/>
      <c r="L137" s="871">
        <f t="shared" si="287"/>
        <v>0</v>
      </c>
      <c r="M137" s="794"/>
      <c r="N137" s="795"/>
      <c r="O137" s="796"/>
      <c r="P137" s="871">
        <f t="shared" si="288"/>
        <v>0</v>
      </c>
      <c r="Q137" s="872">
        <f>E137+I137+M137</f>
        <v>0</v>
      </c>
      <c r="R137" s="873"/>
      <c r="S137" s="719">
        <f>G137+J137+N137</f>
        <v>0</v>
      </c>
      <c r="T137" s="874">
        <f>G137+K137+O137</f>
        <v>0</v>
      </c>
      <c r="U137" s="754">
        <f t="shared" si="289"/>
        <v>0</v>
      </c>
      <c r="V137" s="755">
        <f t="shared" si="237"/>
        <v>0</v>
      </c>
      <c r="W137" s="756">
        <f t="shared" si="290"/>
        <v>0</v>
      </c>
      <c r="X137" s="794"/>
      <c r="Y137" s="795"/>
      <c r="Z137" s="796"/>
      <c r="AA137" s="871">
        <f t="shared" si="291"/>
        <v>0</v>
      </c>
      <c r="AB137" s="794"/>
      <c r="AC137" s="795"/>
      <c r="AD137" s="796"/>
      <c r="AE137" s="871">
        <f t="shared" si="292"/>
        <v>0</v>
      </c>
      <c r="AF137" s="794"/>
      <c r="AG137" s="795"/>
      <c r="AH137" s="796"/>
      <c r="AI137" s="934">
        <f t="shared" si="277"/>
        <v>0</v>
      </c>
      <c r="AJ137" s="935">
        <f>X137+AB137+AF137</f>
        <v>0</v>
      </c>
      <c r="AK137" s="873"/>
      <c r="AL137" s="724">
        <f t="shared" si="299"/>
        <v>0</v>
      </c>
      <c r="AM137" s="874">
        <f t="shared" si="299"/>
        <v>0</v>
      </c>
      <c r="AN137" s="757">
        <f t="shared" si="278"/>
        <v>0</v>
      </c>
      <c r="AO137" s="755">
        <f t="shared" si="238"/>
        <v>0</v>
      </c>
      <c r="AP137" s="756">
        <f>AM137-AL137</f>
        <v>0</v>
      </c>
      <c r="AQ137" s="718">
        <f>SUM(Q137,AJ137)</f>
        <v>0</v>
      </c>
      <c r="AR137" s="876"/>
      <c r="AS137" s="580">
        <f>S137+AL137</f>
        <v>0</v>
      </c>
      <c r="AT137" s="600">
        <f>SUM(T137,AM137)</f>
        <v>0</v>
      </c>
      <c r="AU137" s="601">
        <f t="shared" si="293"/>
        <v>0</v>
      </c>
      <c r="AV137" s="755">
        <f t="shared" si="239"/>
        <v>0</v>
      </c>
      <c r="AW137" s="602">
        <f t="shared" si="279"/>
        <v>0</v>
      </c>
      <c r="AX137" s="603"/>
      <c r="AY137" s="615"/>
      <c r="AZ137" s="878"/>
      <c r="BA137" s="581"/>
      <c r="BB137" s="581"/>
      <c r="BC137" s="581"/>
      <c r="BD137" s="581"/>
      <c r="BE137" s="1264"/>
      <c r="BF137" s="1265">
        <v>4250</v>
      </c>
      <c r="BG137" s="1271">
        <v>4713.6752200000001</v>
      </c>
      <c r="BH137" s="1266">
        <f t="shared" si="280"/>
        <v>463.67522000000008</v>
      </c>
      <c r="BI137" s="1264"/>
      <c r="BJ137" s="1265">
        <v>11650</v>
      </c>
      <c r="BK137" s="1271">
        <v>5673.7040022000001</v>
      </c>
      <c r="BL137" s="1266">
        <f t="shared" si="294"/>
        <v>-5976.2959977999999</v>
      </c>
      <c r="BM137" s="1264"/>
      <c r="BN137" s="1265">
        <v>15300</v>
      </c>
      <c r="BO137" s="1271">
        <v>428.5</v>
      </c>
      <c r="BP137" s="1266">
        <f t="shared" si="281"/>
        <v>-14871.5</v>
      </c>
      <c r="BQ137" s="875">
        <f>BE137+BI137+BM137</f>
        <v>0</v>
      </c>
      <c r="BR137" s="987"/>
      <c r="BS137" s="717">
        <f t="shared" si="300"/>
        <v>31200</v>
      </c>
      <c r="BT137" s="876">
        <f t="shared" si="300"/>
        <v>10815.879222200001</v>
      </c>
      <c r="BU137" s="805">
        <f t="shared" si="282"/>
        <v>10815.879222200001</v>
      </c>
      <c r="BV137" s="806"/>
      <c r="BW137" s="763">
        <f t="shared" si="298"/>
        <v>-20384.120777799999</v>
      </c>
      <c r="BX137" s="1264"/>
      <c r="BY137" s="1265">
        <v>6230</v>
      </c>
      <c r="BZ137" s="1271">
        <v>14273.700000299999</v>
      </c>
      <c r="CA137" s="1266">
        <f t="shared" si="295"/>
        <v>8043.7000002999994</v>
      </c>
      <c r="CB137" s="1264"/>
      <c r="CC137" s="1265">
        <v>13350</v>
      </c>
      <c r="CD137" s="1275">
        <v>6230</v>
      </c>
      <c r="CE137" s="1266">
        <f t="shared" si="296"/>
        <v>-7120</v>
      </c>
      <c r="CF137" s="1264"/>
      <c r="CG137" s="1265">
        <v>13350</v>
      </c>
      <c r="CH137" s="1275">
        <v>6230</v>
      </c>
      <c r="CI137" s="1266">
        <f t="shared" si="283"/>
        <v>-7120</v>
      </c>
      <c r="CJ137" s="875">
        <f>BX137+CB137+CF137</f>
        <v>0</v>
      </c>
      <c r="CK137" s="987"/>
      <c r="CL137" s="717">
        <f t="shared" si="301"/>
        <v>32930</v>
      </c>
      <c r="CM137" s="876">
        <f t="shared" si="301"/>
        <v>26733.700000299999</v>
      </c>
      <c r="CN137" s="687">
        <f t="shared" si="284"/>
        <v>26733.700000299999</v>
      </c>
      <c r="CO137" s="687"/>
      <c r="CP137" s="763">
        <f>CM137-CL137</f>
        <v>-6196.2999997000006</v>
      </c>
      <c r="CQ137" s="718">
        <f>SUM(BQ137,CJ137)</f>
        <v>0</v>
      </c>
      <c r="CR137" s="937"/>
      <c r="CS137" s="580">
        <f>BS137+CL137</f>
        <v>64130</v>
      </c>
      <c r="CT137" s="600">
        <f>SUM(BT137,CM137)</f>
        <v>37549.579222500004</v>
      </c>
      <c r="CU137" s="601">
        <f t="shared" si="297"/>
        <v>37549.579222500004</v>
      </c>
      <c r="CV137" s="1359"/>
      <c r="CW137" s="1360">
        <f t="shared" si="285"/>
        <v>-26580.420777499996</v>
      </c>
      <c r="CX137" s="722"/>
      <c r="CY137" s="878"/>
      <c r="CZ137" s="1388"/>
      <c r="DA137" s="1388"/>
      <c r="DB137" s="1388"/>
      <c r="DC137" s="581"/>
      <c r="DD137" s="581"/>
    </row>
    <row r="138" spans="1:108">
      <c r="A138" s="998" t="s">
        <v>387</v>
      </c>
      <c r="B138" s="1029"/>
      <c r="C138" s="1029"/>
      <c r="D138" s="1024"/>
      <c r="E138" s="809">
        <f>E130+E133</f>
        <v>517</v>
      </c>
      <c r="F138" s="847">
        <f>F130+F133</f>
        <v>550</v>
      </c>
      <c r="G138" s="848">
        <f>G130+G133</f>
        <v>873</v>
      </c>
      <c r="H138" s="849">
        <f>G138-F138</f>
        <v>323</v>
      </c>
      <c r="I138" s="809">
        <f>I130+I133</f>
        <v>517</v>
      </c>
      <c r="J138" s="847">
        <f>J130+J133</f>
        <v>695</v>
      </c>
      <c r="K138" s="848">
        <f>K130+K133</f>
        <v>797</v>
      </c>
      <c r="L138" s="849">
        <f>K138-J138</f>
        <v>102</v>
      </c>
      <c r="M138" s="809">
        <f>M130+M133</f>
        <v>517</v>
      </c>
      <c r="N138" s="847">
        <f>N130+N133</f>
        <v>790</v>
      </c>
      <c r="O138" s="848">
        <f>O130+O133</f>
        <v>839</v>
      </c>
      <c r="P138" s="849">
        <f>O138-N138</f>
        <v>49</v>
      </c>
      <c r="Q138" s="851">
        <f>E138+I138+M138</f>
        <v>1551</v>
      </c>
      <c r="R138" s="852">
        <f>R130+R133</f>
        <v>2550</v>
      </c>
      <c r="S138" s="853">
        <f>G138+J138+N138</f>
        <v>2358</v>
      </c>
      <c r="T138" s="879">
        <f>G138+K138+O138</f>
        <v>2509</v>
      </c>
      <c r="U138" s="880">
        <f t="shared" si="289"/>
        <v>958</v>
      </c>
      <c r="V138" s="881">
        <f t="shared" si="237"/>
        <v>-41</v>
      </c>
      <c r="W138" s="882">
        <f t="shared" si="290"/>
        <v>151</v>
      </c>
      <c r="X138" s="809">
        <f>X130+X133</f>
        <v>850</v>
      </c>
      <c r="Y138" s="847">
        <f>Y130+Y133</f>
        <v>800</v>
      </c>
      <c r="Z138" s="848">
        <f>Z130+Z133</f>
        <v>756</v>
      </c>
      <c r="AA138" s="849">
        <f t="shared" si="291"/>
        <v>-44</v>
      </c>
      <c r="AB138" s="809">
        <f>AB130+AB133</f>
        <v>850</v>
      </c>
      <c r="AC138" s="847">
        <f>AC130+AC133</f>
        <v>850</v>
      </c>
      <c r="AD138" s="848">
        <f>AD130+AD133</f>
        <v>943</v>
      </c>
      <c r="AE138" s="849">
        <f>AD138-AC138</f>
        <v>93</v>
      </c>
      <c r="AF138" s="809">
        <f>AF130+AF133</f>
        <v>850</v>
      </c>
      <c r="AG138" s="847">
        <f>AG130+AG133</f>
        <v>960</v>
      </c>
      <c r="AH138" s="848">
        <f>AH130+AH133</f>
        <v>954</v>
      </c>
      <c r="AI138" s="849">
        <f t="shared" si="277"/>
        <v>-6</v>
      </c>
      <c r="AJ138" s="854">
        <f>X138+AB138+AF138</f>
        <v>2550</v>
      </c>
      <c r="AK138" s="852">
        <f>AK130+AK133</f>
        <v>2550</v>
      </c>
      <c r="AL138" s="881">
        <f t="shared" si="299"/>
        <v>2610</v>
      </c>
      <c r="AM138" s="879">
        <f t="shared" si="299"/>
        <v>2653</v>
      </c>
      <c r="AN138" s="883">
        <f t="shared" si="278"/>
        <v>103</v>
      </c>
      <c r="AO138" s="881">
        <f t="shared" si="238"/>
        <v>103</v>
      </c>
      <c r="AP138" s="882">
        <f>AM138-AL138</f>
        <v>43</v>
      </c>
      <c r="AQ138" s="771">
        <f>SUM(Q138,AJ138)</f>
        <v>4101</v>
      </c>
      <c r="AR138" s="879">
        <f>AR130+AR133</f>
        <v>5100</v>
      </c>
      <c r="AS138" s="884">
        <f>S138+AL138</f>
        <v>4968</v>
      </c>
      <c r="AT138" s="879">
        <f>SUM(T138,AM138)</f>
        <v>5162</v>
      </c>
      <c r="AU138" s="881">
        <f t="shared" si="293"/>
        <v>1061</v>
      </c>
      <c r="AV138" s="881">
        <f t="shared" si="239"/>
        <v>62</v>
      </c>
      <c r="AW138" s="882">
        <f t="shared" si="279"/>
        <v>194</v>
      </c>
      <c r="AX138" s="820"/>
      <c r="AY138" s="821"/>
      <c r="AZ138" s="821"/>
      <c r="BA138" s="821"/>
      <c r="BB138" s="821"/>
      <c r="BC138" s="821"/>
      <c r="BD138" s="821"/>
      <c r="BE138" s="814">
        <f>BE130+BE133</f>
        <v>956.2</v>
      </c>
      <c r="BF138" s="847">
        <f>BF130+BF133</f>
        <v>900</v>
      </c>
      <c r="BG138" s="848">
        <f>BG130+BG133</f>
        <v>993</v>
      </c>
      <c r="BH138" s="849">
        <f>BG138-BF138</f>
        <v>93</v>
      </c>
      <c r="BI138" s="814">
        <f>BI130+BI133</f>
        <v>956.2</v>
      </c>
      <c r="BJ138" s="847">
        <f>BJ130+BJ133</f>
        <v>910</v>
      </c>
      <c r="BK138" s="848">
        <f>BK130+BK133</f>
        <v>954</v>
      </c>
      <c r="BL138" s="849">
        <f>BK138-BJ138</f>
        <v>44</v>
      </c>
      <c r="BM138" s="814">
        <f>BM130+BM133</f>
        <v>956.2</v>
      </c>
      <c r="BN138" s="847">
        <f>BN130+BN133</f>
        <v>935</v>
      </c>
      <c r="BO138" s="848">
        <f>BO130+BO133</f>
        <v>798</v>
      </c>
      <c r="BP138" s="849">
        <f>BO138-BN138</f>
        <v>-137</v>
      </c>
      <c r="BQ138" s="854">
        <f>BE138+BI138+BM138</f>
        <v>2868.6000000000004</v>
      </c>
      <c r="BR138" s="853"/>
      <c r="BS138" s="881">
        <f t="shared" si="300"/>
        <v>2745</v>
      </c>
      <c r="BT138" s="879">
        <f t="shared" si="300"/>
        <v>2745</v>
      </c>
      <c r="BU138" s="880">
        <f t="shared" si="282"/>
        <v>-123.60000000000036</v>
      </c>
      <c r="BV138" s="881"/>
      <c r="BW138" s="882">
        <f t="shared" si="298"/>
        <v>0</v>
      </c>
      <c r="BX138" s="814">
        <f>BX130+BX133</f>
        <v>1001</v>
      </c>
      <c r="BY138" s="847">
        <f>BY130+BY133</f>
        <v>990</v>
      </c>
      <c r="BZ138" s="848">
        <f>BZ130+BZ133</f>
        <v>1008</v>
      </c>
      <c r="CA138" s="849">
        <f t="shared" si="295"/>
        <v>18</v>
      </c>
      <c r="CB138" s="814">
        <f>CB130+CB133</f>
        <v>1001</v>
      </c>
      <c r="CC138" s="847">
        <f>CC130+CC133</f>
        <v>1085</v>
      </c>
      <c r="CD138" s="850">
        <f>CD130+CD133</f>
        <v>855</v>
      </c>
      <c r="CE138" s="849">
        <f t="shared" si="296"/>
        <v>-230</v>
      </c>
      <c r="CF138" s="814">
        <f>CF130+CF133</f>
        <v>1001</v>
      </c>
      <c r="CG138" s="847">
        <f>CG130+CG133</f>
        <v>900</v>
      </c>
      <c r="CH138" s="850">
        <f>CH130+CH133</f>
        <v>615</v>
      </c>
      <c r="CI138" s="849">
        <f t="shared" si="283"/>
        <v>-285</v>
      </c>
      <c r="CJ138" s="854">
        <f>BX138+CB138+CF138</f>
        <v>3003</v>
      </c>
      <c r="CK138" s="853"/>
      <c r="CL138" s="881">
        <f t="shared" si="301"/>
        <v>2975</v>
      </c>
      <c r="CM138" s="879">
        <f t="shared" si="301"/>
        <v>2478</v>
      </c>
      <c r="CN138" s="883">
        <f t="shared" si="284"/>
        <v>-525</v>
      </c>
      <c r="CO138" s="883"/>
      <c r="CP138" s="882">
        <f>CM138-CL138</f>
        <v>-497</v>
      </c>
      <c r="CQ138" s="771">
        <f>SUM(BQ138,CJ138)</f>
        <v>5871.6</v>
      </c>
      <c r="CR138" s="938"/>
      <c r="CS138" s="884">
        <f>BS138+CL138</f>
        <v>5720</v>
      </c>
      <c r="CT138" s="879">
        <f>SUM(BT138,CM138)</f>
        <v>5223</v>
      </c>
      <c r="CU138" s="881">
        <f t="shared" si="297"/>
        <v>-648.60000000000036</v>
      </c>
      <c r="CV138" s="881"/>
      <c r="CW138" s="882">
        <f t="shared" si="285"/>
        <v>-497</v>
      </c>
      <c r="CX138" s="722"/>
      <c r="CY138" s="821"/>
      <c r="CZ138" s="821"/>
      <c r="DA138" s="821"/>
      <c r="DB138" s="821"/>
      <c r="DC138" s="821"/>
      <c r="DD138" s="821"/>
    </row>
    <row r="139" spans="1:108">
      <c r="A139" s="1014" t="s">
        <v>364</v>
      </c>
      <c r="B139" s="1010"/>
      <c r="C139" s="1010"/>
      <c r="D139" s="1009"/>
      <c r="E139" s="814">
        <f>E141/E138</f>
        <v>185.84719535783367</v>
      </c>
      <c r="F139" s="856">
        <f>F141/F138</f>
        <v>163.63636363636363</v>
      </c>
      <c r="G139" s="857">
        <f>G141/G138</f>
        <v>164.01700912943872</v>
      </c>
      <c r="H139" s="858">
        <f>G139-F139</f>
        <v>0.3806454930750931</v>
      </c>
      <c r="I139" s="814">
        <f>I141/I138</f>
        <v>185.84719535783367</v>
      </c>
      <c r="J139" s="856">
        <f>J141/J138</f>
        <v>143.88489208633092</v>
      </c>
      <c r="K139" s="857">
        <f>K141/K138</f>
        <v>149.99874529485569</v>
      </c>
      <c r="L139" s="858">
        <f>K139-J139</f>
        <v>6.1138532085247732</v>
      </c>
      <c r="M139" s="814">
        <f>M141/M138</f>
        <v>185.84719535783367</v>
      </c>
      <c r="N139" s="856">
        <f>N141/N138</f>
        <v>151.8987341772152</v>
      </c>
      <c r="O139" s="857">
        <f>O141/O138</f>
        <v>144.07342073897499</v>
      </c>
      <c r="P139" s="858">
        <f>O139-N139</f>
        <v>-7.8253134382402152</v>
      </c>
      <c r="Q139" s="860">
        <f>Q141/Q138</f>
        <v>185.84719535783367</v>
      </c>
      <c r="R139" s="861">
        <f>R141/R138</f>
        <v>145.10588235294117</v>
      </c>
      <c r="S139" s="862">
        <f>S141/S138</f>
        <v>154.0232608015267</v>
      </c>
      <c r="T139" s="574">
        <f>T141/T138</f>
        <v>152.89495774013551</v>
      </c>
      <c r="U139" s="574">
        <f t="shared" si="289"/>
        <v>-32.95223761769816</v>
      </c>
      <c r="V139" s="574">
        <f t="shared" si="237"/>
        <v>7.7890753871943446</v>
      </c>
      <c r="W139" s="574">
        <f t="shared" si="290"/>
        <v>-1.1283030613911933</v>
      </c>
      <c r="X139" s="814">
        <f>X141/X138</f>
        <v>139.31294117647059</v>
      </c>
      <c r="Y139" s="856">
        <f>Y141/Y138</f>
        <v>150</v>
      </c>
      <c r="Z139" s="857">
        <f>Z141/Z138</f>
        <v>153.99612169312169</v>
      </c>
      <c r="AA139" s="858">
        <f t="shared" si="291"/>
        <v>3.9961216931216939</v>
      </c>
      <c r="AB139" s="814">
        <f>AB141/AB138</f>
        <v>139.31294117647059</v>
      </c>
      <c r="AC139" s="856">
        <f>AC141/AC138</f>
        <v>152.94117647058823</v>
      </c>
      <c r="AD139" s="857">
        <f>AD141/AD138</f>
        <v>150.80226523138919</v>
      </c>
      <c r="AE139" s="858">
        <f>AD139-AC139</f>
        <v>-2.1389112391990466</v>
      </c>
      <c r="AF139" s="814">
        <f>AF141/AF138</f>
        <v>139.31294117647059</v>
      </c>
      <c r="AG139" s="856">
        <f>AG141/AG138</f>
        <v>156.25</v>
      </c>
      <c r="AH139" s="857">
        <f>AH141/AH138</f>
        <v>145.35573167945495</v>
      </c>
      <c r="AI139" s="858">
        <f t="shared" si="277"/>
        <v>-10.894268320545052</v>
      </c>
      <c r="AJ139" s="863">
        <f>AJ141/AJ138</f>
        <v>139.31294117647059</v>
      </c>
      <c r="AK139" s="861">
        <f>AK141/AK138</f>
        <v>145.10588235294117</v>
      </c>
      <c r="AL139" s="862">
        <f>AL141/AL138</f>
        <v>153.25670498084293</v>
      </c>
      <c r="AM139" s="574">
        <f>AM141/AM138</f>
        <v>149.75385304764418</v>
      </c>
      <c r="AN139" s="574">
        <f t="shared" si="278"/>
        <v>10.440911871173597</v>
      </c>
      <c r="AO139" s="574">
        <f t="shared" si="238"/>
        <v>4.6479706947030195</v>
      </c>
      <c r="AP139" s="574">
        <f>AM139-AL139</f>
        <v>-3.5028519331987411</v>
      </c>
      <c r="AQ139" s="863">
        <f>AQ141/AQ138</f>
        <v>156.91221653255303</v>
      </c>
      <c r="AR139" s="864">
        <f>AR141/AR138</f>
        <v>145.10588235294117</v>
      </c>
      <c r="AS139" s="862">
        <f>AS141/AS138</f>
        <v>153.6205412580515</v>
      </c>
      <c r="AT139" s="574">
        <f>AT141/AT138</f>
        <v>151.28059300763269</v>
      </c>
      <c r="AU139" s="574">
        <f t="shared" si="293"/>
        <v>-5.631623524920343</v>
      </c>
      <c r="AV139" s="574">
        <f t="shared" si="239"/>
        <v>6.1747106546915234</v>
      </c>
      <c r="AW139" s="604">
        <f t="shared" si="279"/>
        <v>-2.3399482504188143</v>
      </c>
      <c r="AX139" s="820"/>
      <c r="AY139" s="821"/>
      <c r="AZ139" s="821"/>
      <c r="BA139" s="570"/>
      <c r="BB139" s="570"/>
      <c r="BC139" s="570"/>
      <c r="BD139" s="570"/>
      <c r="BE139" s="814">
        <f>BE141/BE138</f>
        <v>160.33779544028445</v>
      </c>
      <c r="BF139" s="856">
        <f>BF141/BF138</f>
        <v>158.88888888888889</v>
      </c>
      <c r="BG139" s="857">
        <f>BG141/BG138</f>
        <v>144.75181168177241</v>
      </c>
      <c r="BH139" s="858">
        <f>BG139-BF139</f>
        <v>-14.137077207116477</v>
      </c>
      <c r="BI139" s="814">
        <f>BI141/BI138</f>
        <v>160.33779544028445</v>
      </c>
      <c r="BJ139" s="856">
        <f>BJ141/BJ138</f>
        <v>168.13186813186815</v>
      </c>
      <c r="BK139" s="857">
        <f>BK141/BK138</f>
        <v>146.43139356194968</v>
      </c>
      <c r="BL139" s="858">
        <f>BK139-BJ139</f>
        <v>-21.70047456991847</v>
      </c>
      <c r="BM139" s="814">
        <f>BM141/BM138</f>
        <v>160.33779544028445</v>
      </c>
      <c r="BN139" s="856">
        <f>BN141/BN138</f>
        <v>147.59358288770053</v>
      </c>
      <c r="BO139" s="857">
        <f>BO141/BO138</f>
        <v>148.25799247619048</v>
      </c>
      <c r="BP139" s="858">
        <f>BO139-BN139</f>
        <v>0.66440958848994569</v>
      </c>
      <c r="BQ139" s="863">
        <f>BQ141/BQ138</f>
        <v>160.33779544028445</v>
      </c>
      <c r="BR139" s="862"/>
      <c r="BS139" s="862">
        <f>BS141/BS138</f>
        <v>158.10564663023681</v>
      </c>
      <c r="BT139" s="574">
        <f>BT141/BT138</f>
        <v>146.35481838036429</v>
      </c>
      <c r="BU139" s="574">
        <f t="shared" si="282"/>
        <v>-13.982977059920159</v>
      </c>
      <c r="BV139" s="574"/>
      <c r="BW139" s="574">
        <f t="shared" si="298"/>
        <v>-11.750828249872512</v>
      </c>
      <c r="BX139" s="814">
        <f>BX141/BX138</f>
        <v>162.16283716283715</v>
      </c>
      <c r="BY139" s="856">
        <f>BY141/BY138</f>
        <v>151.01010101010101</v>
      </c>
      <c r="BZ139" s="857">
        <f>BZ141/BZ138</f>
        <v>168.85242391874999</v>
      </c>
      <c r="CA139" s="858">
        <f t="shared" si="295"/>
        <v>17.842322908648981</v>
      </c>
      <c r="CB139" s="814">
        <f>CB141/CB138</f>
        <v>162.16283716283715</v>
      </c>
      <c r="CC139" s="856">
        <f>CC141/CC138</f>
        <v>169.12442396313364</v>
      </c>
      <c r="CD139" s="859">
        <f>CD141/CD138</f>
        <v>153.21637426900585</v>
      </c>
      <c r="CE139" s="858">
        <f t="shared" si="296"/>
        <v>-15.908049694127783</v>
      </c>
      <c r="CF139" s="814">
        <f>CF141/CF138</f>
        <v>162.16283716283715</v>
      </c>
      <c r="CG139" s="856">
        <f>CG141/CG138</f>
        <v>153.88888888888889</v>
      </c>
      <c r="CH139" s="859">
        <f>CH141/CH138</f>
        <v>152.84552845528455</v>
      </c>
      <c r="CI139" s="858">
        <f t="shared" si="283"/>
        <v>-1.0433604336043345</v>
      </c>
      <c r="CJ139" s="863">
        <f>CJ141/CJ138</f>
        <v>162.16283716283715</v>
      </c>
      <c r="CK139" s="862"/>
      <c r="CL139" s="862">
        <f>CL141/CL138</f>
        <v>158.48739495798318</v>
      </c>
      <c r="CM139" s="574">
        <f>CM141/CM138</f>
        <v>159.4847632405569</v>
      </c>
      <c r="CN139" s="574">
        <f t="shared" si="284"/>
        <v>-2.6780739222802481</v>
      </c>
      <c r="CO139" s="574"/>
      <c r="CP139" s="574">
        <f>CM139-CL139</f>
        <v>0.99736828257371712</v>
      </c>
      <c r="CQ139" s="863">
        <f>CQ141/CQ138</f>
        <v>161.27120376047412</v>
      </c>
      <c r="CR139" s="862"/>
      <c r="CS139" s="862">
        <f>CS141/CS138</f>
        <v>158.30419580419581</v>
      </c>
      <c r="CT139" s="574">
        <f>CT141/CT138</f>
        <v>152.58418911816963</v>
      </c>
      <c r="CU139" s="574">
        <f t="shared" si="297"/>
        <v>-8.6870146423044901</v>
      </c>
      <c r="CV139" s="1351"/>
      <c r="CW139" s="604">
        <f t="shared" si="285"/>
        <v>-5.7200066860261813</v>
      </c>
      <c r="CX139" s="722"/>
      <c r="CY139" s="821"/>
      <c r="CZ139" s="587"/>
      <c r="DA139" s="587"/>
      <c r="DB139" s="587"/>
      <c r="DC139" s="570"/>
      <c r="DD139" s="570"/>
    </row>
    <row r="140" spans="1:108">
      <c r="A140" s="659" t="s">
        <v>161</v>
      </c>
      <c r="B140" s="664"/>
      <c r="C140" s="664"/>
      <c r="D140" s="665"/>
      <c r="E140" s="695"/>
      <c r="F140" s="837"/>
      <c r="G140" s="838"/>
      <c r="H140" s="839">
        <f>G141/F141</f>
        <v>1.5909649885555555</v>
      </c>
      <c r="I140" s="695"/>
      <c r="J140" s="837"/>
      <c r="K140" s="838"/>
      <c r="L140" s="1097">
        <f>K141/J141</f>
        <v>1.1954899999999999</v>
      </c>
      <c r="M140" s="695"/>
      <c r="N140" s="837"/>
      <c r="O140" s="838"/>
      <c r="P140" s="1097">
        <f>O141/N141</f>
        <v>1.0073133333333333</v>
      </c>
      <c r="Q140" s="841"/>
      <c r="R140" s="842"/>
      <c r="S140" s="843"/>
      <c r="T140" s="514"/>
      <c r="U140" s="1094">
        <f>T141/Q141</f>
        <v>1.3308405197242663</v>
      </c>
      <c r="V140" s="1076">
        <f>T141/R141</f>
        <v>1.0367370654829469</v>
      </c>
      <c r="W140" s="1068">
        <f>T141/S141</f>
        <v>1.0562426752453455</v>
      </c>
      <c r="X140" s="695"/>
      <c r="Y140" s="837"/>
      <c r="Z140" s="838"/>
      <c r="AA140" s="1097">
        <f>Z141/Y141</f>
        <v>0.97017556666666671</v>
      </c>
      <c r="AB140" s="695"/>
      <c r="AC140" s="837"/>
      <c r="AD140" s="838"/>
      <c r="AE140" s="1098">
        <f>AD141/AC141</f>
        <v>1.0938964316400002</v>
      </c>
      <c r="AF140" s="695"/>
      <c r="AG140" s="837"/>
      <c r="AH140" s="838"/>
      <c r="AI140" s="1099">
        <f>AH141/AG141</f>
        <v>0.92446245348133338</v>
      </c>
      <c r="AJ140" s="771"/>
      <c r="AK140" s="842"/>
      <c r="AL140" s="936"/>
      <c r="AM140" s="706"/>
      <c r="AN140" s="1096">
        <f>AM141/AJ141</f>
        <v>1.1183651199595777</v>
      </c>
      <c r="AO140" s="1100">
        <f>AM141/AK141</f>
        <v>1.0737175615788337</v>
      </c>
      <c r="AP140" s="1087">
        <f>AM141/AL141</f>
        <v>0.99324243033850013</v>
      </c>
      <c r="AQ140" s="563"/>
      <c r="AR140" s="772"/>
      <c r="AS140" s="606"/>
      <c r="AT140" s="532"/>
      <c r="AU140" s="1096">
        <f>AT141/AQ141</f>
        <v>1.2135416654707014</v>
      </c>
      <c r="AV140" s="1076">
        <f>AT141/AR141</f>
        <v>1.0552273135308903</v>
      </c>
      <c r="AW140" s="1087">
        <f>AT141/AS141</f>
        <v>1.0232231099884908</v>
      </c>
      <c r="AX140" s="722"/>
      <c r="AY140" s="723"/>
      <c r="AZ140" s="697"/>
      <c r="BE140" s="695"/>
      <c r="BF140" s="837"/>
      <c r="BG140" s="838"/>
      <c r="BH140" s="1097">
        <f>BG141/BF141</f>
        <v>1.0051646783216783</v>
      </c>
      <c r="BI140" s="695"/>
      <c r="BJ140" s="837"/>
      <c r="BK140" s="838"/>
      <c r="BL140" s="1097">
        <f>BK141/BJ141</f>
        <v>0.91304280691568629</v>
      </c>
      <c r="BM140" s="695"/>
      <c r="BN140" s="837"/>
      <c r="BO140" s="838"/>
      <c r="BP140" s="1099">
        <f>BO141/BN141</f>
        <v>0.85731795649275355</v>
      </c>
      <c r="BQ140" s="771"/>
      <c r="BR140" s="843"/>
      <c r="BS140" s="936"/>
      <c r="BT140" s="706"/>
      <c r="BU140" s="1094">
        <f>BT141/BQ141</f>
        <v>0.87346090609551141</v>
      </c>
      <c r="BV140" s="1100"/>
      <c r="BW140" s="1068">
        <f>BT141/BS141</f>
        <v>0.92567736510161291</v>
      </c>
      <c r="BX140" s="695"/>
      <c r="BY140" s="837"/>
      <c r="BZ140" s="838"/>
      <c r="CA140" s="1099">
        <f>BZ141/BY141</f>
        <v>1.1384832328434782</v>
      </c>
      <c r="CB140" s="695"/>
      <c r="CC140" s="837"/>
      <c r="CD140" s="840"/>
      <c r="CE140" s="1099">
        <f>CD141/CC141</f>
        <v>0.71389645776566757</v>
      </c>
      <c r="CF140" s="695"/>
      <c r="CG140" s="837"/>
      <c r="CH140" s="840"/>
      <c r="CI140" s="1099">
        <f>CH141/CG141</f>
        <v>0.67870036101083031</v>
      </c>
      <c r="CJ140" s="771"/>
      <c r="CK140" s="843"/>
      <c r="CL140" s="936"/>
      <c r="CM140" s="706"/>
      <c r="CN140" s="1096">
        <f>CM141/CJ141</f>
        <v>0.81154729361897426</v>
      </c>
      <c r="CO140" s="1096"/>
      <c r="CP140" s="1087">
        <f>CM141/CL141</f>
        <v>0.83818291264072109</v>
      </c>
      <c r="CQ140" s="563"/>
      <c r="CR140" s="606"/>
      <c r="CS140" s="606"/>
      <c r="CT140" s="532"/>
      <c r="CU140" s="1096">
        <f>CT141/CQ141</f>
        <v>0.84162043231128292</v>
      </c>
      <c r="CV140" s="1096"/>
      <c r="CW140" s="1087">
        <f>CT141/CS141</f>
        <v>0.88011840945797903</v>
      </c>
      <c r="CX140" s="722"/>
      <c r="CY140" s="723"/>
      <c r="CZ140" s="556"/>
      <c r="DA140" s="556"/>
      <c r="DB140" s="556"/>
      <c r="DC140" s="493"/>
      <c r="DD140" s="493"/>
    </row>
    <row r="141" spans="1:108">
      <c r="A141" s="647" t="s">
        <v>365</v>
      </c>
      <c r="B141" s="661"/>
      <c r="C141" s="997"/>
      <c r="D141" s="995"/>
      <c r="E141" s="822">
        <f>E132+E135+E137</f>
        <v>96083</v>
      </c>
      <c r="F141" s="887">
        <f>F132+F135+F137</f>
        <v>90000</v>
      </c>
      <c r="G141" s="824">
        <f>G132+G135+G137</f>
        <v>143186.84896999999</v>
      </c>
      <c r="H141" s="825">
        <f>G141-F141</f>
        <v>53186.848969999992</v>
      </c>
      <c r="I141" s="822">
        <f>I132+I135+I137</f>
        <v>96083</v>
      </c>
      <c r="J141" s="887">
        <f>J132+J135+J137</f>
        <v>100000</v>
      </c>
      <c r="K141" s="824">
        <f>K132+K135+K137</f>
        <v>119549</v>
      </c>
      <c r="L141" s="825">
        <f>K141-J141</f>
        <v>19549</v>
      </c>
      <c r="M141" s="822">
        <f>M132+M135+M137</f>
        <v>96083</v>
      </c>
      <c r="N141" s="887">
        <f>N132+N135+N137</f>
        <v>120000</v>
      </c>
      <c r="O141" s="824">
        <v>120877.6</v>
      </c>
      <c r="P141" s="825">
        <f>O141-N141</f>
        <v>877.60000000000582</v>
      </c>
      <c r="Q141" s="827">
        <f>E141+I141+M141</f>
        <v>288249</v>
      </c>
      <c r="R141" s="828">
        <f>R132+R135+R137</f>
        <v>370020</v>
      </c>
      <c r="S141" s="714">
        <f>G141+J141+N141</f>
        <v>363186.84896999999</v>
      </c>
      <c r="T141" s="520">
        <f>G141+K141+O141</f>
        <v>383613.44897000003</v>
      </c>
      <c r="U141" s="712">
        <f>T141-Q141</f>
        <v>95364.448970000027</v>
      </c>
      <c r="V141" s="711">
        <f t="shared" si="237"/>
        <v>13593.448970000027</v>
      </c>
      <c r="W141" s="716">
        <f>T141-S141</f>
        <v>20426.600000000035</v>
      </c>
      <c r="X141" s="822">
        <f>X132+X135+X137</f>
        <v>118416</v>
      </c>
      <c r="Y141" s="887">
        <f>Y132+Y135+Y137</f>
        <v>120000</v>
      </c>
      <c r="Z141" s="824">
        <f>Z132+Z135+Z137</f>
        <v>116421.068</v>
      </c>
      <c r="AA141" s="825">
        <f>Z141-Y141</f>
        <v>-3578.9320000000007</v>
      </c>
      <c r="AB141" s="822">
        <f>AB132+AB135+AB137</f>
        <v>118416</v>
      </c>
      <c r="AC141" s="887">
        <f>AC132+AC135+AC137</f>
        <v>130000</v>
      </c>
      <c r="AD141" s="824">
        <f>AD132+AD135+AD137</f>
        <v>142206.53611320001</v>
      </c>
      <c r="AE141" s="825">
        <f>AD141-AC141</f>
        <v>12206.536113200011</v>
      </c>
      <c r="AF141" s="822">
        <f>AF132+AF135+AF137</f>
        <v>118416</v>
      </c>
      <c r="AG141" s="887">
        <f>AG132+AG135+AG137</f>
        <v>150000</v>
      </c>
      <c r="AH141" s="824">
        <f>AH132+AH135+AH137</f>
        <v>138669.36802220001</v>
      </c>
      <c r="AI141" s="825">
        <f>AH141-AG141</f>
        <v>-11330.631977799989</v>
      </c>
      <c r="AJ141" s="713">
        <f>AJ135+AJ132+AJ137</f>
        <v>355248</v>
      </c>
      <c r="AK141" s="828">
        <f>AK132+AK135+AK137</f>
        <v>370020</v>
      </c>
      <c r="AL141" s="739">
        <f t="shared" ref="AL141:AM143" si="302">Y141+AC141+AG141</f>
        <v>400000</v>
      </c>
      <c r="AM141" s="520">
        <f t="shared" si="302"/>
        <v>397296.97213540005</v>
      </c>
      <c r="AN141" s="739">
        <f>AM141-AJ141</f>
        <v>42048.97213540005</v>
      </c>
      <c r="AO141" s="711">
        <f t="shared" si="238"/>
        <v>27276.97213540005</v>
      </c>
      <c r="AP141" s="688">
        <f>AM141-AL141</f>
        <v>-2703.0278645999497</v>
      </c>
      <c r="AQ141" s="718">
        <f>SUM(Q141,AJ141)</f>
        <v>643497</v>
      </c>
      <c r="AR141" s="715">
        <f>AR132+AR135+AR137</f>
        <v>740040</v>
      </c>
      <c r="AS141" s="613">
        <f>S141+AL141</f>
        <v>763186.84896999993</v>
      </c>
      <c r="AT141" s="520">
        <f>AT135+AT132+AT137</f>
        <v>780910.42110539996</v>
      </c>
      <c r="AU141" s="739">
        <f>AT141-AQ141</f>
        <v>137413.42110539996</v>
      </c>
      <c r="AV141" s="711">
        <f t="shared" si="239"/>
        <v>40870.421105399961</v>
      </c>
      <c r="AW141" s="688">
        <f>AT141-AS141</f>
        <v>17723.572135400027</v>
      </c>
      <c r="AX141" s="722">
        <f>AQ141/6</f>
        <v>107249.5</v>
      </c>
      <c r="AY141" s="709">
        <f>AR141/6</f>
        <v>123340</v>
      </c>
      <c r="AZ141" s="723">
        <f>AT141/6</f>
        <v>130151.73685089999</v>
      </c>
      <c r="BA141" s="829">
        <f>AZ141/AX141</f>
        <v>1.2135416654707014</v>
      </c>
      <c r="BB141" s="493">
        <f>AZ141-AX141</f>
        <v>22902.236850899993</v>
      </c>
      <c r="BC141" s="516">
        <f>AZ141-AY141</f>
        <v>6811.7368508999934</v>
      </c>
      <c r="BD141" s="493">
        <f>AW141/6</f>
        <v>2953.928689233338</v>
      </c>
      <c r="BE141" s="822">
        <f>BE132+BE135</f>
        <v>153315</v>
      </c>
      <c r="BF141" s="887">
        <f>BF132+BF135</f>
        <v>143000</v>
      </c>
      <c r="BG141" s="824">
        <f>BG132+BG135</f>
        <v>143738.549</v>
      </c>
      <c r="BH141" s="825">
        <f>BG141-BF141</f>
        <v>738.54899999999907</v>
      </c>
      <c r="BI141" s="822">
        <f>BI132+BI135</f>
        <v>153315</v>
      </c>
      <c r="BJ141" s="887">
        <f>BJ132+BJ135</f>
        <v>153000</v>
      </c>
      <c r="BK141" s="824">
        <f>BK132+BK135</f>
        <v>139695.54945809999</v>
      </c>
      <c r="BL141" s="825">
        <f>BK141-BJ141</f>
        <v>-13304.450541900005</v>
      </c>
      <c r="BM141" s="822">
        <f>BM132+BM135</f>
        <v>153315</v>
      </c>
      <c r="BN141" s="887">
        <f>BN132+BN135</f>
        <v>138000</v>
      </c>
      <c r="BO141" s="824">
        <f>BO132+BO135</f>
        <v>118309.877996</v>
      </c>
      <c r="BP141" s="825">
        <f>BO141-BN141</f>
        <v>-19690.122004000004</v>
      </c>
      <c r="BQ141" s="713">
        <f>BQ132+BQ135</f>
        <v>459945</v>
      </c>
      <c r="BR141" s="714"/>
      <c r="BS141" s="739">
        <f>BF141+BJ141+BN141</f>
        <v>434000</v>
      </c>
      <c r="BT141" s="520">
        <f>BG141+BK141+BO141</f>
        <v>401743.97645409999</v>
      </c>
      <c r="BU141" s="712">
        <f>BT141-BQ141</f>
        <v>-58201.023545900011</v>
      </c>
      <c r="BV141" s="711"/>
      <c r="BW141" s="716">
        <f>BT141-BS141</f>
        <v>-32256.023545900011</v>
      </c>
      <c r="BX141" s="822">
        <f>BX132+BX135</f>
        <v>162325</v>
      </c>
      <c r="BY141" s="887">
        <f>BY132+BY135</f>
        <v>149500</v>
      </c>
      <c r="BZ141" s="824">
        <f>BZ132+BZ135</f>
        <v>170203.24331009999</v>
      </c>
      <c r="CA141" s="825">
        <f>BZ141-BY141</f>
        <v>20703.243310099992</v>
      </c>
      <c r="CB141" s="822">
        <f>CB132+CB135</f>
        <v>162325</v>
      </c>
      <c r="CC141" s="887">
        <f>CC132+CC135</f>
        <v>183500</v>
      </c>
      <c r="CD141" s="826">
        <f>CD132+CD135</f>
        <v>131000</v>
      </c>
      <c r="CE141" s="825">
        <f>CD141-CC141</f>
        <v>-52500</v>
      </c>
      <c r="CF141" s="822">
        <f>CF132+CF135</f>
        <v>162325</v>
      </c>
      <c r="CG141" s="887">
        <f>CG132+CG135</f>
        <v>138500</v>
      </c>
      <c r="CH141" s="826">
        <f>CH132+CH135</f>
        <v>94000</v>
      </c>
      <c r="CI141" s="825">
        <f>CH141-CG141</f>
        <v>-44500</v>
      </c>
      <c r="CJ141" s="713">
        <f>CJ132+CJ135</f>
        <v>486975</v>
      </c>
      <c r="CK141" s="714"/>
      <c r="CL141" s="739">
        <f>BY141+CC141+CG141</f>
        <v>471500</v>
      </c>
      <c r="CM141" s="520">
        <f>BZ141+CD141+CH141</f>
        <v>395203.24331009999</v>
      </c>
      <c r="CN141" s="739">
        <f>CM141-CJ141</f>
        <v>-91771.756689900008</v>
      </c>
      <c r="CO141" s="739"/>
      <c r="CP141" s="688">
        <f>CM141-CL141</f>
        <v>-76296.756689900008</v>
      </c>
      <c r="CQ141" s="718">
        <f>SUM(BQ141,CJ141)</f>
        <v>946920</v>
      </c>
      <c r="CR141" s="937"/>
      <c r="CS141" s="613">
        <f>BS141+CL141</f>
        <v>905500</v>
      </c>
      <c r="CT141" s="520">
        <f>CT135+CT132</f>
        <v>796947.21976420004</v>
      </c>
      <c r="CU141" s="739">
        <f>CT141-CQ141</f>
        <v>-149972.78023579996</v>
      </c>
      <c r="CV141" s="739"/>
      <c r="CW141" s="688">
        <f>CT141-CS141</f>
        <v>-108552.78023579996</v>
      </c>
      <c r="CX141" s="722">
        <f t="shared" ref="CX141:CX146" si="303">CQ141/6</f>
        <v>157820</v>
      </c>
      <c r="CY141" s="723">
        <f>CT141/6</f>
        <v>132824.53662736667</v>
      </c>
      <c r="CZ141" s="829">
        <f>CY141/CX141</f>
        <v>0.84162043231128292</v>
      </c>
      <c r="DA141" s="556">
        <f>CY141-CX141</f>
        <v>-24995.463372633327</v>
      </c>
      <c r="DB141" s="556">
        <f>CW141/6</f>
        <v>-18092.130039299995</v>
      </c>
      <c r="DC141" s="516"/>
      <c r="DD141" s="493"/>
    </row>
    <row r="142" spans="1:108">
      <c r="A142" s="644"/>
      <c r="B142" s="645"/>
      <c r="C142" s="1021" t="s">
        <v>366</v>
      </c>
      <c r="D142" s="1022"/>
      <c r="E142" s="809">
        <v>0</v>
      </c>
      <c r="F142" s="856">
        <v>0</v>
      </c>
      <c r="G142" s="857"/>
      <c r="H142" s="858">
        <f>G142-F142</f>
        <v>0</v>
      </c>
      <c r="I142" s="809">
        <v>0</v>
      </c>
      <c r="J142" s="856"/>
      <c r="K142" s="857"/>
      <c r="L142" s="858">
        <f>K142-J142</f>
        <v>0</v>
      </c>
      <c r="M142" s="809">
        <v>0</v>
      </c>
      <c r="N142" s="856"/>
      <c r="O142" s="857"/>
      <c r="P142" s="858">
        <f>O142-N142</f>
        <v>0</v>
      </c>
      <c r="Q142" s="860">
        <f>E142+I142+M142</f>
        <v>0</v>
      </c>
      <c r="R142" s="861">
        <v>0</v>
      </c>
      <c r="S142" s="862"/>
      <c r="T142" s="574">
        <f>G142+K142+O142</f>
        <v>0</v>
      </c>
      <c r="U142" s="818">
        <f>T142-Q142</f>
        <v>0</v>
      </c>
      <c r="V142" s="888">
        <f t="shared" si="237"/>
        <v>0</v>
      </c>
      <c r="W142" s="885">
        <f>T142-S142</f>
        <v>0</v>
      </c>
      <c r="X142" s="809">
        <v>4</v>
      </c>
      <c r="Y142" s="856"/>
      <c r="Z142" s="857"/>
      <c r="AA142" s="858">
        <f>Z142-Y142</f>
        <v>0</v>
      </c>
      <c r="AB142" s="814">
        <v>4</v>
      </c>
      <c r="AC142" s="856"/>
      <c r="AD142" s="857"/>
      <c r="AE142" s="858">
        <f>AD142-AC142</f>
        <v>0</v>
      </c>
      <c r="AF142" s="814">
        <v>4</v>
      </c>
      <c r="AG142" s="856"/>
      <c r="AH142" s="857"/>
      <c r="AI142" s="858">
        <f>AH142-AG142</f>
        <v>0</v>
      </c>
      <c r="AJ142" s="863">
        <f>X142+AB142+AF142</f>
        <v>12</v>
      </c>
      <c r="AK142" s="861">
        <v>12</v>
      </c>
      <c r="AL142" s="862">
        <f t="shared" si="302"/>
        <v>0</v>
      </c>
      <c r="AM142" s="574">
        <f t="shared" si="302"/>
        <v>0</v>
      </c>
      <c r="AN142" s="816">
        <f>AM142-AJ142</f>
        <v>-12</v>
      </c>
      <c r="AO142" s="888">
        <f t="shared" si="238"/>
        <v>-12</v>
      </c>
      <c r="AP142" s="885">
        <f>AM142-AL142</f>
        <v>0</v>
      </c>
      <c r="AQ142" s="863">
        <f>SUM(Q142,AJ142)</f>
        <v>12</v>
      </c>
      <c r="AR142" s="879">
        <f>AK142+R142</f>
        <v>12</v>
      </c>
      <c r="AS142" s="855">
        <f>S142+AL142</f>
        <v>0</v>
      </c>
      <c r="AT142" s="574">
        <f>SUM(T142,AM142)</f>
        <v>0</v>
      </c>
      <c r="AU142" s="888">
        <f>AT142-AQ142</f>
        <v>-12</v>
      </c>
      <c r="AV142" s="888">
        <f t="shared" si="239"/>
        <v>-12</v>
      </c>
      <c r="AW142" s="885">
        <f>AT142-AS142</f>
        <v>0</v>
      </c>
      <c r="AX142" s="722"/>
      <c r="AY142" s="723"/>
      <c r="AZ142" s="723"/>
      <c r="BA142" s="555"/>
      <c r="BB142" s="555"/>
      <c r="BC142" s="555"/>
      <c r="BD142" s="555"/>
      <c r="BE142" s="814"/>
      <c r="BF142" s="856"/>
      <c r="BG142" s="857"/>
      <c r="BH142" s="858">
        <f>BG142-BF142</f>
        <v>0</v>
      </c>
      <c r="BI142" s="814"/>
      <c r="BJ142" s="856"/>
      <c r="BK142" s="857"/>
      <c r="BL142" s="858">
        <f>BK142-BJ142</f>
        <v>0</v>
      </c>
      <c r="BM142" s="814"/>
      <c r="BN142" s="856"/>
      <c r="BO142" s="857"/>
      <c r="BP142" s="858">
        <f>BO142-BN142</f>
        <v>0</v>
      </c>
      <c r="BQ142" s="863">
        <f>BE142+BI142+BM142</f>
        <v>0</v>
      </c>
      <c r="BR142" s="862"/>
      <c r="BS142" s="862"/>
      <c r="BT142" s="574">
        <f>BG142+BK142+BO142</f>
        <v>0</v>
      </c>
      <c r="BU142" s="818">
        <f>BT142-BQ142</f>
        <v>0</v>
      </c>
      <c r="BV142" s="888"/>
      <c r="BW142" s="885">
        <f>BT142-BS142</f>
        <v>0</v>
      </c>
      <c r="BX142" s="814"/>
      <c r="BY142" s="856"/>
      <c r="BZ142" s="857"/>
      <c r="CA142" s="858">
        <f>BZ142-BY142</f>
        <v>0</v>
      </c>
      <c r="CB142" s="814"/>
      <c r="CC142" s="856"/>
      <c r="CD142" s="859"/>
      <c r="CE142" s="858">
        <f>CD142-CC142</f>
        <v>0</v>
      </c>
      <c r="CF142" s="814"/>
      <c r="CG142" s="856"/>
      <c r="CH142" s="859"/>
      <c r="CI142" s="858">
        <f>CH142-CG142</f>
        <v>0</v>
      </c>
      <c r="CJ142" s="863">
        <f>BX142+CB142+CF142</f>
        <v>0</v>
      </c>
      <c r="CK142" s="862"/>
      <c r="CL142" s="862">
        <f t="shared" ref="CL142:CM143" si="304">BY142+CC142+CG142</f>
        <v>0</v>
      </c>
      <c r="CM142" s="574">
        <f t="shared" si="304"/>
        <v>0</v>
      </c>
      <c r="CN142" s="816">
        <f>CM142-CJ142</f>
        <v>0</v>
      </c>
      <c r="CO142" s="816"/>
      <c r="CP142" s="885">
        <f>CM142-CL142</f>
        <v>0</v>
      </c>
      <c r="CQ142" s="863">
        <f>SUM(BQ142,CJ142)</f>
        <v>0</v>
      </c>
      <c r="CR142" s="855"/>
      <c r="CS142" s="855">
        <f>BS142+CL142</f>
        <v>0</v>
      </c>
      <c r="CT142" s="574">
        <f>SUM(BT142,CM142)</f>
        <v>0</v>
      </c>
      <c r="CU142" s="888">
        <f>CT142-CQ142</f>
        <v>0</v>
      </c>
      <c r="CV142" s="888"/>
      <c r="CW142" s="885">
        <f>CT142-CS142</f>
        <v>0</v>
      </c>
      <c r="CX142" s="722">
        <f t="shared" si="303"/>
        <v>0</v>
      </c>
      <c r="CY142" s="723"/>
      <c r="CZ142" s="555"/>
      <c r="DA142" s="555"/>
      <c r="DB142" s="555"/>
      <c r="DC142" s="555"/>
      <c r="DD142" s="555"/>
    </row>
    <row r="143" spans="1:108">
      <c r="A143" s="1012"/>
      <c r="B143" s="620"/>
      <c r="C143" s="1023" t="s">
        <v>388</v>
      </c>
      <c r="D143" s="1000"/>
      <c r="E143" s="767">
        <v>483</v>
      </c>
      <c r="F143" s="865">
        <v>0</v>
      </c>
      <c r="G143" s="866"/>
      <c r="H143" s="867">
        <f>G143-F143</f>
        <v>0</v>
      </c>
      <c r="I143" s="767">
        <v>483</v>
      </c>
      <c r="J143" s="865"/>
      <c r="K143" s="866"/>
      <c r="L143" s="867">
        <f>K143-J143</f>
        <v>0</v>
      </c>
      <c r="M143" s="767">
        <v>483</v>
      </c>
      <c r="N143" s="865"/>
      <c r="O143" s="866"/>
      <c r="P143" s="867">
        <f>O143-N143</f>
        <v>0</v>
      </c>
      <c r="Q143" s="869">
        <f>E143+I143+M143</f>
        <v>1449</v>
      </c>
      <c r="R143" s="870">
        <v>1449</v>
      </c>
      <c r="S143" s="719">
        <f>G143+J143+N143</f>
        <v>0</v>
      </c>
      <c r="T143" s="526">
        <f>G143+K143+O143</f>
        <v>0</v>
      </c>
      <c r="U143" s="699">
        <f>T143-Q143</f>
        <v>-1449</v>
      </c>
      <c r="V143" s="717">
        <f t="shared" si="237"/>
        <v>-1449</v>
      </c>
      <c r="W143" s="688">
        <f>T143-S143</f>
        <v>0</v>
      </c>
      <c r="X143" s="767">
        <v>1743</v>
      </c>
      <c r="Y143" s="865"/>
      <c r="Z143" s="866"/>
      <c r="AA143" s="867">
        <f>Z143-Y143</f>
        <v>0</v>
      </c>
      <c r="AB143" s="767">
        <v>1743</v>
      </c>
      <c r="AC143" s="865"/>
      <c r="AD143" s="866"/>
      <c r="AE143" s="867">
        <f>AD143-AC143</f>
        <v>0</v>
      </c>
      <c r="AF143" s="767">
        <v>1743</v>
      </c>
      <c r="AG143" s="865"/>
      <c r="AH143" s="866"/>
      <c r="AI143" s="867">
        <f>AH143-AG143</f>
        <v>0</v>
      </c>
      <c r="AJ143" s="718">
        <f>X143+AB143+AF143</f>
        <v>5229</v>
      </c>
      <c r="AK143" s="870">
        <v>5229</v>
      </c>
      <c r="AL143" s="719">
        <f t="shared" si="302"/>
        <v>0</v>
      </c>
      <c r="AM143" s="526">
        <f t="shared" si="302"/>
        <v>0</v>
      </c>
      <c r="AN143" s="721">
        <f>AM143-AJ143</f>
        <v>-5229</v>
      </c>
      <c r="AO143" s="717">
        <f t="shared" si="238"/>
        <v>-5229</v>
      </c>
      <c r="AP143" s="688">
        <f>AM143-AL143</f>
        <v>0</v>
      </c>
      <c r="AQ143" s="718">
        <f>SUM(Q143,AJ143)</f>
        <v>6678</v>
      </c>
      <c r="AR143" s="720">
        <f>AK143+R143</f>
        <v>6678</v>
      </c>
      <c r="AS143" s="605">
        <f>S143+AL143</f>
        <v>0</v>
      </c>
      <c r="AT143" s="526">
        <f>SUM(T143,AM143)</f>
        <v>0</v>
      </c>
      <c r="AU143" s="523">
        <f>AT143-AQ143</f>
        <v>-6678</v>
      </c>
      <c r="AV143" s="717">
        <f t="shared" si="239"/>
        <v>-6678</v>
      </c>
      <c r="AW143" s="688">
        <f>AT143-AS143</f>
        <v>0</v>
      </c>
      <c r="AX143" s="722"/>
      <c r="AY143" s="723"/>
      <c r="AZ143" s="723"/>
      <c r="BA143" s="555"/>
      <c r="BB143" s="555"/>
      <c r="BC143" s="555"/>
      <c r="BD143" s="555"/>
      <c r="BE143" s="767"/>
      <c r="BF143" s="865"/>
      <c r="BG143" s="866"/>
      <c r="BH143" s="867">
        <f>BG143-BF143</f>
        <v>0</v>
      </c>
      <c r="BI143" s="767"/>
      <c r="BJ143" s="865"/>
      <c r="BK143" s="866"/>
      <c r="BL143" s="867">
        <f>BK143-BJ143</f>
        <v>0</v>
      </c>
      <c r="BM143" s="767"/>
      <c r="BN143" s="865"/>
      <c r="BO143" s="866"/>
      <c r="BP143" s="867">
        <f>BO143-BN143</f>
        <v>0</v>
      </c>
      <c r="BQ143" s="718">
        <f>BE143+BI143+BM143</f>
        <v>0</v>
      </c>
      <c r="BR143" s="719"/>
      <c r="BS143" s="719">
        <f>BF143+BJ143+BN143</f>
        <v>0</v>
      </c>
      <c r="BT143" s="526">
        <f>BG143+BK143+BO143</f>
        <v>0</v>
      </c>
      <c r="BU143" s="699">
        <f>BT143-BQ143</f>
        <v>0</v>
      </c>
      <c r="BV143" s="717"/>
      <c r="BW143" s="688">
        <f>BT143-BS143</f>
        <v>0</v>
      </c>
      <c r="BX143" s="767"/>
      <c r="BY143" s="865"/>
      <c r="BZ143" s="866"/>
      <c r="CA143" s="867">
        <f>BZ143-BY143</f>
        <v>0</v>
      </c>
      <c r="CB143" s="767"/>
      <c r="CC143" s="865"/>
      <c r="CD143" s="868"/>
      <c r="CE143" s="867">
        <f>CD143-CC143</f>
        <v>0</v>
      </c>
      <c r="CF143" s="767"/>
      <c r="CG143" s="865"/>
      <c r="CH143" s="868"/>
      <c r="CI143" s="867">
        <f>CH143-CG143</f>
        <v>0</v>
      </c>
      <c r="CJ143" s="718">
        <f>BX143+CB143+CF143</f>
        <v>0</v>
      </c>
      <c r="CK143" s="719"/>
      <c r="CL143" s="719">
        <f t="shared" si="304"/>
        <v>0</v>
      </c>
      <c r="CM143" s="526">
        <f t="shared" si="304"/>
        <v>0</v>
      </c>
      <c r="CN143" s="721">
        <f>CM143-CJ143</f>
        <v>0</v>
      </c>
      <c r="CO143" s="721"/>
      <c r="CP143" s="688">
        <f>CM143-CL143</f>
        <v>0</v>
      </c>
      <c r="CQ143" s="718">
        <f>SUM(BQ143,CJ143)</f>
        <v>0</v>
      </c>
      <c r="CR143" s="937"/>
      <c r="CS143" s="605">
        <f>BS143+CL143</f>
        <v>0</v>
      </c>
      <c r="CT143" s="526">
        <f>SUM(BT143,CM143)</f>
        <v>0</v>
      </c>
      <c r="CU143" s="523">
        <f>CT143-CQ143</f>
        <v>0</v>
      </c>
      <c r="CV143" s="523"/>
      <c r="CW143" s="688">
        <f>CT143-CS143</f>
        <v>0</v>
      </c>
      <c r="CX143" s="722">
        <f t="shared" si="303"/>
        <v>0</v>
      </c>
      <c r="CY143" s="723"/>
      <c r="CZ143" s="555"/>
      <c r="DA143" s="555"/>
      <c r="DB143" s="555"/>
      <c r="DC143" s="555"/>
      <c r="DD143" s="555"/>
    </row>
    <row r="144" spans="1:108">
      <c r="A144" s="1012"/>
      <c r="B144" s="620"/>
      <c r="C144" s="998"/>
      <c r="D144" s="1024"/>
      <c r="E144" s="809"/>
      <c r="F144" s="856"/>
      <c r="G144" s="857"/>
      <c r="H144" s="858"/>
      <c r="I144" s="809"/>
      <c r="J144" s="856"/>
      <c r="K144" s="857"/>
      <c r="L144" s="858"/>
      <c r="M144" s="809"/>
      <c r="N144" s="856"/>
      <c r="O144" s="857"/>
      <c r="P144" s="858"/>
      <c r="Q144" s="860"/>
      <c r="R144" s="861"/>
      <c r="S144" s="853"/>
      <c r="T144" s="582"/>
      <c r="U144" s="880"/>
      <c r="V144" s="881">
        <f t="shared" si="237"/>
        <v>0</v>
      </c>
      <c r="W144" s="882"/>
      <c r="X144" s="809"/>
      <c r="Y144" s="856"/>
      <c r="Z144" s="857"/>
      <c r="AA144" s="858"/>
      <c r="AB144" s="814"/>
      <c r="AC144" s="856"/>
      <c r="AD144" s="857"/>
      <c r="AE144" s="858"/>
      <c r="AF144" s="814"/>
      <c r="AG144" s="856"/>
      <c r="AH144" s="857"/>
      <c r="AI144" s="858"/>
      <c r="AJ144" s="854"/>
      <c r="AK144" s="861"/>
      <c r="AL144" s="853"/>
      <c r="AM144" s="582"/>
      <c r="AN144" s="883"/>
      <c r="AO144" s="881">
        <f t="shared" si="238"/>
        <v>0</v>
      </c>
      <c r="AP144" s="882"/>
      <c r="AQ144" s="854"/>
      <c r="AR144" s="864"/>
      <c r="AS144" s="884"/>
      <c r="AT144" s="582"/>
      <c r="AU144" s="881"/>
      <c r="AV144" s="881">
        <f t="shared" si="239"/>
        <v>0</v>
      </c>
      <c r="AW144" s="882"/>
      <c r="AX144" s="722"/>
      <c r="AY144" s="723"/>
      <c r="AZ144" s="723"/>
      <c r="BA144" s="555"/>
      <c r="BB144" s="555"/>
      <c r="BC144" s="555"/>
      <c r="BD144" s="555"/>
      <c r="BE144" s="814"/>
      <c r="BF144" s="856"/>
      <c r="BG144" s="857"/>
      <c r="BH144" s="858"/>
      <c r="BI144" s="814"/>
      <c r="BJ144" s="856"/>
      <c r="BK144" s="857"/>
      <c r="BL144" s="858"/>
      <c r="BM144" s="814"/>
      <c r="BN144" s="856"/>
      <c r="BO144" s="857"/>
      <c r="BP144" s="858"/>
      <c r="BQ144" s="863"/>
      <c r="BR144" s="862"/>
      <c r="BS144" s="932"/>
      <c r="BT144" s="582"/>
      <c r="BU144" s="880"/>
      <c r="BV144" s="881"/>
      <c r="BW144" s="882"/>
      <c r="BX144" s="814"/>
      <c r="BY144" s="856"/>
      <c r="BZ144" s="857"/>
      <c r="CA144" s="858"/>
      <c r="CB144" s="814"/>
      <c r="CC144" s="856"/>
      <c r="CD144" s="859"/>
      <c r="CE144" s="858"/>
      <c r="CF144" s="814"/>
      <c r="CG144" s="856"/>
      <c r="CH144" s="859"/>
      <c r="CI144" s="858"/>
      <c r="CJ144" s="854"/>
      <c r="CK144" s="853"/>
      <c r="CL144" s="853"/>
      <c r="CM144" s="582"/>
      <c r="CN144" s="883"/>
      <c r="CO144" s="883"/>
      <c r="CP144" s="882"/>
      <c r="CQ144" s="854"/>
      <c r="CR144" s="884"/>
      <c r="CS144" s="884"/>
      <c r="CT144" s="582"/>
      <c r="CU144" s="881"/>
      <c r="CV144" s="881"/>
      <c r="CW144" s="882"/>
      <c r="CX144" s="722">
        <f t="shared" si="303"/>
        <v>0</v>
      </c>
      <c r="CY144" s="723"/>
      <c r="CZ144" s="555"/>
      <c r="DA144" s="555"/>
      <c r="DB144" s="555"/>
      <c r="DC144" s="555"/>
      <c r="DD144" s="555"/>
    </row>
    <row r="145" spans="1:108">
      <c r="A145" s="1012"/>
      <c r="B145" s="620"/>
      <c r="C145" s="1023" t="s">
        <v>389</v>
      </c>
      <c r="D145" s="1000"/>
      <c r="E145" s="767">
        <v>2431</v>
      </c>
      <c r="F145" s="865">
        <v>217</v>
      </c>
      <c r="G145" s="866"/>
      <c r="H145" s="867">
        <f>G145-F145</f>
        <v>-217</v>
      </c>
      <c r="I145" s="767">
        <v>2431</v>
      </c>
      <c r="J145" s="865"/>
      <c r="K145" s="866"/>
      <c r="L145" s="867">
        <f>K145-J145</f>
        <v>0</v>
      </c>
      <c r="M145" s="767">
        <v>2431</v>
      </c>
      <c r="N145" s="865"/>
      <c r="O145" s="866"/>
      <c r="P145" s="867">
        <f>O145-N145</f>
        <v>0</v>
      </c>
      <c r="Q145" s="869">
        <f>E145+I145+M145</f>
        <v>7293</v>
      </c>
      <c r="R145" s="870">
        <v>7293</v>
      </c>
      <c r="S145" s="937">
        <f>G145+J145+N145</f>
        <v>0</v>
      </c>
      <c r="T145" s="526">
        <f>G145+K145+O145</f>
        <v>0</v>
      </c>
      <c r="U145" s="699">
        <f>T145-Q145</f>
        <v>-7293</v>
      </c>
      <c r="V145" s="717">
        <f t="shared" si="237"/>
        <v>-7293</v>
      </c>
      <c r="W145" s="688">
        <f>T145-S145</f>
        <v>0</v>
      </c>
      <c r="X145" s="767">
        <v>0</v>
      </c>
      <c r="Y145" s="865"/>
      <c r="Z145" s="866"/>
      <c r="AA145" s="867">
        <f>Z145-Y145</f>
        <v>0</v>
      </c>
      <c r="AB145" s="767">
        <v>0</v>
      </c>
      <c r="AC145" s="865"/>
      <c r="AD145" s="866"/>
      <c r="AE145" s="867">
        <f>AD145-AC145</f>
        <v>0</v>
      </c>
      <c r="AF145" s="767">
        <v>0</v>
      </c>
      <c r="AG145" s="865"/>
      <c r="AH145" s="866"/>
      <c r="AI145" s="867">
        <f>AH145-AG145</f>
        <v>0</v>
      </c>
      <c r="AJ145" s="718">
        <f>X145+AB145+AF145</f>
        <v>0</v>
      </c>
      <c r="AK145" s="870">
        <v>0</v>
      </c>
      <c r="AL145" s="719">
        <f>Y145+AC145+AG145</f>
        <v>0</v>
      </c>
      <c r="AM145" s="526">
        <f>Z145+AD145+AH145</f>
        <v>0</v>
      </c>
      <c r="AN145" s="721">
        <f>AM145-AJ145</f>
        <v>0</v>
      </c>
      <c r="AO145" s="717">
        <f t="shared" si="238"/>
        <v>0</v>
      </c>
      <c r="AP145" s="688">
        <f>AM145-AL145</f>
        <v>0</v>
      </c>
      <c r="AQ145" s="718">
        <f>SUM(Q145,AJ145)</f>
        <v>7293</v>
      </c>
      <c r="AR145" s="720">
        <f>AK145+R145</f>
        <v>7293</v>
      </c>
      <c r="AS145" s="605">
        <f>S145+AL145</f>
        <v>0</v>
      </c>
      <c r="AT145" s="526">
        <f>SUM(T145,AM145)</f>
        <v>0</v>
      </c>
      <c r="AU145" s="523">
        <f>AT145-AQ145</f>
        <v>-7293</v>
      </c>
      <c r="AV145" s="717">
        <f t="shared" si="239"/>
        <v>-7293</v>
      </c>
      <c r="AW145" s="688">
        <f>AT145-AS145</f>
        <v>0</v>
      </c>
      <c r="AX145" s="722"/>
      <c r="AY145" s="723"/>
      <c r="AZ145" s="723"/>
      <c r="BA145" s="555"/>
      <c r="BB145" s="555"/>
      <c r="BC145" s="555"/>
      <c r="BD145" s="555"/>
      <c r="BE145" s="767"/>
      <c r="BF145" s="865"/>
      <c r="BG145" s="866"/>
      <c r="BH145" s="867">
        <f>BG145-BF145</f>
        <v>0</v>
      </c>
      <c r="BI145" s="767"/>
      <c r="BJ145" s="865"/>
      <c r="BK145" s="866"/>
      <c r="BL145" s="867">
        <f>BK145-BJ145</f>
        <v>0</v>
      </c>
      <c r="BM145" s="767"/>
      <c r="BN145" s="865"/>
      <c r="BO145" s="866"/>
      <c r="BP145" s="867">
        <f>BO145-BN145</f>
        <v>0</v>
      </c>
      <c r="BQ145" s="869">
        <f>BE145+BI145+BM145</f>
        <v>0</v>
      </c>
      <c r="BR145" s="719"/>
      <c r="BS145" s="720">
        <f>BF145+BJ145+BN145</f>
        <v>0</v>
      </c>
      <c r="BT145" s="526">
        <f>BG145+BK145+BO145</f>
        <v>0</v>
      </c>
      <c r="BU145" s="699">
        <f>BT145-BQ145</f>
        <v>0</v>
      </c>
      <c r="BV145" s="717"/>
      <c r="BW145" s="688">
        <f>BT145-BS145</f>
        <v>0</v>
      </c>
      <c r="BX145" s="767"/>
      <c r="BY145" s="865"/>
      <c r="BZ145" s="866"/>
      <c r="CA145" s="867">
        <f>BZ145-BY145</f>
        <v>0</v>
      </c>
      <c r="CB145" s="767"/>
      <c r="CC145" s="865"/>
      <c r="CD145" s="868"/>
      <c r="CE145" s="867">
        <f>CD145-CC145</f>
        <v>0</v>
      </c>
      <c r="CF145" s="767"/>
      <c r="CG145" s="865"/>
      <c r="CH145" s="868"/>
      <c r="CI145" s="867">
        <f>CH145-CG145</f>
        <v>0</v>
      </c>
      <c r="CJ145" s="718">
        <f>BX145+CB145+CF145</f>
        <v>0</v>
      </c>
      <c r="CK145" s="719"/>
      <c r="CL145" s="719">
        <f>BY145+CC145+CG145</f>
        <v>0</v>
      </c>
      <c r="CM145" s="526">
        <f>BZ145+CD145+CH145</f>
        <v>0</v>
      </c>
      <c r="CN145" s="721">
        <f>CM145-CJ145</f>
        <v>0</v>
      </c>
      <c r="CO145" s="721"/>
      <c r="CP145" s="688">
        <f>CM145-CL145</f>
        <v>0</v>
      </c>
      <c r="CQ145" s="718">
        <f>SUM(BQ145,CJ145)</f>
        <v>0</v>
      </c>
      <c r="CR145" s="937"/>
      <c r="CS145" s="605">
        <f>BS145+CL145</f>
        <v>0</v>
      </c>
      <c r="CT145" s="526">
        <f>SUM(BT145,CM145)</f>
        <v>0</v>
      </c>
      <c r="CU145" s="523">
        <f>CT145-CQ145</f>
        <v>0</v>
      </c>
      <c r="CV145" s="523"/>
      <c r="CW145" s="688">
        <f>CT145-CS145</f>
        <v>0</v>
      </c>
      <c r="CX145" s="722">
        <f t="shared" si="303"/>
        <v>0</v>
      </c>
      <c r="CY145" s="723"/>
      <c r="CZ145" s="555"/>
      <c r="DA145" s="555"/>
      <c r="DB145" s="555"/>
      <c r="DC145" s="555"/>
      <c r="DD145" s="555"/>
    </row>
    <row r="146" spans="1:108">
      <c r="A146" s="648"/>
      <c r="B146" s="649"/>
      <c r="C146" s="1025" t="s">
        <v>369</v>
      </c>
      <c r="D146" s="653"/>
      <c r="E146" s="809">
        <f>E142+E144</f>
        <v>0</v>
      </c>
      <c r="F146" s="856">
        <f>F144+F142</f>
        <v>0</v>
      </c>
      <c r="G146" s="857">
        <f>G144+G142</f>
        <v>0</v>
      </c>
      <c r="H146" s="914">
        <f>G146-F146</f>
        <v>0</v>
      </c>
      <c r="I146" s="809">
        <f>I142+I144</f>
        <v>0</v>
      </c>
      <c r="J146" s="856">
        <f>J144+J142</f>
        <v>0</v>
      </c>
      <c r="K146" s="857">
        <f>K144+K142</f>
        <v>0</v>
      </c>
      <c r="L146" s="914">
        <f>K146-J146</f>
        <v>0</v>
      </c>
      <c r="M146" s="809">
        <f>M142+M144</f>
        <v>0</v>
      </c>
      <c r="N146" s="856">
        <f>N144+N142</f>
        <v>0</v>
      </c>
      <c r="O146" s="857">
        <f>O144+O142</f>
        <v>0</v>
      </c>
      <c r="P146" s="914">
        <f>O146-N146</f>
        <v>0</v>
      </c>
      <c r="Q146" s="814">
        <f>Q142+Q144</f>
        <v>0</v>
      </c>
      <c r="R146" s="815">
        <v>0</v>
      </c>
      <c r="S146" s="933">
        <f>G146+J146+N146</f>
        <v>0</v>
      </c>
      <c r="T146" s="818">
        <f>G146+K146+O146</f>
        <v>0</v>
      </c>
      <c r="U146" s="818">
        <f>T146-Q146</f>
        <v>0</v>
      </c>
      <c r="V146" s="880">
        <f t="shared" si="237"/>
        <v>0</v>
      </c>
      <c r="W146" s="885">
        <f>T146-S146</f>
        <v>0</v>
      </c>
      <c r="X146" s="809">
        <f>X142+X144</f>
        <v>4</v>
      </c>
      <c r="Y146" s="856">
        <f>Y144+Y142</f>
        <v>0</v>
      </c>
      <c r="Z146" s="857">
        <f>Z144+Z142</f>
        <v>0</v>
      </c>
      <c r="AA146" s="914">
        <f>Z146-Y146</f>
        <v>0</v>
      </c>
      <c r="AB146" s="814">
        <f>AB142+AB144</f>
        <v>4</v>
      </c>
      <c r="AC146" s="856">
        <f>AC144+AC142</f>
        <v>0</v>
      </c>
      <c r="AD146" s="857">
        <f>AD144+AD142</f>
        <v>0</v>
      </c>
      <c r="AE146" s="914">
        <f>AD146-AC146</f>
        <v>0</v>
      </c>
      <c r="AF146" s="814">
        <f>AF142+AF144</f>
        <v>4</v>
      </c>
      <c r="AG146" s="856">
        <f>AG144+AG142</f>
        <v>0</v>
      </c>
      <c r="AH146" s="857">
        <f>AH144+AH142</f>
        <v>0</v>
      </c>
      <c r="AI146" s="914">
        <f>AH146-AG146</f>
        <v>0</v>
      </c>
      <c r="AJ146" s="863">
        <f>X146+AB146+AF146</f>
        <v>12</v>
      </c>
      <c r="AK146" s="815">
        <v>12</v>
      </c>
      <c r="AL146" s="883">
        <f>Y146+AC146+AG146</f>
        <v>0</v>
      </c>
      <c r="AM146" s="818">
        <f>Z146+AD146+AH146</f>
        <v>0</v>
      </c>
      <c r="AN146" s="816">
        <f>AM146-AJ146</f>
        <v>-12</v>
      </c>
      <c r="AO146" s="888">
        <f t="shared" si="238"/>
        <v>-12</v>
      </c>
      <c r="AP146" s="885">
        <f>AM146-AL146</f>
        <v>0</v>
      </c>
      <c r="AQ146" s="854">
        <f>SUM(Q146,AJ146)</f>
        <v>12</v>
      </c>
      <c r="AR146" s="818">
        <f>AR144+AR142</f>
        <v>12</v>
      </c>
      <c r="AS146" s="855">
        <f>S146+AL146</f>
        <v>0</v>
      </c>
      <c r="AT146" s="879">
        <f>SUM(T146,AM146)</f>
        <v>0</v>
      </c>
      <c r="AU146" s="881">
        <f>AT146-AQ146</f>
        <v>-12</v>
      </c>
      <c r="AV146" s="880">
        <f t="shared" si="239"/>
        <v>-12</v>
      </c>
      <c r="AW146" s="882">
        <f>AT146-AS146</f>
        <v>0</v>
      </c>
      <c r="AX146" s="820"/>
      <c r="AY146" s="821"/>
      <c r="AZ146" s="821"/>
      <c r="BA146" s="570"/>
      <c r="BB146" s="570"/>
      <c r="BC146" s="570"/>
      <c r="BD146" s="570"/>
      <c r="BE146" s="814">
        <f>BE142+BE144</f>
        <v>0</v>
      </c>
      <c r="BF146" s="856">
        <f>BF144+BF142</f>
        <v>0</v>
      </c>
      <c r="BG146" s="857">
        <f>BG144+BG142</f>
        <v>0</v>
      </c>
      <c r="BH146" s="849">
        <f>BG146-BF146</f>
        <v>0</v>
      </c>
      <c r="BI146" s="814">
        <f>BI142+BI144</f>
        <v>0</v>
      </c>
      <c r="BJ146" s="856">
        <f>BJ144+BJ142</f>
        <v>0</v>
      </c>
      <c r="BK146" s="857">
        <f>BK144+BK142</f>
        <v>0</v>
      </c>
      <c r="BL146" s="914">
        <f>BK146-BJ146</f>
        <v>0</v>
      </c>
      <c r="BM146" s="814">
        <f>BM142+BM144</f>
        <v>0</v>
      </c>
      <c r="BN146" s="856">
        <f>BN144+BN142</f>
        <v>0</v>
      </c>
      <c r="BO146" s="857">
        <f>BO144+BO142</f>
        <v>0</v>
      </c>
      <c r="BP146" s="914">
        <f>BO146-BN146</f>
        <v>0</v>
      </c>
      <c r="BQ146" s="814">
        <f>BQ142+BQ144</f>
        <v>0</v>
      </c>
      <c r="BR146" s="816"/>
      <c r="BS146" s="880">
        <f>BF146+BJ146+BN146</f>
        <v>0</v>
      </c>
      <c r="BT146" s="818">
        <f>BG146+BK146+BO146</f>
        <v>0</v>
      </c>
      <c r="BU146" s="818">
        <f>BT146-BQ146</f>
        <v>0</v>
      </c>
      <c r="BV146" s="888"/>
      <c r="BW146" s="885">
        <f>BT146-BS146</f>
        <v>0</v>
      </c>
      <c r="BX146" s="814">
        <f>BX142+BX144</f>
        <v>0</v>
      </c>
      <c r="BY146" s="856">
        <f>BY144+BY142</f>
        <v>0</v>
      </c>
      <c r="BZ146" s="857">
        <f>BZ144+BZ142</f>
        <v>0</v>
      </c>
      <c r="CA146" s="914">
        <f>BZ146-BY146</f>
        <v>0</v>
      </c>
      <c r="CB146" s="814">
        <f>CB142+CB144</f>
        <v>0</v>
      </c>
      <c r="CC146" s="856">
        <f>CC144+CC142</f>
        <v>0</v>
      </c>
      <c r="CD146" s="859">
        <f>CD144+CD142</f>
        <v>0</v>
      </c>
      <c r="CE146" s="914">
        <f>CD146-CC146</f>
        <v>0</v>
      </c>
      <c r="CF146" s="814">
        <f>CF142+CF144</f>
        <v>0</v>
      </c>
      <c r="CG146" s="856">
        <f>CG144+CG142</f>
        <v>0</v>
      </c>
      <c r="CH146" s="859">
        <f>CH144+CH142</f>
        <v>0</v>
      </c>
      <c r="CI146" s="914">
        <f>CH146-CG146</f>
        <v>0</v>
      </c>
      <c r="CJ146" s="863">
        <f>BX146+CB146+CF146</f>
        <v>0</v>
      </c>
      <c r="CK146" s="862"/>
      <c r="CL146" s="883">
        <f>BY146+CC146+CG146</f>
        <v>0</v>
      </c>
      <c r="CM146" s="818">
        <f>BZ146+CD146+CH146</f>
        <v>0</v>
      </c>
      <c r="CN146" s="816">
        <f>CM146-CJ146</f>
        <v>0</v>
      </c>
      <c r="CO146" s="816"/>
      <c r="CP146" s="885">
        <f>CM146-CL146</f>
        <v>0</v>
      </c>
      <c r="CQ146" s="854">
        <f>SUM(BQ146,CJ146)</f>
        <v>0</v>
      </c>
      <c r="CR146" s="855"/>
      <c r="CS146" s="855">
        <f>BS146+CL146</f>
        <v>0</v>
      </c>
      <c r="CT146" s="879">
        <f>SUM(BT146,CM146)</f>
        <v>0</v>
      </c>
      <c r="CU146" s="881">
        <f>CT146-CQ146</f>
        <v>0</v>
      </c>
      <c r="CV146" s="881"/>
      <c r="CW146" s="882">
        <f>CT146-CS146</f>
        <v>0</v>
      </c>
      <c r="CX146" s="722">
        <f t="shared" si="303"/>
        <v>0</v>
      </c>
      <c r="CY146" s="821"/>
      <c r="CZ146" s="587"/>
      <c r="DA146" s="587"/>
      <c r="DB146" s="587"/>
      <c r="DC146" s="570"/>
      <c r="DD146" s="570"/>
    </row>
    <row r="147" spans="1:108">
      <c r="A147" s="659" t="s">
        <v>161</v>
      </c>
      <c r="B147" s="664"/>
      <c r="C147" s="664"/>
      <c r="D147" s="665"/>
      <c r="E147" s="814"/>
      <c r="F147" s="837"/>
      <c r="G147" s="838"/>
      <c r="H147" s="839">
        <f>G148/F148</f>
        <v>7.7407373271889401</v>
      </c>
      <c r="I147" s="814"/>
      <c r="J147" s="837"/>
      <c r="K147" s="838"/>
      <c r="L147" s="1097" t="e">
        <f>K148/J148</f>
        <v>#DIV/0!</v>
      </c>
      <c r="M147" s="814"/>
      <c r="N147" s="837"/>
      <c r="O147" s="838"/>
      <c r="P147" s="1097">
        <f>O148/N148</f>
        <v>1</v>
      </c>
      <c r="Q147" s="695"/>
      <c r="R147" s="901"/>
      <c r="S147" s="938"/>
      <c r="T147" s="730"/>
      <c r="U147" s="1094">
        <f>T148/Q148</f>
        <v>0.48543285289407451</v>
      </c>
      <c r="V147" s="1076">
        <f>T148/R148</f>
        <v>0.48543285289407451</v>
      </c>
      <c r="W147" s="1068">
        <f>T148/S148</f>
        <v>1.7965294182393929</v>
      </c>
      <c r="X147" s="814"/>
      <c r="Y147" s="837"/>
      <c r="Z147" s="838"/>
      <c r="AA147" s="1097">
        <f>Z148/Y148</f>
        <v>1.2402423871695372</v>
      </c>
      <c r="AB147" s="695"/>
      <c r="AC147" s="837"/>
      <c r="AD147" s="838"/>
      <c r="AE147" s="1099">
        <f>AD148/AC148</f>
        <v>0.98244525223867363</v>
      </c>
      <c r="AF147" s="695"/>
      <c r="AG147" s="837"/>
      <c r="AH147" s="838"/>
      <c r="AI147" s="1099">
        <f>AH148/AG148</f>
        <v>0</v>
      </c>
      <c r="AJ147" s="771"/>
      <c r="AK147" s="901"/>
      <c r="AL147" s="843"/>
      <c r="AM147" s="730"/>
      <c r="AN147" s="1096">
        <f>AM148/AJ148</f>
        <v>2.3003595333715814</v>
      </c>
      <c r="AO147" s="1100">
        <f>AM148/AK148</f>
        <v>2.3003595333715814</v>
      </c>
      <c r="AP147" s="1087">
        <f>AM148/AL148</f>
        <v>0.74997693065479532</v>
      </c>
      <c r="AQ147" s="563"/>
      <c r="AR147" s="760"/>
      <c r="AS147" s="606"/>
      <c r="AT147" s="532"/>
      <c r="AU147" s="1096">
        <f>AT148/AQ148</f>
        <v>1.1647150526089758</v>
      </c>
      <c r="AV147" s="1076">
        <f>AT148/AR148</f>
        <v>1.1647150526089758</v>
      </c>
      <c r="AW147" s="1087">
        <f>AT148/AS148</f>
        <v>0.88432497823457112</v>
      </c>
      <c r="AX147" s="722"/>
      <c r="AY147" s="723"/>
      <c r="AZ147" s="697"/>
      <c r="BE147" s="695"/>
      <c r="BF147" s="837"/>
      <c r="BG147" s="838"/>
      <c r="BH147" s="1097">
        <f>BG148/BF148</f>
        <v>0</v>
      </c>
      <c r="BI147" s="695"/>
      <c r="BJ147" s="837"/>
      <c r="BK147" s="838"/>
      <c r="BL147" s="1097">
        <f>BK148/BJ148</f>
        <v>2.4848484848484849</v>
      </c>
      <c r="BM147" s="695"/>
      <c r="BN147" s="837"/>
      <c r="BO147" s="838"/>
      <c r="BP147" s="1099" t="e">
        <f>BO148/BN148</f>
        <v>#DIV/0!</v>
      </c>
      <c r="BQ147" s="695"/>
      <c r="BR147" s="696"/>
      <c r="BS147" s="772"/>
      <c r="BT147" s="730"/>
      <c r="BU147" s="1094">
        <f>BT148/BQ148</f>
        <v>1.2941238360776474E-2</v>
      </c>
      <c r="BV147" s="1100"/>
      <c r="BW147" s="1068">
        <f>BT148/BS148</f>
        <v>4.6707678286625656E-2</v>
      </c>
      <c r="BX147" s="695"/>
      <c r="BY147" s="837"/>
      <c r="BZ147" s="838"/>
      <c r="CA147" s="1099">
        <f>BZ148/BY148</f>
        <v>0.42502569104558208</v>
      </c>
      <c r="CB147" s="695"/>
      <c r="CC147" s="837"/>
      <c r="CD147" s="840"/>
      <c r="CE147" s="1099" t="e">
        <f>CD148/CC148</f>
        <v>#DIV/0!</v>
      </c>
      <c r="CF147" s="695"/>
      <c r="CG147" s="837"/>
      <c r="CH147" s="840"/>
      <c r="CI147" s="1099">
        <f>CH148/CG148</f>
        <v>1.0587768069896744</v>
      </c>
      <c r="CJ147" s="771"/>
      <c r="CK147" s="843"/>
      <c r="CL147" s="843"/>
      <c r="CM147" s="730"/>
      <c r="CN147" s="1096">
        <f>CM148/CJ148</f>
        <v>3.4538267786124615</v>
      </c>
      <c r="CO147" s="1096"/>
      <c r="CP147" s="1087">
        <f>CM148/CL148</f>
        <v>1.5787042441963102</v>
      </c>
      <c r="CQ147" s="563"/>
      <c r="CR147" s="606"/>
      <c r="CS147" s="606"/>
      <c r="CT147" s="532"/>
      <c r="CU147" s="1096">
        <f>CT148/CQ148</f>
        <v>0.67465561929041851</v>
      </c>
      <c r="CV147" s="1096"/>
      <c r="CW147" s="1087">
        <f>CT148/CS148</f>
        <v>1.0467687072587564</v>
      </c>
      <c r="CX147" s="722"/>
      <c r="CY147" s="723"/>
      <c r="CZ147" s="556"/>
      <c r="DA147" s="556"/>
      <c r="DB147" s="556"/>
      <c r="DC147" s="493"/>
      <c r="DD147" s="493"/>
    </row>
    <row r="148" spans="1:108">
      <c r="A148" s="1011" t="s">
        <v>390</v>
      </c>
      <c r="B148" s="997"/>
      <c r="C148" s="997"/>
      <c r="D148" s="995"/>
      <c r="E148" s="822">
        <f>E143+E145</f>
        <v>2914</v>
      </c>
      <c r="F148" s="887">
        <f>F143+F145</f>
        <v>217</v>
      </c>
      <c r="G148" s="824">
        <v>1679.74</v>
      </c>
      <c r="H148" s="825">
        <f>G148-F148</f>
        <v>1462.74</v>
      </c>
      <c r="I148" s="822">
        <f>I143+I145</f>
        <v>2914</v>
      </c>
      <c r="J148" s="887">
        <f>J143+J145</f>
        <v>0</v>
      </c>
      <c r="K148" s="824">
        <v>1881.5139999999999</v>
      </c>
      <c r="L148" s="825">
        <f>K148-J148</f>
        <v>1881.5139999999999</v>
      </c>
      <c r="M148" s="822">
        <f>M143+M145</f>
        <v>2914</v>
      </c>
      <c r="N148" s="887">
        <v>682.4</v>
      </c>
      <c r="O148" s="824">
        <v>682.4</v>
      </c>
      <c r="P148" s="825">
        <f>O148-N148</f>
        <v>0</v>
      </c>
      <c r="Q148" s="822">
        <f>Q143+Q145</f>
        <v>8742</v>
      </c>
      <c r="R148" s="939">
        <v>8742</v>
      </c>
      <c r="S148" s="940">
        <f>G148+J148+N148</f>
        <v>2362.14</v>
      </c>
      <c r="T148" s="712">
        <f>G148+K148+O148</f>
        <v>4243.6539999999995</v>
      </c>
      <c r="U148" s="712">
        <f>T148-Q148</f>
        <v>-4498.3460000000005</v>
      </c>
      <c r="V148" s="711">
        <f t="shared" si="237"/>
        <v>-4498.3460000000005</v>
      </c>
      <c r="W148" s="716">
        <f>T148-S148</f>
        <v>1881.5139999999997</v>
      </c>
      <c r="X148" s="822">
        <f>X143+X145</f>
        <v>1743</v>
      </c>
      <c r="Y148" s="887">
        <v>5231.3</v>
      </c>
      <c r="Z148" s="824">
        <v>6488.08</v>
      </c>
      <c r="AA148" s="825">
        <f>Z148-Y148</f>
        <v>1256.7799999999997</v>
      </c>
      <c r="AB148" s="822">
        <f>AB143+AB145</f>
        <v>1743</v>
      </c>
      <c r="AC148" s="887">
        <v>5639.5</v>
      </c>
      <c r="AD148" s="824">
        <v>5540.5</v>
      </c>
      <c r="AE148" s="825">
        <f>AD148-AC148</f>
        <v>-99</v>
      </c>
      <c r="AF148" s="822">
        <f>AF143+AF145</f>
        <v>1743</v>
      </c>
      <c r="AG148" s="887">
        <v>5167.8</v>
      </c>
      <c r="AH148" s="824">
        <v>0</v>
      </c>
      <c r="AI148" s="825">
        <f>AH148-AG148</f>
        <v>-5167.8</v>
      </c>
      <c r="AJ148" s="713">
        <f>X148+AB148+AF148</f>
        <v>5229</v>
      </c>
      <c r="AK148" s="939">
        <v>5229</v>
      </c>
      <c r="AL148" s="711">
        <f>Y148+AC148+AG148</f>
        <v>16038.599999999999</v>
      </c>
      <c r="AM148" s="712">
        <f>Z148+AD148+AH148</f>
        <v>12028.58</v>
      </c>
      <c r="AN148" s="739">
        <f>AM148-AJ148</f>
        <v>6799.58</v>
      </c>
      <c r="AO148" s="711">
        <f t="shared" si="238"/>
        <v>6799.58</v>
      </c>
      <c r="AP148" s="688">
        <f>AM148-AL148</f>
        <v>-4010.0199999999986</v>
      </c>
      <c r="AQ148" s="718">
        <f>SUM(Q148,AJ148)</f>
        <v>13971</v>
      </c>
      <c r="AR148" s="712">
        <f>AR143+AR145</f>
        <v>13971</v>
      </c>
      <c r="AS148" s="613">
        <f>S148+AL148</f>
        <v>18400.739999999998</v>
      </c>
      <c r="AT148" s="715">
        <f>SUM(T148,AM148)</f>
        <v>16272.234</v>
      </c>
      <c r="AU148" s="739">
        <f>AT148-AQ148</f>
        <v>2301.2340000000004</v>
      </c>
      <c r="AV148" s="711">
        <f t="shared" si="239"/>
        <v>2301.2340000000004</v>
      </c>
      <c r="AW148" s="688">
        <f>AT148-AS148</f>
        <v>-2128.5059999999976</v>
      </c>
      <c r="AX148" s="722">
        <f>AQ148/6</f>
        <v>2328.5</v>
      </c>
      <c r="AY148" s="709">
        <f>AR148/6</f>
        <v>2328.5</v>
      </c>
      <c r="AZ148" s="723">
        <f>AT148/6</f>
        <v>2712.0390000000002</v>
      </c>
      <c r="BA148" s="829">
        <f>AZ148/AX148</f>
        <v>1.1647150526089758</v>
      </c>
      <c r="BB148" s="493">
        <f>AZ148-AX148</f>
        <v>383.53900000000021</v>
      </c>
      <c r="BC148" s="516">
        <f>AZ148-AY148</f>
        <v>383.53900000000021</v>
      </c>
      <c r="BD148" s="493">
        <f>AW148/6</f>
        <v>-354.75099999999958</v>
      </c>
      <c r="BE148" s="822">
        <v>0</v>
      </c>
      <c r="BF148" s="887">
        <v>5167.8</v>
      </c>
      <c r="BG148" s="824">
        <v>0</v>
      </c>
      <c r="BH148" s="825">
        <f>BG148-BF148</f>
        <v>-5167.8</v>
      </c>
      <c r="BI148" s="822">
        <f>BI143+BI145</f>
        <v>0</v>
      </c>
      <c r="BJ148" s="887">
        <v>99</v>
      </c>
      <c r="BK148" s="824">
        <v>246</v>
      </c>
      <c r="BL148" s="825">
        <f>BK148-BJ148</f>
        <v>147</v>
      </c>
      <c r="BM148" s="822">
        <v>19009</v>
      </c>
      <c r="BN148" s="887">
        <v>0</v>
      </c>
      <c r="BO148" s="824">
        <v>0</v>
      </c>
      <c r="BP148" s="825">
        <f>BO148-BN148</f>
        <v>0</v>
      </c>
      <c r="BQ148" s="822">
        <f>BE148+BI148+BM148</f>
        <v>19009</v>
      </c>
      <c r="BR148" s="739"/>
      <c r="BS148" s="712">
        <f>BF148+BJ148+BN148</f>
        <v>5266.8</v>
      </c>
      <c r="BT148" s="712">
        <f>BG148+BK148+BO148</f>
        <v>246</v>
      </c>
      <c r="BU148" s="712">
        <f>BT148-BQ148</f>
        <v>-18763</v>
      </c>
      <c r="BV148" s="711"/>
      <c r="BW148" s="716">
        <f>BT148-BS148</f>
        <v>-5020.8</v>
      </c>
      <c r="BX148" s="822">
        <f>BX143+BX145</f>
        <v>0</v>
      </c>
      <c r="BY148" s="887">
        <v>459.30399999999997</v>
      </c>
      <c r="BZ148" s="824">
        <v>195.21600000000001</v>
      </c>
      <c r="CA148" s="825">
        <f>BZ148-BY148</f>
        <v>-264.08799999999997</v>
      </c>
      <c r="CB148" s="822">
        <v>4526</v>
      </c>
      <c r="CC148" s="887">
        <v>0</v>
      </c>
      <c r="CD148" s="826">
        <v>5439.3040000000001</v>
      </c>
      <c r="CE148" s="825">
        <f>CD148-CC148</f>
        <v>5439.3040000000001</v>
      </c>
      <c r="CF148" s="822">
        <f>CF143+CF145</f>
        <v>0</v>
      </c>
      <c r="CG148" s="887">
        <v>9442.5</v>
      </c>
      <c r="CH148" s="826">
        <v>9997.5</v>
      </c>
      <c r="CI148" s="825">
        <f>CH148-CG148</f>
        <v>555</v>
      </c>
      <c r="CJ148" s="713">
        <f>BX148+CB148+CF148</f>
        <v>4526</v>
      </c>
      <c r="CK148" s="714"/>
      <c r="CL148" s="711">
        <f>BY148+CC148+CG148</f>
        <v>9901.8040000000001</v>
      </c>
      <c r="CM148" s="712">
        <f>BZ148+CD148+CH148</f>
        <v>15632.02</v>
      </c>
      <c r="CN148" s="739">
        <f>CM148-CJ148</f>
        <v>11106.02</v>
      </c>
      <c r="CO148" s="739"/>
      <c r="CP148" s="688">
        <f>CM148-CL148</f>
        <v>5730.2160000000003</v>
      </c>
      <c r="CQ148" s="718">
        <f>SUM(BQ148,CJ148)</f>
        <v>23535</v>
      </c>
      <c r="CR148" s="937"/>
      <c r="CS148" s="613">
        <f>BS148+CL148</f>
        <v>15168.603999999999</v>
      </c>
      <c r="CT148" s="715">
        <f>SUM(BT148,CM148)</f>
        <v>15878.02</v>
      </c>
      <c r="CU148" s="739">
        <f>CT148-CQ148</f>
        <v>-7656.98</v>
      </c>
      <c r="CV148" s="739"/>
      <c r="CW148" s="688">
        <f>CT148-CS148</f>
        <v>709.41600000000108</v>
      </c>
      <c r="CX148" s="722">
        <f>CQ148/6</f>
        <v>3922.5</v>
      </c>
      <c r="CY148" s="723">
        <f>CT148/6</f>
        <v>2646.3366666666666</v>
      </c>
      <c r="CZ148" s="829">
        <f>CY148/CX148</f>
        <v>0.67465561929041851</v>
      </c>
      <c r="DA148" s="556">
        <f>CY148-CX148</f>
        <v>-1276.1633333333334</v>
      </c>
      <c r="DB148" s="556">
        <f>CW148/6</f>
        <v>118.23600000000017</v>
      </c>
      <c r="DC148" s="516"/>
      <c r="DD148" s="493"/>
    </row>
    <row r="149" spans="1:108">
      <c r="A149" s="669" t="s">
        <v>161</v>
      </c>
      <c r="B149" s="664"/>
      <c r="C149" s="664"/>
      <c r="D149" s="665"/>
      <c r="E149" s="769"/>
      <c r="F149" s="895"/>
      <c r="G149" s="896"/>
      <c r="H149" s="839">
        <f>G150/F150</f>
        <v>1.1965546930134086</v>
      </c>
      <c r="I149" s="769"/>
      <c r="J149" s="895"/>
      <c r="K149" s="896"/>
      <c r="L149" s="1097">
        <f>K150/J150</f>
        <v>1.4089673913043479</v>
      </c>
      <c r="M149" s="769"/>
      <c r="N149" s="895"/>
      <c r="O149" s="896"/>
      <c r="P149" s="1097">
        <f>O150/N150</f>
        <v>1.2765830258302584</v>
      </c>
      <c r="Q149" s="769"/>
      <c r="R149" s="898"/>
      <c r="S149" s="899"/>
      <c r="T149" s="596"/>
      <c r="U149" s="1094">
        <f>T150/Q150</f>
        <v>1.2444643584521387</v>
      </c>
      <c r="V149" s="1070">
        <f>T150/R150</f>
        <v>1.2444643584521387</v>
      </c>
      <c r="W149" s="1068">
        <f>T150/S150</f>
        <v>1.2159792398836224</v>
      </c>
      <c r="X149" s="769"/>
      <c r="Y149" s="895"/>
      <c r="Z149" s="896"/>
      <c r="AA149" s="1097">
        <f>Z150/Y150</f>
        <v>1.2580482912332838</v>
      </c>
      <c r="AB149" s="769"/>
      <c r="AC149" s="895"/>
      <c r="AD149" s="896"/>
      <c r="AE149" s="1101">
        <f>AD150/AC150</f>
        <v>1.2380820013898539</v>
      </c>
      <c r="AF149" s="769"/>
      <c r="AG149" s="895"/>
      <c r="AH149" s="896"/>
      <c r="AI149" s="1101">
        <f>AH150/AG150</f>
        <v>1.7243454106280194</v>
      </c>
      <c r="AJ149" s="684"/>
      <c r="AK149" s="898"/>
      <c r="AL149" s="686"/>
      <c r="AM149" s="596"/>
      <c r="AN149" s="1096">
        <f>AM150/AJ150</f>
        <v>1.3060550856199713</v>
      </c>
      <c r="AO149" s="1100">
        <f>AM150/AK150</f>
        <v>1.3060550856199713</v>
      </c>
      <c r="AP149" s="1083">
        <f>AM150/AL150</f>
        <v>1.4254557532087369</v>
      </c>
      <c r="AQ149" s="505"/>
      <c r="AR149" s="741"/>
      <c r="AS149" s="651"/>
      <c r="AT149" s="532"/>
      <c r="AU149" s="1096">
        <f>AT150/AQ150</f>
        <v>1.276682171379236</v>
      </c>
      <c r="AV149" s="1070">
        <f>AT150/AR150</f>
        <v>1.276682171379236</v>
      </c>
      <c r="AW149" s="1083">
        <f>AT150/AS150</f>
        <v>1.319764962819286</v>
      </c>
      <c r="AX149" s="722"/>
      <c r="AY149" s="723"/>
      <c r="AZ149" s="723"/>
      <c r="BA149" s="556"/>
      <c r="BB149" s="556"/>
      <c r="BC149" s="556"/>
      <c r="BD149" s="556"/>
      <c r="BE149" s="769"/>
      <c r="BF149" s="895"/>
      <c r="BG149" s="896"/>
      <c r="BH149" s="1097">
        <f>BG150/BF150</f>
        <v>1.187231870669746</v>
      </c>
      <c r="BI149" s="769"/>
      <c r="BJ149" s="895"/>
      <c r="BK149" s="896"/>
      <c r="BL149" s="1097">
        <f>BK150/BJ150</f>
        <v>1.3222608440797186</v>
      </c>
      <c r="BM149" s="769"/>
      <c r="BN149" s="895"/>
      <c r="BO149" s="896"/>
      <c r="BP149" s="1101">
        <f>BO150/BN150</f>
        <v>1.0426012605042017</v>
      </c>
      <c r="BQ149" s="684"/>
      <c r="BR149" s="899"/>
      <c r="BS149" s="686"/>
      <c r="BT149" s="596"/>
      <c r="BU149" s="1094">
        <f>BT150/BQ150</f>
        <v>1.3356836044598792</v>
      </c>
      <c r="BV149" s="1100"/>
      <c r="BW149" s="1068">
        <f>BT150/BS150</f>
        <v>1.1690169572868341</v>
      </c>
      <c r="BX149" s="769"/>
      <c r="BY149" s="895"/>
      <c r="BZ149" s="896"/>
      <c r="CA149" s="1101">
        <f>BZ150/BY150</f>
        <v>1.0926597069597068</v>
      </c>
      <c r="CB149" s="769"/>
      <c r="CC149" s="895"/>
      <c r="CD149" s="897"/>
      <c r="CE149" s="1101">
        <f>CD150/CC150</f>
        <v>1.1813031161473089</v>
      </c>
      <c r="CF149" s="769"/>
      <c r="CG149" s="895"/>
      <c r="CH149" s="897"/>
      <c r="CI149" s="1101">
        <f>CH150/CG150</f>
        <v>1</v>
      </c>
      <c r="CJ149" s="684"/>
      <c r="CK149" s="899"/>
      <c r="CL149" s="686"/>
      <c r="CM149" s="596"/>
      <c r="CN149" s="1096">
        <f>CM150/CJ150</f>
        <v>1.1714927948763565</v>
      </c>
      <c r="CO149" s="1096"/>
      <c r="CP149" s="1083">
        <f>CM150/CL150</f>
        <v>1.1070882649630127</v>
      </c>
      <c r="CQ149" s="505"/>
      <c r="CR149" s="651"/>
      <c r="CS149" s="651"/>
      <c r="CT149" s="532"/>
      <c r="CU149" s="1096">
        <f>CT150/CQ150</f>
        <v>1.2524780021637214</v>
      </c>
      <c r="CV149" s="1096"/>
      <c r="CW149" s="1083">
        <f>CT150/CS150</f>
        <v>1.1388217066972701</v>
      </c>
      <c r="CX149" s="722"/>
      <c r="CY149" s="723"/>
      <c r="CZ149" s="556"/>
      <c r="DA149" s="556"/>
      <c r="DB149" s="556"/>
      <c r="DC149" s="556"/>
      <c r="DD149" s="556"/>
    </row>
    <row r="150" spans="1:108">
      <c r="A150" s="647" t="s">
        <v>371</v>
      </c>
      <c r="B150" s="661"/>
      <c r="C150" s="997"/>
      <c r="D150" s="995"/>
      <c r="E150" s="822">
        <v>1417</v>
      </c>
      <c r="F150" s="887">
        <v>1417</v>
      </c>
      <c r="G150" s="824">
        <v>1695.518</v>
      </c>
      <c r="H150" s="825">
        <f>G150-F150</f>
        <v>278.51800000000003</v>
      </c>
      <c r="I150" s="822">
        <v>1417</v>
      </c>
      <c r="J150" s="887">
        <v>1472</v>
      </c>
      <c r="K150" s="824">
        <v>2074</v>
      </c>
      <c r="L150" s="825">
        <f>K150-J150</f>
        <v>602</v>
      </c>
      <c r="M150" s="822">
        <v>1585</v>
      </c>
      <c r="N150" s="887">
        <v>1355</v>
      </c>
      <c r="O150" s="824">
        <v>1729.77</v>
      </c>
      <c r="P150" s="825">
        <f>O150-N150</f>
        <v>374.77</v>
      </c>
      <c r="Q150" s="827">
        <f>E150+I150+M150</f>
        <v>4419</v>
      </c>
      <c r="R150" s="828">
        <v>4419</v>
      </c>
      <c r="S150" s="739">
        <f>G150+J150+N150</f>
        <v>4522.518</v>
      </c>
      <c r="T150" s="520">
        <f>G150+K150+O150</f>
        <v>5499.2880000000005</v>
      </c>
      <c r="U150" s="712">
        <f>T150-Q150</f>
        <v>1080.2880000000005</v>
      </c>
      <c r="V150" s="711">
        <f t="shared" si="237"/>
        <v>1080.2880000000005</v>
      </c>
      <c r="W150" s="716">
        <f>T150-S150</f>
        <v>976.77000000000044</v>
      </c>
      <c r="X150" s="822">
        <v>1651</v>
      </c>
      <c r="Y150" s="887">
        <v>1346</v>
      </c>
      <c r="Z150" s="824">
        <v>1693.3330000000001</v>
      </c>
      <c r="AA150" s="825">
        <f>Z150-Y150</f>
        <v>347.33300000000008</v>
      </c>
      <c r="AB150" s="822">
        <v>1639</v>
      </c>
      <c r="AC150" s="887">
        <v>1439</v>
      </c>
      <c r="AD150" s="824">
        <v>1781.6</v>
      </c>
      <c r="AE150" s="825">
        <f>AD150-AC150</f>
        <v>342.59999999999991</v>
      </c>
      <c r="AF150" s="822">
        <v>1557</v>
      </c>
      <c r="AG150" s="887">
        <v>1656</v>
      </c>
      <c r="AH150" s="824">
        <v>2855.5160000000001</v>
      </c>
      <c r="AI150" s="825">
        <f>AH150-AG150</f>
        <v>1199.5160000000001</v>
      </c>
      <c r="AJ150" s="713">
        <f>X150+AB150+AF150</f>
        <v>4847</v>
      </c>
      <c r="AK150" s="828">
        <v>4847</v>
      </c>
      <c r="AL150" s="739">
        <f>Y150+AC150+AG150</f>
        <v>4441</v>
      </c>
      <c r="AM150" s="520">
        <f>Z150+AD150+AH150</f>
        <v>6330.4490000000005</v>
      </c>
      <c r="AN150" s="739">
        <f>AM150-AJ150</f>
        <v>1483.4490000000005</v>
      </c>
      <c r="AO150" s="711">
        <f t="shared" si="238"/>
        <v>1483.4490000000005</v>
      </c>
      <c r="AP150" s="688">
        <f>AM150-AL150</f>
        <v>1889.4490000000005</v>
      </c>
      <c r="AQ150" s="718">
        <f>SUM(Q150,AJ150)</f>
        <v>9266</v>
      </c>
      <c r="AR150" s="720">
        <f>AK150+R150</f>
        <v>9266</v>
      </c>
      <c r="AS150" s="613">
        <f>S150+AL150</f>
        <v>8963.518</v>
      </c>
      <c r="AT150" s="520">
        <f>SUM(T150,AM150)</f>
        <v>11829.737000000001</v>
      </c>
      <c r="AU150" s="739">
        <f>AT150-AQ150</f>
        <v>2563.737000000001</v>
      </c>
      <c r="AV150" s="711">
        <f t="shared" si="239"/>
        <v>2563.737000000001</v>
      </c>
      <c r="AW150" s="688">
        <f>AT150-AS150</f>
        <v>2866.219000000001</v>
      </c>
      <c r="AX150" s="722">
        <f>AQ150/6</f>
        <v>1544.3333333333333</v>
      </c>
      <c r="AY150" s="709">
        <f>AR150/6</f>
        <v>1544.3333333333333</v>
      </c>
      <c r="AZ150" s="723">
        <f>AT150/6</f>
        <v>1971.6228333333336</v>
      </c>
      <c r="BA150" s="1246">
        <f>AZ150/AX150</f>
        <v>1.2766821713792362</v>
      </c>
      <c r="BB150" s="493">
        <f>AZ150-AX150</f>
        <v>427.28950000000032</v>
      </c>
      <c r="BC150" s="516">
        <f>AZ150-AY150</f>
        <v>427.28950000000032</v>
      </c>
      <c r="BD150" s="493">
        <f>AW150/6</f>
        <v>477.70316666666685</v>
      </c>
      <c r="BE150" s="822">
        <v>1916</v>
      </c>
      <c r="BF150" s="887">
        <v>2165</v>
      </c>
      <c r="BG150" s="824">
        <v>2570.357</v>
      </c>
      <c r="BH150" s="825">
        <f>BG150-BF150</f>
        <v>405.35699999999997</v>
      </c>
      <c r="BI150" s="822">
        <v>1706</v>
      </c>
      <c r="BJ150" s="887">
        <v>1706</v>
      </c>
      <c r="BK150" s="824">
        <v>2255.777</v>
      </c>
      <c r="BL150" s="825">
        <f>BK150-BJ150</f>
        <v>549.77700000000004</v>
      </c>
      <c r="BM150" s="822">
        <v>1849</v>
      </c>
      <c r="BN150" s="887">
        <v>2380</v>
      </c>
      <c r="BO150" s="824">
        <v>2481.3910000000001</v>
      </c>
      <c r="BP150" s="825">
        <f>BO150-BN150</f>
        <v>101.39100000000008</v>
      </c>
      <c r="BQ150" s="713">
        <f>BE150+BI150+BM150</f>
        <v>5471</v>
      </c>
      <c r="BR150" s="714"/>
      <c r="BS150" s="739">
        <f>BF150+BJ150+BN150</f>
        <v>6251</v>
      </c>
      <c r="BT150" s="520">
        <f>BG150+BK150+BO150</f>
        <v>7307.5249999999996</v>
      </c>
      <c r="BU150" s="712">
        <f>BT150-BQ150</f>
        <v>1836.5249999999996</v>
      </c>
      <c r="BV150" s="711"/>
      <c r="BW150" s="716">
        <f>BT150-BS150</f>
        <v>1056.5249999999996</v>
      </c>
      <c r="BX150" s="822">
        <v>1938</v>
      </c>
      <c r="BY150" s="887">
        <v>2730</v>
      </c>
      <c r="BZ150" s="824">
        <v>2982.9609999999998</v>
      </c>
      <c r="CA150" s="825">
        <f>BZ150-BY150</f>
        <v>252.96099999999979</v>
      </c>
      <c r="CB150" s="822">
        <v>2118</v>
      </c>
      <c r="CC150" s="887">
        <v>2118</v>
      </c>
      <c r="CD150" s="826">
        <v>2502</v>
      </c>
      <c r="CE150" s="825">
        <f>CD150-CC150</f>
        <v>384</v>
      </c>
      <c r="CF150" s="822">
        <v>1565</v>
      </c>
      <c r="CG150" s="887">
        <v>1100</v>
      </c>
      <c r="CH150" s="826">
        <v>1100</v>
      </c>
      <c r="CI150" s="825">
        <f>CH150-CG150</f>
        <v>0</v>
      </c>
      <c r="CJ150" s="713">
        <f>BX150+CB150+CF150</f>
        <v>5621</v>
      </c>
      <c r="CK150" s="714"/>
      <c r="CL150" s="739">
        <f>BY150+CC150+CG150</f>
        <v>5948</v>
      </c>
      <c r="CM150" s="520">
        <f>BZ150+CD150+CH150</f>
        <v>6584.9609999999993</v>
      </c>
      <c r="CN150" s="739">
        <f>CM150-CJ150</f>
        <v>963.96099999999933</v>
      </c>
      <c r="CO150" s="739"/>
      <c r="CP150" s="688">
        <f>CM150-CL150</f>
        <v>636.96099999999933</v>
      </c>
      <c r="CQ150" s="718">
        <f>SUM(BQ150,CJ150)</f>
        <v>11092</v>
      </c>
      <c r="CR150" s="937"/>
      <c r="CS150" s="613">
        <f>BS150+CL150</f>
        <v>12199</v>
      </c>
      <c r="CT150" s="520">
        <f>SUM(BT150,CM150)</f>
        <v>13892.485999999999</v>
      </c>
      <c r="CU150" s="739">
        <f>CT150-CQ150</f>
        <v>2800.485999999999</v>
      </c>
      <c r="CV150" s="739"/>
      <c r="CW150" s="688">
        <f>CT150-CS150</f>
        <v>1693.485999999999</v>
      </c>
      <c r="CX150" s="722">
        <f>CQ150/6</f>
        <v>1848.6666666666667</v>
      </c>
      <c r="CY150" s="723">
        <f>CT150/6</f>
        <v>2315.4143333333332</v>
      </c>
      <c r="CZ150" s="1389">
        <f>CY150/CX150</f>
        <v>1.2524780021637214</v>
      </c>
      <c r="DA150" s="556">
        <f>CY150-CX150</f>
        <v>466.74766666666642</v>
      </c>
      <c r="DB150" s="556">
        <f>CW150/6</f>
        <v>282.24766666666648</v>
      </c>
      <c r="DC150" s="516"/>
      <c r="DD150" s="493"/>
    </row>
    <row r="151" spans="1:108" customFormat="1" ht="14.25">
      <c r="A151" s="648" t="s">
        <v>372</v>
      </c>
      <c r="B151" s="649"/>
      <c r="C151" s="649"/>
      <c r="D151" s="667"/>
      <c r="E151" s="814"/>
      <c r="F151" s="856"/>
      <c r="G151" s="857">
        <v>1</v>
      </c>
      <c r="H151" s="858"/>
      <c r="I151" s="814"/>
      <c r="J151" s="856"/>
      <c r="K151" s="857"/>
      <c r="L151" s="858"/>
      <c r="M151" s="814"/>
      <c r="N151" s="856"/>
      <c r="O151" s="857">
        <v>1</v>
      </c>
      <c r="P151" s="858"/>
      <c r="Q151" s="860"/>
      <c r="R151" s="861"/>
      <c r="S151" s="862"/>
      <c r="T151" s="574"/>
      <c r="U151" s="818"/>
      <c r="V151" s="880">
        <f t="shared" si="237"/>
        <v>0</v>
      </c>
      <c r="W151" s="885"/>
      <c r="X151" s="814"/>
      <c r="Y151" s="856"/>
      <c r="Z151" s="857"/>
      <c r="AA151" s="858"/>
      <c r="AB151" s="814"/>
      <c r="AC151" s="856">
        <v>7</v>
      </c>
      <c r="AD151" s="857">
        <v>7</v>
      </c>
      <c r="AE151" s="858"/>
      <c r="AF151" s="814"/>
      <c r="AG151" s="856"/>
      <c r="AH151" s="857"/>
      <c r="AI151" s="858"/>
      <c r="AJ151" s="863"/>
      <c r="AK151" s="861"/>
      <c r="AL151" s="862"/>
      <c r="AM151" s="574"/>
      <c r="AN151" s="816"/>
      <c r="AO151" s="888">
        <f t="shared" si="238"/>
        <v>0</v>
      </c>
      <c r="AP151" s="885"/>
      <c r="AQ151" s="573"/>
      <c r="AR151" s="864"/>
      <c r="AS151" s="572"/>
      <c r="AT151" s="574"/>
      <c r="AU151" s="888"/>
      <c r="AV151" s="880">
        <f t="shared" si="239"/>
        <v>0</v>
      </c>
      <c r="AW151" s="885"/>
      <c r="AX151" s="820"/>
      <c r="AY151" s="821"/>
      <c r="AZ151" s="821"/>
      <c r="BA151" s="1247"/>
      <c r="BB151" s="587"/>
      <c r="BC151" s="587"/>
      <c r="BD151" s="587"/>
      <c r="BE151" s="814"/>
      <c r="BF151" s="856"/>
      <c r="BG151" s="857"/>
      <c r="BH151" s="858"/>
      <c r="BI151" s="814"/>
      <c r="BJ151" s="856"/>
      <c r="BK151" s="857"/>
      <c r="BL151" s="858"/>
      <c r="BM151" s="814"/>
      <c r="BN151" s="856"/>
      <c r="BO151" s="857"/>
      <c r="BP151" s="858"/>
      <c r="BQ151" s="863"/>
      <c r="BR151" s="862"/>
      <c r="BS151" s="862"/>
      <c r="BT151" s="574"/>
      <c r="BU151" s="818"/>
      <c r="BV151" s="888"/>
      <c r="BW151" s="885"/>
      <c r="BX151" s="814"/>
      <c r="BY151" s="856"/>
      <c r="BZ151" s="857"/>
      <c r="CA151" s="858"/>
      <c r="CB151" s="814"/>
      <c r="CC151" s="856"/>
      <c r="CD151" s="859"/>
      <c r="CE151" s="858"/>
      <c r="CF151" s="814"/>
      <c r="CG151" s="856"/>
      <c r="CH151" s="859"/>
      <c r="CI151" s="858"/>
      <c r="CJ151" s="863"/>
      <c r="CK151" s="862"/>
      <c r="CL151" s="862"/>
      <c r="CM151" s="574"/>
      <c r="CN151" s="816"/>
      <c r="CO151" s="816"/>
      <c r="CP151" s="885"/>
      <c r="CQ151" s="573"/>
      <c r="CR151" s="572"/>
      <c r="CS151" s="572"/>
      <c r="CT151" s="574"/>
      <c r="CU151" s="888"/>
      <c r="CV151" s="888"/>
      <c r="CW151" s="885"/>
      <c r="CX151" s="722"/>
      <c r="CY151" s="821"/>
      <c r="CZ151" s="1247"/>
      <c r="DA151" s="587"/>
      <c r="DB151" s="587"/>
      <c r="DC151" s="587"/>
      <c r="DD151" s="587"/>
    </row>
    <row r="152" spans="1:108">
      <c r="A152" s="659" t="s">
        <v>161</v>
      </c>
      <c r="B152" s="664"/>
      <c r="C152" s="664"/>
      <c r="D152" s="665"/>
      <c r="E152" s="695"/>
      <c r="F152" s="837"/>
      <c r="G152" s="838"/>
      <c r="H152" s="839" t="e">
        <f>G153/F153</f>
        <v>#DIV/0!</v>
      </c>
      <c r="I152" s="695"/>
      <c r="J152" s="837"/>
      <c r="K152" s="838"/>
      <c r="L152" s="1097" t="e">
        <f>K153/J153</f>
        <v>#DIV/0!</v>
      </c>
      <c r="M152" s="695"/>
      <c r="N152" s="837"/>
      <c r="O152" s="838"/>
      <c r="P152" s="1097" t="e">
        <f>O153/N153</f>
        <v>#DIV/0!</v>
      </c>
      <c r="Q152" s="695"/>
      <c r="R152" s="901"/>
      <c r="S152" s="696"/>
      <c r="T152" s="514"/>
      <c r="U152" s="1094" t="e">
        <f>T153/Q153</f>
        <v>#DIV/0!</v>
      </c>
      <c r="V152" s="1076" t="e">
        <f>T153/R153</f>
        <v>#DIV/0!</v>
      </c>
      <c r="W152" s="1068">
        <f>T153/S153</f>
        <v>1.1071428571428572</v>
      </c>
      <c r="X152" s="695"/>
      <c r="Y152" s="837"/>
      <c r="Z152" s="838"/>
      <c r="AA152" s="1097" t="e">
        <f>Z153/Y153</f>
        <v>#DIV/0!</v>
      </c>
      <c r="AB152" s="695"/>
      <c r="AC152" s="837"/>
      <c r="AD152" s="838"/>
      <c r="AE152" s="1099">
        <f>AD153/AC153</f>
        <v>1</v>
      </c>
      <c r="AF152" s="695"/>
      <c r="AG152" s="837"/>
      <c r="AH152" s="838"/>
      <c r="AI152" s="1099" t="e">
        <f>AH153/AG153</f>
        <v>#DIV/0!</v>
      </c>
      <c r="AJ152" s="700"/>
      <c r="AK152" s="901"/>
      <c r="AL152" s="761"/>
      <c r="AM152" s="514"/>
      <c r="AN152" s="1096" t="e">
        <f>AM153/AJ153</f>
        <v>#DIV/0!</v>
      </c>
      <c r="AO152" s="1100" t="e">
        <f>AM153/AK153</f>
        <v>#DIV/0!</v>
      </c>
      <c r="AP152" s="1087">
        <f>AM153/AL153</f>
        <v>1</v>
      </c>
      <c r="AQ152" s="656"/>
      <c r="AR152" s="760"/>
      <c r="AS152" s="651"/>
      <c r="AT152" s="532"/>
      <c r="AU152" s="1096" t="e">
        <f>AT153/AQ153</f>
        <v>#DIV/0!</v>
      </c>
      <c r="AV152" s="1076" t="e">
        <f>AT153/AR153</f>
        <v>#DIV/0!</v>
      </c>
      <c r="AW152" s="1087">
        <f>AT153/AS153</f>
        <v>1.0428571428571429</v>
      </c>
      <c r="AX152" s="722"/>
      <c r="AY152" s="723"/>
      <c r="AZ152" s="723"/>
      <c r="BA152" s="556"/>
      <c r="BB152" s="556"/>
      <c r="BC152" s="556"/>
      <c r="BD152" s="556"/>
      <c r="BE152" s="695"/>
      <c r="BF152" s="837"/>
      <c r="BG152" s="838"/>
      <c r="BH152" s="1097" t="e">
        <f>BG153/BF153</f>
        <v>#DIV/0!</v>
      </c>
      <c r="BI152" s="695"/>
      <c r="BJ152" s="837"/>
      <c r="BK152" s="838"/>
      <c r="BL152" s="1097">
        <f>BK153/BJ153</f>
        <v>0.35294117647058826</v>
      </c>
      <c r="BM152" s="695"/>
      <c r="BN152" s="837"/>
      <c r="BO152" s="838"/>
      <c r="BP152" s="1099" t="e">
        <f>BO153/BN153</f>
        <v>#DIV/0!</v>
      </c>
      <c r="BQ152" s="700"/>
      <c r="BR152" s="696"/>
      <c r="BS152" s="761"/>
      <c r="BT152" s="514"/>
      <c r="BU152" s="1094" t="e">
        <f>BT153/BQ153</f>
        <v>#DIV/0!</v>
      </c>
      <c r="BV152" s="1100"/>
      <c r="BW152" s="1068">
        <f>BT153/BS153</f>
        <v>0.49952941176470589</v>
      </c>
      <c r="BX152" s="695"/>
      <c r="BY152" s="837"/>
      <c r="BZ152" s="838"/>
      <c r="CA152" s="1099" t="e">
        <f>BZ153/BY153</f>
        <v>#DIV/0!</v>
      </c>
      <c r="CB152" s="695"/>
      <c r="CC152" s="837"/>
      <c r="CD152" s="840"/>
      <c r="CE152" s="1099" t="e">
        <f>CD153/CC153</f>
        <v>#DIV/0!</v>
      </c>
      <c r="CF152" s="695"/>
      <c r="CG152" s="837"/>
      <c r="CH152" s="840"/>
      <c r="CI152" s="1099" t="e">
        <f>CH153/CG153</f>
        <v>#DIV/0!</v>
      </c>
      <c r="CJ152" s="700"/>
      <c r="CK152" s="696"/>
      <c r="CL152" s="761"/>
      <c r="CM152" s="514"/>
      <c r="CN152" s="1096" t="e">
        <f>CM153/CJ153</f>
        <v>#DIV/0!</v>
      </c>
      <c r="CO152" s="1096"/>
      <c r="CP152" s="1087" t="e">
        <f>CM153/CL153</f>
        <v>#DIV/0!</v>
      </c>
      <c r="CQ152" s="656"/>
      <c r="CR152" s="651"/>
      <c r="CS152" s="651"/>
      <c r="CT152" s="532"/>
      <c r="CU152" s="1096" t="e">
        <f>CT153/CQ153</f>
        <v>#DIV/0!</v>
      </c>
      <c r="CV152" s="1096"/>
      <c r="CW152" s="1087">
        <f>CT153/CS153</f>
        <v>1.4903882352941176</v>
      </c>
      <c r="CX152" s="722"/>
      <c r="CY152" s="723"/>
      <c r="CZ152" s="556"/>
      <c r="DA152" s="556"/>
      <c r="DB152" s="556"/>
      <c r="DC152" s="556"/>
      <c r="DD152" s="556"/>
    </row>
    <row r="153" spans="1:108">
      <c r="A153" s="647" t="s">
        <v>391</v>
      </c>
      <c r="B153" s="661"/>
      <c r="C153" s="997"/>
      <c r="D153" s="995"/>
      <c r="E153" s="822"/>
      <c r="F153" s="887"/>
      <c r="G153" s="824">
        <v>140</v>
      </c>
      <c r="H153" s="825">
        <f>G153-F153</f>
        <v>140</v>
      </c>
      <c r="I153" s="822"/>
      <c r="J153" s="887"/>
      <c r="K153" s="824">
        <v>0</v>
      </c>
      <c r="L153" s="825">
        <f>K153-J153</f>
        <v>0</v>
      </c>
      <c r="M153" s="822"/>
      <c r="N153" s="887"/>
      <c r="O153" s="824">
        <v>15</v>
      </c>
      <c r="P153" s="825">
        <f>O153-N153</f>
        <v>15</v>
      </c>
      <c r="Q153" s="827">
        <f>E153+I153+M153</f>
        <v>0</v>
      </c>
      <c r="R153" s="828">
        <v>0</v>
      </c>
      <c r="S153" s="739">
        <f>G153+J153+N153</f>
        <v>140</v>
      </c>
      <c r="T153" s="520">
        <f>G153+K153+O153</f>
        <v>155</v>
      </c>
      <c r="U153" s="712">
        <f>T153-Q153</f>
        <v>155</v>
      </c>
      <c r="V153" s="711">
        <f t="shared" si="237"/>
        <v>155</v>
      </c>
      <c r="W153" s="716">
        <f>T153-S153</f>
        <v>15</v>
      </c>
      <c r="X153" s="822"/>
      <c r="Y153" s="887">
        <v>0</v>
      </c>
      <c r="Z153" s="824">
        <v>0</v>
      </c>
      <c r="AA153" s="825">
        <f>Z153-Y153</f>
        <v>0</v>
      </c>
      <c r="AB153" s="822"/>
      <c r="AC153" s="887">
        <v>210</v>
      </c>
      <c r="AD153" s="824">
        <v>210</v>
      </c>
      <c r="AE153" s="825">
        <f>AD153-AC153</f>
        <v>0</v>
      </c>
      <c r="AF153" s="822"/>
      <c r="AG153" s="887">
        <v>0</v>
      </c>
      <c r="AH153" s="824">
        <v>0</v>
      </c>
      <c r="AI153" s="825">
        <f>AH153-AG153</f>
        <v>0</v>
      </c>
      <c r="AJ153" s="713">
        <f>X153+AB153+AF153</f>
        <v>0</v>
      </c>
      <c r="AK153" s="828">
        <v>0</v>
      </c>
      <c r="AL153" s="739">
        <f>Y153+AC153+AG153</f>
        <v>210</v>
      </c>
      <c r="AM153" s="520">
        <f>Z153+AD153+AH153</f>
        <v>210</v>
      </c>
      <c r="AN153" s="739">
        <f>AM153-AJ153</f>
        <v>210</v>
      </c>
      <c r="AO153" s="711">
        <f t="shared" si="238"/>
        <v>210</v>
      </c>
      <c r="AP153" s="688">
        <f>AM153-AL153</f>
        <v>0</v>
      </c>
      <c r="AQ153" s="718">
        <f>SUM(Q153,AJ153)</f>
        <v>0</v>
      </c>
      <c r="AR153" s="720">
        <f>AK153+R153</f>
        <v>0</v>
      </c>
      <c r="AS153" s="613">
        <f>S153+AL153</f>
        <v>350</v>
      </c>
      <c r="AT153" s="520">
        <f>SUM(T153,AM153)</f>
        <v>365</v>
      </c>
      <c r="AU153" s="739">
        <f>AT153-AQ153</f>
        <v>365</v>
      </c>
      <c r="AV153" s="711">
        <f t="shared" si="239"/>
        <v>365</v>
      </c>
      <c r="AW153" s="688">
        <f>AT153-AS153</f>
        <v>15</v>
      </c>
      <c r="AX153" s="722">
        <f>AQ153/6</f>
        <v>0</v>
      </c>
      <c r="AY153" s="709">
        <f>AR153/6</f>
        <v>0</v>
      </c>
      <c r="AZ153" s="723">
        <f>AT153/6</f>
        <v>60.833333333333336</v>
      </c>
      <c r="BA153" s="1246" t="e">
        <f>AZ153/AX153</f>
        <v>#DIV/0!</v>
      </c>
      <c r="BB153" s="493">
        <f>AZ153-AX153</f>
        <v>60.833333333333336</v>
      </c>
      <c r="BC153" s="516">
        <f>AZ153-AY153</f>
        <v>60.833333333333336</v>
      </c>
      <c r="BD153" s="493">
        <f>AW153/6</f>
        <v>2.5</v>
      </c>
      <c r="BE153" s="822"/>
      <c r="BF153" s="887"/>
      <c r="BG153" s="824">
        <v>37.380000000000003</v>
      </c>
      <c r="BH153" s="825">
        <f>BG153-BF153</f>
        <v>37.380000000000003</v>
      </c>
      <c r="BI153" s="822"/>
      <c r="BJ153" s="887">
        <v>255</v>
      </c>
      <c r="BK153" s="824">
        <v>90</v>
      </c>
      <c r="BL153" s="825">
        <f>BK153-BJ153</f>
        <v>-165</v>
      </c>
      <c r="BM153" s="822"/>
      <c r="BN153" s="887">
        <v>0</v>
      </c>
      <c r="BO153" s="824">
        <v>0</v>
      </c>
      <c r="BP153" s="825">
        <f>BO153-BN153</f>
        <v>0</v>
      </c>
      <c r="BQ153" s="713">
        <f>BE153+BI153+BM153</f>
        <v>0</v>
      </c>
      <c r="BR153" s="714"/>
      <c r="BS153" s="739">
        <f>BF153+BJ153+BN153</f>
        <v>255</v>
      </c>
      <c r="BT153" s="520">
        <f>BG153+BK153+BO153</f>
        <v>127.38</v>
      </c>
      <c r="BU153" s="712">
        <f>BT153-BQ153</f>
        <v>127.38</v>
      </c>
      <c r="BV153" s="711"/>
      <c r="BW153" s="716">
        <f>BT153-BS153</f>
        <v>-127.62</v>
      </c>
      <c r="BX153" s="822"/>
      <c r="BY153" s="887"/>
      <c r="BZ153" s="824">
        <v>152.66900000000001</v>
      </c>
      <c r="CA153" s="825">
        <f>BZ153-BY153</f>
        <v>152.66900000000001</v>
      </c>
      <c r="CB153" s="822"/>
      <c r="CC153" s="887"/>
      <c r="CD153" s="826">
        <v>100</v>
      </c>
      <c r="CE153" s="825">
        <f>CD153-CC153</f>
        <v>100</v>
      </c>
      <c r="CF153" s="822"/>
      <c r="CG153" s="887"/>
      <c r="CH153" s="826"/>
      <c r="CI153" s="825">
        <f>CH153-CG153</f>
        <v>0</v>
      </c>
      <c r="CJ153" s="713">
        <f>BX153+CB153+CF153</f>
        <v>0</v>
      </c>
      <c r="CK153" s="714"/>
      <c r="CL153" s="739">
        <f>BY153+CC153+CG153</f>
        <v>0</v>
      </c>
      <c r="CM153" s="520">
        <f>BZ153+CD153+CH153</f>
        <v>252.66900000000001</v>
      </c>
      <c r="CN153" s="739">
        <f>CM153-CJ153</f>
        <v>252.66900000000001</v>
      </c>
      <c r="CO153" s="739"/>
      <c r="CP153" s="688">
        <f>CM153-CL153</f>
        <v>252.66900000000001</v>
      </c>
      <c r="CQ153" s="718">
        <f>SUM(BQ153,CJ153)</f>
        <v>0</v>
      </c>
      <c r="CR153" s="937"/>
      <c r="CS153" s="613">
        <f>BS153+CL153</f>
        <v>255</v>
      </c>
      <c r="CT153" s="520">
        <f>SUM(BT153,CM153)</f>
        <v>380.04899999999998</v>
      </c>
      <c r="CU153" s="739">
        <f>CT153-CQ153</f>
        <v>380.04899999999998</v>
      </c>
      <c r="CV153" s="739"/>
      <c r="CW153" s="688">
        <f>CT153-CS153</f>
        <v>125.04899999999998</v>
      </c>
      <c r="CX153" s="722">
        <f>CQ153/6</f>
        <v>0</v>
      </c>
      <c r="CY153" s="723">
        <f>CT153/6</f>
        <v>63.341499999999996</v>
      </c>
      <c r="CZ153" s="1389" t="e">
        <f>CY153/CX153</f>
        <v>#DIV/0!</v>
      </c>
      <c r="DA153" s="556">
        <f>CY153-CX153</f>
        <v>63.341499999999996</v>
      </c>
      <c r="DB153" s="556">
        <f>CW153/6</f>
        <v>20.841499999999996</v>
      </c>
      <c r="DC153" s="516"/>
      <c r="DD153" s="493"/>
    </row>
    <row r="154" spans="1:108" s="1257" customFormat="1">
      <c r="A154" s="659" t="s">
        <v>469</v>
      </c>
      <c r="B154" s="662"/>
      <c r="C154" s="1013"/>
      <c r="D154" s="1259"/>
      <c r="E154" s="1261"/>
      <c r="F154" s="837"/>
      <c r="G154" s="838"/>
      <c r="H154" s="972"/>
      <c r="I154" s="1261"/>
      <c r="J154" s="837"/>
      <c r="K154" s="838"/>
      <c r="L154" s="972"/>
      <c r="M154" s="1261"/>
      <c r="N154" s="837"/>
      <c r="O154" s="838"/>
      <c r="P154" s="972"/>
      <c r="Q154" s="1262"/>
      <c r="R154" s="1263"/>
      <c r="S154" s="981"/>
      <c r="T154" s="532"/>
      <c r="U154" s="730"/>
      <c r="V154" s="729"/>
      <c r="W154" s="1260"/>
      <c r="X154" s="1261"/>
      <c r="Y154" s="837"/>
      <c r="Z154" s="838"/>
      <c r="AA154" s="972"/>
      <c r="AB154" s="1261"/>
      <c r="AC154" s="837"/>
      <c r="AD154" s="838"/>
      <c r="AE154" s="972"/>
      <c r="AF154" s="1261"/>
      <c r="AG154" s="837"/>
      <c r="AH154" s="838"/>
      <c r="AI154" s="972"/>
      <c r="AJ154" s="738"/>
      <c r="AK154" s="1263"/>
      <c r="AL154" s="981"/>
      <c r="AM154" s="532"/>
      <c r="AN154" s="981"/>
      <c r="AO154" s="729"/>
      <c r="AP154" s="762"/>
      <c r="AQ154" s="771"/>
      <c r="AR154" s="772"/>
      <c r="AS154" s="595"/>
      <c r="AT154" s="532"/>
      <c r="AU154" s="981"/>
      <c r="AV154" s="729"/>
      <c r="AW154" s="762"/>
      <c r="AX154" s="722"/>
      <c r="AY154" s="709"/>
      <c r="AZ154" s="723"/>
      <c r="BA154" s="1246"/>
      <c r="BB154" s="493"/>
      <c r="BC154" s="516"/>
      <c r="BD154" s="493"/>
      <c r="BE154" s="1267"/>
      <c r="BF154" s="1268">
        <v>53</v>
      </c>
      <c r="BG154" s="1272">
        <v>5</v>
      </c>
      <c r="BH154" s="1269"/>
      <c r="BI154" s="1267"/>
      <c r="BJ154" s="1268">
        <v>200</v>
      </c>
      <c r="BK154" s="1272">
        <v>17</v>
      </c>
      <c r="BL154" s="1269"/>
      <c r="BM154" s="1267"/>
      <c r="BN154" s="1268">
        <v>31</v>
      </c>
      <c r="BO154" s="1272">
        <v>123</v>
      </c>
      <c r="BP154" s="1269"/>
      <c r="BQ154" s="1352"/>
      <c r="BR154" s="1353"/>
      <c r="BS154" s="1356">
        <f>BF154+BJ154+BN154</f>
        <v>284</v>
      </c>
      <c r="BT154" s="584">
        <f>BG154+BK154+BO154</f>
        <v>145</v>
      </c>
      <c r="BU154" s="924"/>
      <c r="BV154" s="1354"/>
      <c r="BW154" s="1355"/>
      <c r="BX154" s="1267"/>
      <c r="BY154" s="1268">
        <v>40</v>
      </c>
      <c r="BZ154" s="1272">
        <v>23</v>
      </c>
      <c r="CA154" s="1269"/>
      <c r="CB154" s="1267"/>
      <c r="CC154" s="1268">
        <v>266</v>
      </c>
      <c r="CD154" s="1276">
        <v>82</v>
      </c>
      <c r="CE154" s="1269"/>
      <c r="CF154" s="1267"/>
      <c r="CG154" s="1268">
        <v>340</v>
      </c>
      <c r="CH154" s="1276">
        <v>72</v>
      </c>
      <c r="CI154" s="1269"/>
      <c r="CJ154" s="1352"/>
      <c r="CK154" s="1353"/>
      <c r="CL154" s="1356">
        <f>BY154+CC154+CG154</f>
        <v>646</v>
      </c>
      <c r="CM154" s="584">
        <f>BZ154+CD154+CH154</f>
        <v>177</v>
      </c>
      <c r="CN154" s="1356"/>
      <c r="CO154" s="1356"/>
      <c r="CP154" s="885"/>
      <c r="CQ154" s="863"/>
      <c r="CR154" s="855"/>
      <c r="CS154" s="572">
        <f>BS154+CL154</f>
        <v>930</v>
      </c>
      <c r="CT154" s="584">
        <f>SUM(BT154,CM154)</f>
        <v>322</v>
      </c>
      <c r="CU154" s="1356"/>
      <c r="CV154" s="1356"/>
      <c r="CW154" s="885"/>
      <c r="CX154" s="820"/>
      <c r="CY154" s="821"/>
      <c r="CZ154" s="1247"/>
      <c r="DA154" s="587"/>
      <c r="DB154" s="587"/>
      <c r="DC154" s="516"/>
      <c r="DD154" s="493"/>
    </row>
    <row r="155" spans="1:108">
      <c r="A155" s="669" t="s">
        <v>161</v>
      </c>
      <c r="B155" s="664"/>
      <c r="C155" s="664"/>
      <c r="D155" s="665"/>
      <c r="E155" s="769"/>
      <c r="F155" s="895"/>
      <c r="G155" s="896"/>
      <c r="H155" s="839" t="e">
        <f>G156/F156</f>
        <v>#DIV/0!</v>
      </c>
      <c r="I155" s="769"/>
      <c r="J155" s="895"/>
      <c r="K155" s="896"/>
      <c r="L155" s="1097" t="e">
        <f>K156/J156</f>
        <v>#DIV/0!</v>
      </c>
      <c r="M155" s="769"/>
      <c r="N155" s="895"/>
      <c r="O155" s="896"/>
      <c r="P155" s="1097">
        <f>O156/N156</f>
        <v>0.56147859922178989</v>
      </c>
      <c r="Q155" s="769"/>
      <c r="R155" s="898"/>
      <c r="S155" s="899"/>
      <c r="T155" s="596"/>
      <c r="U155" s="1094" t="e">
        <f>T156/Q156</f>
        <v>#DIV/0!</v>
      </c>
      <c r="V155" s="1070" t="e">
        <f>T156/R156</f>
        <v>#DIV/0!</v>
      </c>
      <c r="W155" s="1068">
        <f>T156/S156</f>
        <v>0.56147859922178989</v>
      </c>
      <c r="X155" s="769"/>
      <c r="Y155" s="895"/>
      <c r="Z155" s="896"/>
      <c r="AA155" s="1097">
        <f>Z156/Y156</f>
        <v>0.21050119331742245</v>
      </c>
      <c r="AB155" s="769"/>
      <c r="AC155" s="895"/>
      <c r="AD155" s="896"/>
      <c r="AE155" s="1101">
        <f>AD156/AC156</f>
        <v>8.4866666666666664</v>
      </c>
      <c r="AF155" s="769"/>
      <c r="AG155" s="895"/>
      <c r="AH155" s="896"/>
      <c r="AI155" s="1101">
        <f>AH156/AG156</f>
        <v>0.58933333333333338</v>
      </c>
      <c r="AJ155" s="684"/>
      <c r="AK155" s="898"/>
      <c r="AL155" s="686"/>
      <c r="AM155" s="596"/>
      <c r="AN155" s="1096">
        <f>AM156/AJ156</f>
        <v>1.1749244712990936</v>
      </c>
      <c r="AO155" s="1100">
        <f>AM156/AK156</f>
        <v>1.1749244712990936</v>
      </c>
      <c r="AP155" s="1083">
        <f>AM156/AL156</f>
        <v>0.93786173633440517</v>
      </c>
      <c r="AQ155" s="505"/>
      <c r="AR155" s="741"/>
      <c r="AS155" s="651"/>
      <c r="AT155" s="532"/>
      <c r="AU155" s="1096">
        <f>AT156/AQ156</f>
        <v>1.3202416918429003</v>
      </c>
      <c r="AV155" s="1070">
        <f>AT156/AR156</f>
        <v>1.3202416918429003</v>
      </c>
      <c r="AW155" s="1083">
        <f>AT156/AS156</f>
        <v>0.87341772151898733</v>
      </c>
      <c r="AX155" s="722"/>
      <c r="AY155" s="723"/>
      <c r="AZ155" s="723"/>
      <c r="BA155" s="556"/>
      <c r="BB155" s="556"/>
      <c r="BC155" s="556"/>
      <c r="BD155" s="556"/>
      <c r="BE155" s="695"/>
      <c r="BF155" s="837"/>
      <c r="BG155" s="838"/>
      <c r="BH155" s="1097">
        <f>BG156/BF156</f>
        <v>0.12172413793103448</v>
      </c>
      <c r="BI155" s="695"/>
      <c r="BJ155" s="837"/>
      <c r="BK155" s="838"/>
      <c r="BL155" s="1097">
        <f>BK156/BJ156</f>
        <v>0.12578947368421053</v>
      </c>
      <c r="BM155" s="695"/>
      <c r="BN155" s="837"/>
      <c r="BO155" s="838"/>
      <c r="BP155" s="1099">
        <f>BO156/BN156</f>
        <v>3.3588105185549275</v>
      </c>
      <c r="BQ155" s="700"/>
      <c r="BR155" s="696"/>
      <c r="BS155" s="761"/>
      <c r="BT155" s="514"/>
      <c r="BU155" s="1094">
        <f>BT156/BQ156</f>
        <v>0.38271689497716893</v>
      </c>
      <c r="BV155" s="1100"/>
      <c r="BW155" s="1068">
        <f>BT156/BS156</f>
        <v>0.58065745263084967</v>
      </c>
      <c r="BX155" s="695"/>
      <c r="BY155" s="837"/>
      <c r="BZ155" s="838"/>
      <c r="CA155" s="1099">
        <f>BZ156/BY156</f>
        <v>0.65555759018494786</v>
      </c>
      <c r="CB155" s="695"/>
      <c r="CC155" s="837"/>
      <c r="CD155" s="840"/>
      <c r="CE155" s="1099">
        <f>CD156/CC156</f>
        <v>0.30756998509193306</v>
      </c>
      <c r="CF155" s="695"/>
      <c r="CG155" s="837"/>
      <c r="CH155" s="840"/>
      <c r="CI155" s="1099">
        <f>CH156/CG156</f>
        <v>0.22381332724783204</v>
      </c>
      <c r="CJ155" s="700"/>
      <c r="CK155" s="696"/>
      <c r="CL155" s="761"/>
      <c r="CM155" s="514"/>
      <c r="CN155" s="1096">
        <f>CM156/CJ156</f>
        <v>0.43398994132439228</v>
      </c>
      <c r="CO155" s="1096"/>
      <c r="CP155" s="1087">
        <f>CM156/CL156</f>
        <v>0.29291957794687562</v>
      </c>
      <c r="CQ155" s="656"/>
      <c r="CR155" s="651"/>
      <c r="CS155" s="651"/>
      <c r="CT155" s="532"/>
      <c r="CU155" s="1096">
        <f>CT156/CQ156</f>
        <v>0.40945148601398601</v>
      </c>
      <c r="CV155" s="1096"/>
      <c r="CW155" s="1087">
        <f>CT156/CS156</f>
        <v>0.37634451798214341</v>
      </c>
      <c r="CX155" s="722"/>
      <c r="CY155" s="723"/>
      <c r="CZ155" s="556"/>
      <c r="DA155" s="556"/>
      <c r="DB155" s="556"/>
      <c r="DC155" s="556"/>
      <c r="DD155" s="556"/>
    </row>
    <row r="156" spans="1:108">
      <c r="A156" s="647" t="s">
        <v>392</v>
      </c>
      <c r="B156" s="661"/>
      <c r="C156" s="997"/>
      <c r="D156" s="995"/>
      <c r="E156" s="822">
        <v>0</v>
      </c>
      <c r="F156" s="887">
        <v>0</v>
      </c>
      <c r="G156" s="824">
        <v>0</v>
      </c>
      <c r="H156" s="825">
        <f>G156-F156</f>
        <v>0</v>
      </c>
      <c r="I156" s="822">
        <v>0</v>
      </c>
      <c r="J156" s="887">
        <v>0</v>
      </c>
      <c r="K156" s="824">
        <v>0</v>
      </c>
      <c r="L156" s="825">
        <f>K156-J156</f>
        <v>0</v>
      </c>
      <c r="M156" s="822">
        <v>0</v>
      </c>
      <c r="N156" s="887">
        <v>514</v>
      </c>
      <c r="O156" s="824">
        <v>288.60000000000002</v>
      </c>
      <c r="P156" s="825">
        <f>O156-N156</f>
        <v>-225.39999999999998</v>
      </c>
      <c r="Q156" s="827">
        <f>E156+I156+M156</f>
        <v>0</v>
      </c>
      <c r="R156" s="828">
        <v>0</v>
      </c>
      <c r="S156" s="739">
        <f>G156+J156+N156</f>
        <v>514</v>
      </c>
      <c r="T156" s="520">
        <f>G156+K156+O156</f>
        <v>288.60000000000002</v>
      </c>
      <c r="U156" s="712">
        <f>T156-Q156</f>
        <v>288.60000000000002</v>
      </c>
      <c r="V156" s="711">
        <f t="shared" si="237"/>
        <v>288.60000000000002</v>
      </c>
      <c r="W156" s="716">
        <f>T156-S156</f>
        <v>-225.39999999999998</v>
      </c>
      <c r="X156" s="822">
        <v>662</v>
      </c>
      <c r="Y156" s="887">
        <v>838</v>
      </c>
      <c r="Z156" s="824">
        <v>176.4</v>
      </c>
      <c r="AA156" s="825">
        <f>Z156-Y156</f>
        <v>-661.6</v>
      </c>
      <c r="AB156" s="822">
        <v>662</v>
      </c>
      <c r="AC156" s="887">
        <v>150</v>
      </c>
      <c r="AD156" s="824">
        <v>1273</v>
      </c>
      <c r="AE156" s="825">
        <f>AD156-AC156</f>
        <v>1123</v>
      </c>
      <c r="AF156" s="822">
        <v>662</v>
      </c>
      <c r="AG156" s="887">
        <v>1500</v>
      </c>
      <c r="AH156" s="824">
        <v>884</v>
      </c>
      <c r="AI156" s="825">
        <f>AH156-AG156</f>
        <v>-616</v>
      </c>
      <c r="AJ156" s="713">
        <f>X156+AB156+AF156</f>
        <v>1986</v>
      </c>
      <c r="AK156" s="828">
        <v>1986</v>
      </c>
      <c r="AL156" s="739">
        <f>Y156+AC156+AG156</f>
        <v>2488</v>
      </c>
      <c r="AM156" s="520">
        <f>Z156+AD156+AH156</f>
        <v>2333.4</v>
      </c>
      <c r="AN156" s="739">
        <f>AM156-AJ156</f>
        <v>347.40000000000009</v>
      </c>
      <c r="AO156" s="711">
        <f t="shared" si="238"/>
        <v>347.40000000000009</v>
      </c>
      <c r="AP156" s="688">
        <f>AM156-AL156</f>
        <v>-154.59999999999991</v>
      </c>
      <c r="AQ156" s="718">
        <f>SUM(Q156,AJ156)</f>
        <v>1986</v>
      </c>
      <c r="AR156" s="720">
        <f>AK156+R156</f>
        <v>1986</v>
      </c>
      <c r="AS156" s="613">
        <f>S156+AL156</f>
        <v>3002</v>
      </c>
      <c r="AT156" s="520">
        <f>SUM(T156,AM156)</f>
        <v>2622</v>
      </c>
      <c r="AU156" s="739">
        <f>AT156-AQ156</f>
        <v>636</v>
      </c>
      <c r="AV156" s="711">
        <f t="shared" si="239"/>
        <v>636</v>
      </c>
      <c r="AW156" s="688">
        <f>AT156-AS156</f>
        <v>-380</v>
      </c>
      <c r="AX156" s="722">
        <f>AQ156/6</f>
        <v>331</v>
      </c>
      <c r="AY156" s="709">
        <f>AR156/6</f>
        <v>331</v>
      </c>
      <c r="AZ156" s="723">
        <f>AT156/6</f>
        <v>437</v>
      </c>
      <c r="BA156" s="1246">
        <f>AZ156/AX156</f>
        <v>1.3202416918429003</v>
      </c>
      <c r="BB156" s="493">
        <f>AZ156-AX156</f>
        <v>106</v>
      </c>
      <c r="BC156" s="516">
        <f>AZ156-AY156</f>
        <v>106</v>
      </c>
      <c r="BD156" s="493">
        <f>AW156/6</f>
        <v>-63.333333333333336</v>
      </c>
      <c r="BE156" s="822">
        <v>5800</v>
      </c>
      <c r="BF156" s="887">
        <v>5800</v>
      </c>
      <c r="BG156" s="824">
        <v>706</v>
      </c>
      <c r="BH156" s="825">
        <f>BG156-BF156</f>
        <v>-5094</v>
      </c>
      <c r="BI156" s="822">
        <v>19000</v>
      </c>
      <c r="BJ156" s="887">
        <v>19000</v>
      </c>
      <c r="BK156" s="824">
        <v>2390</v>
      </c>
      <c r="BL156" s="825">
        <f>BK156-BJ156</f>
        <v>-16610</v>
      </c>
      <c r="BM156" s="822">
        <v>19000</v>
      </c>
      <c r="BN156" s="887">
        <v>4069</v>
      </c>
      <c r="BO156" s="824">
        <v>13667</v>
      </c>
      <c r="BP156" s="825">
        <f>BO156-BN156</f>
        <v>9598</v>
      </c>
      <c r="BQ156" s="713">
        <f>BE156+BI156+BM156</f>
        <v>43800</v>
      </c>
      <c r="BR156" s="714"/>
      <c r="BS156" s="739">
        <f>BF156+BJ156+BN156</f>
        <v>28869</v>
      </c>
      <c r="BT156" s="520">
        <f>BG156+BK156+BO156</f>
        <v>16763</v>
      </c>
      <c r="BU156" s="712">
        <f>BT156-BQ156</f>
        <v>-27037</v>
      </c>
      <c r="BV156" s="711"/>
      <c r="BW156" s="716">
        <f>BT156-BS156</f>
        <v>-12106</v>
      </c>
      <c r="BX156" s="822">
        <v>19000</v>
      </c>
      <c r="BY156" s="887">
        <v>5461</v>
      </c>
      <c r="BZ156" s="824">
        <v>3580</v>
      </c>
      <c r="CA156" s="825">
        <f>BZ156-BY156</f>
        <v>-1881</v>
      </c>
      <c r="CB156" s="822">
        <v>17880</v>
      </c>
      <c r="CC156" s="887">
        <v>30185</v>
      </c>
      <c r="CD156" s="826">
        <v>9284</v>
      </c>
      <c r="CE156" s="825">
        <f>CD156-CC156</f>
        <v>-20901</v>
      </c>
      <c r="CF156" s="822">
        <v>10840</v>
      </c>
      <c r="CG156" s="887">
        <v>35056</v>
      </c>
      <c r="CH156" s="826">
        <v>7846</v>
      </c>
      <c r="CI156" s="825">
        <f>CH156-CG156</f>
        <v>-27210</v>
      </c>
      <c r="CJ156" s="713">
        <f>BX156+CB156+CF156</f>
        <v>47720</v>
      </c>
      <c r="CK156" s="714"/>
      <c r="CL156" s="739">
        <f>BY156+CC156+CG156</f>
        <v>70702</v>
      </c>
      <c r="CM156" s="520">
        <f>BZ156+CD156+CH156</f>
        <v>20710</v>
      </c>
      <c r="CN156" s="739">
        <f>CM156-CJ156</f>
        <v>-27010</v>
      </c>
      <c r="CO156" s="739"/>
      <c r="CP156" s="688">
        <f>CM156-CL156</f>
        <v>-49992</v>
      </c>
      <c r="CQ156" s="718">
        <f>SUM(BQ156,CJ156)</f>
        <v>91520</v>
      </c>
      <c r="CR156" s="937"/>
      <c r="CS156" s="613">
        <f>BS156+CL156</f>
        <v>99571</v>
      </c>
      <c r="CT156" s="520">
        <f>SUM(BT156,CM156)</f>
        <v>37473</v>
      </c>
      <c r="CU156" s="739">
        <f>CT156-CQ156</f>
        <v>-54047</v>
      </c>
      <c r="CV156" s="739"/>
      <c r="CW156" s="688">
        <f>CT156-CS156</f>
        <v>-62098</v>
      </c>
      <c r="CX156" s="722">
        <f>CQ156/6</f>
        <v>15253.333333333334</v>
      </c>
      <c r="CY156" s="723">
        <f>CT156/6</f>
        <v>6245.5</v>
      </c>
      <c r="CZ156" s="1389">
        <f>CY156/CX156</f>
        <v>0.40945148601398601</v>
      </c>
      <c r="DA156" s="556">
        <f>CY156-CX156</f>
        <v>-9007.8333333333339</v>
      </c>
      <c r="DB156" s="556">
        <f>CW156/6</f>
        <v>-10349.666666666666</v>
      </c>
      <c r="DC156" s="516"/>
      <c r="DD156" s="493"/>
    </row>
    <row r="157" spans="1:108">
      <c r="A157" s="664"/>
      <c r="B157" s="664"/>
      <c r="C157" s="664"/>
      <c r="D157" s="665"/>
      <c r="E157" s="695"/>
      <c r="F157" s="895"/>
      <c r="G157" s="896"/>
      <c r="H157" s="839">
        <f>G158/F158</f>
        <v>1.2084628001358337</v>
      </c>
      <c r="I157" s="695"/>
      <c r="J157" s="895"/>
      <c r="K157" s="896"/>
      <c r="L157" s="1097">
        <f>K158/J158</f>
        <v>1.2070219752429983</v>
      </c>
      <c r="M157" s="695"/>
      <c r="N157" s="895"/>
      <c r="O157" s="896"/>
      <c r="P157" s="1097">
        <f>O158/N158</f>
        <v>1.0314473550699863</v>
      </c>
      <c r="Q157" s="941"/>
      <c r="R157" s="942"/>
      <c r="S157" s="742"/>
      <c r="T157" s="534"/>
      <c r="U157" s="1094">
        <f>T158/Q158</f>
        <v>1.2543018580036209</v>
      </c>
      <c r="V157" s="1070">
        <f>T158/R158</f>
        <v>1.1002407967571013</v>
      </c>
      <c r="W157" s="1068">
        <f>T158/S158</f>
        <v>1.0741235535825997</v>
      </c>
      <c r="X157" s="695"/>
      <c r="Y157" s="895"/>
      <c r="Z157" s="896"/>
      <c r="AA157" s="1097">
        <f>Z158/Y158</f>
        <v>1.0925226731598543</v>
      </c>
      <c r="AB157" s="695"/>
      <c r="AC157" s="895"/>
      <c r="AD157" s="896"/>
      <c r="AE157" s="1095">
        <f>AD158/AC158</f>
        <v>1.0420365447331896</v>
      </c>
      <c r="AF157" s="695"/>
      <c r="AG157" s="895"/>
      <c r="AH157" s="896"/>
      <c r="AI157" s="1095">
        <f>AH158/AG158</f>
        <v>0.96860955489653844</v>
      </c>
      <c r="AJ157" s="943"/>
      <c r="AK157" s="942"/>
      <c r="AL157" s="742"/>
      <c r="AM157" s="534"/>
      <c r="AN157" s="1096">
        <f>AM158/AJ158</f>
        <v>1.278684004442419</v>
      </c>
      <c r="AO157" s="1100">
        <f>AM158/AK158</f>
        <v>1.2288255076745449</v>
      </c>
      <c r="AP157" s="1083">
        <f>AM158/AL158</f>
        <v>1.0303728347111167</v>
      </c>
      <c r="AQ157" s="563"/>
      <c r="AR157" s="743"/>
      <c r="AS157" s="606"/>
      <c r="AT157" s="532"/>
      <c r="AU157" s="1096">
        <f>AT158/AQ158</f>
        <v>1.2663591719744869</v>
      </c>
      <c r="AV157" s="1070">
        <f>AT158/AR158</f>
        <v>1.1608973755804417</v>
      </c>
      <c r="AW157" s="1083">
        <f>AT158/AS158</f>
        <v>1.0518228602471136</v>
      </c>
      <c r="AX157" s="722"/>
      <c r="AY157" s="723"/>
      <c r="AZ157" s="723"/>
      <c r="BA157" s="556"/>
      <c r="BB157" s="556"/>
      <c r="BC157" s="556"/>
      <c r="BD157" s="556"/>
      <c r="BE157" s="695"/>
      <c r="BF157" s="895"/>
      <c r="BG157" s="896"/>
      <c r="BH157" s="1097">
        <f>BG158/BF158</f>
        <v>0.849831331606406</v>
      </c>
      <c r="BI157" s="695"/>
      <c r="BJ157" s="895"/>
      <c r="BK157" s="896"/>
      <c r="BL157" s="1097">
        <f>BK158/BJ158</f>
        <v>0.92565847781625421</v>
      </c>
      <c r="BM157" s="695"/>
      <c r="BN157" s="895"/>
      <c r="BO157" s="896"/>
      <c r="BP157" s="1095">
        <f>BO158/BN158</f>
        <v>0.96068202332320163</v>
      </c>
      <c r="BQ157" s="943"/>
      <c r="BR157" s="742"/>
      <c r="BS157" s="742"/>
      <c r="BT157" s="534"/>
      <c r="BU157" s="1094">
        <f>BT158/BQ158</f>
        <v>0.8525662666120023</v>
      </c>
      <c r="BV157" s="1100"/>
      <c r="BW157" s="1068">
        <f>BT158/BS158</f>
        <v>0.90721108645822035</v>
      </c>
      <c r="BX157" s="695"/>
      <c r="BY157" s="895"/>
      <c r="BZ157" s="896"/>
      <c r="CA157" s="1095">
        <f>BZ158/BY158</f>
        <v>1.0059733491936522</v>
      </c>
      <c r="CB157" s="695"/>
      <c r="CC157" s="895"/>
      <c r="CD157" s="897"/>
      <c r="CE157" s="1095">
        <f>CD158/CC158</f>
        <v>0.73243111464899968</v>
      </c>
      <c r="CF157" s="695"/>
      <c r="CG157" s="895"/>
      <c r="CH157" s="897"/>
      <c r="CI157" s="1095">
        <f>CH158/CG158</f>
        <v>0.67734891084784621</v>
      </c>
      <c r="CJ157" s="943"/>
      <c r="CK157" s="742"/>
      <c r="CL157" s="742"/>
      <c r="CM157" s="534"/>
      <c r="CN157" s="1096">
        <f>CM158/CJ158</f>
        <v>0.88387768848776982</v>
      </c>
      <c r="CO157" s="1096"/>
      <c r="CP157" s="1083">
        <f>CM158/CL158</f>
        <v>0.81167510201201076</v>
      </c>
      <c r="CQ157" s="563"/>
      <c r="CR157" s="606"/>
      <c r="CS157" s="606"/>
      <c r="CT157" s="532"/>
      <c r="CU157" s="1096">
        <f>CT158/CQ158</f>
        <v>0.86738457934791802</v>
      </c>
      <c r="CV157" s="1096"/>
      <c r="CW157" s="1083">
        <f>CT158/CS158</f>
        <v>0.85848156214931537</v>
      </c>
      <c r="CX157" s="722"/>
      <c r="CY157" s="723"/>
      <c r="CZ157" s="556"/>
      <c r="DA157" s="556"/>
      <c r="DB157" s="556"/>
      <c r="DC157" s="556"/>
      <c r="DD157" s="556"/>
    </row>
    <row r="158" spans="1:108" ht="16.5" thickBot="1">
      <c r="A158" s="661" t="s">
        <v>375</v>
      </c>
      <c r="B158" s="661"/>
      <c r="C158" s="997"/>
      <c r="D158" s="995"/>
      <c r="E158" s="902">
        <f>E122+E129+E150+E141+E148+E153+E156</f>
        <v>351214</v>
      </c>
      <c r="F158" s="903">
        <f>F122+F129+F150+F141+F148+F153+F156</f>
        <v>403434</v>
      </c>
      <c r="G158" s="904">
        <f>G122+G129+G150+G141+G148+G153+G156</f>
        <v>487534.98130999994</v>
      </c>
      <c r="H158" s="905">
        <f>G158-F158</f>
        <v>84100.981309999945</v>
      </c>
      <c r="I158" s="902">
        <f>I122+I129+I150+I141+I148+I153+I156</f>
        <v>379114</v>
      </c>
      <c r="J158" s="903">
        <f>J122+J129+J150+J141+J148+J153+J156</f>
        <v>402472</v>
      </c>
      <c r="K158" s="904">
        <f>K122+K129+K150+K141+K148+K153+K156</f>
        <v>485792.54842000001</v>
      </c>
      <c r="L158" s="905">
        <f>K158-J158</f>
        <v>83320.548420000006</v>
      </c>
      <c r="M158" s="902">
        <f>M122+M129+M150+M141+M148+M153+M156</f>
        <v>379982</v>
      </c>
      <c r="N158" s="903">
        <f>N122+N129+N150+N141+N148+N153+N156</f>
        <v>406551.4</v>
      </c>
      <c r="O158" s="904">
        <f>O122+O129+O150+O141+O148+O153+O156</f>
        <v>419336.36623000004</v>
      </c>
      <c r="P158" s="905">
        <f>O158-N158</f>
        <v>12784.96623000002</v>
      </c>
      <c r="Q158" s="902">
        <f>Q122+Q129+Q150+Q141+Q148+Q153+Q156</f>
        <v>1110310</v>
      </c>
      <c r="R158" s="907">
        <f>R122+R129+R150+R141+R148+R153+R156</f>
        <v>1265781</v>
      </c>
      <c r="S158" s="747">
        <f>S122+S129+S150+S141+S148+S153+S156</f>
        <v>1296558.3813099999</v>
      </c>
      <c r="T158" s="746">
        <f>T122+T129+T150+T141+T148+T153+T156</f>
        <v>1392663.8959600003</v>
      </c>
      <c r="U158" s="746">
        <f>U122+U129+U150+U141+U148+U153+U156</f>
        <v>282353.89596000005</v>
      </c>
      <c r="V158" s="745">
        <f t="shared" si="237"/>
        <v>126882.89596000034</v>
      </c>
      <c r="W158" s="748">
        <f t="shared" ref="W158:AN158" si="305">W122+W129+W150+W141+W148+W153+W156</f>
        <v>96105.514650000128</v>
      </c>
      <c r="X158" s="902">
        <f t="shared" si="305"/>
        <v>371872</v>
      </c>
      <c r="Y158" s="903">
        <f t="shared" si="305"/>
        <v>401415.15600000002</v>
      </c>
      <c r="Z158" s="904">
        <f t="shared" si="305"/>
        <v>438555.15927999996</v>
      </c>
      <c r="AA158" s="905">
        <f t="shared" si="305"/>
        <v>37140.003279999968</v>
      </c>
      <c r="AB158" s="902">
        <f t="shared" si="305"/>
        <v>368960</v>
      </c>
      <c r="AC158" s="903">
        <f t="shared" si="305"/>
        <v>456438.5</v>
      </c>
      <c r="AD158" s="904">
        <f t="shared" si="305"/>
        <v>475625.59742319997</v>
      </c>
      <c r="AE158" s="905">
        <f t="shared" si="305"/>
        <v>19187.097423200008</v>
      </c>
      <c r="AF158" s="902">
        <f t="shared" si="305"/>
        <v>345378</v>
      </c>
      <c r="AG158" s="903">
        <f t="shared" si="305"/>
        <v>490123.8</v>
      </c>
      <c r="AH158" s="904">
        <f t="shared" si="305"/>
        <v>474738.59576220001</v>
      </c>
      <c r="AI158" s="905">
        <f t="shared" si="305"/>
        <v>-15385.204237800004</v>
      </c>
      <c r="AJ158" s="744">
        <f t="shared" si="305"/>
        <v>1086210</v>
      </c>
      <c r="AK158" s="907">
        <f t="shared" si="305"/>
        <v>1130282</v>
      </c>
      <c r="AL158" s="747">
        <f t="shared" si="305"/>
        <v>1347977.4560000002</v>
      </c>
      <c r="AM158" s="746">
        <f t="shared" si="305"/>
        <v>1388919.3524654</v>
      </c>
      <c r="AN158" s="747">
        <f t="shared" si="305"/>
        <v>302709.35246540006</v>
      </c>
      <c r="AO158" s="745">
        <f t="shared" si="238"/>
        <v>258637.35246540001</v>
      </c>
      <c r="AP158" s="909">
        <f t="shared" ref="AP158:AU158" si="306">AP122+AP129+AP150+AP141+AP148+AP153+AP156</f>
        <v>40941.896465399979</v>
      </c>
      <c r="AQ158" s="588">
        <f t="shared" si="306"/>
        <v>2196520</v>
      </c>
      <c r="AR158" s="746">
        <f t="shared" si="306"/>
        <v>2396063</v>
      </c>
      <c r="AS158" s="589">
        <f t="shared" si="306"/>
        <v>2644535.8373100003</v>
      </c>
      <c r="AT158" s="541">
        <f t="shared" si="306"/>
        <v>2781583.2484253999</v>
      </c>
      <c r="AU158" s="540">
        <f t="shared" si="306"/>
        <v>585063.2484254</v>
      </c>
      <c r="AV158" s="745">
        <f t="shared" si="239"/>
        <v>385520.24842539988</v>
      </c>
      <c r="AW158" s="909">
        <f>AW122+AW129+AW150+AW141+AW148+AW153+AW156</f>
        <v>137047.41111540003</v>
      </c>
      <c r="AX158" s="722">
        <f>AX122+AX129+AX150+AX141+AX148+AX153+AX156</f>
        <v>366086.66666666669</v>
      </c>
      <c r="AY158" s="709">
        <f>AR158/6</f>
        <v>399343.83333333331</v>
      </c>
      <c r="AZ158" s="723">
        <f>AZ122+AZ129+AZ150+AZ141+AZ148+AZ153+AZ156</f>
        <v>463597.20807089994</v>
      </c>
      <c r="BA158" s="829">
        <f>AZ158/AX158</f>
        <v>1.2663591719744867</v>
      </c>
      <c r="BB158" s="493">
        <f>AZ158-AX158</f>
        <v>97510.541404233256</v>
      </c>
      <c r="BC158" s="516">
        <f>AZ158-AY158</f>
        <v>64253.374737566628</v>
      </c>
      <c r="BD158" s="493">
        <f>AW158/6</f>
        <v>22841.235185900005</v>
      </c>
      <c r="BE158" s="902">
        <f>BE122+BE129+BE150+BE141+BE148+BE153+BE156</f>
        <v>511281</v>
      </c>
      <c r="BF158" s="903">
        <f>BF122+BF129+BF150+BF141+BF148+BF153+BF156</f>
        <v>506332.8</v>
      </c>
      <c r="BG158" s="904">
        <f>BG122+BG129+BG150+BG141+BG148+BG153+BG156</f>
        <v>430297.47766000003</v>
      </c>
      <c r="BH158" s="905">
        <f>BG158-BF158</f>
        <v>-76035.322339999955</v>
      </c>
      <c r="BI158" s="902">
        <f>BI122+BI129+BI150+BI141+BI148+BI153+BI156</f>
        <v>410621</v>
      </c>
      <c r="BJ158" s="903">
        <f>BJ122+BJ129+BJ150+BJ141+BJ148+BJ153+BJ156</f>
        <v>389560</v>
      </c>
      <c r="BK158" s="904">
        <f>BK122+BK129+BK150+BK141+BK148+BK153+BK156</f>
        <v>360599.51661809999</v>
      </c>
      <c r="BL158" s="905">
        <f>BK158-BJ158</f>
        <v>-28960.483381900005</v>
      </c>
      <c r="BM158" s="902">
        <f>BM122+BM129+BM150+BM141+BM148+BM153+BM156</f>
        <v>466573</v>
      </c>
      <c r="BN158" s="903">
        <f>BN122+BN129+BN150+BN141+BN148+BN153+BN156</f>
        <v>408949</v>
      </c>
      <c r="BO158" s="904">
        <f>BO122+BO129+BO150+BO141+BO148+BO153+BO156</f>
        <v>392869.95275599998</v>
      </c>
      <c r="BP158" s="905">
        <f>BO158-BN158</f>
        <v>-16079.047244000016</v>
      </c>
      <c r="BQ158" s="744">
        <f t="shared" ref="BQ158:CW158" si="307">BQ122+BQ129+BQ150+BQ141+BQ148+BQ153+BQ156</f>
        <v>1388475</v>
      </c>
      <c r="BR158" s="747"/>
      <c r="BS158" s="747">
        <f t="shared" si="307"/>
        <v>1304841.8</v>
      </c>
      <c r="BT158" s="746">
        <f t="shared" si="307"/>
        <v>1183766.9470340998</v>
      </c>
      <c r="BU158" s="746">
        <f t="shared" si="307"/>
        <v>-204708.05296590002</v>
      </c>
      <c r="BV158" s="745"/>
      <c r="BW158" s="748">
        <f t="shared" si="307"/>
        <v>-121074.85296590002</v>
      </c>
      <c r="BX158" s="902">
        <f t="shared" si="307"/>
        <v>456403</v>
      </c>
      <c r="BY158" s="903">
        <f t="shared" si="307"/>
        <v>469150.304</v>
      </c>
      <c r="BZ158" s="904">
        <f t="shared" si="307"/>
        <v>471952.70259010006</v>
      </c>
      <c r="CA158" s="905">
        <f t="shared" si="307"/>
        <v>2802.3985901000106</v>
      </c>
      <c r="CB158" s="902">
        <f t="shared" si="307"/>
        <v>425299</v>
      </c>
      <c r="CC158" s="903">
        <f t="shared" si="307"/>
        <v>513803</v>
      </c>
      <c r="CD158" s="906">
        <f t="shared" si="307"/>
        <v>376325.304</v>
      </c>
      <c r="CE158" s="905">
        <f t="shared" si="307"/>
        <v>-137477.696</v>
      </c>
      <c r="CF158" s="902">
        <f t="shared" si="307"/>
        <v>365780</v>
      </c>
      <c r="CG158" s="903">
        <f t="shared" si="307"/>
        <v>375498.5</v>
      </c>
      <c r="CH158" s="906">
        <f t="shared" si="307"/>
        <v>254343.5</v>
      </c>
      <c r="CI158" s="905">
        <f t="shared" si="307"/>
        <v>-121155</v>
      </c>
      <c r="CJ158" s="744">
        <f t="shared" si="307"/>
        <v>1247482</v>
      </c>
      <c r="CK158" s="747"/>
      <c r="CL158" s="747">
        <f t="shared" si="307"/>
        <v>1358451.804</v>
      </c>
      <c r="CM158" s="746">
        <f t="shared" si="307"/>
        <v>1102621.5065901</v>
      </c>
      <c r="CN158" s="747">
        <f t="shared" si="307"/>
        <v>-144860.49340989997</v>
      </c>
      <c r="CO158" s="747"/>
      <c r="CP158" s="909">
        <f t="shared" si="307"/>
        <v>-255830.29740989994</v>
      </c>
      <c r="CQ158" s="588">
        <f t="shared" si="307"/>
        <v>2635957</v>
      </c>
      <c r="CR158" s="589"/>
      <c r="CS158" s="589">
        <f t="shared" si="307"/>
        <v>2663293.6039999998</v>
      </c>
      <c r="CT158" s="541">
        <f>CT122+CT129+CT150+CT141+CT148+CT153+CT156</f>
        <v>2286388.4536242001</v>
      </c>
      <c r="CU158" s="540">
        <f t="shared" si="307"/>
        <v>-349568.54637579992</v>
      </c>
      <c r="CV158" s="540"/>
      <c r="CW158" s="909">
        <f t="shared" si="307"/>
        <v>-376905.15037579992</v>
      </c>
      <c r="CX158" s="722">
        <f>CQ158/6</f>
        <v>439326.16666666669</v>
      </c>
      <c r="CY158" s="723">
        <f>CY122+CY129+CY150+CY141+CY148+CY153+CY156</f>
        <v>381064.74227069999</v>
      </c>
      <c r="CZ158" s="829">
        <f>CY158/CX158</f>
        <v>0.86738457934791802</v>
      </c>
      <c r="DA158" s="556">
        <f>CY158-CX158</f>
        <v>-58261.424395966693</v>
      </c>
      <c r="DB158" s="556">
        <f>CW158/6</f>
        <v>-62817.525062633322</v>
      </c>
      <c r="DC158" s="516"/>
      <c r="DD158" s="493"/>
    </row>
    <row r="159" spans="1:108">
      <c r="A159" s="989"/>
      <c r="B159" s="989"/>
      <c r="C159" s="989"/>
      <c r="D159" s="989"/>
      <c r="E159" s="697"/>
      <c r="F159" s="776"/>
      <c r="G159" s="776"/>
      <c r="H159" s="697"/>
      <c r="J159" s="1091"/>
      <c r="K159" s="1091"/>
      <c r="L159" s="697"/>
      <c r="N159" s="1091"/>
      <c r="O159" s="1091"/>
      <c r="P159" s="697"/>
      <c r="Q159" s="544">
        <f>Q158/3</f>
        <v>370103.33333333331</v>
      </c>
      <c r="R159" s="544"/>
      <c r="S159" s="544">
        <f>S158/3</f>
        <v>432186.1271033333</v>
      </c>
      <c r="T159" s="544">
        <f>T158/3</f>
        <v>464221.29865333345</v>
      </c>
      <c r="U159" s="544">
        <f>U158/3</f>
        <v>94117.965320000018</v>
      </c>
      <c r="V159" s="544"/>
      <c r="W159" s="544">
        <f>W158/3</f>
        <v>32035.171550000043</v>
      </c>
      <c r="Y159" s="1091"/>
      <c r="Z159" s="1091"/>
      <c r="AA159" s="697"/>
      <c r="AC159" s="1091"/>
      <c r="AD159" s="1091"/>
      <c r="AG159" s="1091"/>
      <c r="AH159" s="1091"/>
      <c r="AJ159" s="544">
        <f>AJ158/3</f>
        <v>362070</v>
      </c>
      <c r="AK159" s="544"/>
      <c r="AL159" s="544">
        <f>AL158/3</f>
        <v>449325.81866666675</v>
      </c>
      <c r="AM159" s="544">
        <f>AM158/3</f>
        <v>462973.11748846667</v>
      </c>
      <c r="AN159" s="544">
        <f>AN158/3</f>
        <v>100903.11748846668</v>
      </c>
      <c r="AO159" s="544"/>
      <c r="AP159" s="544">
        <f>AP158/3</f>
        <v>13647.298821799994</v>
      </c>
      <c r="AQ159" s="655">
        <f>AQ158/6</f>
        <v>366086.66666666669</v>
      </c>
      <c r="AR159" s="723"/>
      <c r="AS159" s="655">
        <f>AS158/6</f>
        <v>440755.97288500005</v>
      </c>
      <c r="AT159" s="655">
        <f>AT158/6</f>
        <v>463597.2080709</v>
      </c>
      <c r="AU159" s="655">
        <f>AU158/6</f>
        <v>97510.541404233329</v>
      </c>
      <c r="AV159" s="544"/>
      <c r="AW159" s="655">
        <f>AW158/6</f>
        <v>22841.235185900005</v>
      </c>
      <c r="AX159" s="697"/>
      <c r="AY159" s="697"/>
      <c r="AZ159" s="697"/>
      <c r="BF159" s="1091"/>
      <c r="BG159" s="1091"/>
      <c r="BJ159" s="1091"/>
      <c r="BK159" s="1091"/>
      <c r="BL159" s="697"/>
      <c r="BN159" s="1091"/>
      <c r="BO159" s="1091"/>
      <c r="BQ159" s="544">
        <f>BQ158/3</f>
        <v>462825</v>
      </c>
      <c r="BR159" s="544"/>
      <c r="BS159" s="544">
        <f>BS158/3</f>
        <v>434947.26666666666</v>
      </c>
      <c r="BT159" s="544">
        <f>BT158/3</f>
        <v>394588.98234469997</v>
      </c>
      <c r="BU159" s="544">
        <f>BU158/3</f>
        <v>-68236.017655300006</v>
      </c>
      <c r="BV159" s="544"/>
      <c r="BW159" s="544">
        <f>BW158/3</f>
        <v>-40358.284321966676</v>
      </c>
      <c r="BY159" s="1091"/>
      <c r="BZ159" s="1091"/>
      <c r="CC159" s="1091"/>
      <c r="CD159" s="1091"/>
      <c r="CF159" s="697"/>
      <c r="CG159" s="1091"/>
      <c r="CH159" s="1091"/>
      <c r="CI159" s="697"/>
      <c r="CJ159" s="544">
        <f>CJ158/3</f>
        <v>415827.33333333331</v>
      </c>
      <c r="CK159" s="544"/>
      <c r="CL159" s="544">
        <f>CL158/3</f>
        <v>452817.26799999998</v>
      </c>
      <c r="CM159" s="544">
        <f>CM158/3</f>
        <v>367540.50219670002</v>
      </c>
      <c r="CN159" s="544">
        <f>CN158/3</f>
        <v>-48286.831136633322</v>
      </c>
      <c r="CO159" s="544"/>
      <c r="CP159" s="544">
        <f>CP158/3</f>
        <v>-85276.765803299975</v>
      </c>
      <c r="CQ159" s="655">
        <f>CQ158/6</f>
        <v>439326.16666666669</v>
      </c>
      <c r="CR159" s="655"/>
      <c r="CS159" s="655">
        <f>CS158/6</f>
        <v>443882.26733333332</v>
      </c>
      <c r="CT159" s="655">
        <f>CT158/6</f>
        <v>381064.74227069999</v>
      </c>
      <c r="CU159" s="655">
        <f>CU158/6</f>
        <v>-58261.424395966656</v>
      </c>
      <c r="CV159" s="655"/>
      <c r="CW159" s="655">
        <f>CW158/6</f>
        <v>-62817.525062633322</v>
      </c>
      <c r="CX159" s="697"/>
      <c r="CY159" s="723"/>
      <c r="CZ159" s="556"/>
      <c r="DA159" s="556"/>
      <c r="DB159" s="556"/>
      <c r="DC159" s="493"/>
      <c r="DD159" s="493"/>
    </row>
    <row r="160" spans="1:108" ht="20.25" thickBot="1">
      <c r="A160" s="1030" t="s">
        <v>393</v>
      </c>
      <c r="B160" s="1007"/>
      <c r="C160" s="1008"/>
      <c r="D160" s="1008"/>
      <c r="E160" s="777"/>
      <c r="F160" s="777"/>
      <c r="G160" s="777"/>
      <c r="H160" s="777"/>
      <c r="I160" s="777"/>
      <c r="J160" s="777"/>
      <c r="K160" s="777"/>
      <c r="L160" s="777"/>
      <c r="M160" s="777"/>
      <c r="N160" s="777"/>
      <c r="O160" s="777"/>
      <c r="P160" s="777"/>
      <c r="Q160" s="494"/>
      <c r="R160" s="494"/>
      <c r="S160" s="494"/>
      <c r="T160" s="657"/>
      <c r="U160" s="657"/>
      <c r="V160" s="657"/>
      <c r="W160" s="777"/>
      <c r="X160" s="777"/>
      <c r="Y160" s="777"/>
      <c r="Z160" s="777"/>
      <c r="AA160" s="777"/>
      <c r="AB160" s="777"/>
      <c r="AC160" s="777"/>
      <c r="AD160" s="777"/>
      <c r="AE160" s="777"/>
      <c r="AF160" s="777"/>
      <c r="AG160" s="777"/>
      <c r="AH160" s="777"/>
      <c r="AI160" s="777"/>
      <c r="AJ160" s="494"/>
      <c r="AK160" s="494"/>
      <c r="AL160" s="494"/>
      <c r="AM160" s="657"/>
      <c r="AN160" s="657"/>
      <c r="AO160" s="657"/>
      <c r="AP160" s="777"/>
      <c r="AQ160" s="749"/>
      <c r="AR160" s="749"/>
      <c r="AT160" s="749"/>
      <c r="AU160" s="564"/>
      <c r="AV160" s="657"/>
      <c r="AW160" s="750" t="s">
        <v>179</v>
      </c>
      <c r="AX160" s="697"/>
      <c r="AY160" s="697"/>
      <c r="BA160" s="1424">
        <f ca="1">NOW()</f>
        <v>43109.693275578706</v>
      </c>
      <c r="BB160" s="1424"/>
      <c r="BC160" s="1424"/>
      <c r="BD160" s="1424"/>
      <c r="BE160" s="777"/>
      <c r="BF160" s="777"/>
      <c r="BG160" s="777"/>
      <c r="BH160" s="564"/>
      <c r="BI160" s="777"/>
      <c r="BJ160" s="777"/>
      <c r="BK160" s="777"/>
      <c r="BL160" s="777"/>
      <c r="BM160" s="777"/>
      <c r="BN160" s="777"/>
      <c r="BO160" s="777"/>
      <c r="BP160" s="564"/>
      <c r="BQ160" s="494"/>
      <c r="BR160" s="494"/>
      <c r="BS160" s="494"/>
      <c r="BT160" s="657"/>
      <c r="BU160" s="657"/>
      <c r="BV160" s="657"/>
      <c r="BW160" s="777"/>
      <c r="BX160" s="777"/>
      <c r="BY160" s="777"/>
      <c r="BZ160" s="777"/>
      <c r="CA160" s="777"/>
      <c r="CB160" s="777"/>
      <c r="CC160" s="777"/>
      <c r="CD160" s="777"/>
      <c r="CE160" s="777"/>
      <c r="CF160" s="777"/>
      <c r="CG160" s="777"/>
      <c r="CH160" s="777"/>
      <c r="CI160" s="777"/>
      <c r="CJ160" s="494"/>
      <c r="CK160" s="494"/>
      <c r="CL160" s="494"/>
      <c r="CM160" s="657"/>
      <c r="CN160" s="657"/>
      <c r="CO160" s="657"/>
      <c r="CP160" s="777"/>
      <c r="CQ160" s="749"/>
      <c r="CR160" s="749"/>
      <c r="CS160" s="655"/>
      <c r="CT160" s="749"/>
      <c r="CU160" s="564"/>
      <c r="CV160" s="564"/>
      <c r="CW160" s="750" t="s">
        <v>179</v>
      </c>
      <c r="CX160" s="697"/>
      <c r="CY160" s="697"/>
      <c r="CZ160" s="655"/>
      <c r="DA160" s="1424"/>
      <c r="DB160" s="1424"/>
      <c r="DC160" s="1424"/>
      <c r="DD160" s="1424"/>
    </row>
    <row r="161" spans="1:108" ht="16.5" thickBot="1">
      <c r="A161" s="991"/>
      <c r="B161" s="991"/>
      <c r="C161" s="991"/>
      <c r="D161" s="617"/>
      <c r="E161" s="1403" t="str">
        <f>E3</f>
        <v>17/3</v>
      </c>
      <c r="F161" s="1404"/>
      <c r="G161" s="1406"/>
      <c r="H161" s="1405">
        <v>0</v>
      </c>
      <c r="I161" s="1403" t="str">
        <f>I3</f>
        <v>17/4</v>
      </c>
      <c r="J161" s="1404"/>
      <c r="K161" s="1406"/>
      <c r="L161" s="1405">
        <v>0</v>
      </c>
      <c r="M161" s="1403" t="str">
        <f>M3</f>
        <v>17/5</v>
      </c>
      <c r="N161" s="1404"/>
      <c r="O161" s="1406"/>
      <c r="P161" s="1405">
        <v>0</v>
      </c>
      <c r="Q161" s="1403" t="str">
        <f>Q3</f>
        <v>17/3-17/5累計</v>
      </c>
      <c r="R161" s="1404"/>
      <c r="S161" s="1404"/>
      <c r="T161" s="1406"/>
      <c r="U161" s="1404"/>
      <c r="V161" s="1404"/>
      <c r="W161" s="1405"/>
      <c r="X161" s="1403" t="str">
        <f>X3</f>
        <v>17/6</v>
      </c>
      <c r="Y161" s="1404"/>
      <c r="Z161" s="1406"/>
      <c r="AA161" s="1405">
        <v>0</v>
      </c>
      <c r="AB161" s="1403" t="str">
        <f>AB3</f>
        <v>17/7</v>
      </c>
      <c r="AC161" s="1404"/>
      <c r="AD161" s="1406"/>
      <c r="AE161" s="1405">
        <v>0</v>
      </c>
      <c r="AF161" s="1403" t="str">
        <f>AF3</f>
        <v>17/8</v>
      </c>
      <c r="AG161" s="1404"/>
      <c r="AH161" s="1406"/>
      <c r="AI161" s="1405">
        <v>0</v>
      </c>
      <c r="AJ161" s="1403" t="str">
        <f>AJ3</f>
        <v>17/6-17/8累計</v>
      </c>
      <c r="AK161" s="1404"/>
      <c r="AL161" s="1404"/>
      <c r="AM161" s="1406"/>
      <c r="AN161" s="1404"/>
      <c r="AO161" s="1404"/>
      <c r="AP161" s="1405"/>
      <c r="AQ161" s="1407" t="str">
        <f>AQ3</f>
        <v>17/上(17/3-17/8)累計</v>
      </c>
      <c r="AR161" s="1408"/>
      <c r="AS161" s="1408"/>
      <c r="AT161" s="1408"/>
      <c r="AU161" s="1408"/>
      <c r="AV161" s="1408"/>
      <c r="AW161" s="1409"/>
      <c r="AX161" s="674"/>
      <c r="AY161" s="675"/>
      <c r="AZ161" s="676"/>
      <c r="BA161" s="495"/>
      <c r="BB161" s="495"/>
      <c r="BC161" s="495"/>
      <c r="BD161" s="495"/>
      <c r="BE161" s="1403" t="str">
        <f>BE3</f>
        <v>17/9</v>
      </c>
      <c r="BF161" s="1406"/>
      <c r="BG161" s="1406"/>
      <c r="BH161" s="1405">
        <v>0</v>
      </c>
      <c r="BI161" s="1403" t="str">
        <f>BI3</f>
        <v>17/10</v>
      </c>
      <c r="BJ161" s="1404"/>
      <c r="BK161" s="1406"/>
      <c r="BL161" s="1405">
        <v>0</v>
      </c>
      <c r="BM161" s="1403" t="str">
        <f>BM3</f>
        <v>17/11</v>
      </c>
      <c r="BN161" s="1404"/>
      <c r="BO161" s="1406"/>
      <c r="BP161" s="1405">
        <v>0</v>
      </c>
      <c r="BQ161" s="1403" t="str">
        <f>BQ3</f>
        <v>17/9-17/11累計</v>
      </c>
      <c r="BR161" s="1404"/>
      <c r="BS161" s="1404"/>
      <c r="BT161" s="1406"/>
      <c r="BU161" s="1404"/>
      <c r="BV161" s="1404"/>
      <c r="BW161" s="1405"/>
      <c r="BX161" s="1403" t="str">
        <f>BX3</f>
        <v>17/12</v>
      </c>
      <c r="BY161" s="1404"/>
      <c r="BZ161" s="1406"/>
      <c r="CA161" s="1405">
        <v>0</v>
      </c>
      <c r="CB161" s="1403" t="str">
        <f>CB3</f>
        <v>18/1</v>
      </c>
      <c r="CC161" s="1404"/>
      <c r="CD161" s="1406"/>
      <c r="CE161" s="1405">
        <v>0</v>
      </c>
      <c r="CF161" s="1403" t="str">
        <f>CF3</f>
        <v>18/2</v>
      </c>
      <c r="CG161" s="1404"/>
      <c r="CH161" s="1406"/>
      <c r="CI161" s="1405">
        <v>0</v>
      </c>
      <c r="CJ161" s="1403" t="str">
        <f>CJ3</f>
        <v>17/12-18/2累計</v>
      </c>
      <c r="CK161" s="1404"/>
      <c r="CL161" s="1404"/>
      <c r="CM161" s="1406"/>
      <c r="CN161" s="1404"/>
      <c r="CO161" s="1404"/>
      <c r="CP161" s="1405"/>
      <c r="CQ161" s="1407" t="str">
        <f>CQ3</f>
        <v>17/下(17/12-18/2)累計</v>
      </c>
      <c r="CR161" s="1408"/>
      <c r="CS161" s="1408"/>
      <c r="CT161" s="1408"/>
      <c r="CU161" s="1408"/>
      <c r="CV161" s="1408"/>
      <c r="CW161" s="1409"/>
      <c r="CX161" s="674"/>
      <c r="CY161" s="675"/>
      <c r="CZ161" s="1383"/>
      <c r="DA161" s="1383"/>
      <c r="DB161" s="1387"/>
      <c r="DC161" s="495"/>
      <c r="DD161" s="495"/>
    </row>
    <row r="162" spans="1:108" ht="16.5" thickTop="1">
      <c r="A162" s="491"/>
      <c r="B162" s="491"/>
      <c r="C162" s="491"/>
      <c r="D162" s="652"/>
      <c r="E162" s="910" t="s">
        <v>168</v>
      </c>
      <c r="F162" s="779" t="str">
        <f>F4</f>
        <v>今回計画</v>
      </c>
      <c r="G162" s="780" t="str">
        <f>G4</f>
        <v>実績</v>
      </c>
      <c r="H162" s="911" t="s">
        <v>170</v>
      </c>
      <c r="I162" s="910" t="s">
        <v>168</v>
      </c>
      <c r="J162" s="779" t="str">
        <f>J4</f>
        <v>前回計画</v>
      </c>
      <c r="K162" s="780" t="str">
        <f>K4</f>
        <v>実績</v>
      </c>
      <c r="L162" s="911" t="s">
        <v>170</v>
      </c>
      <c r="M162" s="910" t="s">
        <v>168</v>
      </c>
      <c r="N162" s="779" t="str">
        <f>N4</f>
        <v>前回計画</v>
      </c>
      <c r="O162" s="780" t="str">
        <f>O4</f>
        <v>実績</v>
      </c>
      <c r="P162" s="911" t="s">
        <v>170</v>
      </c>
      <c r="Q162" s="590" t="s">
        <v>168</v>
      </c>
      <c r="R162" s="783" t="str">
        <f>R4</f>
        <v>目標</v>
      </c>
      <c r="S162" s="500" t="s">
        <v>422</v>
      </c>
      <c r="T162" s="498" t="str">
        <f>T4</f>
        <v>今回見通</v>
      </c>
      <c r="U162" s="497" t="s">
        <v>425</v>
      </c>
      <c r="V162" s="502" t="str">
        <f>V4</f>
        <v>目標差異</v>
      </c>
      <c r="W162" s="501" t="s">
        <v>424</v>
      </c>
      <c r="X162" s="910" t="s">
        <v>168</v>
      </c>
      <c r="Y162" s="779" t="str">
        <f>Y4</f>
        <v>計画</v>
      </c>
      <c r="Z162" s="780" t="str">
        <f>Z4</f>
        <v>実績</v>
      </c>
      <c r="AA162" s="911" t="s">
        <v>170</v>
      </c>
      <c r="AB162" s="910" t="s">
        <v>168</v>
      </c>
      <c r="AC162" s="779" t="str">
        <f>AC4</f>
        <v>今回計画</v>
      </c>
      <c r="AD162" s="780" t="str">
        <f>AD4</f>
        <v>実績</v>
      </c>
      <c r="AE162" s="911" t="s">
        <v>170</v>
      </c>
      <c r="AF162" s="910" t="s">
        <v>168</v>
      </c>
      <c r="AG162" s="779" t="str">
        <f>AG4</f>
        <v>前回計画</v>
      </c>
      <c r="AH162" s="780" t="str">
        <f>AH4</f>
        <v>実績</v>
      </c>
      <c r="AI162" s="911" t="s">
        <v>170</v>
      </c>
      <c r="AJ162" s="499" t="s">
        <v>168</v>
      </c>
      <c r="AK162" s="783" t="str">
        <f>AK4</f>
        <v>目標</v>
      </c>
      <c r="AL162" s="500" t="s">
        <v>464</v>
      </c>
      <c r="AM162" s="498" t="str">
        <f>AM4</f>
        <v>今回見通</v>
      </c>
      <c r="AN162" s="500" t="s">
        <v>461</v>
      </c>
      <c r="AO162" s="502" t="str">
        <f>AO4</f>
        <v>目標差異</v>
      </c>
      <c r="AP162" s="501" t="s">
        <v>465</v>
      </c>
      <c r="AQ162" s="496" t="s">
        <v>168</v>
      </c>
      <c r="AR162" s="678" t="str">
        <f>AR4</f>
        <v>目標</v>
      </c>
      <c r="AS162" s="504" t="s">
        <v>171</v>
      </c>
      <c r="AT162" s="498" t="str">
        <f>AT4</f>
        <v>今回見通</v>
      </c>
      <c r="AU162" s="546" t="s">
        <v>461</v>
      </c>
      <c r="AV162" s="497" t="str">
        <f>AV4</f>
        <v>目標差異</v>
      </c>
      <c r="AW162" s="501" t="s">
        <v>465</v>
      </c>
      <c r="AX162" s="677" t="s">
        <v>180</v>
      </c>
      <c r="AY162" s="682" t="str">
        <f>AY4</f>
        <v>目標平均</v>
      </c>
      <c r="AZ162" s="681" t="str">
        <f>AZ4</f>
        <v>見通し平均</v>
      </c>
      <c r="BA162" s="510"/>
      <c r="BB162" s="493" t="s">
        <v>457</v>
      </c>
      <c r="BD162" s="493" t="s">
        <v>460</v>
      </c>
      <c r="BE162" s="910" t="s">
        <v>168</v>
      </c>
      <c r="BF162" s="779" t="str">
        <f>BF4</f>
        <v>前回計画</v>
      </c>
      <c r="BG162" s="780" t="str">
        <f>BG4</f>
        <v>実績</v>
      </c>
      <c r="BH162" s="591" t="s">
        <v>170</v>
      </c>
      <c r="BI162" s="910" t="str">
        <f>BI4</f>
        <v>レビュー</v>
      </c>
      <c r="BJ162" s="779" t="str">
        <f>BJ4</f>
        <v>前回計画</v>
      </c>
      <c r="BK162" s="780" t="str">
        <f>BK4</f>
        <v>実績</v>
      </c>
      <c r="BL162" s="911" t="s">
        <v>170</v>
      </c>
      <c r="BM162" s="910" t="str">
        <f>BM4</f>
        <v>レビュー</v>
      </c>
      <c r="BN162" s="779" t="str">
        <f>BN4</f>
        <v>計画</v>
      </c>
      <c r="BO162" s="780" t="str">
        <f>BO4</f>
        <v>実績</v>
      </c>
      <c r="BP162" s="591" t="s">
        <v>170</v>
      </c>
      <c r="BQ162" s="910" t="str">
        <f>BQ4</f>
        <v>レビュー</v>
      </c>
      <c r="BR162" s="500"/>
      <c r="BS162" s="497" t="s">
        <v>501</v>
      </c>
      <c r="BT162" s="498" t="str">
        <f>BT4</f>
        <v>実績</v>
      </c>
      <c r="BU162" s="497" t="str">
        <f>BU4</f>
        <v>レビュー差異</v>
      </c>
      <c r="BV162" s="502"/>
      <c r="BW162" s="501" t="s">
        <v>504</v>
      </c>
      <c r="BX162" s="910" t="str">
        <f>BX4</f>
        <v>レビュー</v>
      </c>
      <c r="BY162" s="779" t="str">
        <f>BY4</f>
        <v>前回計画</v>
      </c>
      <c r="BZ162" s="780" t="str">
        <f>BZ4</f>
        <v>実績</v>
      </c>
      <c r="CA162" s="911" t="s">
        <v>170</v>
      </c>
      <c r="CB162" s="910" t="str">
        <f>CB4</f>
        <v>レビュー</v>
      </c>
      <c r="CC162" s="779" t="str">
        <f>CC4</f>
        <v>前回計画</v>
      </c>
      <c r="CD162" s="782" t="str">
        <f>CD4</f>
        <v>今回計画</v>
      </c>
      <c r="CE162" s="911" t="s">
        <v>170</v>
      </c>
      <c r="CF162" s="910" t="str">
        <f>CF4</f>
        <v>レビュー</v>
      </c>
      <c r="CG162" s="779" t="str">
        <f>CG4</f>
        <v>前回計画</v>
      </c>
      <c r="CH162" s="782" t="str">
        <f>CH4</f>
        <v>今回計画</v>
      </c>
      <c r="CI162" s="911" t="s">
        <v>170</v>
      </c>
      <c r="CJ162" s="499" t="str">
        <f>CJ4</f>
        <v>レビュー</v>
      </c>
      <c r="CK162" s="500"/>
      <c r="CL162" s="500" t="s">
        <v>547</v>
      </c>
      <c r="CM162" s="498" t="str">
        <f>CM4</f>
        <v>今回見通</v>
      </c>
      <c r="CN162" s="500" t="str">
        <f>CN4</f>
        <v>レビュー差異</v>
      </c>
      <c r="CO162" s="500"/>
      <c r="CP162" s="501" t="s">
        <v>548</v>
      </c>
      <c r="CQ162" s="496" t="str">
        <f>CQ4</f>
        <v>レビュー</v>
      </c>
      <c r="CR162" s="504"/>
      <c r="CS162" s="504" t="s">
        <v>171</v>
      </c>
      <c r="CT162" s="498" t="str">
        <f>CT4</f>
        <v>今回見通</v>
      </c>
      <c r="CU162" s="546" t="str">
        <f>CU4</f>
        <v>レビュー差異</v>
      </c>
      <c r="CV162" s="546"/>
      <c r="CW162" s="501" t="s">
        <v>539</v>
      </c>
      <c r="CX162" s="677" t="s">
        <v>180</v>
      </c>
      <c r="CY162" s="681" t="str">
        <f>CY4</f>
        <v>見通し平均</v>
      </c>
      <c r="CZ162" s="1385"/>
      <c r="DA162" s="556" t="s">
        <v>512</v>
      </c>
      <c r="DB162" s="556" t="s">
        <v>513</v>
      </c>
      <c r="DC162" s="493"/>
      <c r="DD162" s="493"/>
    </row>
    <row r="163" spans="1:108">
      <c r="A163" s="1031"/>
      <c r="B163" s="1423" t="s">
        <v>165</v>
      </c>
      <c r="C163" s="1421"/>
      <c r="D163" s="1032"/>
      <c r="E163" s="944">
        <v>0.05</v>
      </c>
      <c r="F163" s="945">
        <v>0.05</v>
      </c>
      <c r="G163" s="946">
        <f>G164/G5</f>
        <v>0.10382385371095937</v>
      </c>
      <c r="H163" s="947"/>
      <c r="I163" s="1102">
        <v>0.05</v>
      </c>
      <c r="J163" s="1103">
        <v>6.2E-2</v>
      </c>
      <c r="K163" s="1104">
        <v>4.5701172513556897E-2</v>
      </c>
      <c r="L163" s="1105"/>
      <c r="M163" s="1102">
        <v>0.05</v>
      </c>
      <c r="N163" s="1103">
        <v>6.2E-2</v>
      </c>
      <c r="O163" s="1104">
        <v>6.2558778174663612E-2</v>
      </c>
      <c r="P163" s="1105"/>
      <c r="Q163" s="1102">
        <f>Q164/Q5</f>
        <v>0.05</v>
      </c>
      <c r="R163" s="1106">
        <v>0.05</v>
      </c>
      <c r="S163" s="1107">
        <f>S164/S5</f>
        <v>8.3431336270291992E-2</v>
      </c>
      <c r="T163" s="1108">
        <f>T164/T5</f>
        <v>8.1780484896924882E-2</v>
      </c>
      <c r="U163" s="1108"/>
      <c r="V163" s="1109"/>
      <c r="W163" s="1089"/>
      <c r="X163" s="1102">
        <v>0.05</v>
      </c>
      <c r="Y163" s="1103">
        <v>0.06</v>
      </c>
      <c r="Z163" s="1104">
        <v>4.1520000000000001E-2</v>
      </c>
      <c r="AA163" s="1105"/>
      <c r="AB163" s="1102">
        <v>0.05</v>
      </c>
      <c r="AC163" s="1103">
        <v>0.06</v>
      </c>
      <c r="AD163" s="1104">
        <v>4.6995035671661835E-2</v>
      </c>
      <c r="AE163" s="1105"/>
      <c r="AF163" s="1102">
        <v>0.05</v>
      </c>
      <c r="AG163" s="1103">
        <v>0.05</v>
      </c>
      <c r="AH163" s="1104">
        <v>5.9771051703091133E-2</v>
      </c>
      <c r="AI163" s="1105"/>
      <c r="AJ163" s="1110">
        <f>AJ164/AJ5</f>
        <v>4.9999999999999996E-2</v>
      </c>
      <c r="AK163" s="1106">
        <v>0.05</v>
      </c>
      <c r="AL163" s="1111">
        <f>AL164/AL5</f>
        <v>5.6637910166338963E-2</v>
      </c>
      <c r="AM163" s="1108">
        <f>AM164/AM5</f>
        <v>4.7859812601440545E-2</v>
      </c>
      <c r="AN163" s="1111"/>
      <c r="AO163" s="1109"/>
      <c r="AP163" s="1089"/>
      <c r="AQ163" s="1110">
        <f>AQ164/AQ5</f>
        <v>4.9999999999999996E-2</v>
      </c>
      <c r="AR163" s="1108">
        <f>AR164/AR5</f>
        <v>0.05</v>
      </c>
      <c r="AS163" s="1111">
        <f>AS164/AS5</f>
        <v>7.2726187493042382E-2</v>
      </c>
      <c r="AT163" s="1108">
        <f>AT164/AT5</f>
        <v>6.8119770519818254E-2</v>
      </c>
      <c r="AU163" s="1112"/>
      <c r="AV163" s="1108"/>
      <c r="AW163" s="1087"/>
      <c r="AX163" s="1128"/>
      <c r="AY163" s="1131"/>
      <c r="AZ163" s="1131"/>
      <c r="BA163" s="1248"/>
      <c r="BB163" s="1248"/>
      <c r="BC163" s="1248"/>
      <c r="BD163" s="1248"/>
      <c r="BE163" s="1102">
        <v>0.05</v>
      </c>
      <c r="BF163" s="1103">
        <v>0.05</v>
      </c>
      <c r="BG163" s="1104">
        <v>5.1155231836200965E-2</v>
      </c>
      <c r="BH163" s="1105"/>
      <c r="BI163" s="1102">
        <v>0.05</v>
      </c>
      <c r="BJ163" s="1103">
        <v>0.05</v>
      </c>
      <c r="BK163" s="1361">
        <f>BK164/BK5</f>
        <v>4.9715458770958211E-2</v>
      </c>
      <c r="BL163" s="1105"/>
      <c r="BM163" s="1102">
        <v>0.05</v>
      </c>
      <c r="BN163" s="1103">
        <v>0.05</v>
      </c>
      <c r="BO163" s="1104">
        <f>BO164/BO5</f>
        <v>3.8899648073486198E-2</v>
      </c>
      <c r="BP163" s="1105"/>
      <c r="BQ163" s="1102">
        <f>BQ164/BQ5</f>
        <v>0.05</v>
      </c>
      <c r="BR163" s="1111"/>
      <c r="BS163" s="1108">
        <f>BS164/BS5</f>
        <v>0.05</v>
      </c>
      <c r="BT163" s="1108">
        <f>BT164/BT5</f>
        <v>4.7203822630795415E-2</v>
      </c>
      <c r="BU163" s="1108"/>
      <c r="BV163" s="1109"/>
      <c r="BW163" s="1089"/>
      <c r="BX163" s="1102">
        <v>0.05</v>
      </c>
      <c r="BY163" s="1103">
        <v>0.05</v>
      </c>
      <c r="BZ163" s="1104">
        <f>BZ164/BZ5</f>
        <v>4.2166311720551616E-2</v>
      </c>
      <c r="CA163" s="1105"/>
      <c r="CB163" s="1102">
        <v>5.0900000000000001E-2</v>
      </c>
      <c r="CC163" s="1103">
        <v>0.05</v>
      </c>
      <c r="CD163" s="1277">
        <f>CC163</f>
        <v>0.05</v>
      </c>
      <c r="CE163" s="1105"/>
      <c r="CF163" s="1102">
        <v>0.05</v>
      </c>
      <c r="CG163" s="1103">
        <v>0.05</v>
      </c>
      <c r="CH163" s="1277">
        <f>CG163</f>
        <v>0.05</v>
      </c>
      <c r="CI163" s="1105"/>
      <c r="CJ163" s="1110">
        <f>CJ164/CJ5</f>
        <v>4.9996732026143791E-2</v>
      </c>
      <c r="CK163" s="1111"/>
      <c r="CL163" s="1111">
        <f>CL164/CL5</f>
        <v>0.05</v>
      </c>
      <c r="CM163" s="1108">
        <f>CM164/CM5</f>
        <v>4.6926749288561546E-2</v>
      </c>
      <c r="CN163" s="1111"/>
      <c r="CO163" s="1111"/>
      <c r="CP163" s="1089"/>
      <c r="CQ163" s="1110">
        <f>CQ164/CQ5</f>
        <v>4.999862258953168E-2</v>
      </c>
      <c r="CR163" s="1111"/>
      <c r="CS163" s="1111">
        <f>CS164/CS5</f>
        <v>0.05</v>
      </c>
      <c r="CT163" s="1108">
        <f>CT164/CT5</f>
        <v>4.7081923434144975E-2</v>
      </c>
      <c r="CU163" s="1112"/>
      <c r="CV163" s="1112"/>
      <c r="CW163" s="1087">
        <f>CT164/CS164</f>
        <v>0.88791582801229774</v>
      </c>
      <c r="CX163" s="1128"/>
      <c r="CY163" s="1131"/>
      <c r="CZ163" s="1248"/>
      <c r="DA163" s="1248"/>
      <c r="DB163" s="1248"/>
      <c r="DC163" s="950"/>
      <c r="DD163" s="950"/>
    </row>
    <row r="164" spans="1:108">
      <c r="A164" s="992"/>
      <c r="B164" s="1412" t="s">
        <v>377</v>
      </c>
      <c r="C164" s="1413"/>
      <c r="D164" s="1009"/>
      <c r="E164" s="695">
        <f>E163*E5</f>
        <v>299.14529914529919</v>
      </c>
      <c r="F164" s="800">
        <f>F163*F5</f>
        <v>341.88034188034192</v>
      </c>
      <c r="G164" s="801">
        <v>1585.39912</v>
      </c>
      <c r="H164" s="867">
        <f>G164-F164</f>
        <v>1243.5187781196582</v>
      </c>
      <c r="I164" s="695">
        <f>I163*I5</f>
        <v>329.0598290598291</v>
      </c>
      <c r="J164" s="800">
        <f>J163*J5</f>
        <v>476.92307692307691</v>
      </c>
      <c r="K164" s="801">
        <f>K163*K5</f>
        <v>264.86429048044789</v>
      </c>
      <c r="L164" s="867">
        <f>K164-J164</f>
        <v>-212.05878644262901</v>
      </c>
      <c r="M164" s="695">
        <f>M163*M5</f>
        <v>358.97435897435901</v>
      </c>
      <c r="N164" s="800">
        <f>N163*N5</f>
        <v>423.93162393162396</v>
      </c>
      <c r="O164" s="801">
        <f>O163*O5</f>
        <v>414.97322855860199</v>
      </c>
      <c r="P164" s="867">
        <f>O164-N164</f>
        <v>-8.9583953730219719</v>
      </c>
      <c r="Q164" s="767">
        <f>E164+I164+M164</f>
        <v>987.1794871794873</v>
      </c>
      <c r="R164" s="951">
        <f>R163*R5</f>
        <v>987.1794871794873</v>
      </c>
      <c r="S164" s="952">
        <f>G164+J164+N164</f>
        <v>2486.2538208547012</v>
      </c>
      <c r="T164" s="699">
        <f>G164+K164+O164</f>
        <v>2265.2366390390498</v>
      </c>
      <c r="U164" s="699">
        <f>T164-Q164</f>
        <v>1278.0571518595625</v>
      </c>
      <c r="V164" s="717">
        <f>T164-R164</f>
        <v>1278.0571518595625</v>
      </c>
      <c r="W164" s="688">
        <f>T164-S164</f>
        <v>-221.01718181565138</v>
      </c>
      <c r="X164" s="695">
        <f>X163*X5</f>
        <v>358.97435897435901</v>
      </c>
      <c r="Y164" s="800">
        <f>Y163*Y5</f>
        <v>358.96697435897437</v>
      </c>
      <c r="Z164" s="801">
        <f>Z163*Z5</f>
        <v>328.19324591589742</v>
      </c>
      <c r="AA164" s="867">
        <f>Z164-Y164</f>
        <v>-30.773728443076948</v>
      </c>
      <c r="AB164" s="695">
        <f>AB163*AB5</f>
        <v>358.97435897435901</v>
      </c>
      <c r="AC164" s="800">
        <f>AC163*AC5</f>
        <v>430.76923076923077</v>
      </c>
      <c r="AD164" s="801">
        <f>AD163*AD5</f>
        <v>287.63897052618364</v>
      </c>
      <c r="AE164" s="867">
        <f>AD164-AC164</f>
        <v>-143.13026024304713</v>
      </c>
      <c r="AF164" s="695">
        <f>AF163*AF5</f>
        <v>333.33333333333337</v>
      </c>
      <c r="AG164" s="800">
        <f>AG163*AG5</f>
        <v>333.33333333333337</v>
      </c>
      <c r="AH164" s="801">
        <f>AH163*AH5</f>
        <v>278.02831652454296</v>
      </c>
      <c r="AI164" s="867">
        <f>AH164-AG164</f>
        <v>-55.305016808790413</v>
      </c>
      <c r="AJ164" s="702">
        <f>X164+AB164+AF164</f>
        <v>1051.2820512820513</v>
      </c>
      <c r="AK164" s="951">
        <f>AK163*AK5</f>
        <v>1051.2820512820515</v>
      </c>
      <c r="AL164" s="721">
        <f>Y164+AC164+AG164</f>
        <v>1123.0695384615385</v>
      </c>
      <c r="AM164" s="699">
        <f>Z164+AD164+AH164</f>
        <v>893.86053296662408</v>
      </c>
      <c r="AN164" s="721">
        <f>AM164-AJ164</f>
        <v>-157.42151831542719</v>
      </c>
      <c r="AO164" s="717">
        <f>AM164-AK164</f>
        <v>-157.42151831542742</v>
      </c>
      <c r="AP164" s="688">
        <f>AM164-AL164</f>
        <v>-229.20900549491444</v>
      </c>
      <c r="AQ164" s="700">
        <f>SUM(Q164,AJ164)</f>
        <v>2038.4615384615386</v>
      </c>
      <c r="AR164" s="699">
        <f>SUM(R164,AK164)</f>
        <v>2038.4615384615388</v>
      </c>
      <c r="AS164" s="613">
        <f>S164+AL164</f>
        <v>3609.3233593162395</v>
      </c>
      <c r="AT164" s="760">
        <f>SUM(T164,AM164)</f>
        <v>3159.0971720056741</v>
      </c>
      <c r="AU164" s="717">
        <f>AT164-AQ164</f>
        <v>1120.6356335441355</v>
      </c>
      <c r="AV164" s="699">
        <f>AT164-AR164</f>
        <v>1120.6356335441353</v>
      </c>
      <c r="AW164" s="688">
        <f>AT164-AS164</f>
        <v>-450.22618731056536</v>
      </c>
      <c r="AX164" s="695"/>
      <c r="AY164" s="696"/>
      <c r="AZ164" s="696"/>
      <c r="BA164" s="697"/>
      <c r="BB164" s="697"/>
      <c r="BC164" s="697"/>
      <c r="BD164" s="697"/>
      <c r="BE164" s="695">
        <f>BE163*BE5</f>
        <v>350.42735042735046</v>
      </c>
      <c r="BF164" s="800">
        <f>BF163*BF5</f>
        <v>350.42735042735046</v>
      </c>
      <c r="BG164" s="801">
        <f>BG163*BG5</f>
        <v>358.81290996939424</v>
      </c>
      <c r="BH164" s="867">
        <f>BG164-BF164</f>
        <v>8.3855595420437794</v>
      </c>
      <c r="BI164" s="695">
        <f>BI163*BI5</f>
        <v>277.77777777777777</v>
      </c>
      <c r="BJ164" s="800">
        <f>BJ163*BJ5</f>
        <v>235.04273504273507</v>
      </c>
      <c r="BK164" s="1362">
        <v>219.93443000000005</v>
      </c>
      <c r="BL164" s="867">
        <f>BK164-BJ164</f>
        <v>-15.108305042735026</v>
      </c>
      <c r="BM164" s="695">
        <f>BM163*BM5</f>
        <v>269.23076923076923</v>
      </c>
      <c r="BN164" s="800">
        <f>BN163*BN5</f>
        <v>256.41025641025647</v>
      </c>
      <c r="BO164" s="801">
        <v>181.87967994680395</v>
      </c>
      <c r="BP164" s="867">
        <f>BO164-BN164</f>
        <v>-74.530576463452519</v>
      </c>
      <c r="BQ164" s="767">
        <f>BE164+BI164+BM164</f>
        <v>897.43589743589746</v>
      </c>
      <c r="BR164" s="721"/>
      <c r="BS164" s="699">
        <f>BF164+BJ164+BN164</f>
        <v>841.88034188034203</v>
      </c>
      <c r="BT164" s="699">
        <f>BG164+BK164+BO164</f>
        <v>760.62701991619815</v>
      </c>
      <c r="BU164" s="699">
        <f>BT164-BQ164</f>
        <v>-136.80887751969931</v>
      </c>
      <c r="BV164" s="717"/>
      <c r="BW164" s="688">
        <f>BT164-BS164</f>
        <v>-81.253321964143879</v>
      </c>
      <c r="BX164" s="695">
        <f>BX163*BX5</f>
        <v>269.23076923076923</v>
      </c>
      <c r="BY164" s="800">
        <f>BY163*BY5</f>
        <v>299.14529914529919</v>
      </c>
      <c r="BZ164" s="801">
        <v>209.39841000000001</v>
      </c>
      <c r="CA164" s="867">
        <f>BZ164-BY164</f>
        <v>-89.746889145299178</v>
      </c>
      <c r="CB164" s="695">
        <v>235</v>
      </c>
      <c r="CC164" s="800">
        <f>CC163*CC5</f>
        <v>213.67521367521368</v>
      </c>
      <c r="CD164" s="803">
        <f>CD163*CD5</f>
        <v>213.67521367521368</v>
      </c>
      <c r="CE164" s="867">
        <f>CD164-CC164</f>
        <v>0</v>
      </c>
      <c r="CF164" s="695">
        <f>CF163*CF5</f>
        <v>149.5726495726496</v>
      </c>
      <c r="CG164" s="800">
        <f>CG163*CG5</f>
        <v>170.94017094017096</v>
      </c>
      <c r="CH164" s="803">
        <f>CH163*CH5</f>
        <v>170.94017094017096</v>
      </c>
      <c r="CI164" s="867">
        <f>CH164-CG164</f>
        <v>0</v>
      </c>
      <c r="CJ164" s="702">
        <f>BX164+CB164+CF164</f>
        <v>653.80341880341882</v>
      </c>
      <c r="CK164" s="721"/>
      <c r="CL164" s="721">
        <f>BY164+CC164+CG164</f>
        <v>683.76068376068383</v>
      </c>
      <c r="CM164" s="699">
        <f>BZ164+CD164+CH164</f>
        <v>594.01379461538465</v>
      </c>
      <c r="CN164" s="721">
        <f>CM164-CJ164</f>
        <v>-59.789624188034168</v>
      </c>
      <c r="CO164" s="721"/>
      <c r="CP164" s="688">
        <f>CM164-CL164</f>
        <v>-89.746889145299178</v>
      </c>
      <c r="CQ164" s="700">
        <f>SUM(BQ164,CJ164)</f>
        <v>1551.2393162393164</v>
      </c>
      <c r="CR164" s="1184"/>
      <c r="CS164" s="613">
        <f>BS164+CL164</f>
        <v>1525.6410256410259</v>
      </c>
      <c r="CT164" s="760">
        <f>SUM(BT164,CM164)</f>
        <v>1354.6408145315827</v>
      </c>
      <c r="CU164" s="717">
        <f>CT164-CQ164</f>
        <v>-196.5985017077337</v>
      </c>
      <c r="CV164" s="717"/>
      <c r="CW164" s="688">
        <f>CT164-CS164</f>
        <v>-171.00021110944317</v>
      </c>
      <c r="CX164" s="695"/>
      <c r="CY164" s="696"/>
      <c r="CZ164" s="723"/>
      <c r="DA164" s="723"/>
      <c r="DB164" s="723"/>
      <c r="DC164" s="697"/>
      <c r="DD164" s="697"/>
    </row>
    <row r="165" spans="1:108">
      <c r="A165" s="1033"/>
      <c r="B165" s="1034"/>
      <c r="C165" s="1035" t="s">
        <v>165</v>
      </c>
      <c r="D165" s="1032"/>
      <c r="E165" s="944"/>
      <c r="F165" s="945"/>
      <c r="G165" s="946"/>
      <c r="H165" s="947"/>
      <c r="I165" s="1102">
        <v>0.18</v>
      </c>
      <c r="J165" s="1103">
        <v>0.18</v>
      </c>
      <c r="K165" s="1104">
        <v>0.13002983041305821</v>
      </c>
      <c r="L165" s="1105"/>
      <c r="M165" s="1102">
        <v>0.18</v>
      </c>
      <c r="N165" s="1103">
        <v>0.18</v>
      </c>
      <c r="O165" s="1104">
        <v>0.14783042674779295</v>
      </c>
      <c r="P165" s="1105"/>
      <c r="Q165" s="1102">
        <f>Q166/Q6</f>
        <v>0.18</v>
      </c>
      <c r="R165" s="1106">
        <v>0.18</v>
      </c>
      <c r="S165" s="1107">
        <f>S166/S6</f>
        <v>0.17999999999999997</v>
      </c>
      <c r="T165" s="1108">
        <f>T166/T6</f>
        <v>0.14645030141402224</v>
      </c>
      <c r="U165" s="1108"/>
      <c r="V165" s="1109"/>
      <c r="W165" s="1089"/>
      <c r="X165" s="1102">
        <v>0.18</v>
      </c>
      <c r="Y165" s="1103">
        <v>0.18</v>
      </c>
      <c r="Z165" s="1104">
        <v>0.14449999999999999</v>
      </c>
      <c r="AA165" s="1105"/>
      <c r="AB165" s="1102">
        <v>0.18</v>
      </c>
      <c r="AC165" s="1103">
        <v>0.18</v>
      </c>
      <c r="AD165" s="1104">
        <v>0.13996070044842138</v>
      </c>
      <c r="AE165" s="1105"/>
      <c r="AF165" s="1102">
        <v>0.18</v>
      </c>
      <c r="AG165" s="1103">
        <v>0.15</v>
      </c>
      <c r="AH165" s="1104">
        <v>0.14845110276409698</v>
      </c>
      <c r="AI165" s="1105"/>
      <c r="AJ165" s="1110">
        <f>AJ166/AJ6</f>
        <v>0.18</v>
      </c>
      <c r="AK165" s="1106">
        <v>0.18</v>
      </c>
      <c r="AL165" s="1111">
        <f>AL166/AL6</f>
        <v>0.16500000000000001</v>
      </c>
      <c r="AM165" s="1108">
        <f>AM166/AM6</f>
        <v>0.14502212506691184</v>
      </c>
      <c r="AN165" s="1111"/>
      <c r="AO165" s="1109"/>
      <c r="AP165" s="1089"/>
      <c r="AQ165" s="1110">
        <f>AQ166/AQ6</f>
        <v>0.17999999999999997</v>
      </c>
      <c r="AR165" s="1108">
        <f>AR166/AR6</f>
        <v>0.18000000000000002</v>
      </c>
      <c r="AS165" s="1108">
        <f>AS166/AS6</f>
        <v>0.16670212765957448</v>
      </c>
      <c r="AT165" s="1108">
        <f>AT166/AT6</f>
        <v>0.14515028133569929</v>
      </c>
      <c r="AU165" s="1112"/>
      <c r="AV165" s="1108"/>
      <c r="AW165" s="1087"/>
      <c r="AX165" s="1128"/>
      <c r="AY165" s="1131"/>
      <c r="AZ165" s="1131"/>
      <c r="BA165" s="1248"/>
      <c r="BB165" s="1248"/>
      <c r="BC165" s="1248"/>
      <c r="BD165" s="1248"/>
      <c r="BE165" s="1102">
        <v>0.25009999999999999</v>
      </c>
      <c r="BF165" s="1103">
        <v>0.193</v>
      </c>
      <c r="BG165" s="1104">
        <v>0.23220225049437765</v>
      </c>
      <c r="BH165" s="1105"/>
      <c r="BI165" s="1102">
        <v>0.25330000000000003</v>
      </c>
      <c r="BJ165" s="1103">
        <v>0.23999999999999996</v>
      </c>
      <c r="BK165" s="1361">
        <f>BK166/BK6</f>
        <v>0.24285312894042993</v>
      </c>
      <c r="BL165" s="1105"/>
      <c r="BM165" s="1102">
        <v>0.25240000000000001</v>
      </c>
      <c r="BN165" s="1103">
        <v>0.23999999999999996</v>
      </c>
      <c r="BO165" s="1104">
        <f>BO166/BO6</f>
        <v>0.22798675160588669</v>
      </c>
      <c r="BP165" s="1105"/>
      <c r="BQ165" s="1102">
        <f>BQ166/BQ6</f>
        <v>0.2519780487804878</v>
      </c>
      <c r="BR165" s="1111"/>
      <c r="BS165" s="1108">
        <f>BS166/BS6</f>
        <v>0.21893103448275858</v>
      </c>
      <c r="BT165" s="1108">
        <f>BT166/BT6</f>
        <v>0.23464701432701152</v>
      </c>
      <c r="BU165" s="1108"/>
      <c r="BV165" s="1109"/>
      <c r="BW165" s="1089"/>
      <c r="BX165" s="1102">
        <v>0.252</v>
      </c>
      <c r="BY165" s="1103">
        <v>0.23285714285714287</v>
      </c>
      <c r="BZ165" s="1104">
        <f>BZ166/BZ6</f>
        <v>0.2259608372053391</v>
      </c>
      <c r="CA165" s="1105"/>
      <c r="CB165" s="1102">
        <v>0.252</v>
      </c>
      <c r="CC165" s="1103">
        <v>0.23333333333333328</v>
      </c>
      <c r="CD165" s="1277">
        <f>CC165</f>
        <v>0.23333333333333328</v>
      </c>
      <c r="CE165" s="1105"/>
      <c r="CF165" s="1102">
        <v>0.247</v>
      </c>
      <c r="CG165" s="1103">
        <v>0.23444444444444448</v>
      </c>
      <c r="CH165" s="1277">
        <f>CG165</f>
        <v>0.23444444444444448</v>
      </c>
      <c r="CI165" s="1105"/>
      <c r="CJ165" s="1110">
        <f>CJ166/CJ6</f>
        <v>0.25097119341563789</v>
      </c>
      <c r="CK165" s="1111"/>
      <c r="CL165" s="1111">
        <f>CL166/CL6</f>
        <v>0.23342857142857143</v>
      </c>
      <c r="CM165" s="1108">
        <f>CM166/CM6</f>
        <v>0.23140143242478509</v>
      </c>
      <c r="CN165" s="1111"/>
      <c r="CO165" s="1111"/>
      <c r="CP165" s="1089"/>
      <c r="CQ165" s="1110">
        <f>CQ166/CQ6</f>
        <v>0.25153360581289741</v>
      </c>
      <c r="CR165" s="1107"/>
      <c r="CS165" s="1108">
        <f>CS166/CS6</f>
        <v>0.22539490445859869</v>
      </c>
      <c r="CT165" s="1108">
        <f>CT166/CT6</f>
        <v>0.23294264246552854</v>
      </c>
      <c r="CU165" s="1112"/>
      <c r="CV165" s="1112"/>
      <c r="CW165" s="1087">
        <f>CT166/CS166</f>
        <v>0.75950971286262747</v>
      </c>
      <c r="CX165" s="1128"/>
      <c r="CY165" s="1131"/>
      <c r="CZ165" s="1248"/>
      <c r="DA165" s="1248"/>
      <c r="DB165" s="1248"/>
      <c r="DC165" s="950"/>
      <c r="DD165" s="950"/>
    </row>
    <row r="166" spans="1:108">
      <c r="A166" s="992"/>
      <c r="B166" s="992"/>
      <c r="C166" s="1036" t="s">
        <v>379</v>
      </c>
      <c r="D166" s="1004"/>
      <c r="E166" s="695"/>
      <c r="F166" s="800"/>
      <c r="G166" s="801"/>
      <c r="H166" s="867"/>
      <c r="I166" s="695">
        <f>I165*I6</f>
        <v>1392.3076923076924</v>
      </c>
      <c r="J166" s="800">
        <f>J165*J6</f>
        <v>338.46153846153845</v>
      </c>
      <c r="K166" s="801">
        <f>K165*K6</f>
        <v>19.083489093920555</v>
      </c>
      <c r="L166" s="867">
        <f>K166-J166</f>
        <v>-319.3780493676179</v>
      </c>
      <c r="M166" s="695">
        <f>M165*M6</f>
        <v>1392.3076923076924</v>
      </c>
      <c r="N166" s="800">
        <f>N165*N6</f>
        <v>153.84615384615384</v>
      </c>
      <c r="O166" s="801">
        <f>O165*O6</f>
        <v>258.13428919184679</v>
      </c>
      <c r="P166" s="867">
        <f>O166-N166</f>
        <v>104.28813534569295</v>
      </c>
      <c r="Q166" s="767">
        <f>E166+I166+M166</f>
        <v>2784.6153846153848</v>
      </c>
      <c r="R166" s="951">
        <f>R165*R6</f>
        <v>4870.7692307692314</v>
      </c>
      <c r="S166" s="952">
        <f>G166+J166+N166</f>
        <v>492.30769230769226</v>
      </c>
      <c r="T166" s="699">
        <f>G166+K166+O166</f>
        <v>277.21777828576734</v>
      </c>
      <c r="U166" s="699">
        <f>T166-Q166</f>
        <v>-2507.3976063296172</v>
      </c>
      <c r="V166" s="717">
        <f>T166-R166</f>
        <v>-4593.5514524834643</v>
      </c>
      <c r="W166" s="688">
        <f>T166-S166</f>
        <v>-215.08991402192493</v>
      </c>
      <c r="X166" s="695">
        <f>X165*X6</f>
        <v>2784.6153846153848</v>
      </c>
      <c r="Y166" s="800">
        <f>Y165*Y6</f>
        <v>615.38461538461536</v>
      </c>
      <c r="Z166" s="801">
        <f>Z165*Z6</f>
        <v>850.208852991453</v>
      </c>
      <c r="AA166" s="867">
        <f>Z166-Y166</f>
        <v>234.82423760683764</v>
      </c>
      <c r="AB166" s="695">
        <f>AB165*AB6</f>
        <v>3200</v>
      </c>
      <c r="AC166" s="800">
        <f>AC165*AC6</f>
        <v>1307.6923076923078</v>
      </c>
      <c r="AD166" s="801">
        <f>AD165*AD6</f>
        <v>702.15914849273122</v>
      </c>
      <c r="AE166" s="867">
        <f>AD166-AC166</f>
        <v>-605.53315919957663</v>
      </c>
      <c r="AF166" s="695">
        <f>AF165*AF6</f>
        <v>3646.1538461538462</v>
      </c>
      <c r="AG166" s="800">
        <f>AG165*AG6</f>
        <v>1602.5641025641025</v>
      </c>
      <c r="AH166" s="801">
        <f>AH165*AH6</f>
        <v>1232.3118899999999</v>
      </c>
      <c r="AI166" s="867">
        <f>AH166-AG166</f>
        <v>-370.25221256410259</v>
      </c>
      <c r="AJ166" s="702">
        <f>X166+AB166+AF166</f>
        <v>9630.7692307692305</v>
      </c>
      <c r="AK166" s="951">
        <f>AK165*AK6</f>
        <v>11384.615384615385</v>
      </c>
      <c r="AL166" s="721">
        <f>Y166+AC166+AG166</f>
        <v>3525.6410256410259</v>
      </c>
      <c r="AM166" s="699">
        <f>Z166+AD166+AH166</f>
        <v>2784.6798914841843</v>
      </c>
      <c r="AN166" s="721">
        <f>AM166-AJ166</f>
        <v>-6846.0893392850467</v>
      </c>
      <c r="AO166" s="717">
        <f>AM166-AK166</f>
        <v>-8599.9354931312009</v>
      </c>
      <c r="AP166" s="688">
        <f>AM166-AL166</f>
        <v>-740.96113415684158</v>
      </c>
      <c r="AQ166" s="702">
        <f>SUM(Q166,AJ166)</f>
        <v>12415.384615384615</v>
      </c>
      <c r="AR166" s="699">
        <f>SUM(R166,AK166)</f>
        <v>16255.384615384617</v>
      </c>
      <c r="AS166" s="613">
        <f>S166+AL166</f>
        <v>4017.9487179487182</v>
      </c>
      <c r="AT166" s="760">
        <f>SUM(T166,AM166)</f>
        <v>3061.8976697699518</v>
      </c>
      <c r="AU166" s="717">
        <f>AT166-AQ166</f>
        <v>-9353.4869456146625</v>
      </c>
      <c r="AV166" s="699">
        <f>AT166-AR166</f>
        <v>-13193.486945614666</v>
      </c>
      <c r="AW166" s="688">
        <f>AT166-AS166</f>
        <v>-956.05104817876645</v>
      </c>
      <c r="AX166" s="695"/>
      <c r="AY166" s="696"/>
      <c r="AZ166" s="696"/>
      <c r="BA166" s="697"/>
      <c r="BB166" s="697"/>
      <c r="BC166" s="697"/>
      <c r="BD166" s="697"/>
      <c r="BE166" s="695">
        <f>BE165*BE6</f>
        <v>4168.333333333333</v>
      </c>
      <c r="BF166" s="800">
        <f>BF165*BF6</f>
        <v>3216.666666666667</v>
      </c>
      <c r="BG166" s="801">
        <f>BG165*BG6</f>
        <v>1653.3070145507957</v>
      </c>
      <c r="BH166" s="867">
        <f>BG166-BF166</f>
        <v>-1563.3596521158713</v>
      </c>
      <c r="BI166" s="695">
        <f>BI165*BI6</f>
        <v>4546.4102564102568</v>
      </c>
      <c r="BJ166" s="800">
        <f>BJ165*BJ6</f>
        <v>2461.5384615384614</v>
      </c>
      <c r="BK166" s="1362">
        <v>2057.1692099999996</v>
      </c>
      <c r="BL166" s="867">
        <f>BK166-BJ166</f>
        <v>-404.36925153846187</v>
      </c>
      <c r="BM166" s="695">
        <f>BM165*BM6</f>
        <v>4530.2564102564102</v>
      </c>
      <c r="BN166" s="800">
        <f>BN165*BN6</f>
        <v>2461.5384615384614</v>
      </c>
      <c r="BO166" s="801">
        <v>1783.6231735132212</v>
      </c>
      <c r="BP166" s="867">
        <f>BO166-BN166</f>
        <v>-677.91528802524022</v>
      </c>
      <c r="BQ166" s="767">
        <f>BE166+BI166+BM166</f>
        <v>13245</v>
      </c>
      <c r="BR166" s="721"/>
      <c r="BS166" s="699">
        <f>BF166+BJ166+BN166</f>
        <v>8139.7435897435898</v>
      </c>
      <c r="BT166" s="699">
        <f>BG166+BK166+BO166</f>
        <v>5494.0993980640169</v>
      </c>
      <c r="BU166" s="699">
        <f>BT166-BQ166</f>
        <v>-7750.9006019359831</v>
      </c>
      <c r="BV166" s="717"/>
      <c r="BW166" s="688">
        <f>BT166-BS166</f>
        <v>-2645.6441916795729</v>
      </c>
      <c r="BX166" s="695">
        <f>BX165*BX6</f>
        <v>4867.6923076923076</v>
      </c>
      <c r="BY166" s="800">
        <f>BY165*BY6</f>
        <v>2786.3247863247866</v>
      </c>
      <c r="BZ166" s="801">
        <v>1795.1186399999997</v>
      </c>
      <c r="CA166" s="867">
        <f>BZ166-BY166</f>
        <v>-991.20614632478691</v>
      </c>
      <c r="CB166" s="695">
        <f>CB165*CB6</f>
        <v>3446.1538461538462</v>
      </c>
      <c r="CC166" s="800">
        <f>CC165*CC6</f>
        <v>2393.1623931623931</v>
      </c>
      <c r="CD166" s="803">
        <f>CD165*CD6</f>
        <v>2393.1623931623931</v>
      </c>
      <c r="CE166" s="867">
        <f>CD166-CC166</f>
        <v>0</v>
      </c>
      <c r="CF166" s="695">
        <f>CF165*CF6</f>
        <v>2111.1111111111109</v>
      </c>
      <c r="CG166" s="800">
        <f>CG165*CG6</f>
        <v>1803.4188034188037</v>
      </c>
      <c r="CH166" s="803">
        <f>CH165*CH6</f>
        <v>1803.4188034188037</v>
      </c>
      <c r="CI166" s="867">
        <f>CH166-CG166</f>
        <v>0</v>
      </c>
      <c r="CJ166" s="702">
        <f>BX166+CB166+CF166</f>
        <v>10424.957264957266</v>
      </c>
      <c r="CK166" s="721"/>
      <c r="CL166" s="721">
        <f>BY166+CC166+CG166</f>
        <v>6982.9059829059834</v>
      </c>
      <c r="CM166" s="699">
        <f>BZ166+CD166+CH166</f>
        <v>5991.6998365811969</v>
      </c>
      <c r="CN166" s="721">
        <f>CM166-CJ166</f>
        <v>-4433.2574283760687</v>
      </c>
      <c r="CO166" s="721"/>
      <c r="CP166" s="688">
        <f>CM166-CL166</f>
        <v>-991.20614632478646</v>
      </c>
      <c r="CQ166" s="702">
        <f>SUM(BQ166,CJ166)</f>
        <v>23669.957264957266</v>
      </c>
      <c r="CR166" s="952"/>
      <c r="CS166" s="613">
        <f>BS166+CL166</f>
        <v>15122.649572649574</v>
      </c>
      <c r="CT166" s="760">
        <f>SUM(BT166,CM166)</f>
        <v>11485.799234645214</v>
      </c>
      <c r="CU166" s="717">
        <f>CT166-CQ166</f>
        <v>-12184.158030312052</v>
      </c>
      <c r="CV166" s="717"/>
      <c r="CW166" s="688">
        <f>CT166-CS166</f>
        <v>-3636.8503380043603</v>
      </c>
      <c r="CX166" s="695"/>
      <c r="CY166" s="696"/>
      <c r="CZ166" s="723"/>
      <c r="DA166" s="723"/>
      <c r="DB166" s="723"/>
      <c r="DC166" s="697"/>
      <c r="DD166" s="697"/>
    </row>
    <row r="167" spans="1:108">
      <c r="A167" s="1033"/>
      <c r="B167" s="1037"/>
      <c r="C167" s="1035" t="s">
        <v>165</v>
      </c>
      <c r="D167" s="1032"/>
      <c r="E167" s="944"/>
      <c r="F167" s="945"/>
      <c r="G167" s="946"/>
      <c r="H167" s="947"/>
      <c r="I167" s="1102">
        <v>0.17899999999999999</v>
      </c>
      <c r="J167" s="1103">
        <v>0.17899999999999999</v>
      </c>
      <c r="K167" s="1104"/>
      <c r="L167" s="1105"/>
      <c r="M167" s="1102">
        <v>0.17899999999999999</v>
      </c>
      <c r="N167" s="1103">
        <v>0.17899999999999999</v>
      </c>
      <c r="O167" s="1104">
        <v>0.2201646245332263</v>
      </c>
      <c r="P167" s="1105"/>
      <c r="Q167" s="1102">
        <f>Q168/Q7</f>
        <v>0.17899999999999999</v>
      </c>
      <c r="R167" s="1106">
        <v>0.17899999999999999</v>
      </c>
      <c r="S167" s="1107">
        <f>S168/S7</f>
        <v>0.17899999999999999</v>
      </c>
      <c r="T167" s="1108">
        <f>T168/T7</f>
        <v>0.2201646245332263</v>
      </c>
      <c r="U167" s="1108"/>
      <c r="V167" s="1109"/>
      <c r="W167" s="1089"/>
      <c r="X167" s="1102">
        <v>0.17899999999999999</v>
      </c>
      <c r="Y167" s="1103">
        <v>0.17899999999999999</v>
      </c>
      <c r="Z167" s="1104">
        <v>0.20760000000000001</v>
      </c>
      <c r="AA167" s="1105"/>
      <c r="AB167" s="1102">
        <v>0.17899999999999999</v>
      </c>
      <c r="AC167" s="1103">
        <v>0.17899999999999999</v>
      </c>
      <c r="AD167" s="1104">
        <v>0.23766015611846811</v>
      </c>
      <c r="AE167" s="1105"/>
      <c r="AF167" s="1102">
        <v>0.17899999999999999</v>
      </c>
      <c r="AG167" s="1103">
        <v>0.21299999999999999</v>
      </c>
      <c r="AH167" s="1104">
        <v>0.23781015038914849</v>
      </c>
      <c r="AI167" s="1105"/>
      <c r="AJ167" s="1110">
        <f>AJ168/AJ7</f>
        <v>0.17899999999999999</v>
      </c>
      <c r="AK167" s="1106">
        <v>0.17899999999999999</v>
      </c>
      <c r="AL167" s="1111">
        <f>AL168/AL7</f>
        <v>0.19842857142857143</v>
      </c>
      <c r="AM167" s="1108">
        <f>AM168/AM7</f>
        <v>0.23316596679042689</v>
      </c>
      <c r="AN167" s="1111"/>
      <c r="AO167" s="1109"/>
      <c r="AP167" s="1089"/>
      <c r="AQ167" s="1110">
        <f>AQ168/AQ7</f>
        <v>0.17899999999999999</v>
      </c>
      <c r="AR167" s="1108">
        <f>AR168/AR7</f>
        <v>0.17899999999999996</v>
      </c>
      <c r="AS167" s="1108">
        <f>AS168/AS7</f>
        <v>0.19205182341650673</v>
      </c>
      <c r="AT167" s="1108">
        <f>AT168/AT7</f>
        <v>0.23287614245537905</v>
      </c>
      <c r="AU167" s="1112"/>
      <c r="AV167" s="1108"/>
      <c r="AW167" s="1087"/>
      <c r="AX167" s="1128"/>
      <c r="AY167" s="1131"/>
      <c r="AZ167" s="1131"/>
      <c r="BA167" s="1248"/>
      <c r="BB167" s="1248"/>
      <c r="BC167" s="1248"/>
      <c r="BD167" s="1248"/>
      <c r="BE167" s="1102">
        <v>0.18</v>
      </c>
      <c r="BF167" s="1103">
        <v>0.18</v>
      </c>
      <c r="BG167" s="1104">
        <v>0.23074957251193712</v>
      </c>
      <c r="BH167" s="1105"/>
      <c r="BI167" s="1102">
        <v>0.18</v>
      </c>
      <c r="BJ167" s="1103">
        <v>0.20769230769230773</v>
      </c>
      <c r="BK167" s="1361">
        <f>BK168/BK7</f>
        <v>0.22040033193003566</v>
      </c>
      <c r="BL167" s="1105"/>
      <c r="BM167" s="1102">
        <v>0.18</v>
      </c>
      <c r="BN167" s="1103">
        <v>0.18947368421052632</v>
      </c>
      <c r="BO167" s="1104">
        <f>BO168/BO7</f>
        <v>0.23788213129664609</v>
      </c>
      <c r="BP167" s="1105"/>
      <c r="BQ167" s="1102">
        <f>BQ168/BQ7</f>
        <v>0.18</v>
      </c>
      <c r="BR167" s="1111"/>
      <c r="BS167" s="1108">
        <f>BS168/BS7</f>
        <v>0.1852941176470588</v>
      </c>
      <c r="BT167" s="1108">
        <f>BT168/BT7</f>
        <v>0.23214385660675421</v>
      </c>
      <c r="BU167" s="1108"/>
      <c r="BV167" s="1109"/>
      <c r="BW167" s="1089"/>
      <c r="BX167" s="1102">
        <v>0.18</v>
      </c>
      <c r="BY167" s="1103">
        <v>0.18000000000000002</v>
      </c>
      <c r="BZ167" s="1104">
        <f>BZ168/BZ7</f>
        <v>0.22624984169044535</v>
      </c>
      <c r="CA167" s="1105"/>
      <c r="CB167" s="1102">
        <v>0.18</v>
      </c>
      <c r="CC167" s="1103">
        <v>0.18000000000000002</v>
      </c>
      <c r="CD167" s="1277">
        <f>CC167</f>
        <v>0.18000000000000002</v>
      </c>
      <c r="CE167" s="1105"/>
      <c r="CF167" s="1102">
        <v>0.18</v>
      </c>
      <c r="CG167" s="1103">
        <v>0.18</v>
      </c>
      <c r="CH167" s="1277">
        <f>CG167</f>
        <v>0.18</v>
      </c>
      <c r="CI167" s="1105"/>
      <c r="CJ167" s="1110">
        <f>CJ168/CJ7</f>
        <v>0.17999999999999997</v>
      </c>
      <c r="CK167" s="1111"/>
      <c r="CL167" s="1108">
        <f>CL168/CL7</f>
        <v>0.18000000000000005</v>
      </c>
      <c r="CM167" s="1108">
        <f>CM168/CM7</f>
        <v>0.18903073466153336</v>
      </c>
      <c r="CN167" s="1111"/>
      <c r="CO167" s="1111"/>
      <c r="CP167" s="1089"/>
      <c r="CQ167" s="1110">
        <f>CQ168/CQ7</f>
        <v>0.18</v>
      </c>
      <c r="CR167" s="1107"/>
      <c r="CS167" s="1108">
        <f>CS168/CS7</f>
        <v>0.18346153846153845</v>
      </c>
      <c r="CT167" s="1108">
        <f>CT168/CT7</f>
        <v>0.20627100846424176</v>
      </c>
      <c r="CU167" s="1108"/>
      <c r="CV167" s="1112"/>
      <c r="CW167" s="1087">
        <f>CT168/CS168</f>
        <v>0.50740765372691443</v>
      </c>
      <c r="CX167" s="1128"/>
      <c r="CY167" s="1131"/>
      <c r="CZ167" s="1248"/>
      <c r="DA167" s="1248"/>
      <c r="DB167" s="1248"/>
      <c r="DC167" s="950"/>
      <c r="DD167" s="950"/>
    </row>
    <row r="168" spans="1:108">
      <c r="A168" s="992"/>
      <c r="B168" s="992"/>
      <c r="C168" s="1036" t="s">
        <v>315</v>
      </c>
      <c r="D168" s="1004"/>
      <c r="E168" s="695"/>
      <c r="F168" s="800"/>
      <c r="G168" s="801"/>
      <c r="H168" s="867"/>
      <c r="I168" s="695">
        <f>I167*I7</f>
        <v>711.41025641025647</v>
      </c>
      <c r="J168" s="800">
        <f>J167*J7</f>
        <v>263.14529914529913</v>
      </c>
      <c r="K168" s="801">
        <f>K167*K7</f>
        <v>0</v>
      </c>
      <c r="L168" s="867">
        <f>K168-J168</f>
        <v>-263.14529914529913</v>
      </c>
      <c r="M168" s="695">
        <f>M167*M7</f>
        <v>711.41025641025647</v>
      </c>
      <c r="N168" s="800">
        <f>N167*N7</f>
        <v>260.08547008547009</v>
      </c>
      <c r="O168" s="801">
        <f>O167*O7</f>
        <v>7.3162398306425978</v>
      </c>
      <c r="P168" s="867">
        <f>O168-N168</f>
        <v>-252.76923025482751</v>
      </c>
      <c r="Q168" s="767">
        <f>E168+I168+M168</f>
        <v>1422.8205128205129</v>
      </c>
      <c r="R168" s="951">
        <f>R167*R7</f>
        <v>2631.4529914529912</v>
      </c>
      <c r="S168" s="952">
        <f>G168+J168+N168</f>
        <v>523.23076923076928</v>
      </c>
      <c r="T168" s="699">
        <f>G168+K168+O168</f>
        <v>7.3162398306425978</v>
      </c>
      <c r="U168" s="699">
        <f>T168-Q168</f>
        <v>-1415.5042729898703</v>
      </c>
      <c r="V168" s="717">
        <f>T168-R168</f>
        <v>-2624.1367516223486</v>
      </c>
      <c r="W168" s="688">
        <f>T168-S168</f>
        <v>-515.91452940012664</v>
      </c>
      <c r="X168" s="695">
        <f>X167*X7</f>
        <v>1162.7350427350427</v>
      </c>
      <c r="Y168" s="800">
        <f>Y167*Y7</f>
        <v>152.991452991453</v>
      </c>
      <c r="Z168" s="801">
        <f>Z167*Z7</f>
        <v>46.017822564102566</v>
      </c>
      <c r="AA168" s="867">
        <f>Z168-Y168</f>
        <v>-106.97363042735043</v>
      </c>
      <c r="AB168" s="695">
        <f>AB167*AB7</f>
        <v>1407.5213675213674</v>
      </c>
      <c r="AC168" s="800">
        <f>AC167*AC7</f>
        <v>305.982905982906</v>
      </c>
      <c r="AD168" s="801">
        <f>AD167*AD7</f>
        <v>114.48170971562034</v>
      </c>
      <c r="AE168" s="867">
        <f>AD168-AC168</f>
        <v>-191.50119626728565</v>
      </c>
      <c r="AF168" s="695">
        <f>AF167*AF7</f>
        <v>1649.2478632478633</v>
      </c>
      <c r="AG168" s="800">
        <f>AG167*AG7</f>
        <v>728.20512820512818</v>
      </c>
      <c r="AH168" s="801">
        <f>AH167*AH7</f>
        <v>179.33548000000002</v>
      </c>
      <c r="AI168" s="867">
        <f>AH168-AG168</f>
        <v>-548.86964820512821</v>
      </c>
      <c r="AJ168" s="702">
        <f>X168+AB168+AF168</f>
        <v>4219.5042735042734</v>
      </c>
      <c r="AK168" s="951">
        <f>AK167*AK7</f>
        <v>6119.6581196581192</v>
      </c>
      <c r="AL168" s="721">
        <f>Y168+AC168+AG168</f>
        <v>1187.1794871794873</v>
      </c>
      <c r="AM168" s="699">
        <f>Z168+AD168+AH168</f>
        <v>339.83501227972295</v>
      </c>
      <c r="AN168" s="721">
        <f>AM168-AJ168</f>
        <v>-3879.6692612245506</v>
      </c>
      <c r="AO168" s="717">
        <f>AM168-AK168</f>
        <v>-5779.8231073783963</v>
      </c>
      <c r="AP168" s="688">
        <f>AM168-AL168</f>
        <v>-847.34447489976435</v>
      </c>
      <c r="AQ168" s="702">
        <f>SUM(Q168,AJ168)</f>
        <v>5642.3247863247861</v>
      </c>
      <c r="AR168" s="699">
        <f>SUM(R168,AK168)</f>
        <v>8751.1111111111095</v>
      </c>
      <c r="AS168" s="613">
        <f>S168+AL168</f>
        <v>1710.4102564102566</v>
      </c>
      <c r="AT168" s="760">
        <f>SUM(T168,AM168)</f>
        <v>347.15125211036553</v>
      </c>
      <c r="AU168" s="717">
        <f>AT168-AQ168</f>
        <v>-5295.1735342144202</v>
      </c>
      <c r="AV168" s="699">
        <f>AT168-AR168</f>
        <v>-8403.9598590007445</v>
      </c>
      <c r="AW168" s="688">
        <f>AT168-AS168</f>
        <v>-1363.2590042998911</v>
      </c>
      <c r="AX168" s="695"/>
      <c r="AY168" s="696"/>
      <c r="AZ168" s="696"/>
      <c r="BA168" s="697"/>
      <c r="BB168" s="697"/>
      <c r="BC168" s="697"/>
      <c r="BD168" s="697"/>
      <c r="BE168" s="695">
        <f>BE167*BE7</f>
        <v>1076.9230769230769</v>
      </c>
      <c r="BF168" s="800">
        <f>BF167*BF7</f>
        <v>1076.9230769230769</v>
      </c>
      <c r="BG168" s="801">
        <f>BG167*BG7</f>
        <v>204.07945803226468</v>
      </c>
      <c r="BH168" s="867">
        <f>BG168-BF168</f>
        <v>-872.84361889081219</v>
      </c>
      <c r="BI168" s="695">
        <f>BI167*BI7</f>
        <v>1384.6153846153845</v>
      </c>
      <c r="BJ168" s="800">
        <f>BJ167*BJ7</f>
        <v>230.7692307692308</v>
      </c>
      <c r="BK168" s="1362">
        <v>94.548540000000003</v>
      </c>
      <c r="BL168" s="867">
        <f>BK168-BJ168</f>
        <v>-136.2206907692308</v>
      </c>
      <c r="BM168" s="695">
        <f>BM167*BM7</f>
        <v>1369.2307692307693</v>
      </c>
      <c r="BN168" s="800">
        <f>BN167*BN7</f>
        <v>307.69230769230774</v>
      </c>
      <c r="BO168" s="801">
        <v>259.96369262280297</v>
      </c>
      <c r="BP168" s="867">
        <f>BO168-BN168</f>
        <v>-47.72861506950477</v>
      </c>
      <c r="BQ168" s="767">
        <f>BE168+BI168+BM168</f>
        <v>3830.7692307692305</v>
      </c>
      <c r="BR168" s="721"/>
      <c r="BS168" s="699">
        <f>BF168+BJ168+BN168</f>
        <v>1615.3846153846152</v>
      </c>
      <c r="BT168" s="699">
        <f>BG168+BK168+BO168</f>
        <v>558.59169065506762</v>
      </c>
      <c r="BU168" s="699">
        <f>BT168-BQ168</f>
        <v>-3272.1775401141631</v>
      </c>
      <c r="BV168" s="717"/>
      <c r="BW168" s="688">
        <f>BT168-BS168</f>
        <v>-1056.7929247295476</v>
      </c>
      <c r="BX168" s="695">
        <f>BX167*BX7</f>
        <v>1384.6153846153845</v>
      </c>
      <c r="BY168" s="800">
        <f>BY167*BY7</f>
        <v>307.69230769230774</v>
      </c>
      <c r="BZ168" s="801">
        <v>159.52856999999995</v>
      </c>
      <c r="CA168" s="867">
        <f>BZ168-BY168</f>
        <v>-148.16373769230779</v>
      </c>
      <c r="CB168" s="695">
        <f>CB167*CB7</f>
        <v>1076.9230769230769</v>
      </c>
      <c r="CC168" s="800">
        <f>CC167*CC7</f>
        <v>307.69230769230774</v>
      </c>
      <c r="CD168" s="803">
        <f>CD167*CD7</f>
        <v>307.69230769230774</v>
      </c>
      <c r="CE168" s="867">
        <f>CD168-CC168</f>
        <v>0</v>
      </c>
      <c r="CF168" s="695">
        <f>CF167*CF7</f>
        <v>676.92307692307691</v>
      </c>
      <c r="CG168" s="800">
        <f>CG167*CG7</f>
        <v>215.38461538461542</v>
      </c>
      <c r="CH168" s="803">
        <f>CH167*CH7</f>
        <v>215.38461538461542</v>
      </c>
      <c r="CI168" s="867">
        <f>CH168-CG168</f>
        <v>0</v>
      </c>
      <c r="CJ168" s="702">
        <f>BX168+CB168+CF168</f>
        <v>3138.4615384615381</v>
      </c>
      <c r="CK168" s="721"/>
      <c r="CL168" s="721">
        <f>BY168+CC168+CG168</f>
        <v>830.76923076923094</v>
      </c>
      <c r="CM168" s="699">
        <f>BZ168+CD168+CH168</f>
        <v>682.60549307692304</v>
      </c>
      <c r="CN168" s="721">
        <f>CM168-CJ168</f>
        <v>-2455.8560453846148</v>
      </c>
      <c r="CO168" s="721"/>
      <c r="CP168" s="688">
        <f>CM168-CL168</f>
        <v>-148.1637376923079</v>
      </c>
      <c r="CQ168" s="702">
        <f>SUM(BQ168,CJ168)</f>
        <v>6969.2307692307686</v>
      </c>
      <c r="CR168" s="952"/>
      <c r="CS168" s="613">
        <f>BS168+CL168</f>
        <v>2446.1538461538462</v>
      </c>
      <c r="CT168" s="760">
        <f>SUM(BT168,CM168)</f>
        <v>1241.1971837319907</v>
      </c>
      <c r="CU168" s="717">
        <f>CT168-CQ168</f>
        <v>-5728.0335854987779</v>
      </c>
      <c r="CV168" s="717"/>
      <c r="CW168" s="688">
        <f>CT168-CS168</f>
        <v>-1204.9566624218555</v>
      </c>
      <c r="CX168" s="695"/>
      <c r="CY168" s="696"/>
      <c r="CZ168" s="723"/>
      <c r="DA168" s="723"/>
      <c r="DB168" s="723"/>
      <c r="DC168" s="697"/>
      <c r="DD168" s="697"/>
    </row>
    <row r="169" spans="1:108">
      <c r="A169" s="1033"/>
      <c r="B169" s="1420" t="s">
        <v>165</v>
      </c>
      <c r="C169" s="1421"/>
      <c r="D169" s="1032"/>
      <c r="E169" s="944">
        <v>0.13800000000000001</v>
      </c>
      <c r="F169" s="945">
        <v>0.127</v>
      </c>
      <c r="G169" s="946">
        <f>G170/G8</f>
        <v>0.12230284268113335</v>
      </c>
      <c r="H169" s="947"/>
      <c r="I169" s="1102">
        <v>0.13800000000000001</v>
      </c>
      <c r="J169" s="1103">
        <v>0.13800000000000001</v>
      </c>
      <c r="K169" s="1104">
        <v>0.12054210373717705</v>
      </c>
      <c r="L169" s="1105"/>
      <c r="M169" s="1102">
        <v>0.13800000000000001</v>
      </c>
      <c r="N169" s="1103">
        <v>0.125</v>
      </c>
      <c r="O169" s="1104">
        <v>0.11991157412916453</v>
      </c>
      <c r="P169" s="1105"/>
      <c r="Q169" s="1102">
        <f>Q170/Q8</f>
        <v>0.13800000000000004</v>
      </c>
      <c r="R169" s="1106">
        <v>0.14442869999999999</v>
      </c>
      <c r="S169" s="1107">
        <f>S170/S8</f>
        <v>0.12813577327626954</v>
      </c>
      <c r="T169" s="1108">
        <f>T170/T8</f>
        <v>0.12092557764574403</v>
      </c>
      <c r="U169" s="1108"/>
      <c r="V169" s="1109"/>
      <c r="W169" s="1089"/>
      <c r="X169" s="1102">
        <v>0.14399999999999999</v>
      </c>
      <c r="Y169" s="1103">
        <v>0.12678666666666666</v>
      </c>
      <c r="Z169" s="1104">
        <v>0.12667</v>
      </c>
      <c r="AA169" s="1105"/>
      <c r="AB169" s="1102">
        <v>0.14399999999999999</v>
      </c>
      <c r="AC169" s="1103">
        <v>0.13</v>
      </c>
      <c r="AD169" s="1104">
        <v>0.12380250211185709</v>
      </c>
      <c r="AE169" s="1105"/>
      <c r="AF169" s="1102">
        <v>0.14399999999999999</v>
      </c>
      <c r="AG169" s="1103">
        <v>0.13</v>
      </c>
      <c r="AH169" s="1104">
        <v>0.12861220267646992</v>
      </c>
      <c r="AI169" s="1105"/>
      <c r="AJ169" s="1110">
        <f>AJ170/AJ8</f>
        <v>0.14400000000000002</v>
      </c>
      <c r="AK169" s="1106">
        <v>0.14442869999999999</v>
      </c>
      <c r="AL169" s="1111">
        <f>AL170/AL8</f>
        <v>0.12888517006802722</v>
      </c>
      <c r="AM169" s="1108">
        <f>AM170/AM8</f>
        <v>0.12638881929589424</v>
      </c>
      <c r="AN169" s="1111"/>
      <c r="AO169" s="1109"/>
      <c r="AP169" s="1089"/>
      <c r="AQ169" s="1110">
        <f>AQ170/AQ8</f>
        <v>0.14119427402862988</v>
      </c>
      <c r="AR169" s="1108">
        <f>AR170/AR8</f>
        <v>0.14442869999999999</v>
      </c>
      <c r="AS169" s="1108">
        <f>AS170/AS8</f>
        <v>0.12850057473730767</v>
      </c>
      <c r="AT169" s="1108">
        <f>AT170/AT8</f>
        <v>0.12375613906317964</v>
      </c>
      <c r="AU169" s="1112"/>
      <c r="AV169" s="1108"/>
      <c r="AW169" s="1087"/>
      <c r="AX169" s="1128"/>
      <c r="AY169" s="1131"/>
      <c r="AZ169" s="1131"/>
      <c r="BA169" s="1248"/>
      <c r="BB169" s="1248"/>
      <c r="BC169" s="1248"/>
      <c r="BD169" s="1248"/>
      <c r="BE169" s="1102">
        <v>0.16264999999999999</v>
      </c>
      <c r="BF169" s="1103">
        <v>0.16264999999999999</v>
      </c>
      <c r="BG169" s="1104">
        <v>0.13236557062543058</v>
      </c>
      <c r="BH169" s="1105"/>
      <c r="BI169" s="1102">
        <v>0.16489999999999999</v>
      </c>
      <c r="BJ169" s="1103">
        <v>0.1496397590361446</v>
      </c>
      <c r="BK169" s="1361">
        <f>BK170/BK8</f>
        <v>0.15259837418596994</v>
      </c>
      <c r="BL169" s="1105"/>
      <c r="BM169" s="1102">
        <v>0.16750000000000001</v>
      </c>
      <c r="BN169" s="1103">
        <v>0.14996707317073171</v>
      </c>
      <c r="BO169" s="1104">
        <f>BO170/BO8</f>
        <v>0.14792887488653966</v>
      </c>
      <c r="BP169" s="1105"/>
      <c r="BQ169" s="1102">
        <f>BQ170/BQ8</f>
        <v>0.16499882842025698</v>
      </c>
      <c r="BR169" s="1111"/>
      <c r="BS169" s="1108">
        <f>BS170/BS7</f>
        <v>3.8042049019607842</v>
      </c>
      <c r="BT169" s="1108">
        <f>BT170/BT8</f>
        <v>0.14680583714567205</v>
      </c>
      <c r="BU169" s="1108"/>
      <c r="BV169" s="1109"/>
      <c r="BW169" s="1089"/>
      <c r="BX169" s="1102">
        <v>0.16800000000000001</v>
      </c>
      <c r="BY169" s="1103">
        <v>0.15024855491329481</v>
      </c>
      <c r="BZ169" s="1104">
        <f>BZ170/BZ8</f>
        <v>0.14355269735499673</v>
      </c>
      <c r="CA169" s="1105"/>
      <c r="CB169" s="1102">
        <v>0.1704</v>
      </c>
      <c r="CC169" s="1103">
        <v>0.15488870151770656</v>
      </c>
      <c r="CD169" s="1277">
        <f>CC169</f>
        <v>0.15488870151770656</v>
      </c>
      <c r="CE169" s="1105"/>
      <c r="CF169" s="1102">
        <v>0.1691</v>
      </c>
      <c r="CG169" s="1103">
        <v>0.15917112299465241</v>
      </c>
      <c r="CH169" s="1277">
        <f>CG169</f>
        <v>0.15917112299465241</v>
      </c>
      <c r="CI169" s="1105"/>
      <c r="CJ169" s="1110">
        <f>CJ170/CJ8</f>
        <v>0.16900191256830599</v>
      </c>
      <c r="CK169" s="1111"/>
      <c r="CL169" s="1111">
        <f>CL170/CL7</f>
        <v>5.2100740740740745</v>
      </c>
      <c r="CM169" s="1108">
        <f>CM170/CM7</f>
        <v>6.6005840437532513</v>
      </c>
      <c r="CN169" s="1111"/>
      <c r="CO169" s="1111"/>
      <c r="CP169" s="1089"/>
      <c r="CQ169" s="1110">
        <f>CQ170/CQ8</f>
        <v>0.16663547810545129</v>
      </c>
      <c r="CR169" s="1107"/>
      <c r="CS169" s="1108">
        <f>CS170/CS7</f>
        <v>4.2908519230769233</v>
      </c>
      <c r="CT169" s="1108">
        <f>CT170/CT7</f>
        <v>9.1678786432439949</v>
      </c>
      <c r="CU169" s="1112"/>
      <c r="CV169" s="1112"/>
      <c r="CW169" s="1087">
        <f>CT170/CS170</f>
        <v>0.96424896534309057</v>
      </c>
      <c r="CX169" s="1128"/>
      <c r="CY169" s="1131"/>
      <c r="CZ169" s="1248"/>
      <c r="DA169" s="1248"/>
      <c r="DB169" s="1248"/>
      <c r="DC169" s="950"/>
      <c r="DD169" s="950"/>
    </row>
    <row r="170" spans="1:108">
      <c r="A170" s="992"/>
      <c r="B170" s="1412" t="s">
        <v>380</v>
      </c>
      <c r="C170" s="1413"/>
      <c r="D170" s="1004"/>
      <c r="E170" s="695">
        <f>E169*E8</f>
        <v>7525.128205128206</v>
      </c>
      <c r="F170" s="800">
        <f>F169*F8</f>
        <v>6925.2991452991455</v>
      </c>
      <c r="G170" s="801">
        <v>8915.9323199999999</v>
      </c>
      <c r="H170" s="867">
        <f>G170-F170</f>
        <v>1990.6331747008544</v>
      </c>
      <c r="I170" s="695">
        <f>I169*I8</f>
        <v>8374.3589743589764</v>
      </c>
      <c r="J170" s="800">
        <f>J169*J8</f>
        <v>9435.8974358974374</v>
      </c>
      <c r="K170" s="801">
        <f>K169*K8</f>
        <v>8786.122396909177</v>
      </c>
      <c r="L170" s="867">
        <f>K170-J170</f>
        <v>-649.77503898826035</v>
      </c>
      <c r="M170" s="695">
        <f>M169*M8</f>
        <v>8374.3589743589764</v>
      </c>
      <c r="N170" s="800">
        <f>N169*N8</f>
        <v>9935.8974358974374</v>
      </c>
      <c r="O170" s="801">
        <f>O169*O8</f>
        <v>8567.9050408779003</v>
      </c>
      <c r="P170" s="867">
        <f>O170-N170</f>
        <v>-1367.9923950195371</v>
      </c>
      <c r="Q170" s="767">
        <f>E170+I170+M170</f>
        <v>24273.84615384616</v>
      </c>
      <c r="R170" s="951">
        <f>R169*R8</f>
        <v>27589.584999999999</v>
      </c>
      <c r="S170" s="952">
        <f>G170+J170+N170</f>
        <v>28287.727191794875</v>
      </c>
      <c r="T170" s="699">
        <f>G170+K170+O170</f>
        <v>26269.959757787077</v>
      </c>
      <c r="U170" s="699">
        <f>T170-Q170</f>
        <v>1996.1136039409175</v>
      </c>
      <c r="V170" s="717">
        <f>T170-R170</f>
        <v>-1319.6252422129219</v>
      </c>
      <c r="W170" s="688">
        <f>T170-S170</f>
        <v>-2017.7674340077974</v>
      </c>
      <c r="X170" s="695">
        <f>X169*X8</f>
        <v>8738.461538461539</v>
      </c>
      <c r="Y170" s="800">
        <f>Y169*Y8</f>
        <v>9210.997150997151</v>
      </c>
      <c r="Z170" s="801">
        <f>Z169*Z8</f>
        <v>10976.259715868719</v>
      </c>
      <c r="AA170" s="867">
        <f>Z170-Y170</f>
        <v>1765.2625648715675</v>
      </c>
      <c r="AB170" s="695">
        <f>AB169*AB8</f>
        <v>9612.3076923076915</v>
      </c>
      <c r="AC170" s="800">
        <f>AC169*AC8</f>
        <v>8888.8888888888887</v>
      </c>
      <c r="AD170" s="801">
        <f>AD169*AD8</f>
        <v>9035.2498161066051</v>
      </c>
      <c r="AE170" s="867">
        <f>AD170-AC170</f>
        <v>146.36092721771638</v>
      </c>
      <c r="AF170" s="695">
        <f>AF169*AF8</f>
        <v>10486.153846153846</v>
      </c>
      <c r="AG170" s="800">
        <f>AG169*AG8</f>
        <v>8888.8888888888887</v>
      </c>
      <c r="AH170" s="801">
        <f>AH169*AH8</f>
        <v>9509.034966943289</v>
      </c>
      <c r="AI170" s="867">
        <f>AH170-AG170</f>
        <v>620.14607805440028</v>
      </c>
      <c r="AJ170" s="702">
        <f>X170+AB170+AF170</f>
        <v>28836.923076923078</v>
      </c>
      <c r="AK170" s="951">
        <f>AK169*AK8</f>
        <v>30070.796000000002</v>
      </c>
      <c r="AL170" s="721">
        <f>Y170+AC170+AG170</f>
        <v>26988.774928774932</v>
      </c>
      <c r="AM170" s="699">
        <f>Z170+AD170+AH170</f>
        <v>29520.544498918614</v>
      </c>
      <c r="AN170" s="721">
        <f>AM170-AJ170</f>
        <v>683.62142199553637</v>
      </c>
      <c r="AO170" s="717">
        <f>AM170-AK170</f>
        <v>-550.25150108138769</v>
      </c>
      <c r="AP170" s="688">
        <f>AM170-AL170</f>
        <v>2531.7695701436824</v>
      </c>
      <c r="AQ170" s="702">
        <f>SUM(Q170,AJ170)</f>
        <v>53110.769230769234</v>
      </c>
      <c r="AR170" s="699">
        <f>SUM(R170,AK170)</f>
        <v>57660.381000000001</v>
      </c>
      <c r="AS170" s="613">
        <f>S170+AL170</f>
        <v>55276.502120569807</v>
      </c>
      <c r="AT170" s="760">
        <f>SUM(T170,AM170)</f>
        <v>55790.504256705695</v>
      </c>
      <c r="AU170" s="717">
        <f>AT170-AQ170</f>
        <v>2679.7350259364612</v>
      </c>
      <c r="AV170" s="699">
        <f>AT170-AR170</f>
        <v>-1869.8767432943059</v>
      </c>
      <c r="AW170" s="688">
        <f>AT170-AS170</f>
        <v>514.00213613588858</v>
      </c>
      <c r="AX170" s="695"/>
      <c r="AY170" s="696"/>
      <c r="AZ170" s="696"/>
      <c r="BA170" s="697"/>
      <c r="BB170" s="697"/>
      <c r="BC170" s="697"/>
      <c r="BD170" s="697"/>
      <c r="BE170" s="695">
        <f>BE169*BE8</f>
        <v>12038.88034188034</v>
      </c>
      <c r="BF170" s="800">
        <f>BF169*BF8</f>
        <v>12038.88034188034</v>
      </c>
      <c r="BG170" s="801">
        <v>10405.272270000021</v>
      </c>
      <c r="BH170" s="867">
        <f>BG170-BF170</f>
        <v>-1633.6080718803187</v>
      </c>
      <c r="BI170" s="695">
        <f>BI169*BI8</f>
        <v>13107.435897435898</v>
      </c>
      <c r="BJ170" s="800">
        <f>BJ169*BJ8</f>
        <v>10615.470085470086</v>
      </c>
      <c r="BK170" s="1362">
        <v>10487.41095</v>
      </c>
      <c r="BL170" s="867">
        <f>BK170-BJ170</f>
        <v>-128.0591354700864</v>
      </c>
      <c r="BM170" s="695">
        <f>BM169*BM8</f>
        <v>12168.80341880342</v>
      </c>
      <c r="BN170" s="800">
        <f>BN169*BN8</f>
        <v>10510.512820512822</v>
      </c>
      <c r="BO170" s="801">
        <v>10438.0599085217</v>
      </c>
      <c r="BP170" s="867">
        <f>BO170-BN170</f>
        <v>-72.452911991122164</v>
      </c>
      <c r="BQ170" s="767">
        <f>BE170+BI170+BM170</f>
        <v>37315.119658119656</v>
      </c>
      <c r="BR170" s="721"/>
      <c r="BS170" s="699">
        <f>BF170+BJ170+BN170</f>
        <v>33164.86324786325</v>
      </c>
      <c r="BT170" s="699">
        <f>BG170+BK170+BO170</f>
        <v>31330.743128521721</v>
      </c>
      <c r="BU170" s="699">
        <f>BT170-BQ170</f>
        <v>-5984.3765295979356</v>
      </c>
      <c r="BV170" s="717"/>
      <c r="BW170" s="688">
        <f>BT170-BS170</f>
        <v>-1834.1201193415291</v>
      </c>
      <c r="BX170" s="695">
        <f>BX169*BX8</f>
        <v>12406.153846153846</v>
      </c>
      <c r="BY170" s="800">
        <f>BY169*BY8</f>
        <v>11108.11965811966</v>
      </c>
      <c r="BZ170" s="801">
        <v>10896.8745</v>
      </c>
      <c r="CA170" s="867">
        <f>BZ170-BY170</f>
        <v>-211.24515811966012</v>
      </c>
      <c r="CB170" s="695">
        <f>CB169*CB8</f>
        <v>8636.5128205128203</v>
      </c>
      <c r="CC170" s="800">
        <f>CC169*CC8</f>
        <v>7850.3418803418799</v>
      </c>
      <c r="CD170" s="803">
        <f>CD169*CD8</f>
        <v>7850.3418803418799</v>
      </c>
      <c r="CE170" s="867">
        <f>CD170-CC170</f>
        <v>0</v>
      </c>
      <c r="CF170" s="695">
        <f>CF169*CF8</f>
        <v>5390.9658119658125</v>
      </c>
      <c r="CG170" s="800">
        <f>CG169*CG8</f>
        <v>5088.0341880341884</v>
      </c>
      <c r="CH170" s="803">
        <f>CH169*CH8</f>
        <v>5088.0341880341884</v>
      </c>
      <c r="CI170" s="867">
        <f>CH170-CG170</f>
        <v>0</v>
      </c>
      <c r="CJ170" s="702">
        <f>BX170+CB170+CF170</f>
        <v>26433.632478632477</v>
      </c>
      <c r="CK170" s="721"/>
      <c r="CL170" s="721">
        <f>BY170+CC170+CG170</f>
        <v>24046.495726495727</v>
      </c>
      <c r="CM170" s="699">
        <f>BZ170+CD170+CH170</f>
        <v>23835.250568376068</v>
      </c>
      <c r="CN170" s="721">
        <f>CM170-CJ170</f>
        <v>-2598.3819102564084</v>
      </c>
      <c r="CO170" s="721"/>
      <c r="CP170" s="688">
        <f>CM170-CL170</f>
        <v>-211.2451581196583</v>
      </c>
      <c r="CQ170" s="702">
        <f>SUM(BQ170,CJ170)</f>
        <v>63748.752136752133</v>
      </c>
      <c r="CR170" s="952"/>
      <c r="CS170" s="613">
        <f>BS170+CL170</f>
        <v>57211.358974358976</v>
      </c>
      <c r="CT170" s="760">
        <f>SUM(BT170,CM170)</f>
        <v>55165.993696897785</v>
      </c>
      <c r="CU170" s="717">
        <f>CT170-CQ170</f>
        <v>-8582.7584398543477</v>
      </c>
      <c r="CV170" s="717"/>
      <c r="CW170" s="688">
        <f>CT170-CS170</f>
        <v>-2045.365277461191</v>
      </c>
      <c r="CX170" s="695"/>
      <c r="CY170" s="696"/>
      <c r="CZ170" s="723"/>
      <c r="DA170" s="723"/>
      <c r="DB170" s="723"/>
      <c r="DC170" s="697"/>
      <c r="DD170" s="697"/>
    </row>
    <row r="171" spans="1:108">
      <c r="A171" s="1038" t="s">
        <v>165</v>
      </c>
      <c r="B171" s="1039"/>
      <c r="C171" s="1039"/>
      <c r="D171" s="1040"/>
      <c r="E171" s="953">
        <f>E172/E10</f>
        <v>0.12929943502824859</v>
      </c>
      <c r="F171" s="954">
        <f>F172/F10</f>
        <v>0.11842061281337046</v>
      </c>
      <c r="G171" s="955">
        <v>0.11899999999999999</v>
      </c>
      <c r="H171" s="812">
        <f>G172/F172</f>
        <v>1.445035375626279</v>
      </c>
      <c r="I171" s="1113">
        <f>I172/I10</f>
        <v>0.12939008894536216</v>
      </c>
      <c r="J171" s="1114">
        <f>J172/J10</f>
        <v>0.13031460674157302</v>
      </c>
      <c r="K171" s="1115">
        <f>K172/K10</f>
        <v>0.1150295995574377</v>
      </c>
      <c r="L171" s="1093">
        <f>K172/J172</f>
        <v>0.91305866737763919</v>
      </c>
      <c r="M171" s="1113">
        <f>M172/M10</f>
        <v>0.12869017632241814</v>
      </c>
      <c r="N171" s="1114">
        <f>N172/N10</f>
        <v>0.12000990099009902</v>
      </c>
      <c r="O171" s="1115">
        <f>O172/O10</f>
        <v>0.11503945695111478</v>
      </c>
      <c r="P171" s="1093">
        <f>O172/N172</f>
        <v>0.86708749898859061</v>
      </c>
      <c r="Q171" s="1116">
        <f>Q172/Q10</f>
        <v>0.12911926605504587</v>
      </c>
      <c r="R171" s="1117">
        <f>R172/R10</f>
        <v>0.13558318917274939</v>
      </c>
      <c r="S171" s="1118">
        <f>S172/S10</f>
        <v>0.12281899262581358</v>
      </c>
      <c r="T171" s="1119">
        <f>T172/T10</f>
        <v>0.11649885793315905</v>
      </c>
      <c r="U171" s="1119">
        <f>T172/Q172</f>
        <v>1.1296135320207665</v>
      </c>
      <c r="V171" s="1120">
        <f>T172/R172</f>
        <v>0.99854538849658747</v>
      </c>
      <c r="W171" s="1079">
        <f>T172/S172</f>
        <v>0.92725073122963197</v>
      </c>
      <c r="X171" s="1113">
        <f>X172/X10</f>
        <v>0.13405541561712844</v>
      </c>
      <c r="Y171" s="1114">
        <f>Y172/Y10</f>
        <v>0.12170516904577183</v>
      </c>
      <c r="Z171" s="1115">
        <f>Z172/Z10</f>
        <v>0.11955190319873549</v>
      </c>
      <c r="AA171" s="1093">
        <f>Z172/Y172</f>
        <v>1.1812429820748096</v>
      </c>
      <c r="AB171" s="1113">
        <f>AB172/AB10</f>
        <v>0.13487167630057803</v>
      </c>
      <c r="AC171" s="1114">
        <f>AC172/AC10</f>
        <v>0.12334841628959274</v>
      </c>
      <c r="AD171" s="1115">
        <f>AD172/AD10</f>
        <v>0.11785940375127947</v>
      </c>
      <c r="AE171" s="1093">
        <f>AD172/AC172</f>
        <v>1.0003466508034082</v>
      </c>
      <c r="AF171" s="1113">
        <f>AF172/AF10</f>
        <v>0.13611612903225806</v>
      </c>
      <c r="AG171" s="1114">
        <f>AG172/AG10</f>
        <v>0.12289293849658314</v>
      </c>
      <c r="AH171" s="1115">
        <f>AH172/AH10</f>
        <v>0.12453751746548748</v>
      </c>
      <c r="AI171" s="1093">
        <f>AH172/AG172</f>
        <v>1.0612478259181988</v>
      </c>
      <c r="AJ171" s="1121">
        <f>AJ172/AJ10</f>
        <v>0.13506836616454229</v>
      </c>
      <c r="AK171" s="1117">
        <f>AK172/AK10</f>
        <v>0.13576745458612974</v>
      </c>
      <c r="AL171" s="1122">
        <f>AL172/AL10</f>
        <v>0.12263562895673838</v>
      </c>
      <c r="AM171" s="1119">
        <f>AM172/AM10</f>
        <v>0.12057442158695751</v>
      </c>
      <c r="AN171" s="1123">
        <f>AM172/AJ172</f>
        <v>1.0176056039973957</v>
      </c>
      <c r="AO171" s="1100">
        <f>AM172/AK172</f>
        <v>0.97726138279613817</v>
      </c>
      <c r="AP171" s="1080">
        <f>AM172/AL172</f>
        <v>1.0819071323239688</v>
      </c>
      <c r="AQ171" s="1121">
        <f>AQ172/AQ10</f>
        <v>0.13227675276752765</v>
      </c>
      <c r="AR171" s="1124">
        <f>AR172/AR10</f>
        <v>0.1356791875874126</v>
      </c>
      <c r="AS171" s="1125">
        <f>AS172/AS10</f>
        <v>0.12273138723231543</v>
      </c>
      <c r="AT171" s="1119">
        <f>AT172/AT10</f>
        <v>0.1185665852130456</v>
      </c>
      <c r="AU171" s="1123">
        <f>AT172/AQ172</f>
        <v>1.0689106739381924</v>
      </c>
      <c r="AV171" s="1119">
        <f>AT172/AR172</f>
        <v>0.98744965433345766</v>
      </c>
      <c r="AW171" s="1080">
        <f>AT172/AS172</f>
        <v>1.0010830441503635</v>
      </c>
      <c r="AX171" s="956"/>
      <c r="AY171" s="957"/>
      <c r="AZ171" s="957"/>
      <c r="BA171" s="958"/>
      <c r="BB171" s="958"/>
      <c r="BC171" s="958"/>
      <c r="BD171" s="958"/>
      <c r="BE171" s="1113">
        <f>BE172/BE10</f>
        <v>0.15290601265822781</v>
      </c>
      <c r="BF171" s="1114">
        <f>BF172/BF10</f>
        <v>0.15290601265822781</v>
      </c>
      <c r="BG171" s="1115">
        <f>BG172/BG10</f>
        <v>0.13265496760293355</v>
      </c>
      <c r="BH171" s="1093">
        <f>BG172/BF172</f>
        <v>0.86882055457002272</v>
      </c>
      <c r="BI171" s="1113">
        <f>BI172/BI10</f>
        <v>0.15739396984924622</v>
      </c>
      <c r="BJ171" s="1114">
        <f>BJ172/BJ10</f>
        <v>0.14344745762711864</v>
      </c>
      <c r="BK171" s="1139">
        <f>BK172/BK10</f>
        <v>0.1463763164683374</v>
      </c>
      <c r="BL171" s="1093">
        <f>BK172/BJ172</f>
        <v>0.98680546782616907</v>
      </c>
      <c r="BM171" s="1113">
        <f>BM172/BM10</f>
        <v>0.15939211391018618</v>
      </c>
      <c r="BN171" s="1114">
        <f>BN172/BN10</f>
        <v>0.14315113636363638</v>
      </c>
      <c r="BO171" s="1115">
        <f>BO172/BO10</f>
        <v>0.14115323626512444</v>
      </c>
      <c r="BP171" s="1093">
        <f>BO172/BN172</f>
        <v>0.98634860791662882</v>
      </c>
      <c r="BQ171" s="1116">
        <f>BQ172/BQ10</f>
        <v>0.15654303221288512</v>
      </c>
      <c r="BR171" s="1122"/>
      <c r="BS171" s="1124">
        <f>BS172/BS10</f>
        <v>0.14665643199410244</v>
      </c>
      <c r="BT171" s="1119">
        <f>BT172/BT10</f>
        <v>0.13981348176699759</v>
      </c>
      <c r="BU171" s="1119">
        <f>BT172/BQ172</f>
        <v>0.83981219475838731</v>
      </c>
      <c r="BV171" s="1120"/>
      <c r="BW171" s="1079">
        <f>BT172/BS172</f>
        <v>0.94367665824129821</v>
      </c>
      <c r="BX171" s="1113">
        <f>BX172/BX10</f>
        <v>0.15998058252427183</v>
      </c>
      <c r="BY171" s="1114">
        <f>BY172/BY10</f>
        <v>0.14274331550802138</v>
      </c>
      <c r="BZ171" s="1115">
        <f>BZ172/BZ10</f>
        <v>0.1373271783758499</v>
      </c>
      <c r="CA171" s="1093">
        <f>BZ172/BY172</f>
        <v>0.9736140040235266</v>
      </c>
      <c r="CB171" s="1113">
        <f>CB172/CB10</f>
        <v>0.16018009259259258</v>
      </c>
      <c r="CC171" s="1114">
        <f>CC172/CC10</f>
        <v>0.14673250388802486</v>
      </c>
      <c r="CD171" s="1278">
        <f>CD172/CD10</f>
        <v>0.14673250388802486</v>
      </c>
      <c r="CE171" s="1093">
        <f>CD172/CC172</f>
        <v>1</v>
      </c>
      <c r="CF171" s="1113">
        <f>CF172/CF10</f>
        <v>0.15888308823529412</v>
      </c>
      <c r="CG171" s="1114">
        <f>CG172/CG10</f>
        <v>0.14862318840579708</v>
      </c>
      <c r="CH171" s="1278">
        <f>CH172/CH10</f>
        <v>0.14862318840579708</v>
      </c>
      <c r="CI171" s="1093">
        <f>CH172/CG172</f>
        <v>1</v>
      </c>
      <c r="CJ171" s="1121">
        <f>CJ172/CJ10</f>
        <v>0.1598199697428139</v>
      </c>
      <c r="CK171" s="1122"/>
      <c r="CL171" s="1122">
        <f>CL172/CL10</f>
        <v>0.1452530120481928</v>
      </c>
      <c r="CM171" s="1119">
        <f>CM172/CM10</f>
        <v>0.14268061301726012</v>
      </c>
      <c r="CN171" s="1123">
        <f>CM172/CJ172</f>
        <v>0.90186699307718277</v>
      </c>
      <c r="CO171" s="1123"/>
      <c r="CP171" s="1080">
        <f>CM172/CL172</f>
        <v>0.98782899609806996</v>
      </c>
      <c r="CQ171" s="1121">
        <f>CQ172/CQ10</f>
        <v>0.15788590617896259</v>
      </c>
      <c r="CR171" s="1125"/>
      <c r="CS171" s="1125">
        <f>CS172/CS10</f>
        <v>0.14606225292242295</v>
      </c>
      <c r="CT171" s="1119">
        <f>CT172/CT10</f>
        <v>0.14103844621148159</v>
      </c>
      <c r="CU171" s="1123">
        <f>CT172/CQ172</f>
        <v>0.86555347487476741</v>
      </c>
      <c r="CV171" s="1123"/>
      <c r="CW171" s="1080">
        <f>CT172/CS172</f>
        <v>0.96226628039275697</v>
      </c>
      <c r="CX171" s="956"/>
      <c r="CY171" s="957"/>
      <c r="CZ171" s="957"/>
      <c r="DA171" s="957"/>
      <c r="DB171" s="957"/>
      <c r="DC171" s="958"/>
      <c r="DD171" s="958"/>
    </row>
    <row r="172" spans="1:108">
      <c r="A172" s="1011" t="s">
        <v>394</v>
      </c>
      <c r="B172" s="997"/>
      <c r="C172" s="997"/>
      <c r="D172" s="995"/>
      <c r="E172" s="822">
        <f>E170+E164</f>
        <v>7824.2735042735048</v>
      </c>
      <c r="F172" s="887">
        <f>F170+F164</f>
        <v>7267.1794871794873</v>
      </c>
      <c r="G172" s="824">
        <f>G164+G170</f>
        <v>10501.33144</v>
      </c>
      <c r="H172" s="825">
        <f>G172-F172</f>
        <v>3234.1519528205126</v>
      </c>
      <c r="I172" s="822">
        <f>I170+I164</f>
        <v>8703.4188034188046</v>
      </c>
      <c r="J172" s="887">
        <f>J170+J164</f>
        <v>9912.8205128205136</v>
      </c>
      <c r="K172" s="824">
        <f>K170+K164</f>
        <v>9050.9866873896244</v>
      </c>
      <c r="L172" s="825">
        <f>K172-J172</f>
        <v>-861.83382543088919</v>
      </c>
      <c r="M172" s="822">
        <f>M170+M164</f>
        <v>8733.3333333333358</v>
      </c>
      <c r="N172" s="887">
        <f>N170+N164</f>
        <v>10359.82905982906</v>
      </c>
      <c r="O172" s="824">
        <f>O170+O164</f>
        <v>8982.8782694365018</v>
      </c>
      <c r="P172" s="825">
        <f>O172-N172</f>
        <v>-1376.9507903925587</v>
      </c>
      <c r="Q172" s="827">
        <f>E172+I172+M172</f>
        <v>25261.025641025644</v>
      </c>
      <c r="R172" s="828">
        <f>R170+R164</f>
        <v>28576.764487179487</v>
      </c>
      <c r="S172" s="940">
        <f>G172+J172+N172</f>
        <v>30773.981012649572</v>
      </c>
      <c r="T172" s="715">
        <f>G172+K172+O172</f>
        <v>28535.196396826126</v>
      </c>
      <c r="U172" s="712">
        <f>T172-Q172</f>
        <v>3274.1707558004819</v>
      </c>
      <c r="V172" s="711">
        <f>T172-R172</f>
        <v>-41.568090353361185</v>
      </c>
      <c r="W172" s="716">
        <f>T172-S172</f>
        <v>-2238.7846158234461</v>
      </c>
      <c r="X172" s="822">
        <f>X170+X164</f>
        <v>9097.4358974358984</v>
      </c>
      <c r="Y172" s="887">
        <f>Y170+Y164</f>
        <v>9569.9641253561258</v>
      </c>
      <c r="Z172" s="824">
        <f>Z170+Z164</f>
        <v>11304.452961784616</v>
      </c>
      <c r="AA172" s="825">
        <f>Z172-Y172</f>
        <v>1734.4888364284907</v>
      </c>
      <c r="AB172" s="822">
        <f>AB170+AB164</f>
        <v>9971.2820512820508</v>
      </c>
      <c r="AC172" s="887">
        <f>AC170+AC164</f>
        <v>9319.6581196581192</v>
      </c>
      <c r="AD172" s="824">
        <f>AD170+AD164</f>
        <v>9322.8887866327896</v>
      </c>
      <c r="AE172" s="825">
        <f>AD172-AC172</f>
        <v>3.2306669746703847</v>
      </c>
      <c r="AF172" s="822">
        <f>AF170+AF164</f>
        <v>10819.48717948718</v>
      </c>
      <c r="AG172" s="887">
        <f>AG170+AG164</f>
        <v>9222.2222222222226</v>
      </c>
      <c r="AH172" s="824">
        <f>AH170+AH164</f>
        <v>9787.0632834678327</v>
      </c>
      <c r="AI172" s="825">
        <f>AH172-AG172</f>
        <v>564.84106124561004</v>
      </c>
      <c r="AJ172" s="713">
        <f>X172+AB172+AF172</f>
        <v>29888.205128205129</v>
      </c>
      <c r="AK172" s="828">
        <f>AK170+AK164</f>
        <v>31122.078051282053</v>
      </c>
      <c r="AL172" s="714">
        <f>Y172+AC172+AG172</f>
        <v>28111.844467236468</v>
      </c>
      <c r="AM172" s="715">
        <f>Z172+AD172+AH172</f>
        <v>30414.405031885239</v>
      </c>
      <c r="AN172" s="739">
        <f>AM172-AJ172</f>
        <v>526.19990368010986</v>
      </c>
      <c r="AO172" s="711">
        <f>AM172-AK172</f>
        <v>-707.6730193968142</v>
      </c>
      <c r="AP172" s="716">
        <f>AM172-AL172</f>
        <v>2302.5605646487711</v>
      </c>
      <c r="AQ172" s="713">
        <f>SUM(Q172,AJ172)</f>
        <v>55149.230769230773</v>
      </c>
      <c r="AR172" s="715">
        <f>AR170+AR164</f>
        <v>59698.84253846154</v>
      </c>
      <c r="AS172" s="608">
        <f>S172+AL172</f>
        <v>58885.825479886043</v>
      </c>
      <c r="AT172" s="715">
        <f>SUM(T172,AM172)</f>
        <v>58949.601428711365</v>
      </c>
      <c r="AU172" s="711">
        <f>AT172-AQ172</f>
        <v>3800.3706594805917</v>
      </c>
      <c r="AV172" s="712">
        <f>AT172-AR172</f>
        <v>-749.24110975017538</v>
      </c>
      <c r="AW172" s="716">
        <f>AT172-AS172</f>
        <v>63.775948825321393</v>
      </c>
      <c r="AX172" s="708">
        <f>AQ172/6</f>
        <v>9191.5384615384628</v>
      </c>
      <c r="AY172" s="709">
        <f>AR172/6</f>
        <v>9949.80708974359</v>
      </c>
      <c r="AZ172" s="709">
        <f>AT172/6</f>
        <v>9824.9335714518947</v>
      </c>
      <c r="BA172" s="1239">
        <f>AZ172/AX172</f>
        <v>1.0689106739381924</v>
      </c>
      <c r="BB172" s="516">
        <f>AZ172-AX172</f>
        <v>633.39510991343195</v>
      </c>
      <c r="BC172" s="516">
        <f>AZ172-AY172</f>
        <v>-124.87351829169529</v>
      </c>
      <c r="BD172" s="516">
        <f>AW172/6</f>
        <v>10.629324804220232</v>
      </c>
      <c r="BE172" s="822">
        <f>BE170+BE164</f>
        <v>12389.30769230769</v>
      </c>
      <c r="BF172" s="887">
        <f>BF170+BF164</f>
        <v>12389.30769230769</v>
      </c>
      <c r="BG172" s="824">
        <f>BG170+BG164</f>
        <v>10764.085179969416</v>
      </c>
      <c r="BH172" s="825">
        <f>BG172-BF172</f>
        <v>-1625.2225123382741</v>
      </c>
      <c r="BI172" s="822">
        <f>BI170+BI164</f>
        <v>13385.213675213676</v>
      </c>
      <c r="BJ172" s="887">
        <f>BJ170+BJ164</f>
        <v>10850.51282051282</v>
      </c>
      <c r="BK172" s="1363">
        <f>BK170+BK164</f>
        <v>10707.345379999999</v>
      </c>
      <c r="BL172" s="825">
        <f>BK172-BJ172</f>
        <v>-143.16744051282149</v>
      </c>
      <c r="BM172" s="822">
        <f>BM170+BM164</f>
        <v>12438.034188034189</v>
      </c>
      <c r="BN172" s="887">
        <f>BN170+BN164</f>
        <v>10766.923076923078</v>
      </c>
      <c r="BO172" s="824">
        <f>BO164+BO170</f>
        <v>10619.939588468504</v>
      </c>
      <c r="BP172" s="825">
        <f>BO172-BN172</f>
        <v>-146.9834884545744</v>
      </c>
      <c r="BQ172" s="827">
        <f>BE172+BI172+BM172</f>
        <v>38212.555555555555</v>
      </c>
      <c r="BR172" s="714"/>
      <c r="BS172" s="712">
        <f>BF172+BJ172+BN172</f>
        <v>34006.743589743586</v>
      </c>
      <c r="BT172" s="715">
        <f>BG172+BK172+BO172</f>
        <v>32091.370148437916</v>
      </c>
      <c r="BU172" s="712">
        <f>BT172-BQ172</f>
        <v>-6121.1854071176385</v>
      </c>
      <c r="BV172" s="711"/>
      <c r="BW172" s="716">
        <f>BT172-BS172</f>
        <v>-1915.37344130567</v>
      </c>
      <c r="BX172" s="822">
        <f>BX170+BX164</f>
        <v>12675.384615384615</v>
      </c>
      <c r="BY172" s="887">
        <f>BY170+BY164</f>
        <v>11407.264957264959</v>
      </c>
      <c r="BZ172" s="824">
        <f>BZ170+BZ164</f>
        <v>11106.27291</v>
      </c>
      <c r="CA172" s="825">
        <f>BZ172-BY172</f>
        <v>-300.99204726495918</v>
      </c>
      <c r="CB172" s="822">
        <f>CB170+CB164</f>
        <v>8871.5128205128203</v>
      </c>
      <c r="CC172" s="887">
        <f>CC170+CC164</f>
        <v>8064.0170940170938</v>
      </c>
      <c r="CD172" s="826">
        <f>CD170+CD164</f>
        <v>8064.0170940170938</v>
      </c>
      <c r="CE172" s="825">
        <f>CD172-CC172</f>
        <v>0</v>
      </c>
      <c r="CF172" s="822">
        <f>CF170+CF164</f>
        <v>5540.5384615384619</v>
      </c>
      <c r="CG172" s="887">
        <f>CG170+CG164</f>
        <v>5258.9743589743593</v>
      </c>
      <c r="CH172" s="826">
        <f>CH170+CH164</f>
        <v>5258.9743589743593</v>
      </c>
      <c r="CI172" s="825">
        <f>CH172-CG172</f>
        <v>0</v>
      </c>
      <c r="CJ172" s="713">
        <f>BX172+CB172+CF172</f>
        <v>27087.435897435898</v>
      </c>
      <c r="CK172" s="714"/>
      <c r="CL172" s="714">
        <f>BY172+CC172+CG172</f>
        <v>24730.256410256414</v>
      </c>
      <c r="CM172" s="715">
        <f>BZ172+CD172+CH172</f>
        <v>24429.264362991453</v>
      </c>
      <c r="CN172" s="739">
        <f>CM172-CJ172</f>
        <v>-2658.1715344444456</v>
      </c>
      <c r="CO172" s="739"/>
      <c r="CP172" s="716">
        <f>CM172-CL172</f>
        <v>-300.992047264961</v>
      </c>
      <c r="CQ172" s="713">
        <f>SUM(BQ172,CJ172)</f>
        <v>65299.991452991453</v>
      </c>
      <c r="CR172" s="1340"/>
      <c r="CS172" s="608">
        <f>BS172+CL172</f>
        <v>58737</v>
      </c>
      <c r="CT172" s="715">
        <f>SUM(BT172,CM172)</f>
        <v>56520.634511429365</v>
      </c>
      <c r="CU172" s="711">
        <f>CT172-CQ172</f>
        <v>-8779.3569415620877</v>
      </c>
      <c r="CV172" s="711"/>
      <c r="CW172" s="716">
        <f>CT172-CS172</f>
        <v>-2216.3654885706346</v>
      </c>
      <c r="CX172" s="708">
        <f>CQ172/6</f>
        <v>10883.331908831909</v>
      </c>
      <c r="CY172" s="709">
        <f>CT172/6</f>
        <v>9420.1057519048936</v>
      </c>
      <c r="CZ172" s="1386">
        <f>CY172/CX172</f>
        <v>0.8655534748747673</v>
      </c>
      <c r="DA172" s="555">
        <f>CY172-CX172</f>
        <v>-1463.2261569270158</v>
      </c>
      <c r="DB172" s="555">
        <f>CW172/6</f>
        <v>-369.39424809510575</v>
      </c>
      <c r="DC172" s="516"/>
      <c r="DD172" s="516"/>
    </row>
    <row r="173" spans="1:108">
      <c r="A173" s="1012"/>
      <c r="B173" s="1013"/>
      <c r="C173" s="1021" t="s">
        <v>166</v>
      </c>
      <c r="D173" s="1022"/>
      <c r="E173" s="944">
        <f>E223</f>
        <v>0.191</v>
      </c>
      <c r="F173" s="959">
        <f>F223</f>
        <v>0.20499999999999999</v>
      </c>
      <c r="G173" s="960">
        <v>0.18516159053198103</v>
      </c>
      <c r="H173" s="947">
        <f>H223</f>
        <v>0.20799999999999999</v>
      </c>
      <c r="I173" s="1102">
        <f>I223</f>
        <v>0.191</v>
      </c>
      <c r="J173" s="1126">
        <v>0.20200000000000001</v>
      </c>
      <c r="K173" s="1127">
        <v>0.14749999999999999</v>
      </c>
      <c r="L173" s="1105"/>
      <c r="M173" s="1102">
        <f>M223</f>
        <v>0.191</v>
      </c>
      <c r="N173" s="1126">
        <v>0.18</v>
      </c>
      <c r="O173" s="1127">
        <v>0.17679112283749221</v>
      </c>
      <c r="P173" s="1105"/>
      <c r="Q173" s="1128">
        <f>Q174/Q11</f>
        <v>0.191</v>
      </c>
      <c r="R173" s="1129">
        <v>0.17887401315789475</v>
      </c>
      <c r="S173" s="1130">
        <f>S174/S11</f>
        <v>0.18876725077296286</v>
      </c>
      <c r="T173" s="1108">
        <f>T174/T11</f>
        <v>0.16826304204458603</v>
      </c>
      <c r="U173" s="1108"/>
      <c r="V173" s="1131"/>
      <c r="W173" s="1084"/>
      <c r="X173" s="1102">
        <v>0.191</v>
      </c>
      <c r="Y173" s="1126">
        <v>0.18</v>
      </c>
      <c r="Z173" s="1127">
        <v>0.1522392730731392</v>
      </c>
      <c r="AA173" s="1105"/>
      <c r="AB173" s="1102">
        <v>0.191</v>
      </c>
      <c r="AC173" s="1126">
        <v>0.15</v>
      </c>
      <c r="AD173" s="1127">
        <v>0.16399624958525413</v>
      </c>
      <c r="AE173" s="1132"/>
      <c r="AF173" s="1102">
        <v>0.191</v>
      </c>
      <c r="AG173" s="1126">
        <v>0.18</v>
      </c>
      <c r="AH173" s="1127">
        <v>0.17107692738599709</v>
      </c>
      <c r="AI173" s="1132"/>
      <c r="AJ173" s="1133">
        <f>AJ174/AJ11</f>
        <v>0.19100000000000003</v>
      </c>
      <c r="AK173" s="1129">
        <v>0.20902591687041566</v>
      </c>
      <c r="AL173" s="1131">
        <f>AL174/AL11</f>
        <v>0.1704761904761905</v>
      </c>
      <c r="AM173" s="1134">
        <f>AM174/AM11</f>
        <v>0.16255557509157373</v>
      </c>
      <c r="AN173" s="1131"/>
      <c r="AO173" s="1135"/>
      <c r="AP173" s="1084"/>
      <c r="AQ173" s="1133">
        <f>AQ174/AQ11</f>
        <v>0.191</v>
      </c>
      <c r="AR173" s="1134">
        <v>0.19100000000000003</v>
      </c>
      <c r="AS173" s="1130">
        <f>AS174/AS11</f>
        <v>0.18157207429424868</v>
      </c>
      <c r="AT173" s="1134">
        <f>AT174/AT11</f>
        <v>0.16578404058291624</v>
      </c>
      <c r="AU173" s="1136"/>
      <c r="AV173" s="1108"/>
      <c r="AW173" s="1082"/>
      <c r="AX173" s="722"/>
      <c r="AY173" s="723"/>
      <c r="AZ173" s="723"/>
      <c r="BA173" s="723"/>
      <c r="BB173" s="723"/>
      <c r="BC173" s="723"/>
      <c r="BD173" s="723"/>
      <c r="BE173" s="1102">
        <v>0.19600000000000001</v>
      </c>
      <c r="BF173" s="1126">
        <v>0.19600000000000001</v>
      </c>
      <c r="BG173" s="1127">
        <v>0.16573548821159914</v>
      </c>
      <c r="BH173" s="1137"/>
      <c r="BI173" s="1102">
        <v>0.19600000000000001</v>
      </c>
      <c r="BJ173" s="1126">
        <v>0.17</v>
      </c>
      <c r="BK173" s="1127">
        <v>0.18780281743607125</v>
      </c>
      <c r="BL173" s="1137"/>
      <c r="BM173" s="1102">
        <v>0.19500000000000001</v>
      </c>
      <c r="BN173" s="1126">
        <v>0.19500000000000001</v>
      </c>
      <c r="BO173" s="1127">
        <v>0.18130896175361563</v>
      </c>
      <c r="BP173" s="1132"/>
      <c r="BQ173" s="1128">
        <f>BQ174/BQ11</f>
        <v>0.19584415584415585</v>
      </c>
      <c r="BR173" s="1131"/>
      <c r="BS173" s="1134">
        <f>BS174/BS11</f>
        <v>0.1890477386934673</v>
      </c>
      <c r="BT173" s="1108">
        <f>BT174/BT11</f>
        <v>0.18227061021301474</v>
      </c>
      <c r="BU173" s="1108"/>
      <c r="BV173" s="1131"/>
      <c r="BW173" s="1131"/>
      <c r="BX173" s="1102">
        <v>0.19600000000000001</v>
      </c>
      <c r="BY173" s="1126">
        <v>0.193</v>
      </c>
      <c r="BZ173" s="1127">
        <v>0.18993601084482192</v>
      </c>
      <c r="CA173" s="1132"/>
      <c r="CB173" s="1102">
        <v>0.19500000000000001</v>
      </c>
      <c r="CC173" s="1126">
        <v>0.192</v>
      </c>
      <c r="CD173" s="1279">
        <v>0.192</v>
      </c>
      <c r="CE173" s="1132"/>
      <c r="CF173" s="1102">
        <v>0.19600000000000001</v>
      </c>
      <c r="CG173" s="1126">
        <v>0.192</v>
      </c>
      <c r="CH173" s="1279">
        <v>0</v>
      </c>
      <c r="CI173" s="1132"/>
      <c r="CJ173" s="1133">
        <f>CJ174/CJ11</f>
        <v>0.19601470588235295</v>
      </c>
      <c r="CK173" s="1131"/>
      <c r="CL173" s="1131">
        <f>CL174/CL11</f>
        <v>0.19236535303776686</v>
      </c>
      <c r="CM173" s="1134">
        <f>CM174/CM11</f>
        <v>0.19079315443295763</v>
      </c>
      <c r="CN173" s="1131"/>
      <c r="CO173" s="1131"/>
      <c r="CP173" s="1084"/>
      <c r="CQ173" s="1133">
        <f>CQ174/CQ11</f>
        <v>0.19593002149510391</v>
      </c>
      <c r="CR173" s="1130"/>
      <c r="CS173" s="1130">
        <f>CS174/CS11</f>
        <v>0.19087370085856306</v>
      </c>
      <c r="CT173" s="1134">
        <f>CT174/CT11</f>
        <v>0.18511513185717085</v>
      </c>
      <c r="CU173" s="1136"/>
      <c r="CV173" s="1136"/>
      <c r="CW173" s="1082">
        <f>CT174/CS174</f>
        <v>1.0212469814294292</v>
      </c>
      <c r="CX173" s="722"/>
      <c r="CY173" s="723"/>
      <c r="CZ173" s="723"/>
      <c r="DA173" s="723"/>
      <c r="DB173" s="723"/>
      <c r="DC173" s="723"/>
      <c r="DD173" s="723"/>
    </row>
    <row r="174" spans="1:108">
      <c r="A174" s="1012"/>
      <c r="B174" s="1013"/>
      <c r="C174" s="1023" t="s">
        <v>167</v>
      </c>
      <c r="D174" s="1000"/>
      <c r="E174" s="767">
        <f>E11*E173</f>
        <v>1465.965811965812</v>
      </c>
      <c r="F174" s="865">
        <f>F11*F173</f>
        <v>1997.4358974358975</v>
      </c>
      <c r="G174" s="866">
        <f>G11*G173</f>
        <v>1675.7772799999993</v>
      </c>
      <c r="H174" s="867">
        <f>G174-F174</f>
        <v>-321.65861743589812</v>
      </c>
      <c r="I174" s="767">
        <f>I11*I173</f>
        <v>1590.0341880341882</v>
      </c>
      <c r="J174" s="865">
        <f>J11*J173</f>
        <v>1476.1538461538464</v>
      </c>
      <c r="K174" s="866">
        <f>K11*K173</f>
        <v>1524.5448717948718</v>
      </c>
      <c r="L174" s="867">
        <f>K174-J174</f>
        <v>48.391025641025408</v>
      </c>
      <c r="M174" s="767">
        <f>M11*M173</f>
        <v>1591.6666666666667</v>
      </c>
      <c r="N174" s="865">
        <f>N11*N173</f>
        <v>1315.3846153846155</v>
      </c>
      <c r="O174" s="866">
        <f>O11*O173</f>
        <v>1278.3835600000009</v>
      </c>
      <c r="P174" s="867">
        <f>O174-N174</f>
        <v>-37.001055384614574</v>
      </c>
      <c r="Q174" s="767">
        <f>E174+I174+M174</f>
        <v>4647.666666666667</v>
      </c>
      <c r="R174" s="951">
        <v>4647.666666666667</v>
      </c>
      <c r="S174" s="952">
        <f>G174+J174+N174</f>
        <v>4467.3157415384612</v>
      </c>
      <c r="T174" s="699">
        <f>G174+K174+O174</f>
        <v>4478.7057117948725</v>
      </c>
      <c r="U174" s="699">
        <f>T174-Q174</f>
        <v>-168.96095487179446</v>
      </c>
      <c r="V174" s="721">
        <f>T174-R174</f>
        <v>-168.96095487179446</v>
      </c>
      <c r="W174" s="688">
        <f>T174-S174</f>
        <v>11.389970256411289</v>
      </c>
      <c r="X174" s="767">
        <f>X11*X173</f>
        <v>1354.9572649572651</v>
      </c>
      <c r="Y174" s="865">
        <f>Y11*Y173</f>
        <v>1096.1538461538462</v>
      </c>
      <c r="Z174" s="866">
        <f>Z11*Z173</f>
        <v>1075.2816</v>
      </c>
      <c r="AA174" s="867">
        <f>Z174-Y174</f>
        <v>-20.872246153846163</v>
      </c>
      <c r="AB174" s="767">
        <f>AB11*AB173</f>
        <v>1257.0085470085471</v>
      </c>
      <c r="AC174" s="865">
        <f>AC11*AC173</f>
        <v>730.76923076923083</v>
      </c>
      <c r="AD174" s="866">
        <f>AD11*AD173</f>
        <v>952.14176060272098</v>
      </c>
      <c r="AE174" s="867">
        <f>AD174-AC174</f>
        <v>221.37252983349015</v>
      </c>
      <c r="AF174" s="767">
        <f>AF11*AF173</f>
        <v>1041.5213675213677</v>
      </c>
      <c r="AG174" s="865">
        <f>AG11*AG173</f>
        <v>789.23076923076928</v>
      </c>
      <c r="AH174" s="866">
        <f>AH11*AH173</f>
        <v>1294.93361</v>
      </c>
      <c r="AI174" s="867">
        <f>AH174-AG174</f>
        <v>505.70284076923076</v>
      </c>
      <c r="AJ174" s="702">
        <f>X174+AB174+AF174</f>
        <v>3653.4871794871801</v>
      </c>
      <c r="AK174" s="951">
        <v>3653.4871794871801</v>
      </c>
      <c r="AL174" s="721">
        <f>Y174+AC174+AG174</f>
        <v>2616.1538461538466</v>
      </c>
      <c r="AM174" s="699">
        <f>Z174+AD174+AH174</f>
        <v>3322.356970602721</v>
      </c>
      <c r="AN174" s="721">
        <f>AM174-AJ174</f>
        <v>-331.13020888445908</v>
      </c>
      <c r="AO174" s="717">
        <f>AM174-AK174</f>
        <v>-331.13020888445908</v>
      </c>
      <c r="AP174" s="688">
        <f>AM174-AL174</f>
        <v>706.20312444887441</v>
      </c>
      <c r="AQ174" s="718">
        <f>SUM(Q174,AJ174)</f>
        <v>8301.1538461538476</v>
      </c>
      <c r="AR174" s="699">
        <v>8301.1538461538476</v>
      </c>
      <c r="AS174" s="613">
        <f>S174+AL174</f>
        <v>7083.4695876923079</v>
      </c>
      <c r="AT174" s="720">
        <f>SUM(T174,AM174)</f>
        <v>7801.0626823975936</v>
      </c>
      <c r="AU174" s="717">
        <f>AT174-AQ174</f>
        <v>-500.09116375625399</v>
      </c>
      <c r="AV174" s="699">
        <f>AT174-AR174</f>
        <v>-500.09116375625399</v>
      </c>
      <c r="AW174" s="688">
        <f>AT174-AS174</f>
        <v>717.59309470528569</v>
      </c>
      <c r="AX174" s="722"/>
      <c r="AY174" s="723"/>
      <c r="AZ174" s="723"/>
      <c r="BA174" s="723"/>
      <c r="BB174" s="723"/>
      <c r="BC174" s="723"/>
      <c r="BD174" s="723"/>
      <c r="BE174" s="767">
        <v>1280</v>
      </c>
      <c r="BF174" s="865">
        <v>1280</v>
      </c>
      <c r="BG174" s="866">
        <v>1900.0791800000009</v>
      </c>
      <c r="BH174" s="867">
        <f>BG174-BF174</f>
        <v>620.07918000000086</v>
      </c>
      <c r="BI174" s="767">
        <v>995</v>
      </c>
      <c r="BJ174" s="865">
        <f>BJ173*BJ11</f>
        <v>733.76068376068383</v>
      </c>
      <c r="BK174" s="866">
        <f>BK173*BK11</f>
        <v>1345.0598299999999</v>
      </c>
      <c r="BL174" s="867">
        <f>BK174-BJ174</f>
        <v>611.29914623931609</v>
      </c>
      <c r="BM174" s="767">
        <v>1205</v>
      </c>
      <c r="BN174" s="865">
        <f>BN173*BN47</f>
        <v>1201.6666666666667</v>
      </c>
      <c r="BO174" s="866">
        <f>BO173*BO47</f>
        <v>1592.1830884654003</v>
      </c>
      <c r="BP174" s="825">
        <f>BO174-BN174</f>
        <v>390.51642179873352</v>
      </c>
      <c r="BQ174" s="767">
        <f>BE174+BI174+BM174</f>
        <v>3480</v>
      </c>
      <c r="BR174" s="721"/>
      <c r="BS174" s="699">
        <f>BF174+BJ174+BN174</f>
        <v>3215.4273504273506</v>
      </c>
      <c r="BT174" s="699">
        <f>BG174+BK174+BO174</f>
        <v>4837.3220984654008</v>
      </c>
      <c r="BU174" s="699">
        <f>BT174-BQ174</f>
        <v>1357.3220984654008</v>
      </c>
      <c r="BV174" s="721"/>
      <c r="BW174" s="721">
        <f>BT174-BS174</f>
        <v>1621.8947480380502</v>
      </c>
      <c r="BX174" s="767">
        <f>BX11*BX173</f>
        <v>1296.6153846153848</v>
      </c>
      <c r="BY174" s="865">
        <f>BY11*BY173</f>
        <v>1468.1196581196582</v>
      </c>
      <c r="BZ174" s="866">
        <f>BZ11*BZ173</f>
        <v>1476.5633599999996</v>
      </c>
      <c r="CA174" s="825">
        <v>0</v>
      </c>
      <c r="CB174" s="767">
        <v>1150</v>
      </c>
      <c r="CC174" s="865">
        <f>CC11*CC173</f>
        <v>1476.9230769230769</v>
      </c>
      <c r="CD174" s="868">
        <f>CD11*CD173</f>
        <v>1060.1025641025642</v>
      </c>
      <c r="CE174" s="825">
        <v>0</v>
      </c>
      <c r="CF174" s="767">
        <v>1085</v>
      </c>
      <c r="CG174" s="865">
        <f>CG11*CG173</f>
        <v>1060.1025641025642</v>
      </c>
      <c r="CH174" s="868">
        <f>CH11*CH173</f>
        <v>0</v>
      </c>
      <c r="CI174" s="825">
        <f>CH174-CG174</f>
        <v>-1060.1025641025642</v>
      </c>
      <c r="CJ174" s="702">
        <f>BX174+CB174+CF174</f>
        <v>3531.6153846153848</v>
      </c>
      <c r="CK174" s="721"/>
      <c r="CL174" s="721">
        <f>BY174+CC174+CG174</f>
        <v>4005.1452991452998</v>
      </c>
      <c r="CM174" s="699">
        <f>BZ174+CD174+CH174</f>
        <v>2536.6659241025636</v>
      </c>
      <c r="CN174" s="721">
        <f>CM174-CJ174</f>
        <v>-994.94946051282113</v>
      </c>
      <c r="CO174" s="721"/>
      <c r="CP174" s="688">
        <f>CM174-CL174</f>
        <v>-1468.4793750427361</v>
      </c>
      <c r="CQ174" s="718">
        <f>SUM(BQ174,CJ174)</f>
        <v>7011.6153846153848</v>
      </c>
      <c r="CR174" s="937"/>
      <c r="CS174" s="613">
        <f>BS174+CL174</f>
        <v>7220.5726495726503</v>
      </c>
      <c r="CT174" s="720">
        <f>SUM(BT174,CM174)</f>
        <v>7373.9880225679644</v>
      </c>
      <c r="CU174" s="717">
        <f>CT174-CQ174</f>
        <v>362.37263795257968</v>
      </c>
      <c r="CV174" s="717"/>
      <c r="CW174" s="688">
        <f>CT174-CS174</f>
        <v>153.4153729953141</v>
      </c>
      <c r="CX174" s="722"/>
      <c r="CY174" s="723"/>
      <c r="CZ174" s="723"/>
      <c r="DA174" s="723"/>
      <c r="DB174" s="723"/>
      <c r="DC174" s="723"/>
      <c r="DD174" s="723"/>
    </row>
    <row r="175" spans="1:108">
      <c r="A175" s="1012"/>
      <c r="B175" s="1013"/>
      <c r="C175" s="998" t="s">
        <v>166</v>
      </c>
      <c r="D175" s="1024"/>
      <c r="E175" s="944">
        <v>0.230485</v>
      </c>
      <c r="F175" s="959">
        <f>F225</f>
        <v>0.21</v>
      </c>
      <c r="G175" s="960">
        <v>0.22322690185842037</v>
      </c>
      <c r="H175" s="947">
        <f>H225</f>
        <v>0.22</v>
      </c>
      <c r="I175" s="1102">
        <v>0.230485</v>
      </c>
      <c r="J175" s="1126">
        <v>0.215</v>
      </c>
      <c r="K175" s="1127">
        <v>0.253</v>
      </c>
      <c r="L175" s="1105"/>
      <c r="M175" s="1102">
        <v>0.230485</v>
      </c>
      <c r="N175" s="1126">
        <v>0.24199999999999999</v>
      </c>
      <c r="O175" s="1127">
        <v>0.25868627811973249</v>
      </c>
      <c r="P175" s="1105"/>
      <c r="Q175" s="1128">
        <f>Q176/Q12</f>
        <v>0.230485</v>
      </c>
      <c r="R175" s="1129">
        <v>0.22999972202918692</v>
      </c>
      <c r="S175" s="1130">
        <f>S176/S12</f>
        <v>0.22691654451091475</v>
      </c>
      <c r="T175" s="1134">
        <f>T176/T12</f>
        <v>0.24603401183407719</v>
      </c>
      <c r="U175" s="1134"/>
      <c r="V175" s="1131"/>
      <c r="W175" s="1084"/>
      <c r="X175" s="1102">
        <v>0.24392</v>
      </c>
      <c r="Y175" s="1126">
        <v>0.24299999999999999</v>
      </c>
      <c r="Z175" s="1127">
        <v>0.25184608235819828</v>
      </c>
      <c r="AA175" s="1105"/>
      <c r="AB175" s="1102">
        <v>0.24392</v>
      </c>
      <c r="AC175" s="1126">
        <v>0.24</v>
      </c>
      <c r="AD175" s="1127">
        <v>0.23043774031978506</v>
      </c>
      <c r="AE175" s="1137"/>
      <c r="AF175" s="1102">
        <v>0.24392</v>
      </c>
      <c r="AG175" s="1126">
        <v>0.24</v>
      </c>
      <c r="AH175" s="1127">
        <v>0.24753075124215487</v>
      </c>
      <c r="AI175" s="1137"/>
      <c r="AJ175" s="1133">
        <f>AJ176/AJ12</f>
        <v>0.24391999999999997</v>
      </c>
      <c r="AK175" s="1129">
        <v>0.24281817082022744</v>
      </c>
      <c r="AL175" s="1131">
        <f>AL176/AL12</f>
        <v>0.24119047619047615</v>
      </c>
      <c r="AM175" s="1134">
        <f>AM176/AM12</f>
        <v>0.24372254284239953</v>
      </c>
      <c r="AN175" s="1131"/>
      <c r="AO175" s="1135"/>
      <c r="AP175" s="1084"/>
      <c r="AQ175" s="1133">
        <f>AQ176/AQ12</f>
        <v>0.23639631169898123</v>
      </c>
      <c r="AR175" s="1134">
        <v>0.23535705329153603</v>
      </c>
      <c r="AS175" s="1130">
        <f>AS176/AS12</f>
        <v>0.23296198507183954</v>
      </c>
      <c r="AT175" s="1134">
        <f>AT176/AT12</f>
        <v>0.24506660382288048</v>
      </c>
      <c r="AU175" s="1136"/>
      <c r="AV175" s="1134"/>
      <c r="AW175" s="1082"/>
      <c r="AX175" s="722"/>
      <c r="AY175" s="723"/>
      <c r="AZ175" s="723"/>
      <c r="BA175" s="723"/>
      <c r="BB175" s="723"/>
      <c r="BC175" s="723"/>
      <c r="BD175" s="723"/>
      <c r="BE175" s="1102">
        <v>0.25</v>
      </c>
      <c r="BF175" s="1126">
        <v>0.25</v>
      </c>
      <c r="BG175" s="1127">
        <v>0.25177996461762892</v>
      </c>
      <c r="BH175" s="1137"/>
      <c r="BI175" s="1102">
        <v>0.25</v>
      </c>
      <c r="BJ175" s="1126">
        <v>0.24</v>
      </c>
      <c r="BK175" s="1127">
        <v>0.25374747350711374</v>
      </c>
      <c r="BL175" s="1137"/>
      <c r="BM175" s="1102">
        <v>0.25</v>
      </c>
      <c r="BN175" s="1126">
        <v>0.25</v>
      </c>
      <c r="BO175" s="1127">
        <v>0.24703803555150314</v>
      </c>
      <c r="BP175" s="1132"/>
      <c r="BQ175" s="1128">
        <f>BQ176/BQ12</f>
        <v>0.25</v>
      </c>
      <c r="BR175" s="1131"/>
      <c r="BS175" s="1134">
        <f>BS176/BS12</f>
        <v>0.24746262870987282</v>
      </c>
      <c r="BT175" s="1134">
        <f>BT176/BT12</f>
        <v>0.25137053897561179</v>
      </c>
      <c r="BU175" s="1134"/>
      <c r="BV175" s="1131"/>
      <c r="BW175" s="1131"/>
      <c r="BX175" s="1102">
        <v>0.25</v>
      </c>
      <c r="BY175" s="1126">
        <v>0.246</v>
      </c>
      <c r="BZ175" s="1127">
        <v>0.23638621197582887</v>
      </c>
      <c r="CA175" s="1132"/>
      <c r="CB175" s="1102">
        <v>0.25</v>
      </c>
      <c r="CC175" s="1126">
        <v>0.245</v>
      </c>
      <c r="CD175" s="1279">
        <v>0.245</v>
      </c>
      <c r="CE175" s="1132"/>
      <c r="CF175" s="1102">
        <v>0.25</v>
      </c>
      <c r="CG175" s="1126">
        <v>0.245</v>
      </c>
      <c r="CH175" s="1279">
        <v>0.24</v>
      </c>
      <c r="CI175" s="1132"/>
      <c r="CJ175" s="1133">
        <f>CJ176/CJ12</f>
        <v>0.25</v>
      </c>
      <c r="CK175" s="1131"/>
      <c r="CL175" s="1131">
        <f>CL176/CL12</f>
        <v>0.24536485159428417</v>
      </c>
      <c r="CM175" s="1134">
        <f>CM176/CM12</f>
        <v>0.23996777664856064</v>
      </c>
      <c r="CN175" s="1131"/>
      <c r="CO175" s="1131"/>
      <c r="CP175" s="1084"/>
      <c r="CQ175" s="1133">
        <f>CQ176/CQ12</f>
        <v>0.25</v>
      </c>
      <c r="CR175" s="1130"/>
      <c r="CS175" s="1130">
        <f>CS176/CS12</f>
        <v>0.2463145483262405</v>
      </c>
      <c r="CT175" s="1134">
        <f>CT176/CT12</f>
        <v>0.24496742857589526</v>
      </c>
      <c r="CU175" s="1136"/>
      <c r="CV175" s="1136"/>
      <c r="CW175" s="1082">
        <f>CT176/CS176</f>
        <v>0.80252648588629139</v>
      </c>
      <c r="CX175" s="722"/>
      <c r="CY175" s="723"/>
      <c r="CZ175" s="723"/>
      <c r="DA175" s="723"/>
      <c r="DB175" s="723"/>
      <c r="DC175" s="723"/>
      <c r="DD175" s="723"/>
    </row>
    <row r="176" spans="1:108">
      <c r="A176" s="1012"/>
      <c r="B176" s="1013"/>
      <c r="C176" s="1023" t="s">
        <v>382</v>
      </c>
      <c r="D176" s="1000"/>
      <c r="E176" s="767">
        <f>E12*E175</f>
        <v>31347.929957264962</v>
      </c>
      <c r="F176" s="800">
        <f>F12*F175</f>
        <v>38876.923076923078</v>
      </c>
      <c r="G176" s="801">
        <f>G12*G175</f>
        <v>45271.909600000086</v>
      </c>
      <c r="H176" s="867">
        <f>G176-F176</f>
        <v>6394.9865230770083</v>
      </c>
      <c r="I176" s="767">
        <f>I12*I175</f>
        <v>34681.09764957265</v>
      </c>
      <c r="J176" s="800">
        <f>J12*J175</f>
        <v>50800.641025641031</v>
      </c>
      <c r="K176" s="801">
        <f>K12*K175</f>
        <v>61878.177777777782</v>
      </c>
      <c r="L176" s="867">
        <f>K176-J176</f>
        <v>11077.536752136752</v>
      </c>
      <c r="M176" s="767">
        <f>M12*M175</f>
        <v>34681.09764957265</v>
      </c>
      <c r="N176" s="800">
        <f>N12*N175</f>
        <v>57180.256410256414</v>
      </c>
      <c r="O176" s="801">
        <f>O12*O175</f>
        <v>59736.80240999996</v>
      </c>
      <c r="P176" s="867">
        <f>O176-N176</f>
        <v>2556.5459997435464</v>
      </c>
      <c r="Q176" s="695">
        <f>E176+I176+M176</f>
        <v>100710.12525641026</v>
      </c>
      <c r="R176" s="901">
        <v>113152</v>
      </c>
      <c r="S176" s="952">
        <f>G176+J176+N176</f>
        <v>153252.80703589754</v>
      </c>
      <c r="T176" s="699">
        <f>G176+K176+O176</f>
        <v>166886.88978777785</v>
      </c>
      <c r="U176" s="699">
        <f>T176-Q176</f>
        <v>66176.764531367589</v>
      </c>
      <c r="V176" s="696">
        <f>T176-R176</f>
        <v>53734.889787777851</v>
      </c>
      <c r="W176" s="762">
        <f>T176-S176</f>
        <v>13634.082751880313</v>
      </c>
      <c r="X176" s="767">
        <f>X12*X175</f>
        <v>30854.837606837609</v>
      </c>
      <c r="Y176" s="800">
        <f>Y12*Y175</f>
        <v>47847.115384615383</v>
      </c>
      <c r="Z176" s="801">
        <f>Z12*Z175</f>
        <v>48870.654359999993</v>
      </c>
      <c r="AA176" s="867">
        <f>Z176-Y176</f>
        <v>1023.5389753846102</v>
      </c>
      <c r="AB176" s="767">
        <f>AB12*AB175</f>
        <v>29187.008547008551</v>
      </c>
      <c r="AC176" s="800">
        <f>AC12*AC175</f>
        <v>37805.128205128203</v>
      </c>
      <c r="AD176" s="801">
        <f>AD12*AD175</f>
        <v>36354.508279056397</v>
      </c>
      <c r="AE176" s="867">
        <f>AD176-AC176</f>
        <v>-1450.6199260718058</v>
      </c>
      <c r="AF176" s="767">
        <f>AF12*AF175</f>
        <v>23697.766153846154</v>
      </c>
      <c r="AG176" s="800">
        <f>AG12*AG175</f>
        <v>34024.615384615383</v>
      </c>
      <c r="AH176" s="801">
        <f>AH12*AH175</f>
        <v>33765.663430000008</v>
      </c>
      <c r="AI176" s="867">
        <f>AH176-AG176</f>
        <v>-258.95195461537514</v>
      </c>
      <c r="AJ176" s="702">
        <f>X176+AB176+AF176</f>
        <v>83739.61230769231</v>
      </c>
      <c r="AK176" s="901">
        <v>85775</v>
      </c>
      <c r="AL176" s="696">
        <f>Y176+AC176+AG176</f>
        <v>119676.85897435897</v>
      </c>
      <c r="AM176" s="760">
        <f>Z176+AD176+AH176</f>
        <v>118990.82606905641</v>
      </c>
      <c r="AN176" s="696">
        <f>AM176-AJ176</f>
        <v>35251.213761364095</v>
      </c>
      <c r="AO176" s="699">
        <f>AM176-AK176</f>
        <v>33215.826069056406</v>
      </c>
      <c r="AP176" s="762">
        <f>AM176-AL176</f>
        <v>-686.03290530256345</v>
      </c>
      <c r="AQ176" s="718">
        <f>SUM(Q176,AJ176)</f>
        <v>184449.73756410257</v>
      </c>
      <c r="AR176" s="760">
        <v>198927</v>
      </c>
      <c r="AS176" s="613">
        <f>S176+AL176</f>
        <v>272929.66601025651</v>
      </c>
      <c r="AT176" s="720">
        <f>SUM(T176,AM176)</f>
        <v>285877.71585683426</v>
      </c>
      <c r="AU176" s="717">
        <f>AT176-AQ176</f>
        <v>101427.97829273168</v>
      </c>
      <c r="AV176" s="760">
        <f>AT176-AR176</f>
        <v>86950.715856834257</v>
      </c>
      <c r="AW176" s="762">
        <v>34069.743589743593</v>
      </c>
      <c r="AX176" s="722"/>
      <c r="AY176" s="723"/>
      <c r="AZ176" s="723"/>
      <c r="BA176" s="723"/>
      <c r="BB176" s="723"/>
      <c r="BC176" s="723"/>
      <c r="BD176" s="723"/>
      <c r="BE176" s="767">
        <f>BE12*BE175</f>
        <v>33848.290598290601</v>
      </c>
      <c r="BF176" s="800">
        <f>BF12*BF175</f>
        <v>33848.290598290601</v>
      </c>
      <c r="BG176" s="801">
        <v>18488.963549999993</v>
      </c>
      <c r="BH176" s="867">
        <f>BG176-BF176</f>
        <v>-15359.327048290608</v>
      </c>
      <c r="BI176" s="767">
        <f>BI12*BI175</f>
        <v>26326.923076923078</v>
      </c>
      <c r="BJ176" s="800">
        <f>BJ12*BJ175</f>
        <v>21483.076923076922</v>
      </c>
      <c r="BK176" s="801">
        <f>BK12*BK175</f>
        <v>21756.921710000002</v>
      </c>
      <c r="BL176" s="867">
        <f>BK176-BJ176</f>
        <v>273.84478692308039</v>
      </c>
      <c r="BM176" s="767">
        <f>BM12*BM175</f>
        <v>31967.948717948719</v>
      </c>
      <c r="BN176" s="800">
        <f>BN175*BN48</f>
        <v>31967.948717948719</v>
      </c>
      <c r="BO176" s="801">
        <f>BO175*BO48</f>
        <v>29058.511711569143</v>
      </c>
      <c r="BP176" s="825">
        <f>BO176-BN176</f>
        <v>-2909.4370063795759</v>
      </c>
      <c r="BQ176" s="695">
        <f>BE176+BI176+BM176</f>
        <v>92143.162393162405</v>
      </c>
      <c r="BR176" s="696"/>
      <c r="BS176" s="699">
        <f>BF176+BJ176+BN176</f>
        <v>87299.316239316249</v>
      </c>
      <c r="BT176" s="699">
        <f>BG176+BK176+BO176</f>
        <v>69304.396971569135</v>
      </c>
      <c r="BU176" s="699">
        <f>BT176-BQ176</f>
        <v>-22838.765421593271</v>
      </c>
      <c r="BV176" s="696"/>
      <c r="BW176" s="696">
        <f>BT176-BS176</f>
        <v>-17994.919267747115</v>
      </c>
      <c r="BX176" s="767">
        <f>BX12*BX175</f>
        <v>33824.786324786328</v>
      </c>
      <c r="BY176" s="800">
        <f>BY12*BY175</f>
        <v>38277.179487179485</v>
      </c>
      <c r="BZ176" s="801">
        <f>BZ12*BZ175</f>
        <v>37621.152329999997</v>
      </c>
      <c r="CA176" s="825">
        <v>0</v>
      </c>
      <c r="CB176" s="767">
        <f>CB12*CB175</f>
        <v>30066.239316239316</v>
      </c>
      <c r="CC176" s="800">
        <f>CC12*CC175</f>
        <v>38739.316239316242</v>
      </c>
      <c r="CD176" s="803">
        <f>CD12*CD175</f>
        <v>27624.273504273508</v>
      </c>
      <c r="CE176" s="825">
        <v>0</v>
      </c>
      <c r="CF176" s="767">
        <f>CF12*CF175</f>
        <v>28188.034188034191</v>
      </c>
      <c r="CG176" s="800">
        <f>CG12*CG175</f>
        <v>27624.273504273508</v>
      </c>
      <c r="CH176" s="803">
        <f>CH12*CH175</f>
        <v>19487.179487179488</v>
      </c>
      <c r="CI176" s="825">
        <f>CH176-CG176</f>
        <v>-8137.0940170940194</v>
      </c>
      <c r="CJ176" s="702">
        <f>BX176+CB176+CF176</f>
        <v>92079.059829059828</v>
      </c>
      <c r="CK176" s="696"/>
      <c r="CL176" s="696">
        <f>BY176+CC176+CG176</f>
        <v>104640.76923076922</v>
      </c>
      <c r="CM176" s="760">
        <f>BZ176+CD176+CH176</f>
        <v>84732.605321452997</v>
      </c>
      <c r="CN176" s="696">
        <f>CM176-CJ176</f>
        <v>-7346.4545076068316</v>
      </c>
      <c r="CO176" s="696"/>
      <c r="CP176" s="762">
        <f>CM176-CL176</f>
        <v>-19908.163909316223</v>
      </c>
      <c r="CQ176" s="718">
        <f>SUM(BQ176,CJ176)</f>
        <v>184222.22222222225</v>
      </c>
      <c r="CR176" s="937"/>
      <c r="CS176" s="613">
        <f>BS176+CL176</f>
        <v>191940.08547008547</v>
      </c>
      <c r="CT176" s="720">
        <f>SUM(BT176,CM176)</f>
        <v>154037.00229302212</v>
      </c>
      <c r="CU176" s="717">
        <f>CT176-CQ176</f>
        <v>-30185.219929200131</v>
      </c>
      <c r="CV176" s="761"/>
      <c r="CW176" s="762">
        <v>34069.743589743593</v>
      </c>
      <c r="CX176" s="722"/>
      <c r="CY176" s="723"/>
      <c r="CZ176" s="723"/>
      <c r="DA176" s="723"/>
      <c r="DB176" s="723"/>
      <c r="DC176" s="723"/>
      <c r="DD176" s="723"/>
    </row>
    <row r="177" spans="1:108">
      <c r="A177" s="1038" t="str">
        <f>A171</f>
        <v>%=粗利率</v>
      </c>
      <c r="B177" s="1039"/>
      <c r="C177" s="1039"/>
      <c r="D177" s="1040"/>
      <c r="E177" s="953">
        <f>E178/E14</f>
        <v>0.21838816666666666</v>
      </c>
      <c r="F177" s="961">
        <f>F178/F14</f>
        <v>0.2117</v>
      </c>
      <c r="G177" s="962">
        <f>G178/G14</f>
        <v>0.21596078941825081</v>
      </c>
      <c r="H177" s="812">
        <f>G178/F178</f>
        <v>1.153936445299955</v>
      </c>
      <c r="I177" s="1113">
        <f>I178/I14</f>
        <v>0.21860889999999999</v>
      </c>
      <c r="J177" s="1138">
        <f>J178/J14</f>
        <v>0.22699949999999997</v>
      </c>
      <c r="K177" s="1139">
        <f>K178/K14</f>
        <v>0.24116797586076205</v>
      </c>
      <c r="L177" s="1093">
        <f>K178/J178</f>
        <v>1.0932582767803454</v>
      </c>
      <c r="M177" s="1113">
        <f>M178/M14</f>
        <v>0.21860889999999999</v>
      </c>
      <c r="N177" s="1138">
        <f>N178/N14</f>
        <v>0.23864879999999997</v>
      </c>
      <c r="O177" s="1139">
        <f>O178/O14</f>
        <v>0.24182687351071722</v>
      </c>
      <c r="P177" s="1093">
        <f>O178/N178</f>
        <v>1.0168316119754217</v>
      </c>
      <c r="Q177" s="1113">
        <f>Q178/Q14</f>
        <v>0.21854039655172414</v>
      </c>
      <c r="R177" s="1140">
        <f>R178/R14</f>
        <v>0.22218798742138363</v>
      </c>
      <c r="S177" s="1118">
        <f>S178/S14</f>
        <v>0.22757093231076525</v>
      </c>
      <c r="T177" s="1141">
        <f>T178/T14</f>
        <v>0.23362748218037374</v>
      </c>
      <c r="U177" s="1119">
        <f>T178/Q178</f>
        <v>1.6242528566903485</v>
      </c>
      <c r="V177" s="1120">
        <f>T178/R178</f>
        <v>1.4569198781246213</v>
      </c>
      <c r="W177" s="1079">
        <f>T178/S178</f>
        <v>1.0380989671431855</v>
      </c>
      <c r="X177" s="1113">
        <f>X178/X14</f>
        <v>0.2294845445539857</v>
      </c>
      <c r="Y177" s="1138">
        <f>Y178/Y14</f>
        <v>0.23975639999999998</v>
      </c>
      <c r="Z177" s="1139">
        <f>Z178/Z14</f>
        <v>0.23457769696998815</v>
      </c>
      <c r="AA177" s="1093">
        <f>Z178/Y178</f>
        <v>0.98388723404255318</v>
      </c>
      <c r="AB177" s="1113">
        <f>AB178/AB14</f>
        <v>0.22928841832994343</v>
      </c>
      <c r="AC177" s="1138">
        <f>AC178/AC14</f>
        <v>0.23400000000000001</v>
      </c>
      <c r="AD177" s="1139">
        <f>AD178/AD14</f>
        <v>0.21913082236409351</v>
      </c>
      <c r="AE177" s="1132">
        <f>AD178/AC178</f>
        <v>0.93830957500000001</v>
      </c>
      <c r="AF177" s="1113">
        <f>AF178/AF14</f>
        <v>0.22816216840793443</v>
      </c>
      <c r="AG177" s="1138">
        <v>0.23599999999999999</v>
      </c>
      <c r="AH177" s="1139">
        <v>0.23068959561522376</v>
      </c>
      <c r="AI177" s="1132">
        <f>AH178/AG178</f>
        <v>0.97784468644067801</v>
      </c>
      <c r="AJ177" s="1142">
        <f>AJ178/AJ14</f>
        <v>0.2290426117391304</v>
      </c>
      <c r="AK177" s="1140">
        <f>AK178/AK14</f>
        <v>0.2244604270833333</v>
      </c>
      <c r="AL177" s="1122">
        <f>AL178/AL14</f>
        <v>0.23685571428571428</v>
      </c>
      <c r="AM177" s="1141">
        <f>AM178/AM14</f>
        <v>0.22857995248569438</v>
      </c>
      <c r="AN177" s="1123">
        <f>AM178/AJ178</f>
        <v>1.3707820054452107</v>
      </c>
      <c r="AO177" s="1100">
        <f>AM178/AK178</f>
        <v>1.3404835577689294</v>
      </c>
      <c r="AP177" s="1080">
        <f>AM178/AL178</f>
        <v>0.96787238161870703</v>
      </c>
      <c r="AQ177" s="1142">
        <f>AQ178/AQ14</f>
        <v>0.2231856071153846</v>
      </c>
      <c r="AR177" s="1119">
        <f>AR178/AR14</f>
        <v>0.22316538082437276</v>
      </c>
      <c r="AS177" s="1119">
        <f>AS178/AS14</f>
        <v>0.23146669490314767</v>
      </c>
      <c r="AT177" s="1119">
        <f>AT178/AT14</f>
        <v>0.23151970212635786</v>
      </c>
      <c r="AU177" s="1123">
        <f>AT178/AQ178</f>
        <v>1.509198619137935</v>
      </c>
      <c r="AV177" s="1119">
        <f>AT178/AR178</f>
        <v>1.406549121358377</v>
      </c>
      <c r="AW177" s="1080">
        <f>AT178/AS178</f>
        <v>1.0079468589662077</v>
      </c>
      <c r="AX177" s="956"/>
      <c r="AY177" s="957"/>
      <c r="AZ177" s="957"/>
      <c r="BA177" s="609"/>
      <c r="BB177" s="609"/>
      <c r="BC177" s="609"/>
      <c r="BD177" s="609"/>
      <c r="BE177" s="1113">
        <f>BE178/BE14</f>
        <v>0.23400000000000001</v>
      </c>
      <c r="BF177" s="1138">
        <f>BF178/BF14</f>
        <v>0.23600000000000004</v>
      </c>
      <c r="BG177" s="1139">
        <f>BG178/BG14</f>
        <v>0.21696504141526873</v>
      </c>
      <c r="BH177" s="1093">
        <f>BG178/BF178</f>
        <v>0.59383633686440673</v>
      </c>
      <c r="BI177" s="1113">
        <f>BI178/BI14</f>
        <v>0.23400000000000001</v>
      </c>
      <c r="BJ177" s="1138">
        <f>BJ178/BJ14</f>
        <v>0.22522499999999998</v>
      </c>
      <c r="BK177" s="1115">
        <f>BK178/BK14</f>
        <v>0.23661011680697314</v>
      </c>
      <c r="BL177" s="1093">
        <f>BK178/BJ178</f>
        <v>1.0282251082251082</v>
      </c>
      <c r="BM177" s="1113">
        <f>BM178/BM14</f>
        <v>0.23399999999999999</v>
      </c>
      <c r="BN177" s="1138">
        <f>BN178/BN14</f>
        <v>0.23399999999999999</v>
      </c>
      <c r="BO177" s="1139">
        <f>BO178/BO14</f>
        <v>0.23049774210079535</v>
      </c>
      <c r="BP177" s="1132">
        <f>BO178/BN178</f>
        <v>0.92741235294117652</v>
      </c>
      <c r="BQ177" s="1113">
        <f>BQ178/BQ14</f>
        <v>0.23399999999999999</v>
      </c>
      <c r="BR177" s="1123"/>
      <c r="BS177" s="1124">
        <f>BS178/BS14</f>
        <v>0.23252553191489361</v>
      </c>
      <c r="BT177" s="1141">
        <f>BT178/BT14</f>
        <v>0.22832510743290402</v>
      </c>
      <c r="BU177" s="1119">
        <f>BT178/BQ178</f>
        <v>0.78413109183673479</v>
      </c>
      <c r="BV177" s="1120"/>
      <c r="BW177" s="1079">
        <f>BT178/BS178</f>
        <v>0.82268221279749654</v>
      </c>
      <c r="BX177" s="1113">
        <f>BX178/BX14</f>
        <v>0.23400000000000001</v>
      </c>
      <c r="BY177" s="1138">
        <f>BY178/BY14</f>
        <v>0.22999999999999998</v>
      </c>
      <c r="BZ177" s="1115">
        <f>BZ178/BZ14</f>
        <v>0.22238866142129632</v>
      </c>
      <c r="CA177" s="1132">
        <f>BZ178/BY178</f>
        <v>0.96787826086956519</v>
      </c>
      <c r="CB177" s="1113">
        <f>CB178/CB14</f>
        <v>0.23385375</v>
      </c>
      <c r="CC177" s="1138">
        <f>CC178/CC14</f>
        <v>0.22900000000000001</v>
      </c>
      <c r="CD177" s="1280">
        <f>CD178/CD14</f>
        <v>0.22900000000000001</v>
      </c>
      <c r="CE177" s="1132">
        <f>CD178/CC178</f>
        <v>0.70093457943925241</v>
      </c>
      <c r="CF177" s="1113">
        <f>CF178/CF14</f>
        <v>0.23399999999999999</v>
      </c>
      <c r="CG177" s="1138">
        <f>CG178/CG14</f>
        <v>0.22900000000000001</v>
      </c>
      <c r="CH177" s="1280">
        <f>CH178/CH14</f>
        <v>0.231075</v>
      </c>
      <c r="CI177" s="1132">
        <f>CH178/CG178</f>
        <v>0.66167943303028132</v>
      </c>
      <c r="CJ177" s="1142">
        <f>CJ178/CJ14</f>
        <v>0.23395224489795916</v>
      </c>
      <c r="CK177" s="1096"/>
      <c r="CL177" s="1122">
        <f>CL178/CL14</f>
        <v>0.22936426712922811</v>
      </c>
      <c r="CM177" s="1141">
        <f>CM178/CM14</f>
        <v>0.22643101386623615</v>
      </c>
      <c r="CN177" s="1123">
        <f>CM178/CJ178</f>
        <v>0.90901178157761131</v>
      </c>
      <c r="CO177" s="1123"/>
      <c r="CP177" s="1080">
        <f>CM178/CL178</f>
        <v>0.78807533928010975</v>
      </c>
      <c r="CQ177" s="1142">
        <f>CQ178/CQ14</f>
        <v>0.23397612244897956</v>
      </c>
      <c r="CR177" s="1364"/>
      <c r="CS177" s="1119">
        <f>CS178/CS14</f>
        <v>0.2307840420449116</v>
      </c>
      <c r="CT177" s="1119">
        <f>CT178/CT14</f>
        <v>0.227304383774695</v>
      </c>
      <c r="CU177" s="1123">
        <f>CT178/CQ178</f>
        <v>0.84656506459319514</v>
      </c>
      <c r="CV177" s="1123"/>
      <c r="CW177" s="1080">
        <f>CT178/CS178</f>
        <v>0.80373512668959146</v>
      </c>
      <c r="CX177" s="956"/>
      <c r="CY177" s="957"/>
      <c r="CZ177" s="1390"/>
      <c r="DA177" s="1390"/>
      <c r="DB177" s="1390"/>
      <c r="DC177" s="609"/>
      <c r="DD177" s="609"/>
    </row>
    <row r="178" spans="1:108">
      <c r="A178" s="1011" t="s">
        <v>395</v>
      </c>
      <c r="B178" s="997"/>
      <c r="C178" s="997"/>
      <c r="D178" s="995"/>
      <c r="E178" s="822">
        <f>E228</f>
        <v>33598.179487179485</v>
      </c>
      <c r="F178" s="887">
        <f>F228</f>
        <v>43425.641025641031</v>
      </c>
      <c r="G178" s="824">
        <v>50110.429840000099</v>
      </c>
      <c r="H178" s="825">
        <f>H228</f>
        <v>4181.1548143588152</v>
      </c>
      <c r="I178" s="822">
        <f>I228</f>
        <v>37369.042735042734</v>
      </c>
      <c r="J178" s="887">
        <v>58205</v>
      </c>
      <c r="K178" s="824">
        <v>63633.097999999998</v>
      </c>
      <c r="L178" s="825">
        <f>K178-J178</f>
        <v>5428.0979999999981</v>
      </c>
      <c r="M178" s="822">
        <f>M228</f>
        <v>37369.042735042734</v>
      </c>
      <c r="N178" s="887">
        <v>61192</v>
      </c>
      <c r="O178" s="824">
        <v>62221.96</v>
      </c>
      <c r="P178" s="825">
        <f>O178-N178</f>
        <v>1029.9599999999991</v>
      </c>
      <c r="Q178" s="827">
        <f>E178+I178+M178</f>
        <v>108336.26495726495</v>
      </c>
      <c r="R178" s="828">
        <f>R228</f>
        <v>120779.11111111111</v>
      </c>
      <c r="S178" s="739">
        <f>G178+J178+N178</f>
        <v>169507.42984000011</v>
      </c>
      <c r="T178" s="520">
        <f>G178+K178+O178</f>
        <v>175965.4878400001</v>
      </c>
      <c r="U178" s="712">
        <f>T178-Q178</f>
        <v>67629.22288273515</v>
      </c>
      <c r="V178" s="711">
        <f>T178-R178</f>
        <v>55186.376728888994</v>
      </c>
      <c r="W178" s="716">
        <f>T178-S178</f>
        <v>6458.05799999999</v>
      </c>
      <c r="X178" s="822">
        <f>X228</f>
        <v>33343.908183057756</v>
      </c>
      <c r="Y178" s="887">
        <v>51230</v>
      </c>
      <c r="Z178" s="824">
        <v>50404.542999999998</v>
      </c>
      <c r="AA178" s="825">
        <f>AA228</f>
        <v>4831.087145299145</v>
      </c>
      <c r="AB178" s="822">
        <f>AB228</f>
        <v>31355.681139137563</v>
      </c>
      <c r="AC178" s="887">
        <f>AC14*23.4%</f>
        <v>40000</v>
      </c>
      <c r="AD178" s="824">
        <v>37532.383000000002</v>
      </c>
      <c r="AE178" s="825">
        <f>AD178-AC178</f>
        <v>-2467.6169999999984</v>
      </c>
      <c r="AF178" s="822">
        <f>AF228</f>
        <v>25351.35204532605</v>
      </c>
      <c r="AG178" s="887">
        <f>AG177*AG14</f>
        <v>36307.692307692305</v>
      </c>
      <c r="AH178" s="824">
        <v>35503.284</v>
      </c>
      <c r="AI178" s="825">
        <f>AH178-AG178</f>
        <v>-804.40830769230524</v>
      </c>
      <c r="AJ178" s="713">
        <f>X178+AB178+AF178</f>
        <v>90050.941367521358</v>
      </c>
      <c r="AK178" s="828">
        <f>AK228</f>
        <v>92086.329059829062</v>
      </c>
      <c r="AL178" s="714">
        <f>Y178+AC178+AG178</f>
        <v>127537.69230769231</v>
      </c>
      <c r="AM178" s="520">
        <f>Z178+AD178+AH178</f>
        <v>123440.21</v>
      </c>
      <c r="AN178" s="739">
        <f>AM178-AJ178</f>
        <v>33389.268632478648</v>
      </c>
      <c r="AO178" s="711">
        <f>AM178-AK178</f>
        <v>31353.880940170944</v>
      </c>
      <c r="AP178" s="716">
        <f>AM178-AL178</f>
        <v>-4097.4823076923058</v>
      </c>
      <c r="AQ178" s="713">
        <f>SUM(Q178,AJ178)</f>
        <v>198387.2063247863</v>
      </c>
      <c r="AR178" s="715">
        <f>R178+AK178</f>
        <v>212865.44017094019</v>
      </c>
      <c r="AS178" s="608">
        <f>S178+AL178</f>
        <v>297045.12214769243</v>
      </c>
      <c r="AT178" s="715">
        <f>SUM(T178,AM178)</f>
        <v>299405.6978400001</v>
      </c>
      <c r="AU178" s="711">
        <f>AT178-AQ178</f>
        <v>101018.4915152138</v>
      </c>
      <c r="AV178" s="712">
        <f>AT178-AR178</f>
        <v>86540.257669059909</v>
      </c>
      <c r="AW178" s="716">
        <f>AT178-AS178</f>
        <v>2360.5756923076697</v>
      </c>
      <c r="AX178" s="708">
        <f>AQ178/6</f>
        <v>33064.53438746438</v>
      </c>
      <c r="AY178" s="709">
        <f>AR178/6</f>
        <v>35477.573361823364</v>
      </c>
      <c r="AZ178" s="709">
        <f>AT178/6</f>
        <v>49900.949640000013</v>
      </c>
      <c r="BA178" s="1239">
        <f>AZ178/AX178</f>
        <v>1.5091986191379352</v>
      </c>
      <c r="BB178" s="516">
        <f>AZ178-AX178</f>
        <v>16836.415252535633</v>
      </c>
      <c r="BC178" s="516">
        <f>AZ178-AY178</f>
        <v>14423.376278176649</v>
      </c>
      <c r="BD178" s="516">
        <f>AW178/6</f>
        <v>393.42928205127828</v>
      </c>
      <c r="BE178" s="822">
        <f>180000*0.234/1.17</f>
        <v>36000</v>
      </c>
      <c r="BF178" s="887">
        <v>36307.692307692312</v>
      </c>
      <c r="BG178" s="824">
        <v>21560.827000000001</v>
      </c>
      <c r="BH178" s="825">
        <f>BG178-BF178</f>
        <v>-14746.865307692311</v>
      </c>
      <c r="BI178" s="822">
        <v>28000.000000000004</v>
      </c>
      <c r="BJ178" s="887">
        <v>23100</v>
      </c>
      <c r="BK178" s="824">
        <v>23752</v>
      </c>
      <c r="BL178" s="825">
        <f>BK178-BJ178</f>
        <v>652</v>
      </c>
      <c r="BM178" s="822">
        <v>34000</v>
      </c>
      <c r="BN178" s="887">
        <v>34000</v>
      </c>
      <c r="BO178" s="824">
        <v>31532.02</v>
      </c>
      <c r="BP178" s="825">
        <f>BO178-BN178</f>
        <v>-2467.9799999999996</v>
      </c>
      <c r="BQ178" s="713">
        <f>BE178+BI178+BM178</f>
        <v>98000</v>
      </c>
      <c r="BR178" s="714"/>
      <c r="BS178" s="739">
        <f>BF178+BJ178+BN178</f>
        <v>93407.692307692312</v>
      </c>
      <c r="BT178" s="520">
        <f>BG178+BK178+BO178</f>
        <v>76844.847000000009</v>
      </c>
      <c r="BU178" s="712">
        <f>BT178-BQ178</f>
        <v>-21155.152999999991</v>
      </c>
      <c r="BV178" s="711"/>
      <c r="BW178" s="716">
        <f>BT178-BS178</f>
        <v>-16562.845307692303</v>
      </c>
      <c r="BX178" s="822">
        <v>36000</v>
      </c>
      <c r="BY178" s="887">
        <v>41282.051282051281</v>
      </c>
      <c r="BZ178" s="824">
        <v>39956</v>
      </c>
      <c r="CA178" s="825">
        <v>0</v>
      </c>
      <c r="CB178" s="822">
        <v>31980</v>
      </c>
      <c r="CC178" s="887">
        <v>41885.470085470086</v>
      </c>
      <c r="CD178" s="826">
        <v>29358.974358974363</v>
      </c>
      <c r="CE178" s="825">
        <v>0</v>
      </c>
      <c r="CF178" s="822">
        <v>30000</v>
      </c>
      <c r="CG178" s="887">
        <v>29848.290598290601</v>
      </c>
      <c r="CH178" s="826">
        <v>19750</v>
      </c>
      <c r="CI178" s="825">
        <f>CH178-CG178</f>
        <v>-10098.290598290601</v>
      </c>
      <c r="CJ178" s="713">
        <f>BX178+CB178+CF178</f>
        <v>97980</v>
      </c>
      <c r="CK178" s="714"/>
      <c r="CL178" s="714">
        <f>BY178+CC178+CG178</f>
        <v>113015.81196581197</v>
      </c>
      <c r="CM178" s="520">
        <f>BZ178+CD178+CH178</f>
        <v>89064.974358974359</v>
      </c>
      <c r="CN178" s="739">
        <f>CM178-CJ178</f>
        <v>-8915.0256410256407</v>
      </c>
      <c r="CO178" s="739"/>
      <c r="CP178" s="716">
        <f>CM178-CL178</f>
        <v>-23950.837606837609</v>
      </c>
      <c r="CQ178" s="713">
        <f>SUM(BQ178,CJ178)</f>
        <v>195980</v>
      </c>
      <c r="CR178" s="1340"/>
      <c r="CS178" s="608">
        <f>BS178+CL178</f>
        <v>206423.50427350428</v>
      </c>
      <c r="CT178" s="715">
        <f>SUM(BT178,CM178)</f>
        <v>165909.82135897438</v>
      </c>
      <c r="CU178" s="711">
        <f>CT178-CQ178</f>
        <v>-30070.178641025617</v>
      </c>
      <c r="CV178" s="711"/>
      <c r="CW178" s="716">
        <f>CT178-CS178</f>
        <v>-40513.682914529898</v>
      </c>
      <c r="CX178" s="708">
        <f>CQ178/6</f>
        <v>32663.333333333332</v>
      </c>
      <c r="CY178" s="709">
        <f>CT178/6</f>
        <v>27651.636893162398</v>
      </c>
      <c r="CZ178" s="1386">
        <f>CY178/CX178</f>
        <v>0.84656506459319525</v>
      </c>
      <c r="DA178" s="555">
        <f>CY178-CX178</f>
        <v>-5011.6964401709338</v>
      </c>
      <c r="DB178" s="555">
        <f>CW178/6</f>
        <v>-6752.2804857549827</v>
      </c>
      <c r="DC178" s="516"/>
      <c r="DD178" s="516"/>
    </row>
    <row r="179" spans="1:108">
      <c r="A179" s="998"/>
      <c r="B179" s="1020"/>
      <c r="C179" s="998" t="s">
        <v>166</v>
      </c>
      <c r="D179" s="1024"/>
      <c r="E179" s="949">
        <f>E180/E15</f>
        <v>0.10334566987416727</v>
      </c>
      <c r="F179" s="959">
        <f>F180/F15</f>
        <v>0.10334566987416727</v>
      </c>
      <c r="G179" s="960">
        <f>G180/G15</f>
        <v>0.11960128776622089</v>
      </c>
      <c r="H179" s="894"/>
      <c r="I179" s="1128">
        <f>I180/I15</f>
        <v>0.10334566987416727</v>
      </c>
      <c r="J179" s="1126">
        <f>J180/J15</f>
        <v>0.10636363636363637</v>
      </c>
      <c r="K179" s="1127">
        <f>K180/K15</f>
        <v>0.10604487283330634</v>
      </c>
      <c r="L179" s="1099"/>
      <c r="M179" s="1128">
        <f>M180/M15</f>
        <v>0.10334566987416727</v>
      </c>
      <c r="N179" s="1126">
        <f>N180/N15</f>
        <v>0.10636363636363637</v>
      </c>
      <c r="O179" s="1127">
        <f>O180/O15</f>
        <v>0.12489500762967064</v>
      </c>
      <c r="P179" s="1099"/>
      <c r="Q179" s="1102">
        <f>Q180/Q15</f>
        <v>0.10334566987416728</v>
      </c>
      <c r="R179" s="1106">
        <f>R180/R15</f>
        <v>0.10783325482807347</v>
      </c>
      <c r="S179" s="1107">
        <f>S180/S15</f>
        <v>0.11163046572223075</v>
      </c>
      <c r="T179" s="1108">
        <f>T180/T15</f>
        <v>0.11818657869376557</v>
      </c>
      <c r="U179" s="1143"/>
      <c r="V179" s="1144"/>
      <c r="W179" s="1084"/>
      <c r="X179" s="1128">
        <f>X180/X15</f>
        <v>0.1123052957405289</v>
      </c>
      <c r="Y179" s="1126">
        <f>Y180/Y15</f>
        <v>0.1201909090909091</v>
      </c>
      <c r="Z179" s="1127">
        <f>Z180/Z15</f>
        <v>0.10221087292520663</v>
      </c>
      <c r="AA179" s="1099"/>
      <c r="AB179" s="1128">
        <f>AB180/AB15</f>
        <v>0.1123052957405289</v>
      </c>
      <c r="AC179" s="1126">
        <f>AC180/AC15</f>
        <v>0.1201909090909091</v>
      </c>
      <c r="AD179" s="1127">
        <f>AD180/AD15</f>
        <v>0.13822505408637389</v>
      </c>
      <c r="AE179" s="1099"/>
      <c r="AF179" s="1128">
        <f>AF180/AF15</f>
        <v>0.1123052957405289</v>
      </c>
      <c r="AG179" s="1126">
        <f>AG180/AG15</f>
        <v>0.12338181818181819</v>
      </c>
      <c r="AH179" s="1127">
        <f>AH180/AH15</f>
        <v>0.10785547959493658</v>
      </c>
      <c r="AI179" s="1099"/>
      <c r="AJ179" s="1102">
        <f>AJ180/AJ15</f>
        <v>0.1123052957405289</v>
      </c>
      <c r="AK179" s="1106">
        <f>AK180/AK15</f>
        <v>0.10783325482807347</v>
      </c>
      <c r="AL179" s="1109">
        <f>AL180/AL15</f>
        <v>0.12125454545454545</v>
      </c>
      <c r="AM179" s="1108">
        <f>AM180/AM15</f>
        <v>0.11589645720060897</v>
      </c>
      <c r="AN179" s="1145"/>
      <c r="AO179" s="1112"/>
      <c r="AP179" s="1082"/>
      <c r="AQ179" s="1102">
        <f>AQ180/AQ15</f>
        <v>0.10782548280734809</v>
      </c>
      <c r="AR179" s="1108">
        <f>AR180/AR15</f>
        <v>0.10783325482807347</v>
      </c>
      <c r="AS179" s="1109">
        <f>AS180/AS15</f>
        <v>0.11619775428262444</v>
      </c>
      <c r="AT179" s="1108">
        <f>AT180/AT15</f>
        <v>0.1171398995150942</v>
      </c>
      <c r="AU179" s="1146"/>
      <c r="AV179" s="1147"/>
      <c r="AW179" s="1083"/>
      <c r="AX179" s="722"/>
      <c r="AY179" s="723"/>
      <c r="AZ179" s="723"/>
      <c r="BA179" s="723"/>
      <c r="BB179" s="723"/>
      <c r="BC179" s="723"/>
      <c r="BD179" s="723"/>
      <c r="BE179" s="1128">
        <f>BE180/BE15</f>
        <v>0.12589681903234429</v>
      </c>
      <c r="BF179" s="1126">
        <f>BF180/BF15</f>
        <v>0.12623684210526315</v>
      </c>
      <c r="BG179" s="1127">
        <f>BG180/BG15</f>
        <v>8.1480993193022447E-2</v>
      </c>
      <c r="BH179" s="1099"/>
      <c r="BI179" s="1128">
        <f>BI180/BI15</f>
        <v>0.12589681903234429</v>
      </c>
      <c r="BJ179" s="1126">
        <f>BJ180/BJ15</f>
        <v>0.12402000000000001</v>
      </c>
      <c r="BK179" s="1127">
        <f>BK180/BK15</f>
        <v>9.0416305962454327E-2</v>
      </c>
      <c r="BL179" s="1099"/>
      <c r="BM179" s="1128">
        <f>BM180/BM15</f>
        <v>0.12589681903234429</v>
      </c>
      <c r="BN179" s="1126">
        <f>BN180/BN15</f>
        <v>0.12636</v>
      </c>
      <c r="BO179" s="1127">
        <f>BO180/BO15</f>
        <v>0.11159512268335853</v>
      </c>
      <c r="BP179" s="1099"/>
      <c r="BQ179" s="1102">
        <f>BQ180/BQ15</f>
        <v>0.12589681903234429</v>
      </c>
      <c r="BR179" s="1111"/>
      <c r="BS179" s="1108"/>
      <c r="BT179" s="1108">
        <f>BT180/BT15</f>
        <v>9.3944441149310581E-2</v>
      </c>
      <c r="BU179" s="1143"/>
      <c r="BV179" s="1144"/>
      <c r="BW179" s="1131"/>
      <c r="BX179" s="1128">
        <f>BX180/BX15</f>
        <v>0.12580026631158456</v>
      </c>
      <c r="BY179" s="1126">
        <f>BY180/BY15</f>
        <v>0.12556097560975607</v>
      </c>
      <c r="BZ179" s="1127">
        <f>BZ180/BZ15</f>
        <v>9.226494327801886E-2</v>
      </c>
      <c r="CA179" s="1099"/>
      <c r="CB179" s="1128">
        <f>CB180/CB15</f>
        <v>0.12580026631158456</v>
      </c>
      <c r="CC179" s="1126">
        <f>CC180/CC15</f>
        <v>0.12577499999999997</v>
      </c>
      <c r="CD179" s="1279">
        <f>CD180/CD15</f>
        <v>0.10468421052631578</v>
      </c>
      <c r="CE179" s="1099"/>
      <c r="CF179" s="1128">
        <f>CF180/CF15</f>
        <v>0.12580026631158456</v>
      </c>
      <c r="CG179" s="1126">
        <f>CG180/CG15</f>
        <v>0.12655102040816327</v>
      </c>
      <c r="CH179" s="1279">
        <f>CH180/CH15</f>
        <v>0.10893103448275861</v>
      </c>
      <c r="CI179" s="1099"/>
      <c r="CJ179" s="1102">
        <f>CJ180/CJ15</f>
        <v>0.12580026631158456</v>
      </c>
      <c r="CK179" s="1111"/>
      <c r="CL179" s="1109">
        <f>CL180/CL15</f>
        <v>0.12597</v>
      </c>
      <c r="CM179" s="1108">
        <f>CM180/CM15</f>
        <v>0.10230245214153896</v>
      </c>
      <c r="CN179" s="1145"/>
      <c r="CO179" s="1145"/>
      <c r="CP179" s="1082"/>
      <c r="CQ179" s="1102">
        <f>CQ180/CQ15</f>
        <v>0.12584845250800425</v>
      </c>
      <c r="CR179" s="1111"/>
      <c r="CS179" s="1109">
        <f>CS180/CS15</f>
        <v>0.12574545454545452</v>
      </c>
      <c r="CT179" s="1108">
        <f>CT180/CT15</f>
        <v>9.7337308442613443E-2</v>
      </c>
      <c r="CU179" s="1146"/>
      <c r="CV179" s="1146"/>
      <c r="CW179" s="1083">
        <f>CT180/CS180</f>
        <v>0.61102251370145466</v>
      </c>
      <c r="CX179" s="722"/>
      <c r="CY179" s="723"/>
      <c r="CZ179" s="723"/>
      <c r="DA179" s="723"/>
      <c r="DB179" s="723"/>
      <c r="DC179" s="723"/>
      <c r="DD179" s="723"/>
    </row>
    <row r="180" spans="1:108">
      <c r="A180" s="998"/>
      <c r="B180" s="1020"/>
      <c r="C180" s="1023" t="s">
        <v>385</v>
      </c>
      <c r="D180" s="1024"/>
      <c r="E180" s="695">
        <v>3938</v>
      </c>
      <c r="F180" s="800">
        <v>3938</v>
      </c>
      <c r="G180" s="801">
        <v>7430</v>
      </c>
      <c r="H180" s="867">
        <f>G180-F180</f>
        <v>3492</v>
      </c>
      <c r="I180" s="695">
        <v>3938</v>
      </c>
      <c r="J180" s="800">
        <v>5000</v>
      </c>
      <c r="K180" s="801">
        <v>4476</v>
      </c>
      <c r="L180" s="867">
        <f>K180-J180</f>
        <v>-524</v>
      </c>
      <c r="M180" s="695">
        <v>3938</v>
      </c>
      <c r="N180" s="800">
        <v>5000</v>
      </c>
      <c r="O180" s="801">
        <v>7905</v>
      </c>
      <c r="P180" s="867">
        <f>O180-N180</f>
        <v>2905</v>
      </c>
      <c r="Q180" s="767">
        <f>E180+I180+M180</f>
        <v>11814</v>
      </c>
      <c r="R180" s="951">
        <f>4109*3</f>
        <v>12327</v>
      </c>
      <c r="S180" s="952">
        <f>G180+J180+N180</f>
        <v>17430</v>
      </c>
      <c r="T180" s="699">
        <f>G180+K180+O180</f>
        <v>19811</v>
      </c>
      <c r="U180" s="699">
        <f>T180-Q180</f>
        <v>7997</v>
      </c>
      <c r="V180" s="721">
        <f>T180-R180</f>
        <v>7484</v>
      </c>
      <c r="W180" s="688">
        <f>T180-S180</f>
        <v>2381</v>
      </c>
      <c r="X180" s="695">
        <v>4279.4076923076927</v>
      </c>
      <c r="Y180" s="800">
        <v>5650</v>
      </c>
      <c r="Z180" s="801">
        <v>5200</v>
      </c>
      <c r="AA180" s="867">
        <f>AA230</f>
        <v>277</v>
      </c>
      <c r="AB180" s="695">
        <v>4279.4076923076927</v>
      </c>
      <c r="AC180" s="800">
        <v>5650</v>
      </c>
      <c r="AD180" s="801">
        <v>6471</v>
      </c>
      <c r="AE180" s="867">
        <f>AD180-AC180</f>
        <v>821</v>
      </c>
      <c r="AF180" s="695">
        <v>4279.4076923076927</v>
      </c>
      <c r="AG180" s="800">
        <v>5800</v>
      </c>
      <c r="AH180" s="801">
        <v>4681.9587099999999</v>
      </c>
      <c r="AI180" s="867">
        <f>AH180-AG180</f>
        <v>-1118.0412900000001</v>
      </c>
      <c r="AJ180" s="869">
        <f>X180+AB180+AF180</f>
        <v>12838.223076923077</v>
      </c>
      <c r="AK180" s="951">
        <f>4109*3</f>
        <v>12327</v>
      </c>
      <c r="AL180" s="717">
        <f>Y180+AC180+AG180</f>
        <v>17100</v>
      </c>
      <c r="AM180" s="699">
        <f>Z180+AD180+AH180</f>
        <v>16352.958709999999</v>
      </c>
      <c r="AN180" s="721">
        <f>AM180-AJ180</f>
        <v>3514.7356330769217</v>
      </c>
      <c r="AO180" s="717">
        <f>AM180-AK180</f>
        <v>4025.958709999999</v>
      </c>
      <c r="AP180" s="688">
        <f>AM180-AL180</f>
        <v>-747.04129000000103</v>
      </c>
      <c r="AQ180" s="869">
        <f>SUM(Q180,AJ180)</f>
        <v>24652.223076923077</v>
      </c>
      <c r="AR180" s="699">
        <f>SUM(R180,AK180)</f>
        <v>24654</v>
      </c>
      <c r="AS180" s="579">
        <f>SUM(S180,AL180)</f>
        <v>34530</v>
      </c>
      <c r="AT180" s="720">
        <f>SUM(T180,AM180)</f>
        <v>36163.958709999999</v>
      </c>
      <c r="AU180" s="523">
        <f>AT180-AQ180</f>
        <v>11511.735633076922</v>
      </c>
      <c r="AV180" s="699">
        <f>AT180-AR180</f>
        <v>11509.958709999999</v>
      </c>
      <c r="AW180" s="508">
        <f>AT180-AS180</f>
        <v>1633.958709999999</v>
      </c>
      <c r="AX180" s="722"/>
      <c r="AY180" s="723"/>
      <c r="AZ180" s="723"/>
      <c r="BA180" s="723"/>
      <c r="BB180" s="723"/>
      <c r="BC180" s="723"/>
      <c r="BD180" s="723"/>
      <c r="BE180" s="695">
        <v>6038.2051282051279</v>
      </c>
      <c r="BF180" s="800">
        <v>6150</v>
      </c>
      <c r="BG180" s="801">
        <v>3061.6948400000001</v>
      </c>
      <c r="BH180" s="867">
        <f>BG180-BF180</f>
        <v>-3088.3051599999999</v>
      </c>
      <c r="BI180" s="695">
        <v>6038.2051282051279</v>
      </c>
      <c r="BJ180" s="800">
        <v>5300</v>
      </c>
      <c r="BK180" s="801">
        <v>4138.84311290599</v>
      </c>
      <c r="BL180" s="867">
        <f>BK180-BJ180</f>
        <v>-1161.15688709401</v>
      </c>
      <c r="BM180" s="695">
        <v>6038.2051282051279</v>
      </c>
      <c r="BN180" s="800">
        <v>4320</v>
      </c>
      <c r="BO180" s="801">
        <v>3982.0090844444398</v>
      </c>
      <c r="BP180" s="867">
        <f>BO180-BN180</f>
        <v>-337.99091555556015</v>
      </c>
      <c r="BQ180" s="767">
        <f>BE180+BI180+BM180</f>
        <v>18114.615384615383</v>
      </c>
      <c r="BR180" s="721"/>
      <c r="BS180" s="699">
        <f>BF180+BJ180+BN180</f>
        <v>15770</v>
      </c>
      <c r="BT180" s="699">
        <f>BG180+BK180+BO180</f>
        <v>11182.54703735043</v>
      </c>
      <c r="BU180" s="699">
        <f>BT180-BQ180</f>
        <v>-6932.0683472649525</v>
      </c>
      <c r="BV180" s="721"/>
      <c r="BW180" s="721">
        <f>BT180-BS180</f>
        <v>-4587.4529626495696</v>
      </c>
      <c r="BX180" s="695">
        <v>6056.1538461538457</v>
      </c>
      <c r="BY180" s="800">
        <v>4400</v>
      </c>
      <c r="BZ180" s="801">
        <v>2221.2916</v>
      </c>
      <c r="CA180" s="867">
        <v>0</v>
      </c>
      <c r="CB180" s="695">
        <v>6056.1538461538457</v>
      </c>
      <c r="CC180" s="800">
        <v>6450</v>
      </c>
      <c r="CD180" s="803">
        <v>3400</v>
      </c>
      <c r="CE180" s="867">
        <v>0</v>
      </c>
      <c r="CF180" s="695">
        <v>6056.1538461538457</v>
      </c>
      <c r="CG180" s="800">
        <v>5300</v>
      </c>
      <c r="CH180" s="803">
        <v>2700</v>
      </c>
      <c r="CI180" s="867">
        <f>CH180-CG180</f>
        <v>-2600</v>
      </c>
      <c r="CJ180" s="869">
        <f>BX180+CB180+CF180</f>
        <v>18168.461538461539</v>
      </c>
      <c r="CK180" s="719"/>
      <c r="CL180" s="717">
        <f>BY180+CC180+CG180</f>
        <v>16150</v>
      </c>
      <c r="CM180" s="699">
        <f>BZ180+CD180+CH180</f>
        <v>8321.2916000000005</v>
      </c>
      <c r="CN180" s="721">
        <f>CM180-CJ180</f>
        <v>-9847.1699384615385</v>
      </c>
      <c r="CO180" s="721"/>
      <c r="CP180" s="688">
        <f>CM180-CL180</f>
        <v>-7828.7083999999995</v>
      </c>
      <c r="CQ180" s="869">
        <f>SUM(BQ180,CJ180)</f>
        <v>36283.076923076922</v>
      </c>
      <c r="CR180" s="719"/>
      <c r="CS180" s="579">
        <f>SUM(BS180,CL180)</f>
        <v>31920</v>
      </c>
      <c r="CT180" s="720">
        <f>SUM(BT180,CM180)</f>
        <v>19503.838637350433</v>
      </c>
      <c r="CU180" s="523">
        <f>CT180-CQ180</f>
        <v>-16779.238285726489</v>
      </c>
      <c r="CV180" s="523"/>
      <c r="CW180" s="508">
        <f>CT180-CS180</f>
        <v>-12416.161362649567</v>
      </c>
      <c r="CX180" s="722"/>
      <c r="CY180" s="723"/>
      <c r="CZ180" s="723"/>
      <c r="DA180" s="723"/>
      <c r="DB180" s="723"/>
      <c r="DC180" s="723"/>
      <c r="DD180" s="723"/>
    </row>
    <row r="181" spans="1:108">
      <c r="A181" s="998"/>
      <c r="B181" s="1020"/>
      <c r="C181" s="1021" t="s">
        <v>166</v>
      </c>
      <c r="D181" s="1022"/>
      <c r="E181" s="963">
        <f>E182/E16</f>
        <v>0.12426631578947368</v>
      </c>
      <c r="F181" s="964">
        <f>F182/F16</f>
        <v>0.1242663157894737</v>
      </c>
      <c r="G181" s="965">
        <f>G182/G16</f>
        <v>0.14766357163343186</v>
      </c>
      <c r="H181" s="923"/>
      <c r="I181" s="963">
        <f>I182/I16</f>
        <v>0.12426631578947368</v>
      </c>
      <c r="J181" s="964">
        <f>J182/J16</f>
        <v>0.11549999999999999</v>
      </c>
      <c r="K181" s="965">
        <f>K182/K16</f>
        <v>0.11553374767281384</v>
      </c>
      <c r="L181" s="1101"/>
      <c r="M181" s="963">
        <f>M182/M16</f>
        <v>0.12426631578947368</v>
      </c>
      <c r="N181" s="964">
        <f>N182/N16</f>
        <v>0.12236823529411764</v>
      </c>
      <c r="O181" s="965">
        <f>O182/O16</f>
        <v>0.21490167058355816</v>
      </c>
      <c r="P181" s="1101"/>
      <c r="Q181" s="1102">
        <f>Q182/Q16</f>
        <v>0.12426631578947368</v>
      </c>
      <c r="R181" s="1106">
        <f>R182/R16</f>
        <v>0.12993891817556727</v>
      </c>
      <c r="S181" s="1111">
        <f>S182/S16</f>
        <v>0.12764375119691204</v>
      </c>
      <c r="T181" s="1108">
        <f>T182/T16</f>
        <v>0.15969251334827583</v>
      </c>
      <c r="U181" s="1143"/>
      <c r="V181" s="1144"/>
      <c r="W181" s="1084"/>
      <c r="X181" s="963">
        <f>X182/X16</f>
        <v>0.13410333708944921</v>
      </c>
      <c r="Y181" s="964">
        <f>Y182/Y16</f>
        <v>0.13532530120481928</v>
      </c>
      <c r="Z181" s="965">
        <f>Z182/Z16</f>
        <v>0.1597977725164596</v>
      </c>
      <c r="AA181" s="1101"/>
      <c r="AB181" s="963">
        <f>AB182/AB16</f>
        <v>0.13410333708944921</v>
      </c>
      <c r="AC181" s="964">
        <f>AC182/AC16</f>
        <v>0.13532530120481928</v>
      </c>
      <c r="AD181" s="965">
        <f>AD182/AD16</f>
        <v>0.18267005549695478</v>
      </c>
      <c r="AE181" s="1101"/>
      <c r="AF181" s="963">
        <f>AF182/AF16</f>
        <v>0.13410333708944921</v>
      </c>
      <c r="AG181" s="964">
        <f>AG182/AG16</f>
        <v>0.15063750000000001</v>
      </c>
      <c r="AH181" s="965">
        <f>AH182/AH16</f>
        <v>0.1202104029310601</v>
      </c>
      <c r="AI181" s="1101"/>
      <c r="AJ181" s="1102">
        <f>AJ182/AJ16</f>
        <v>0.13410333708944921</v>
      </c>
      <c r="AK181" s="1106">
        <f>AK182/AK16</f>
        <v>0.12993891817556727</v>
      </c>
      <c r="AL181" s="1108">
        <f>AL182/AL16</f>
        <v>0.1403048780487805</v>
      </c>
      <c r="AM181" s="1108">
        <f>AM182/AM16</f>
        <v>0.15085434483693358</v>
      </c>
      <c r="AN181" s="1145"/>
      <c r="AO181" s="1112"/>
      <c r="AP181" s="1082"/>
      <c r="AQ181" s="1102">
        <f>AQ182/AQ16</f>
        <v>0.12962957348290821</v>
      </c>
      <c r="AR181" s="1108">
        <f>AR182/AR16</f>
        <v>0.12993891817556727</v>
      </c>
      <c r="AS181" s="1109">
        <f>AS182/AS16</f>
        <v>0.13415003064200628</v>
      </c>
      <c r="AT181" s="1108">
        <f>AT182/AT16</f>
        <v>0.15532070079114796</v>
      </c>
      <c r="AU181" s="1146"/>
      <c r="AV181" s="1147"/>
      <c r="AW181" s="1082"/>
      <c r="AX181" s="722"/>
      <c r="AY181" s="723"/>
      <c r="AZ181" s="723"/>
      <c r="BA181" s="723"/>
      <c r="BB181" s="723"/>
      <c r="BC181" s="723"/>
      <c r="BD181" s="723"/>
      <c r="BE181" s="963">
        <f>BE182/BE16</f>
        <v>0.15986999999999998</v>
      </c>
      <c r="BF181" s="964">
        <f>BF182/BF16</f>
        <v>0.15750967741935482</v>
      </c>
      <c r="BG181" s="965">
        <f>BG182/BG16</f>
        <v>0.11103515155754155</v>
      </c>
      <c r="BH181" s="1101"/>
      <c r="BI181" s="963">
        <f>BI182/BI16</f>
        <v>0.15986999999999998</v>
      </c>
      <c r="BJ181" s="964">
        <f>BJ182/BJ16</f>
        <v>0.13989130434782607</v>
      </c>
      <c r="BK181" s="965">
        <f>BK182/BK16</f>
        <v>0.14385469338101695</v>
      </c>
      <c r="BL181" s="1101"/>
      <c r="BM181" s="963">
        <f>BM182/BM16</f>
        <v>0.15986999999999998</v>
      </c>
      <c r="BN181" s="964">
        <f>BN182/BN16</f>
        <v>0.1611509433962264</v>
      </c>
      <c r="BO181" s="965">
        <f>BO182/BO16</f>
        <v>0.17129980014344745</v>
      </c>
      <c r="BP181" s="1101"/>
      <c r="BQ181" s="1102">
        <f>BQ182/BQ16</f>
        <v>0.15987000000000001</v>
      </c>
      <c r="BR181" s="1111"/>
      <c r="BS181" s="1109"/>
      <c r="BT181" s="1108">
        <f>BT182/BT16</f>
        <v>0.13739272066831554</v>
      </c>
      <c r="BU181" s="1143"/>
      <c r="BV181" s="1144"/>
      <c r="BW181" s="1131"/>
      <c r="BX181" s="963">
        <f>BX182/BX16</f>
        <v>0.15986999999999998</v>
      </c>
      <c r="BY181" s="964">
        <f>BY182/BY16</f>
        <v>0.15897431906614787</v>
      </c>
      <c r="BZ181" s="965">
        <f>BZ182/BZ16</f>
        <v>0.11527337666245266</v>
      </c>
      <c r="CA181" s="1101"/>
      <c r="CB181" s="963">
        <f>CB182/CB16</f>
        <v>0.15986999999999998</v>
      </c>
      <c r="CC181" s="964">
        <f>CC182/CC16</f>
        <v>0.16007727272727271</v>
      </c>
      <c r="CD181" s="966">
        <f>CD182/CD16</f>
        <v>0.14317105263157895</v>
      </c>
      <c r="CE181" s="1101"/>
      <c r="CF181" s="963">
        <f>CF182/CF16</f>
        <v>0.15986999999999998</v>
      </c>
      <c r="CG181" s="964">
        <f>CG182/CG16</f>
        <v>0.16019999999999998</v>
      </c>
      <c r="CH181" s="966">
        <f>CH182/CH16</f>
        <v>0.15978358208955221</v>
      </c>
      <c r="CI181" s="1101"/>
      <c r="CJ181" s="1102">
        <f>CJ182/CJ16</f>
        <v>0.15987000000000001</v>
      </c>
      <c r="CK181" s="1111"/>
      <c r="CL181" s="1109">
        <f>CL182/CL16</f>
        <v>0.15970072992700729</v>
      </c>
      <c r="CM181" s="1108">
        <f>CM182/CM16</f>
        <v>0.13291382761236289</v>
      </c>
      <c r="CN181" s="1145"/>
      <c r="CO181" s="1145"/>
      <c r="CP181" s="1082"/>
      <c r="CQ181" s="1102">
        <f>CQ182/CQ16</f>
        <v>0.15987000000000001</v>
      </c>
      <c r="CR181" s="1111"/>
      <c r="CS181" s="1109">
        <f>CS182/CS16</f>
        <v>0.15674490923441198</v>
      </c>
      <c r="CT181" s="1108">
        <f>CT182/CT16</f>
        <v>0.1350263267116118</v>
      </c>
      <c r="CU181" s="1146"/>
      <c r="CV181" s="1146"/>
      <c r="CW181" s="1082">
        <f>CT182/CS182</f>
        <v>0.74443616107149724</v>
      </c>
      <c r="CX181" s="722"/>
      <c r="CY181" s="723"/>
      <c r="CZ181" s="723"/>
      <c r="DA181" s="723"/>
      <c r="DB181" s="723"/>
      <c r="DC181" s="723"/>
      <c r="DD181" s="723"/>
    </row>
    <row r="182" spans="1:108">
      <c r="A182" s="998"/>
      <c r="B182" s="1020"/>
      <c r="C182" s="1023" t="s">
        <v>164</v>
      </c>
      <c r="D182" s="1000"/>
      <c r="E182" s="767">
        <v>6054</v>
      </c>
      <c r="F182" s="865">
        <v>6054</v>
      </c>
      <c r="G182" s="866">
        <f>G184-G180</f>
        <v>8798.2860000000001</v>
      </c>
      <c r="H182" s="867">
        <f>G182-F182</f>
        <v>2744.2860000000001</v>
      </c>
      <c r="I182" s="767">
        <v>6054</v>
      </c>
      <c r="J182" s="865">
        <v>7700</v>
      </c>
      <c r="K182" s="866">
        <v>10661</v>
      </c>
      <c r="L182" s="867">
        <f>K182-J182</f>
        <v>2961</v>
      </c>
      <c r="M182" s="767">
        <v>6054</v>
      </c>
      <c r="N182" s="865">
        <v>8890</v>
      </c>
      <c r="O182" s="866">
        <v>18651</v>
      </c>
      <c r="P182" s="867">
        <f>O182-N182</f>
        <v>9761</v>
      </c>
      <c r="Q182" s="767">
        <f>E182+I182+M182</f>
        <v>18162</v>
      </c>
      <c r="R182" s="951">
        <f>9691*3</f>
        <v>29073</v>
      </c>
      <c r="S182" s="952">
        <f>G182+J182+N182</f>
        <v>25388.286</v>
      </c>
      <c r="T182" s="699">
        <f>G182+K182+O182</f>
        <v>38110.286</v>
      </c>
      <c r="U182" s="699">
        <f>T182-Q182</f>
        <v>19948.286</v>
      </c>
      <c r="V182" s="696">
        <f>T182-R182</f>
        <v>9037.2860000000001</v>
      </c>
      <c r="W182" s="762">
        <f>T182-S182</f>
        <v>12722</v>
      </c>
      <c r="X182" s="767">
        <v>7832.2079772079778</v>
      </c>
      <c r="Y182" s="865">
        <v>9600</v>
      </c>
      <c r="Z182" s="866">
        <v>12633.448</v>
      </c>
      <c r="AA182" s="867">
        <f>AA232</f>
        <v>4</v>
      </c>
      <c r="AB182" s="767">
        <v>7832.2079772079778</v>
      </c>
      <c r="AC182" s="865">
        <v>9600</v>
      </c>
      <c r="AD182" s="866">
        <v>11782</v>
      </c>
      <c r="AE182" s="867">
        <f>AD182-AC182</f>
        <v>2182</v>
      </c>
      <c r="AF182" s="767">
        <v>7832.2079772079778</v>
      </c>
      <c r="AG182" s="865">
        <v>10300</v>
      </c>
      <c r="AH182" s="866">
        <v>10823.56014256</v>
      </c>
      <c r="AI182" s="867">
        <f>AH182-AG182</f>
        <v>523.5601425599998</v>
      </c>
      <c r="AJ182" s="869">
        <f>X182+AB182+AF182</f>
        <v>23496.623931623933</v>
      </c>
      <c r="AK182" s="951">
        <f>9691*3</f>
        <v>29073</v>
      </c>
      <c r="AL182" s="717">
        <f>Y182+AC182+AG182</f>
        <v>29500</v>
      </c>
      <c r="AM182" s="720">
        <f>Z182+AD182+AH182</f>
        <v>35239.00814256</v>
      </c>
      <c r="AN182" s="721">
        <f>AM182-AJ182</f>
        <v>11742.384210936067</v>
      </c>
      <c r="AO182" s="699">
        <f>AM182-AK182</f>
        <v>6166.0081425600001</v>
      </c>
      <c r="AP182" s="688">
        <f>AM182-AL182</f>
        <v>5739.0081425600001</v>
      </c>
      <c r="AQ182" s="869">
        <f>SUM(Q182,AJ182)</f>
        <v>41658.623931623937</v>
      </c>
      <c r="AR182" s="699">
        <f>SUM(R182,AK182)</f>
        <v>58146</v>
      </c>
      <c r="AS182" s="876">
        <f>SUM(S182,AL182)</f>
        <v>54888.286</v>
      </c>
      <c r="AT182" s="720">
        <f>SUM(T182,AM182)</f>
        <v>73349.29414256</v>
      </c>
      <c r="AU182" s="717">
        <f>AT182-AQ182</f>
        <v>31690.670210936063</v>
      </c>
      <c r="AV182" s="760">
        <f>AT182-AR182</f>
        <v>15203.29414256</v>
      </c>
      <c r="AW182" s="688">
        <f>AT182-AS182</f>
        <v>18461.00814256</v>
      </c>
      <c r="AX182" s="722"/>
      <c r="AY182" s="723"/>
      <c r="AZ182" s="723"/>
      <c r="BA182" s="723"/>
      <c r="BB182" s="723"/>
      <c r="BC182" s="723"/>
      <c r="BD182" s="723"/>
      <c r="BE182" s="767">
        <v>12297.692307692307</v>
      </c>
      <c r="BF182" s="865">
        <v>12520</v>
      </c>
      <c r="BG182" s="866">
        <v>10275.444204326001</v>
      </c>
      <c r="BH182" s="867">
        <f>BG182-BF182</f>
        <v>-2244.5557956739995</v>
      </c>
      <c r="BI182" s="767">
        <v>12297.692307692307</v>
      </c>
      <c r="BJ182" s="865">
        <v>11000</v>
      </c>
      <c r="BK182" s="866">
        <v>9990.5717958119694</v>
      </c>
      <c r="BL182" s="867">
        <f>BK182-BJ182</f>
        <v>-1009.4282041880306</v>
      </c>
      <c r="BM182" s="767">
        <v>12297.692307692307</v>
      </c>
      <c r="BN182" s="865">
        <v>14600</v>
      </c>
      <c r="BO182" s="866">
        <v>10055.629999999999</v>
      </c>
      <c r="BP182" s="867">
        <f>BO182-BN182</f>
        <v>-4544.3700000000008</v>
      </c>
      <c r="BQ182" s="767">
        <f>BE182+BI182+BM182</f>
        <v>36893.076923076922</v>
      </c>
      <c r="BR182" s="721"/>
      <c r="BS182" s="699">
        <f>BF182+BJ182+BN182</f>
        <v>38120</v>
      </c>
      <c r="BT182" s="699">
        <f>BG182+BK182+BO182</f>
        <v>30321.646000137967</v>
      </c>
      <c r="BU182" s="699">
        <f>BT182-BQ182</f>
        <v>-6571.4309229389546</v>
      </c>
      <c r="BV182" s="696"/>
      <c r="BW182" s="696">
        <f>BT182-BS182</f>
        <v>-7798.3539998620327</v>
      </c>
      <c r="BX182" s="767">
        <v>12297.692307692307</v>
      </c>
      <c r="BY182" s="865">
        <v>17460</v>
      </c>
      <c r="BZ182" s="866">
        <v>14408.65099</v>
      </c>
      <c r="CA182" s="867">
        <v>0</v>
      </c>
      <c r="CB182" s="767">
        <v>12297.692307692307</v>
      </c>
      <c r="CC182" s="865">
        <f>14970+80</f>
        <v>15050</v>
      </c>
      <c r="CD182" s="868">
        <v>9300</v>
      </c>
      <c r="CE182" s="867">
        <v>0</v>
      </c>
      <c r="CF182" s="767">
        <v>12297.692307692307</v>
      </c>
      <c r="CG182" s="865">
        <f>13120+1120</f>
        <v>14240</v>
      </c>
      <c r="CH182" s="868">
        <v>9150</v>
      </c>
      <c r="CI182" s="867">
        <f>CH182-CG182</f>
        <v>-5090</v>
      </c>
      <c r="CJ182" s="869">
        <f>BX182+CB182+CF182</f>
        <v>36893.076923076922</v>
      </c>
      <c r="CK182" s="719"/>
      <c r="CL182" s="717">
        <f>BY182+CC182+CG182</f>
        <v>46750</v>
      </c>
      <c r="CM182" s="720">
        <f>BZ182+CD182+CH182</f>
        <v>32858.650990000002</v>
      </c>
      <c r="CN182" s="721">
        <f>CM182-CJ182</f>
        <v>-4034.42593307692</v>
      </c>
      <c r="CO182" s="721"/>
      <c r="CP182" s="688">
        <f>CM182-CL182</f>
        <v>-13891.349009999998</v>
      </c>
      <c r="CQ182" s="869">
        <f>SUM(BQ182,CJ182)</f>
        <v>73786.153846153844</v>
      </c>
      <c r="CR182" s="719"/>
      <c r="CS182" s="876">
        <f>SUM(BS182,CL182)</f>
        <v>84870</v>
      </c>
      <c r="CT182" s="720">
        <f>SUM(BT182,CM182)</f>
        <v>63180.296990137969</v>
      </c>
      <c r="CU182" s="717">
        <f>CT182-CQ182</f>
        <v>-10605.856856015875</v>
      </c>
      <c r="CV182" s="717"/>
      <c r="CW182" s="688">
        <f>CT182-CS182</f>
        <v>-21689.703009862031</v>
      </c>
      <c r="CX182" s="722"/>
      <c r="CY182" s="723"/>
      <c r="CZ182" s="723"/>
      <c r="DA182" s="723"/>
      <c r="DB182" s="723"/>
      <c r="DC182" s="723"/>
      <c r="DD182" s="723"/>
    </row>
    <row r="183" spans="1:108">
      <c r="A183" s="1012" t="str">
        <f>A171</f>
        <v>%=粗利率</v>
      </c>
      <c r="B183" s="662"/>
      <c r="C183" s="662"/>
      <c r="D183" s="619"/>
      <c r="E183" s="967">
        <f>E184/E19</f>
        <v>0.11508461061398069</v>
      </c>
      <c r="F183" s="968">
        <f>F184/F19</f>
        <v>0.11508461061398069</v>
      </c>
      <c r="G183" s="969">
        <f>G184/G19</f>
        <v>0.13333962935950172</v>
      </c>
      <c r="H183" s="812">
        <f>G184/F184</f>
        <v>1.6241279023218576</v>
      </c>
      <c r="I183" s="1148">
        <f>I184/I19</f>
        <v>0.11508461061398069</v>
      </c>
      <c r="J183" s="1149">
        <f>J184/J19</f>
        <v>0.11172180451127818</v>
      </c>
      <c r="K183" s="1150">
        <f>K184/K19</f>
        <v>0.11255562546473716</v>
      </c>
      <c r="L183" s="1093">
        <f>K184/J184</f>
        <v>1.1918897637795276</v>
      </c>
      <c r="M183" s="1148">
        <f>M184/M19</f>
        <v>0.11508461061398069</v>
      </c>
      <c r="N183" s="1149">
        <f>N184/N19</f>
        <v>0.11608071428571427</v>
      </c>
      <c r="O183" s="1150">
        <f>O184/O19</f>
        <v>0.1769436341376002</v>
      </c>
      <c r="P183" s="1093">
        <f>O184/N184</f>
        <v>1.9118790496760258</v>
      </c>
      <c r="Q183" s="1113">
        <f>Q184/Q19</f>
        <v>0.11508461061398069</v>
      </c>
      <c r="R183" s="1140">
        <f>R184/R19</f>
        <v>0.12246383956675742</v>
      </c>
      <c r="S183" s="1123">
        <f>S184/S19</f>
        <v>0.12060139252358641</v>
      </c>
      <c r="T183" s="1119">
        <f>T184/T19</f>
        <v>0.14256750510760091</v>
      </c>
      <c r="U183" s="1119">
        <f>T184/Q184</f>
        <v>1.9322553376034162</v>
      </c>
      <c r="V183" s="1120">
        <f>T184/R184</f>
        <v>1.3990648792270532</v>
      </c>
      <c r="W183" s="1079">
        <f>T184/S184</f>
        <v>1.3527231332893614</v>
      </c>
      <c r="X183" s="1148">
        <f>X184/X19</f>
        <v>0.12549674389221488</v>
      </c>
      <c r="Y183" s="1149">
        <f>Y184/Y19</f>
        <v>0.12929347826086957</v>
      </c>
      <c r="Z183" s="1150">
        <f>Z184/Z19</f>
        <v>0.13724985140406384</v>
      </c>
      <c r="AA183" s="1093">
        <f>Z184/Y184</f>
        <v>1.1694064262295083</v>
      </c>
      <c r="AB183" s="1148">
        <f>AB184/AB19</f>
        <v>0.12549674389221488</v>
      </c>
      <c r="AC183" s="1149">
        <f>AC184/AC19</f>
        <v>0.12929347826086957</v>
      </c>
      <c r="AD183" s="1150">
        <f>AD184/AD19</f>
        <v>0.16397792948399492</v>
      </c>
      <c r="AE183" s="1095">
        <f>AD184/AC184</f>
        <v>1.1969180327868854</v>
      </c>
      <c r="AF183" s="1148">
        <f>AF184/AF19</f>
        <v>0.12549674389221488</v>
      </c>
      <c r="AG183" s="1149">
        <f>AG184/AG19</f>
        <v>0.13953333333333331</v>
      </c>
      <c r="AH183" s="1150">
        <f>AH184/AH19</f>
        <v>0.11619144670700741</v>
      </c>
      <c r="AI183" s="1095">
        <f>AH184/AG184</f>
        <v>0.96307570512795027</v>
      </c>
      <c r="AJ183" s="1151">
        <f>AJ184/AJ19</f>
        <v>0.12549674389221491</v>
      </c>
      <c r="AK183" s="1140">
        <f>AK184/AK19</f>
        <v>0.12246383956675742</v>
      </c>
      <c r="AL183" s="1120">
        <f>AL184/AL19</f>
        <v>0.13265693430656933</v>
      </c>
      <c r="AM183" s="1119">
        <f>AM184/AM19</f>
        <v>0.13769020952110927</v>
      </c>
      <c r="AN183" s="1123">
        <f>AM184/AJ184</f>
        <v>1.4199032361529982</v>
      </c>
      <c r="AO183" s="1100">
        <f>AM184/AK184</f>
        <v>1.2461827742164251</v>
      </c>
      <c r="AP183" s="1080">
        <f>AM184/AL184</f>
        <v>1.1071237522008583</v>
      </c>
      <c r="AQ183" s="1151">
        <f>AQ184/AQ19</f>
        <v>0.12056573845721116</v>
      </c>
      <c r="AR183" s="1119">
        <f>AR184/AR19</f>
        <v>0.12246383956675742</v>
      </c>
      <c r="AS183" s="1119">
        <f>AS184/AS19</f>
        <v>0.12659709526286997</v>
      </c>
      <c r="AT183" s="1119">
        <f>AT184/AT19</f>
        <v>0.14022745862082467</v>
      </c>
      <c r="AU183" s="1123">
        <f>AT184/AQ184</f>
        <v>1.651513406825349</v>
      </c>
      <c r="AV183" s="1119">
        <f>AT184/AR184</f>
        <v>1.3226238267217389</v>
      </c>
      <c r="AW183" s="1080">
        <f>AT184/AS184</f>
        <v>1.2247299490012591</v>
      </c>
      <c r="AX183" s="708"/>
      <c r="AY183" s="709"/>
      <c r="AZ183" s="970"/>
      <c r="BA183" s="516"/>
      <c r="BB183" s="516"/>
      <c r="BC183" s="516"/>
      <c r="BD183" s="516"/>
      <c r="BE183" s="1148">
        <f>BE184/BE19</f>
        <v>0.14682270814084794</v>
      </c>
      <c r="BF183" s="1149">
        <f>BF184/BF19</f>
        <v>0.14562599999999998</v>
      </c>
      <c r="BG183" s="1150">
        <f>BG184/BG19</f>
        <v>0.10250046926177699</v>
      </c>
      <c r="BH183" s="1093">
        <f>BG184/BF184</f>
        <v>0.71436202701264062</v>
      </c>
      <c r="BI183" s="1148">
        <f>BI184/BI19</f>
        <v>0.14682270814084794</v>
      </c>
      <c r="BJ183" s="1149">
        <f>BJ184/BJ19</f>
        <v>0.13430281690140844</v>
      </c>
      <c r="BK183" s="1150">
        <f>BK184/BK19</f>
        <v>0.12262513878753273</v>
      </c>
      <c r="BL183" s="1093">
        <f>BK184/BJ184</f>
        <v>0.8668352704734944</v>
      </c>
      <c r="BM183" s="1148">
        <f>BM184/BM19</f>
        <v>0.14682270814084794</v>
      </c>
      <c r="BN183" s="1149">
        <f>BN184/BN19</f>
        <v>0.15161917808219177</v>
      </c>
      <c r="BO183" s="1150">
        <f>BO184/BO19</f>
        <v>0.14872809664159486</v>
      </c>
      <c r="BP183" s="1095">
        <f>BO184/BN184</f>
        <v>0.74194709748649257</v>
      </c>
      <c r="BQ183" s="1151">
        <f>BQ184/BQ19</f>
        <v>0.14682270814084791</v>
      </c>
      <c r="BR183" s="1123"/>
      <c r="BS183" s="1120">
        <f>BS184/BS19</f>
        <v>0.1439527397260274</v>
      </c>
      <c r="BT183" s="1119">
        <f>BT184/BT19</f>
        <v>0.12216929710422697</v>
      </c>
      <c r="BU183" s="1119">
        <f>BT184/BQ184</f>
        <v>0.75451616485435502</v>
      </c>
      <c r="BV183" s="1120"/>
      <c r="BW183" s="1079">
        <f>BT184/BS184</f>
        <v>0.77016502203541282</v>
      </c>
      <c r="BX183" s="1148">
        <f>BX184/BX19</f>
        <v>0.14675550999487438</v>
      </c>
      <c r="BY183" s="1149">
        <f>BY184/BY19</f>
        <v>0.1508920353982301</v>
      </c>
      <c r="BZ183" s="1150">
        <f>BZ184/BZ19</f>
        <v>0.11155747816394539</v>
      </c>
      <c r="CA183" s="1095">
        <f>BZ184/BY184</f>
        <v>0.76074760247026529</v>
      </c>
      <c r="CB183" s="1148">
        <f>CB184/CB19</f>
        <v>0.14675550999487438</v>
      </c>
      <c r="CC183" s="1149">
        <f>CC184/CC19</f>
        <v>0.1479705882352941</v>
      </c>
      <c r="CD183" s="1281">
        <f>CD184/CD19</f>
        <v>0.1303421052631579</v>
      </c>
      <c r="CE183" s="1095">
        <f>CD184/CC184</f>
        <v>0.59069767441860466</v>
      </c>
      <c r="CF183" s="1148">
        <f>CF184/CF19</f>
        <v>0.14675550999487438</v>
      </c>
      <c r="CG183" s="1149">
        <f>CG184/CG19</f>
        <v>0.14942352941176471</v>
      </c>
      <c r="CH183" s="1281">
        <f>CH184/CH19</f>
        <v>0.14442187499999998</v>
      </c>
      <c r="CI183" s="1095">
        <f>CH184/CG184</f>
        <v>0.6064483111566018</v>
      </c>
      <c r="CJ183" s="1151">
        <f>CJ184/CJ19</f>
        <v>0.14675550999487438</v>
      </c>
      <c r="CK183" s="1123"/>
      <c r="CL183" s="1120">
        <f>CL184/CL19</f>
        <v>0.14942741116751268</v>
      </c>
      <c r="CM183" s="1119">
        <f>CM184/CM19</f>
        <v>0.12533545842081117</v>
      </c>
      <c r="CN183" s="1123">
        <f>CM184/CJ184</f>
        <v>0.74788942954735971</v>
      </c>
      <c r="CO183" s="1123"/>
      <c r="CP183" s="1080">
        <f>CM184/CL184</f>
        <v>0.6546890713831478</v>
      </c>
      <c r="CQ183" s="1151">
        <f>CQ184/CQ19</f>
        <v>0.14678908494050055</v>
      </c>
      <c r="CR183" s="1176"/>
      <c r="CS183" s="1119">
        <f>CS184/CS19</f>
        <v>0.14685040300913485</v>
      </c>
      <c r="CT183" s="1119">
        <f>CT184/CT19</f>
        <v>0.12372591966818401</v>
      </c>
      <c r="CU183" s="1123">
        <f>CT184/CQ184</f>
        <v>0.75120117629278738</v>
      </c>
      <c r="CV183" s="1123"/>
      <c r="CW183" s="1080">
        <f>CT184/CS184</f>
        <v>0.70797273420231532</v>
      </c>
      <c r="CX183" s="708"/>
      <c r="CY183" s="709"/>
      <c r="CZ183" s="555"/>
      <c r="DA183" s="555"/>
      <c r="DB183" s="555"/>
      <c r="DC183" s="516"/>
      <c r="DD183" s="516"/>
    </row>
    <row r="184" spans="1:108">
      <c r="A184" s="647" t="s">
        <v>396</v>
      </c>
      <c r="B184" s="661"/>
      <c r="C184" s="997"/>
      <c r="D184" s="995"/>
      <c r="E184" s="971">
        <f>E180+E182</f>
        <v>9992</v>
      </c>
      <c r="F184" s="844">
        <f>F180+F182</f>
        <v>9992</v>
      </c>
      <c r="G184" s="845">
        <v>16228.286</v>
      </c>
      <c r="H184" s="825">
        <f>G184-F184</f>
        <v>6236.2860000000001</v>
      </c>
      <c r="I184" s="971">
        <f>I180+I182</f>
        <v>9992</v>
      </c>
      <c r="J184" s="844">
        <f>J180+J182</f>
        <v>12700</v>
      </c>
      <c r="K184" s="845">
        <f>K180+K182</f>
        <v>15137</v>
      </c>
      <c r="L184" s="825">
        <f>K184-J184</f>
        <v>2437</v>
      </c>
      <c r="M184" s="971">
        <f>M180+M182</f>
        <v>9992</v>
      </c>
      <c r="N184" s="844">
        <f>N180+N182</f>
        <v>13890</v>
      </c>
      <c r="O184" s="845">
        <f>O180+O182</f>
        <v>26556</v>
      </c>
      <c r="P184" s="825">
        <f>O184-N184</f>
        <v>12666</v>
      </c>
      <c r="Q184" s="827">
        <f>E184+I184+M184</f>
        <v>29976</v>
      </c>
      <c r="R184" s="828">
        <f>R180+R182</f>
        <v>41400</v>
      </c>
      <c r="S184" s="739">
        <f>G184+J184+N184</f>
        <v>42818.286</v>
      </c>
      <c r="T184" s="520">
        <f>G184+K184+O184</f>
        <v>57921.286</v>
      </c>
      <c r="U184" s="712">
        <f>T184-Q184</f>
        <v>27945.286</v>
      </c>
      <c r="V184" s="711">
        <f>T184-R184</f>
        <v>16521.286</v>
      </c>
      <c r="W184" s="716">
        <f>T184-S184</f>
        <v>15103</v>
      </c>
      <c r="X184" s="971">
        <f>X180+X182</f>
        <v>12111.615669515671</v>
      </c>
      <c r="Y184" s="844">
        <f>Y180+Y182</f>
        <v>15250</v>
      </c>
      <c r="Z184" s="845">
        <f>Z180+Z182</f>
        <v>17833.448</v>
      </c>
      <c r="AA184" s="825">
        <f>Z184-Y184</f>
        <v>2583.4480000000003</v>
      </c>
      <c r="AB184" s="971">
        <f>AB180+AB182</f>
        <v>12111.615669515671</v>
      </c>
      <c r="AC184" s="844">
        <f>AC180+AC182</f>
        <v>15250</v>
      </c>
      <c r="AD184" s="845">
        <f>AD180+AD182</f>
        <v>18253</v>
      </c>
      <c r="AE184" s="825">
        <f>AD184-AC184</f>
        <v>3003</v>
      </c>
      <c r="AF184" s="971">
        <f>AF180+AF182</f>
        <v>12111.615669515671</v>
      </c>
      <c r="AG184" s="844">
        <f>AG180+AG182</f>
        <v>16100</v>
      </c>
      <c r="AH184" s="845">
        <f>AH180+AH182</f>
        <v>15505.518852559999</v>
      </c>
      <c r="AI184" s="825">
        <f>AH184-AG184</f>
        <v>-594.48114744000122</v>
      </c>
      <c r="AJ184" s="713">
        <f>X184+AB184+AF184</f>
        <v>36334.847008547018</v>
      </c>
      <c r="AK184" s="828">
        <f>AK180+AK182</f>
        <v>41400</v>
      </c>
      <c r="AL184" s="714">
        <f>Y184+AC184+AG184</f>
        <v>46600</v>
      </c>
      <c r="AM184" s="715">
        <f>Z184+AD184+AH184</f>
        <v>51591.966852559999</v>
      </c>
      <c r="AN184" s="739">
        <f>AM184-AJ184</f>
        <v>15257.119844012981</v>
      </c>
      <c r="AO184" s="711">
        <f>AM184-AK184</f>
        <v>10191.966852559999</v>
      </c>
      <c r="AP184" s="716">
        <f>AM184-AL184</f>
        <v>4991.9668525599991</v>
      </c>
      <c r="AQ184" s="713">
        <f>SUM(Q184,AJ184)</f>
        <v>66310.847008547018</v>
      </c>
      <c r="AR184" s="715">
        <f>AR180+AR182</f>
        <v>82800</v>
      </c>
      <c r="AS184" s="608">
        <f>S184+AL184</f>
        <v>89418.285999999993</v>
      </c>
      <c r="AT184" s="520">
        <f>SUM(T184,AM184)</f>
        <v>109513.25285255999</v>
      </c>
      <c r="AU184" s="517">
        <f>AT184-AQ184</f>
        <v>43202.405844012974</v>
      </c>
      <c r="AV184" s="712">
        <f>AT184-AR184</f>
        <v>26713.252852559992</v>
      </c>
      <c r="AW184" s="716">
        <f>AT184-AS184</f>
        <v>20094.966852559999</v>
      </c>
      <c r="AX184" s="708">
        <f>AQ184/6</f>
        <v>11051.807834757836</v>
      </c>
      <c r="AY184" s="709">
        <f>AR184/6</f>
        <v>13800</v>
      </c>
      <c r="AZ184" s="709">
        <f>AT184/6</f>
        <v>18252.208808759999</v>
      </c>
      <c r="BA184" s="1239">
        <f>AZ184/AX184</f>
        <v>1.6515134068253492</v>
      </c>
      <c r="BB184" s="516">
        <f>AZ184-AX184</f>
        <v>7200.4009740021629</v>
      </c>
      <c r="BC184" s="516">
        <f>AZ184-AY184</f>
        <v>4452.2088087599986</v>
      </c>
      <c r="BD184" s="516">
        <f>AW184/6</f>
        <v>3349.1611420933332</v>
      </c>
      <c r="BE184" s="971">
        <f>BE180+BE182</f>
        <v>18335.897435897434</v>
      </c>
      <c r="BF184" s="844">
        <f>BF180+BF182</f>
        <v>18670</v>
      </c>
      <c r="BG184" s="845">
        <f>BG180+BG182</f>
        <v>13337.139044326001</v>
      </c>
      <c r="BH184" s="586">
        <f>BG184-BF184</f>
        <v>-5332.8609556739993</v>
      </c>
      <c r="BI184" s="971">
        <f>BI180+BI182</f>
        <v>18335.897435897434</v>
      </c>
      <c r="BJ184" s="844">
        <f>BJ180+BJ182</f>
        <v>16300</v>
      </c>
      <c r="BK184" s="845">
        <f>BK180+BK182</f>
        <v>14129.414908717959</v>
      </c>
      <c r="BL184" s="825">
        <f>BK184-BJ184</f>
        <v>-2170.5850912820406</v>
      </c>
      <c r="BM184" s="971">
        <f>BM180+BM182</f>
        <v>18335.897435897434</v>
      </c>
      <c r="BN184" s="844">
        <f>BN180+BN182</f>
        <v>18920</v>
      </c>
      <c r="BO184" s="845">
        <f>BO180+BO182</f>
        <v>14037.63908444444</v>
      </c>
      <c r="BP184" s="586">
        <f>BO184-BN184</f>
        <v>-4882.3609155555605</v>
      </c>
      <c r="BQ184" s="713">
        <f>BE184+BI184+BM184</f>
        <v>55007.692307692298</v>
      </c>
      <c r="BR184" s="714"/>
      <c r="BS184" s="739">
        <f>BF184+BJ184+BN184</f>
        <v>53890</v>
      </c>
      <c r="BT184" s="520">
        <f>BG184+BK184+BO184</f>
        <v>41504.193037488396</v>
      </c>
      <c r="BU184" s="712">
        <f>BT184-BQ184</f>
        <v>-13503.499270203902</v>
      </c>
      <c r="BV184" s="711"/>
      <c r="BW184" s="716">
        <f>BT184-BS184</f>
        <v>-12385.806962511604</v>
      </c>
      <c r="BX184" s="971">
        <f>BX180+BX182</f>
        <v>18353.846153846152</v>
      </c>
      <c r="BY184" s="844">
        <f>BY180+BY182</f>
        <v>21860</v>
      </c>
      <c r="BZ184" s="845">
        <f>BZ180+BZ182</f>
        <v>16629.942589999999</v>
      </c>
      <c r="CA184" s="825">
        <f>BZ184-BY184</f>
        <v>-5230.0574100000013</v>
      </c>
      <c r="CB184" s="971">
        <f>CB180+CB182</f>
        <v>18353.846153846152</v>
      </c>
      <c r="CC184" s="844">
        <f>CC180+CC182</f>
        <v>21500</v>
      </c>
      <c r="CD184" s="846">
        <f>CD180+CD182</f>
        <v>12700</v>
      </c>
      <c r="CE184" s="825">
        <f>CD184-CC184</f>
        <v>-8800</v>
      </c>
      <c r="CF184" s="971">
        <f>CF180+CF182</f>
        <v>18353.846153846152</v>
      </c>
      <c r="CG184" s="844">
        <f>CG180+CG182</f>
        <v>19540</v>
      </c>
      <c r="CH184" s="846">
        <f>CH180+CH182</f>
        <v>11850</v>
      </c>
      <c r="CI184" s="825">
        <f>CH184-CG184</f>
        <v>-7690</v>
      </c>
      <c r="CJ184" s="713">
        <f>BX184+CB184+CF184</f>
        <v>55061.538461538454</v>
      </c>
      <c r="CK184" s="714"/>
      <c r="CL184" s="714">
        <f>BY184+CC184+CG184</f>
        <v>62900</v>
      </c>
      <c r="CM184" s="715">
        <f>BZ184+CD184+CH184</f>
        <v>41179.942589999999</v>
      </c>
      <c r="CN184" s="739">
        <f>CM184-CJ184</f>
        <v>-13881.595871538455</v>
      </c>
      <c r="CO184" s="739"/>
      <c r="CP184" s="716">
        <f>CM184-CL184</f>
        <v>-21720.057410000001</v>
      </c>
      <c r="CQ184" s="713">
        <f>SUM(BQ184,CJ184)</f>
        <v>110069.23076923075</v>
      </c>
      <c r="CR184" s="1340"/>
      <c r="CS184" s="608">
        <f>BS184+CL184</f>
        <v>116790</v>
      </c>
      <c r="CT184" s="520">
        <f>SUM(BT184,CM184)</f>
        <v>82684.135627488402</v>
      </c>
      <c r="CU184" s="517">
        <f>CT184-CQ184</f>
        <v>-27385.095141742349</v>
      </c>
      <c r="CV184" s="517"/>
      <c r="CW184" s="716">
        <f>CT184-CS184</f>
        <v>-34105.864372511598</v>
      </c>
      <c r="CX184" s="708">
        <f>CQ184/6</f>
        <v>18344.871794871793</v>
      </c>
      <c r="CY184" s="709">
        <f>CT184/6</f>
        <v>13780.689271248068</v>
      </c>
      <c r="CZ184" s="1386">
        <f>CY184/CX184</f>
        <v>0.75120117629278726</v>
      </c>
      <c r="DA184" s="555">
        <f>CY184-CX184</f>
        <v>-4564.1825236237255</v>
      </c>
      <c r="DB184" s="555">
        <f>CW184/6</f>
        <v>-5684.3107287519333</v>
      </c>
      <c r="DC184" s="516"/>
      <c r="DD184" s="516"/>
    </row>
    <row r="185" spans="1:108">
      <c r="A185" s="1012"/>
      <c r="B185" s="662"/>
      <c r="C185" s="1021" t="s">
        <v>166</v>
      </c>
      <c r="D185" s="1024"/>
      <c r="E185" s="949" t="e">
        <f>E186/E20</f>
        <v>#DIV/0!</v>
      </c>
      <c r="F185" s="959"/>
      <c r="G185" s="960"/>
      <c r="H185" s="894"/>
      <c r="I185" s="1128" t="e">
        <f>I186/I20</f>
        <v>#DIV/0!</v>
      </c>
      <c r="J185" s="1126"/>
      <c r="K185" s="1127"/>
      <c r="L185" s="1099"/>
      <c r="M185" s="1128" t="e">
        <f>M186/M20</f>
        <v>#DIV/0!</v>
      </c>
      <c r="N185" s="1126"/>
      <c r="O185" s="1127"/>
      <c r="P185" s="1099"/>
      <c r="Q185" s="1152" t="e">
        <f>Q186/Q20</f>
        <v>#DIV/0!</v>
      </c>
      <c r="R185" s="1153"/>
      <c r="S185" s="1154" t="e">
        <f>S186/S20</f>
        <v>#DIV/0!</v>
      </c>
      <c r="T185" s="1134" t="e">
        <f>T186/T20</f>
        <v>#DIV/0!</v>
      </c>
      <c r="U185" s="1147"/>
      <c r="V185" s="1112"/>
      <c r="W185" s="1085"/>
      <c r="X185" s="1128" t="e">
        <f>X186/X20</f>
        <v>#DIV/0!</v>
      </c>
      <c r="Y185" s="1126"/>
      <c r="Z185" s="1127"/>
      <c r="AA185" s="1099"/>
      <c r="AB185" s="1128" t="e">
        <f>AB186/AB20</f>
        <v>#DIV/0!</v>
      </c>
      <c r="AC185" s="1126"/>
      <c r="AD185" s="1127"/>
      <c r="AE185" s="1098" t="e">
        <f>AD186/AC186</f>
        <v>#DIV/0!</v>
      </c>
      <c r="AF185" s="1128" t="e">
        <f>AF186/AF20</f>
        <v>#DIV/0!</v>
      </c>
      <c r="AG185" s="1126"/>
      <c r="AH185" s="1127"/>
      <c r="AI185" s="1098" t="e">
        <f>AH186/AG186</f>
        <v>#DIV/0!</v>
      </c>
      <c r="AJ185" s="1155" t="e">
        <f>AJ186/AJ20</f>
        <v>#DIV/0!</v>
      </c>
      <c r="AK185" s="1153"/>
      <c r="AL185" s="1154" t="e">
        <f>AL186/AL20</f>
        <v>#DIV/0!</v>
      </c>
      <c r="AM185" s="1094" t="e">
        <f>AM186/AM20</f>
        <v>#DIV/0!</v>
      </c>
      <c r="AN185" s="1144"/>
      <c r="AO185" s="1112"/>
      <c r="AP185" s="1085" t="e">
        <f>AM186/AL186</f>
        <v>#DIV/0!</v>
      </c>
      <c r="AQ185" s="1155" t="e">
        <f>AQ186/AQ20</f>
        <v>#DIV/0!</v>
      </c>
      <c r="AR185" s="1156"/>
      <c r="AS185" s="1130" t="e">
        <f>AS186/AS20</f>
        <v>#DIV/0!</v>
      </c>
      <c r="AT185" s="1134" t="e">
        <f>AT186/AT20</f>
        <v>#DIV/0!</v>
      </c>
      <c r="AU185" s="1112"/>
      <c r="AV185" s="1147"/>
      <c r="AW185" s="1085"/>
      <c r="AX185" s="722"/>
      <c r="AY185" s="723"/>
      <c r="AZ185" s="723"/>
      <c r="BA185" s="556"/>
      <c r="BB185" s="556"/>
      <c r="BC185" s="556"/>
      <c r="BD185" s="556"/>
      <c r="BE185" s="1128" t="e">
        <f>BE186/BE20</f>
        <v>#DIV/0!</v>
      </c>
      <c r="BF185" s="1126"/>
      <c r="BG185" s="1127"/>
      <c r="BH185" s="1273"/>
      <c r="BI185" s="1128" t="e">
        <f>BI186/BI20</f>
        <v>#DIV/0!</v>
      </c>
      <c r="BJ185" s="1126"/>
      <c r="BK185" s="1127"/>
      <c r="BL185" s="1099"/>
      <c r="BM185" s="1128" t="e">
        <f>BM186/BM20</f>
        <v>#DIV/0!</v>
      </c>
      <c r="BN185" s="1126"/>
      <c r="BO185" s="1127"/>
      <c r="BP185" s="1282"/>
      <c r="BQ185" s="1155" t="e">
        <f>BQ186/BQ20</f>
        <v>#DIV/0!</v>
      </c>
      <c r="BR185" s="1154"/>
      <c r="BS185" s="1154" t="e">
        <f>BS186/BS20</f>
        <v>#DIV/0!</v>
      </c>
      <c r="BT185" s="1134" t="e">
        <f>BT186/BT20</f>
        <v>#DIV/0!</v>
      </c>
      <c r="BU185" s="1147"/>
      <c r="BV185" s="1112"/>
      <c r="BW185" s="1085"/>
      <c r="BX185" s="1128" t="e">
        <f>BX186/BX20</f>
        <v>#DIV/0!</v>
      </c>
      <c r="BY185" s="1126"/>
      <c r="BZ185" s="1127"/>
      <c r="CA185" s="1098" t="e">
        <f>BZ186/BY186</f>
        <v>#DIV/0!</v>
      </c>
      <c r="CB185" s="1128" t="e">
        <f>CB186/CB20</f>
        <v>#DIV/0!</v>
      </c>
      <c r="CC185" s="1126"/>
      <c r="CD185" s="1279"/>
      <c r="CE185" s="1098" t="e">
        <f>CD186/CC186</f>
        <v>#DIV/0!</v>
      </c>
      <c r="CF185" s="1128" t="e">
        <f>CF186/CF20</f>
        <v>#DIV/0!</v>
      </c>
      <c r="CG185" s="1126"/>
      <c r="CH185" s="1279"/>
      <c r="CI185" s="1098" t="e">
        <f>CH186/CG186</f>
        <v>#DIV/0!</v>
      </c>
      <c r="CJ185" s="1155" t="e">
        <f>CJ186/CJ20</f>
        <v>#DIV/0!</v>
      </c>
      <c r="CK185" s="1154"/>
      <c r="CL185" s="1154" t="e">
        <f>CL186/CL20</f>
        <v>#DIV/0!</v>
      </c>
      <c r="CM185" s="1094" t="e">
        <f>CM186/CM20</f>
        <v>#DIV/0!</v>
      </c>
      <c r="CN185" s="1144"/>
      <c r="CO185" s="1144"/>
      <c r="CP185" s="1085" t="e">
        <f>CM186/CL186</f>
        <v>#DIV/0!</v>
      </c>
      <c r="CQ185" s="1155" t="e">
        <f>CQ186/CQ20</f>
        <v>#DIV/0!</v>
      </c>
      <c r="CR185" s="1172"/>
      <c r="CS185" s="1130" t="e">
        <f>CS186/CS20</f>
        <v>#DIV/0!</v>
      </c>
      <c r="CT185" s="1134" t="e">
        <f>CT186/CT20</f>
        <v>#DIV/0!</v>
      </c>
      <c r="CU185" s="1112"/>
      <c r="CV185" s="1112"/>
      <c r="CW185" s="1085" t="e">
        <f>CT186/CS186</f>
        <v>#DIV/0!</v>
      </c>
      <c r="CX185" s="722" t="e">
        <f>CQ185/6</f>
        <v>#DIV/0!</v>
      </c>
      <c r="CY185" s="723"/>
      <c r="CZ185" s="556"/>
      <c r="DA185" s="556"/>
      <c r="DB185" s="556"/>
      <c r="DC185" s="556"/>
      <c r="DD185" s="556"/>
    </row>
    <row r="186" spans="1:108">
      <c r="A186" s="1012"/>
      <c r="B186" s="662"/>
      <c r="C186" s="1023" t="s">
        <v>397</v>
      </c>
      <c r="D186" s="1000"/>
      <c r="E186" s="767"/>
      <c r="F186" s="865">
        <f>F20*F185</f>
        <v>0</v>
      </c>
      <c r="G186" s="866">
        <f>G20*G185</f>
        <v>0</v>
      </c>
      <c r="H186" s="867">
        <f>G186-F186</f>
        <v>0</v>
      </c>
      <c r="I186" s="767"/>
      <c r="J186" s="865">
        <f>J20*J185</f>
        <v>0</v>
      </c>
      <c r="K186" s="866">
        <f>K20*K185</f>
        <v>0</v>
      </c>
      <c r="L186" s="867">
        <f>K186-J186</f>
        <v>0</v>
      </c>
      <c r="M186" s="767"/>
      <c r="N186" s="865">
        <f>N20*N185</f>
        <v>0</v>
      </c>
      <c r="O186" s="866">
        <f>O20*O185</f>
        <v>0</v>
      </c>
      <c r="P186" s="867">
        <f>O186-N186</f>
        <v>0</v>
      </c>
      <c r="Q186" s="869">
        <f>E186+I186+M186</f>
        <v>0</v>
      </c>
      <c r="R186" s="870">
        <f>R20*R185</f>
        <v>0</v>
      </c>
      <c r="S186" s="721">
        <f>G186+J186+N186</f>
        <v>0</v>
      </c>
      <c r="T186" s="526">
        <f>G186+K186+O186</f>
        <v>0</v>
      </c>
      <c r="U186" s="699">
        <f>T186-Q186</f>
        <v>0</v>
      </c>
      <c r="V186" s="717">
        <f>T186-R186</f>
        <v>0</v>
      </c>
      <c r="W186" s="688">
        <f>T186-S186</f>
        <v>0</v>
      </c>
      <c r="X186" s="767"/>
      <c r="Y186" s="865">
        <f>Y20*Y185</f>
        <v>0</v>
      </c>
      <c r="Z186" s="866">
        <f>Z20*Z185</f>
        <v>0</v>
      </c>
      <c r="AA186" s="867">
        <f>Z186-Y186</f>
        <v>0</v>
      </c>
      <c r="AB186" s="767"/>
      <c r="AC186" s="865">
        <f>AC20*AC185</f>
        <v>0</v>
      </c>
      <c r="AD186" s="866">
        <f>AD20*AD185</f>
        <v>0</v>
      </c>
      <c r="AE186" s="825">
        <f>AD186-AC186</f>
        <v>0</v>
      </c>
      <c r="AF186" s="767"/>
      <c r="AG186" s="865">
        <f>AG20*AG185</f>
        <v>0</v>
      </c>
      <c r="AH186" s="866">
        <f>AH20*AH185</f>
        <v>0</v>
      </c>
      <c r="AI186" s="825">
        <f>AH186-AG186</f>
        <v>0</v>
      </c>
      <c r="AJ186" s="718">
        <f>X186+AB186+AF186</f>
        <v>0</v>
      </c>
      <c r="AK186" s="870">
        <f>AK20*AK185</f>
        <v>0</v>
      </c>
      <c r="AL186" s="719">
        <f>Y186+AC186+AG186</f>
        <v>0</v>
      </c>
      <c r="AM186" s="715">
        <f>Z186+AD186+AH186</f>
        <v>0</v>
      </c>
      <c r="AN186" s="721">
        <f>AM186-AJ186</f>
        <v>0</v>
      </c>
      <c r="AO186" s="717">
        <f>AM186-AK186</f>
        <v>0</v>
      </c>
      <c r="AP186" s="688">
        <f>AM186-AL186</f>
        <v>0</v>
      </c>
      <c r="AQ186" s="718">
        <f>SUM(Q186,AJ186)</f>
        <v>0</v>
      </c>
      <c r="AR186" s="720">
        <f>AR20*AR185</f>
        <v>0</v>
      </c>
      <c r="AS186" s="613">
        <f>S186+AL186</f>
        <v>0</v>
      </c>
      <c r="AT186" s="720">
        <f>SUM(T186,AM186)</f>
        <v>0</v>
      </c>
      <c r="AU186" s="717">
        <f>AT186-AQ186</f>
        <v>0</v>
      </c>
      <c r="AV186" s="699">
        <f>AT186-AR186</f>
        <v>0</v>
      </c>
      <c r="AW186" s="688">
        <f>AT186-AS186</f>
        <v>0</v>
      </c>
      <c r="AX186" s="722"/>
      <c r="AY186" s="723"/>
      <c r="AZ186" s="723"/>
      <c r="BA186" s="556"/>
      <c r="BB186" s="556"/>
      <c r="BC186" s="556"/>
      <c r="BD186" s="556"/>
      <c r="BE186" s="767"/>
      <c r="BF186" s="865">
        <f>BF20*BF185</f>
        <v>0</v>
      </c>
      <c r="BG186" s="866">
        <f>BG20*BG185</f>
        <v>0</v>
      </c>
      <c r="BH186" s="867">
        <f>BG186-BF186</f>
        <v>0</v>
      </c>
      <c r="BI186" s="767"/>
      <c r="BJ186" s="865">
        <f>BJ20*BJ185</f>
        <v>0</v>
      </c>
      <c r="BK186" s="866">
        <f>BK20*BK185</f>
        <v>0</v>
      </c>
      <c r="BL186" s="867">
        <f>BK186-BJ186</f>
        <v>0</v>
      </c>
      <c r="BM186" s="767"/>
      <c r="BN186" s="865">
        <f>BN20*BN185</f>
        <v>0</v>
      </c>
      <c r="BO186" s="866">
        <f>BO20*BO185</f>
        <v>0</v>
      </c>
      <c r="BP186" s="825">
        <f>BO186-BN186</f>
        <v>0</v>
      </c>
      <c r="BQ186" s="718">
        <f>BE186+BI186+BM186</f>
        <v>0</v>
      </c>
      <c r="BR186" s="719"/>
      <c r="BS186" s="721">
        <f>BF186+BJ186+BN186</f>
        <v>0</v>
      </c>
      <c r="BT186" s="526">
        <f>BG186+BK186+BO186</f>
        <v>0</v>
      </c>
      <c r="BU186" s="699">
        <f>BT186-BQ186</f>
        <v>0</v>
      </c>
      <c r="BV186" s="717"/>
      <c r="BW186" s="688">
        <f>BT186-BS186</f>
        <v>0</v>
      </c>
      <c r="BX186" s="767"/>
      <c r="BY186" s="865">
        <f>BY20*BY185</f>
        <v>0</v>
      </c>
      <c r="BZ186" s="866">
        <f>BZ20*BZ185</f>
        <v>0</v>
      </c>
      <c r="CA186" s="825">
        <f>BZ186-BY186</f>
        <v>0</v>
      </c>
      <c r="CB186" s="767"/>
      <c r="CC186" s="865">
        <f>CC20*CC185</f>
        <v>0</v>
      </c>
      <c r="CD186" s="868">
        <f>CD20*CD185</f>
        <v>0</v>
      </c>
      <c r="CE186" s="825">
        <f>CD186-CC186</f>
        <v>0</v>
      </c>
      <c r="CF186" s="767"/>
      <c r="CG186" s="865">
        <f>CG20*CG185</f>
        <v>0</v>
      </c>
      <c r="CH186" s="868">
        <f>CH20*CH185</f>
        <v>0</v>
      </c>
      <c r="CI186" s="825">
        <f>CH186-CG186</f>
        <v>0</v>
      </c>
      <c r="CJ186" s="718">
        <f>BX186+CB186+CF186</f>
        <v>0</v>
      </c>
      <c r="CK186" s="719"/>
      <c r="CL186" s="719">
        <f>BY186+CC186+CG186</f>
        <v>0</v>
      </c>
      <c r="CM186" s="715">
        <f>BZ186+CD186+CH186</f>
        <v>0</v>
      </c>
      <c r="CN186" s="721">
        <f>CM186-CJ186</f>
        <v>0</v>
      </c>
      <c r="CO186" s="721"/>
      <c r="CP186" s="688">
        <f>CM186-CL186</f>
        <v>0</v>
      </c>
      <c r="CQ186" s="718">
        <f>SUM(BQ186,CJ186)</f>
        <v>0</v>
      </c>
      <c r="CR186" s="937"/>
      <c r="CS186" s="613">
        <f>BS186+CL186</f>
        <v>0</v>
      </c>
      <c r="CT186" s="720">
        <f>SUM(BT186,CM186)</f>
        <v>0</v>
      </c>
      <c r="CU186" s="717">
        <f>CT186-CQ186</f>
        <v>0</v>
      </c>
      <c r="CV186" s="717"/>
      <c r="CW186" s="688">
        <f>CT186-CS186</f>
        <v>0</v>
      </c>
      <c r="CX186" s="722">
        <f>CQ186/6</f>
        <v>0</v>
      </c>
      <c r="CY186" s="723"/>
      <c r="CZ186" s="556"/>
      <c r="DA186" s="556"/>
      <c r="DB186" s="556"/>
      <c r="DC186" s="556"/>
      <c r="DD186" s="556"/>
    </row>
    <row r="187" spans="1:108">
      <c r="A187" s="1012"/>
      <c r="B187" s="662"/>
      <c r="C187" s="998" t="s">
        <v>166</v>
      </c>
      <c r="D187" s="1024"/>
      <c r="E187" s="949" t="e">
        <f>E188/E21</f>
        <v>#DIV/0!</v>
      </c>
      <c r="F187" s="959"/>
      <c r="G187" s="960"/>
      <c r="H187" s="894"/>
      <c r="I187" s="1128" t="e">
        <f>I188/I21</f>
        <v>#DIV/0!</v>
      </c>
      <c r="J187" s="1126"/>
      <c r="K187" s="1127"/>
      <c r="L187" s="1099"/>
      <c r="M187" s="1128" t="e">
        <f>M188/M21</f>
        <v>#DIV/0!</v>
      </c>
      <c r="N187" s="1126"/>
      <c r="O187" s="1127"/>
      <c r="P187" s="1099"/>
      <c r="Q187" s="1152" t="e">
        <f>Q188/Q21</f>
        <v>#DIV/0!</v>
      </c>
      <c r="R187" s="1153"/>
      <c r="S187" s="1154" t="e">
        <f>S188/S21</f>
        <v>#DIV/0!</v>
      </c>
      <c r="T187" s="1134" t="e">
        <f>T188/T21</f>
        <v>#DIV/0!</v>
      </c>
      <c r="U187" s="1147"/>
      <c r="V187" s="1112"/>
      <c r="W187" s="1085"/>
      <c r="X187" s="1128" t="e">
        <f>X188/X21</f>
        <v>#DIV/0!</v>
      </c>
      <c r="Y187" s="1126"/>
      <c r="Z187" s="1127"/>
      <c r="AA187" s="1099"/>
      <c r="AB187" s="1128" t="e">
        <f>AB188/AB21</f>
        <v>#DIV/0!</v>
      </c>
      <c r="AC187" s="1126"/>
      <c r="AD187" s="1127"/>
      <c r="AE187" s="1098" t="e">
        <f>AD188/AC188</f>
        <v>#DIV/0!</v>
      </c>
      <c r="AF187" s="1128" t="e">
        <f>AF188/AF21</f>
        <v>#DIV/0!</v>
      </c>
      <c r="AG187" s="1126"/>
      <c r="AH187" s="1127"/>
      <c r="AI187" s="1098" t="e">
        <f>AH188/AG188</f>
        <v>#DIV/0!</v>
      </c>
      <c r="AJ187" s="1155" t="e">
        <f>AJ188/AJ21</f>
        <v>#DIV/0!</v>
      </c>
      <c r="AK187" s="1153"/>
      <c r="AL187" s="1154" t="e">
        <f>AL188/AL21</f>
        <v>#DIV/0!</v>
      </c>
      <c r="AM187" s="1094" t="e">
        <f>AM188/AM21</f>
        <v>#DIV/0!</v>
      </c>
      <c r="AN187" s="1144"/>
      <c r="AO187" s="1112"/>
      <c r="AP187" s="1085" t="e">
        <f>AM188/AL188</f>
        <v>#DIV/0!</v>
      </c>
      <c r="AQ187" s="1155" t="e">
        <f>AQ188/AQ21</f>
        <v>#DIV/0!</v>
      </c>
      <c r="AR187" s="1156"/>
      <c r="AS187" s="1130" t="e">
        <f>AS188/AS21</f>
        <v>#DIV/0!</v>
      </c>
      <c r="AT187" s="1134" t="e">
        <f>AT188/AT21</f>
        <v>#DIV/0!</v>
      </c>
      <c r="AU187" s="1112"/>
      <c r="AV187" s="1147"/>
      <c r="AW187" s="1085"/>
      <c r="AX187" s="722"/>
      <c r="AY187" s="723"/>
      <c r="AZ187" s="723"/>
      <c r="BA187" s="556"/>
      <c r="BB187" s="556"/>
      <c r="BC187" s="556"/>
      <c r="BD187" s="556"/>
      <c r="BE187" s="1128" t="e">
        <f>BE188/BE21</f>
        <v>#DIV/0!</v>
      </c>
      <c r="BF187" s="1126"/>
      <c r="BG187" s="1127"/>
      <c r="BH187" s="1273"/>
      <c r="BI187" s="1128" t="e">
        <f>BI188/BI21</f>
        <v>#DIV/0!</v>
      </c>
      <c r="BJ187" s="1126"/>
      <c r="BK187" s="1127"/>
      <c r="BL187" s="1099"/>
      <c r="BM187" s="1128" t="e">
        <f>BM188/BM21</f>
        <v>#DIV/0!</v>
      </c>
      <c r="BN187" s="1126"/>
      <c r="BO187" s="1127"/>
      <c r="BP187" s="1282"/>
      <c r="BQ187" s="1155" t="e">
        <f>BQ188/BQ21</f>
        <v>#DIV/0!</v>
      </c>
      <c r="BR187" s="1154"/>
      <c r="BS187" s="1154" t="e">
        <f>BS188/BS21</f>
        <v>#DIV/0!</v>
      </c>
      <c r="BT187" s="1134" t="e">
        <f>BT188/BT21</f>
        <v>#DIV/0!</v>
      </c>
      <c r="BU187" s="1147"/>
      <c r="BV187" s="1112"/>
      <c r="BW187" s="1085"/>
      <c r="BX187" s="1128" t="e">
        <f>BX188/BX21</f>
        <v>#DIV/0!</v>
      </c>
      <c r="BY187" s="1126"/>
      <c r="BZ187" s="1127"/>
      <c r="CA187" s="1098" t="e">
        <f>BZ188/BY188</f>
        <v>#DIV/0!</v>
      </c>
      <c r="CB187" s="1128" t="e">
        <f>CB188/CB21</f>
        <v>#DIV/0!</v>
      </c>
      <c r="CC187" s="1126"/>
      <c r="CD187" s="1279"/>
      <c r="CE187" s="1098" t="e">
        <f>CD188/CC188</f>
        <v>#DIV/0!</v>
      </c>
      <c r="CF187" s="1128" t="e">
        <f>CF188/CF21</f>
        <v>#DIV/0!</v>
      </c>
      <c r="CG187" s="1126"/>
      <c r="CH187" s="1279"/>
      <c r="CI187" s="1098" t="e">
        <f>CH188/CG188</f>
        <v>#DIV/0!</v>
      </c>
      <c r="CJ187" s="1155" t="e">
        <f>CJ188/CJ21</f>
        <v>#DIV/0!</v>
      </c>
      <c r="CK187" s="1154"/>
      <c r="CL187" s="1154" t="e">
        <f>CL188/CL21</f>
        <v>#DIV/0!</v>
      </c>
      <c r="CM187" s="1094" t="e">
        <f>CM188/CM21</f>
        <v>#DIV/0!</v>
      </c>
      <c r="CN187" s="1144"/>
      <c r="CO187" s="1144"/>
      <c r="CP187" s="1085" t="e">
        <f>CM188/CL188</f>
        <v>#DIV/0!</v>
      </c>
      <c r="CQ187" s="1155" t="e">
        <f>CQ188/CQ21</f>
        <v>#DIV/0!</v>
      </c>
      <c r="CR187" s="1172"/>
      <c r="CS187" s="1130" t="e">
        <f>CS188/CS21</f>
        <v>#DIV/0!</v>
      </c>
      <c r="CT187" s="1134" t="e">
        <f>CT188/CT21</f>
        <v>#DIV/0!</v>
      </c>
      <c r="CU187" s="1112"/>
      <c r="CV187" s="1112"/>
      <c r="CW187" s="1085" t="e">
        <f>CT188/CS188</f>
        <v>#DIV/0!</v>
      </c>
      <c r="CX187" s="722" t="e">
        <f>CQ187/6</f>
        <v>#DIV/0!</v>
      </c>
      <c r="CY187" s="723"/>
      <c r="CZ187" s="556"/>
      <c r="DA187" s="556"/>
      <c r="DB187" s="556"/>
      <c r="DC187" s="556"/>
      <c r="DD187" s="556"/>
    </row>
    <row r="188" spans="1:108">
      <c r="A188" s="1012"/>
      <c r="B188" s="662"/>
      <c r="C188" s="1023" t="s">
        <v>398</v>
      </c>
      <c r="D188" s="1000"/>
      <c r="E188" s="695"/>
      <c r="F188" s="800">
        <f>F21*F187</f>
        <v>0</v>
      </c>
      <c r="G188" s="801">
        <f>G21*G187</f>
        <v>0</v>
      </c>
      <c r="H188" s="889">
        <f>G188-F188</f>
        <v>0</v>
      </c>
      <c r="I188" s="695"/>
      <c r="J188" s="800">
        <f>J21*J187</f>
        <v>0</v>
      </c>
      <c r="K188" s="801">
        <f>K21*K187</f>
        <v>0</v>
      </c>
      <c r="L188" s="889">
        <f>K188-J188</f>
        <v>0</v>
      </c>
      <c r="M188" s="695"/>
      <c r="N188" s="800">
        <f>N21*N187</f>
        <v>0</v>
      </c>
      <c r="O188" s="801">
        <f>O21*O187</f>
        <v>0</v>
      </c>
      <c r="P188" s="889">
        <f>O188-N188</f>
        <v>0</v>
      </c>
      <c r="Q188" s="841">
        <f>E188+I188+M188</f>
        <v>0</v>
      </c>
      <c r="R188" s="842">
        <f>R21*R187</f>
        <v>0</v>
      </c>
      <c r="S188" s="721">
        <f>G188+J188+N188</f>
        <v>0</v>
      </c>
      <c r="T188" s="571">
        <f>G188+K188+O188</f>
        <v>0</v>
      </c>
      <c r="U188" s="760">
        <f>T188-Q188</f>
        <v>0</v>
      </c>
      <c r="V188" s="761">
        <f>T188-R188</f>
        <v>0</v>
      </c>
      <c r="W188" s="762">
        <f>T188-S188</f>
        <v>0</v>
      </c>
      <c r="X188" s="695"/>
      <c r="Y188" s="800">
        <f>Y21*Y187</f>
        <v>0</v>
      </c>
      <c r="Z188" s="801">
        <f>Z21*Z187</f>
        <v>0</v>
      </c>
      <c r="AA188" s="889">
        <f>Z188-Y188</f>
        <v>0</v>
      </c>
      <c r="AB188" s="695"/>
      <c r="AC188" s="800">
        <f>AC21*AC187</f>
        <v>0</v>
      </c>
      <c r="AD188" s="801">
        <f>AD21*AD187</f>
        <v>0</v>
      </c>
      <c r="AE188" s="972">
        <f>AD188-AC188</f>
        <v>0</v>
      </c>
      <c r="AF188" s="695"/>
      <c r="AG188" s="800">
        <f>AG21*AG187</f>
        <v>0</v>
      </c>
      <c r="AH188" s="801">
        <f>AH21*AH187</f>
        <v>0</v>
      </c>
      <c r="AI188" s="972">
        <f>AH188-AG188</f>
        <v>0</v>
      </c>
      <c r="AJ188" s="771">
        <f>X188+AB188+AF188</f>
        <v>0</v>
      </c>
      <c r="AK188" s="842">
        <f>AK21*AK187</f>
        <v>0</v>
      </c>
      <c r="AL188" s="843">
        <f>Y188+AC188+AG188</f>
        <v>0</v>
      </c>
      <c r="AM188" s="732">
        <f>Z188+AD188+AH188</f>
        <v>0</v>
      </c>
      <c r="AN188" s="696">
        <f>AM188-AJ188</f>
        <v>0</v>
      </c>
      <c r="AO188" s="699">
        <f>AM188-AK188</f>
        <v>0</v>
      </c>
      <c r="AP188" s="762">
        <f>AM188-AL188</f>
        <v>0</v>
      </c>
      <c r="AQ188" s="771">
        <f>SUM(Q188,AJ188)</f>
        <v>0</v>
      </c>
      <c r="AR188" s="772">
        <f>AR21*AR187</f>
        <v>0</v>
      </c>
      <c r="AS188" s="595">
        <f>S188+AL188</f>
        <v>0</v>
      </c>
      <c r="AT188" s="720">
        <f>SUM(T188,AM188)</f>
        <v>0</v>
      </c>
      <c r="AU188" s="717">
        <f>AT188-AQ188</f>
        <v>0</v>
      </c>
      <c r="AV188" s="760">
        <f>AT188-AR188</f>
        <v>0</v>
      </c>
      <c r="AW188" s="762">
        <f>AT188-AS188</f>
        <v>0</v>
      </c>
      <c r="AX188" s="722"/>
      <c r="AY188" s="723"/>
      <c r="AZ188" s="723"/>
      <c r="BA188" s="556"/>
      <c r="BB188" s="556"/>
      <c r="BC188" s="556"/>
      <c r="BD188" s="556"/>
      <c r="BE188" s="695"/>
      <c r="BF188" s="800">
        <f>BF21*BF187</f>
        <v>0</v>
      </c>
      <c r="BG188" s="801">
        <f>BG21*BG187</f>
        <v>0</v>
      </c>
      <c r="BH188" s="889">
        <f>BG188-BF188</f>
        <v>0</v>
      </c>
      <c r="BI188" s="695"/>
      <c r="BJ188" s="800">
        <f>BJ21*BJ187</f>
        <v>0</v>
      </c>
      <c r="BK188" s="801">
        <f>BK21*BK187</f>
        <v>0</v>
      </c>
      <c r="BL188" s="889">
        <f>BK188-BJ188</f>
        <v>0</v>
      </c>
      <c r="BM188" s="695"/>
      <c r="BN188" s="800">
        <f>BN21*BN187</f>
        <v>0</v>
      </c>
      <c r="BO188" s="801">
        <f>BO21*BO187</f>
        <v>0</v>
      </c>
      <c r="BP188" s="972">
        <f>BO188-BN188</f>
        <v>0</v>
      </c>
      <c r="BQ188" s="771">
        <f>BE188+BI188+BM188</f>
        <v>0</v>
      </c>
      <c r="BR188" s="843"/>
      <c r="BS188" s="721">
        <f>BF188+BJ188+BN188</f>
        <v>0</v>
      </c>
      <c r="BT188" s="571">
        <f>BG188+BK188+BO188</f>
        <v>0</v>
      </c>
      <c r="BU188" s="760">
        <f>BT188-BQ188</f>
        <v>0</v>
      </c>
      <c r="BV188" s="761"/>
      <c r="BW188" s="762">
        <f>BT188-BS188</f>
        <v>0</v>
      </c>
      <c r="BX188" s="695"/>
      <c r="BY188" s="800">
        <f>BY21*BY187</f>
        <v>0</v>
      </c>
      <c r="BZ188" s="801">
        <f>BZ21*BZ187</f>
        <v>0</v>
      </c>
      <c r="CA188" s="972">
        <f>BZ188-BY188</f>
        <v>0</v>
      </c>
      <c r="CB188" s="695"/>
      <c r="CC188" s="800">
        <f>CC21*CC187</f>
        <v>0</v>
      </c>
      <c r="CD188" s="803">
        <f>CD21*CD187</f>
        <v>0</v>
      </c>
      <c r="CE188" s="972">
        <f>CD188-CC188</f>
        <v>0</v>
      </c>
      <c r="CF188" s="695"/>
      <c r="CG188" s="800">
        <f>CG21*CG187</f>
        <v>0</v>
      </c>
      <c r="CH188" s="803">
        <f>CH21*CH187</f>
        <v>0</v>
      </c>
      <c r="CI188" s="972">
        <f>CH188-CG188</f>
        <v>0</v>
      </c>
      <c r="CJ188" s="771">
        <f>BX188+CB188+CF188</f>
        <v>0</v>
      </c>
      <c r="CK188" s="843"/>
      <c r="CL188" s="843">
        <f>BY188+CC188+CG188</f>
        <v>0</v>
      </c>
      <c r="CM188" s="732">
        <f>BZ188+CD188+CH188</f>
        <v>0</v>
      </c>
      <c r="CN188" s="696">
        <f>CM188-CJ188</f>
        <v>0</v>
      </c>
      <c r="CO188" s="696"/>
      <c r="CP188" s="762">
        <f>CM188-CL188</f>
        <v>0</v>
      </c>
      <c r="CQ188" s="771">
        <f>SUM(BQ188,CJ188)</f>
        <v>0</v>
      </c>
      <c r="CR188" s="938"/>
      <c r="CS188" s="595">
        <f>BS188+CL188</f>
        <v>0</v>
      </c>
      <c r="CT188" s="720">
        <f>SUM(BT188,CM188)</f>
        <v>0</v>
      </c>
      <c r="CU188" s="699">
        <f>CT188-CQ188</f>
        <v>0</v>
      </c>
      <c r="CV188" s="761"/>
      <c r="CW188" s="762">
        <f>CT188-CS188</f>
        <v>0</v>
      </c>
      <c r="CX188" s="722">
        <f>CQ188/6</f>
        <v>0</v>
      </c>
      <c r="CY188" s="723"/>
      <c r="CZ188" s="556"/>
      <c r="DA188" s="556"/>
      <c r="DB188" s="556"/>
      <c r="DC188" s="556"/>
      <c r="DD188" s="556"/>
    </row>
    <row r="189" spans="1:108">
      <c r="A189" s="1012" t="str">
        <f>A171</f>
        <v>%=粗利率</v>
      </c>
      <c r="B189" s="662"/>
      <c r="C189" s="662"/>
      <c r="D189" s="619"/>
      <c r="E189" s="953" t="e">
        <f>E190/E23</f>
        <v>#DIV/0!</v>
      </c>
      <c r="F189" s="954" t="e">
        <f>F190/F23</f>
        <v>#DIV/0!</v>
      </c>
      <c r="G189" s="955">
        <f>G190/G23</f>
        <v>-0.11066879191238416</v>
      </c>
      <c r="H189" s="812" t="e">
        <f>G190/F190</f>
        <v>#DIV/0!</v>
      </c>
      <c r="I189" s="1113" t="e">
        <f>I190/I23</f>
        <v>#DIV/0!</v>
      </c>
      <c r="J189" s="1114" t="e">
        <f>J190/J23</f>
        <v>#DIV/0!</v>
      </c>
      <c r="K189" s="1115" t="e">
        <f>K190/K23</f>
        <v>#DIV/0!</v>
      </c>
      <c r="L189" s="1093" t="e">
        <f>K190/J190</f>
        <v>#DIV/0!</v>
      </c>
      <c r="M189" s="1113" t="e">
        <f>M190/M23</f>
        <v>#DIV/0!</v>
      </c>
      <c r="N189" s="1114">
        <v>0.11842213114754098</v>
      </c>
      <c r="O189" s="1115">
        <f>O190/O23</f>
        <v>1.8831232394366194E-3</v>
      </c>
      <c r="P189" s="1093">
        <f>O190/N190</f>
        <v>0.37017269423775734</v>
      </c>
      <c r="Q189" s="1116" t="e">
        <f>Q190/Q23</f>
        <v>#DIV/0!</v>
      </c>
      <c r="R189" s="1117" t="e">
        <f>R190/R23</f>
        <v>#DIV/0!</v>
      </c>
      <c r="S189" s="1122">
        <f>S190/S23</f>
        <v>-0.10162231429033823</v>
      </c>
      <c r="T189" s="1119">
        <f>T190/T23</f>
        <v>-5.5628337494619012E-2</v>
      </c>
      <c r="U189" s="1119" t="e">
        <f>T190/Q190</f>
        <v>#DIV/0!</v>
      </c>
      <c r="V189" s="1120" t="e">
        <f>T190/R190</f>
        <v>#DIV/0!</v>
      </c>
      <c r="W189" s="1079">
        <f>T190/S190</f>
        <v>1.0289825709558482</v>
      </c>
      <c r="X189" s="1113" t="e">
        <f>X190/X23</f>
        <v>#DIV/0!</v>
      </c>
      <c r="Y189" s="1114">
        <v>0.1</v>
      </c>
      <c r="Z189" s="1115">
        <v>0.63400000000000001</v>
      </c>
      <c r="AA189" s="1093">
        <f>Z190/Y190</f>
        <v>9.2716842655514888</v>
      </c>
      <c r="AB189" s="1113" t="e">
        <f>AB190/AB23</f>
        <v>#DIV/0!</v>
      </c>
      <c r="AC189" s="1114">
        <f>AC190/AC23</f>
        <v>0.10000001818181815</v>
      </c>
      <c r="AD189" s="1115" t="e">
        <f>AD190/AD23</f>
        <v>#DIV/0!</v>
      </c>
      <c r="AE189" s="1095">
        <f>AD190/AC190</f>
        <v>0</v>
      </c>
      <c r="AF189" s="1113" t="e">
        <f>AF190/AF23</f>
        <v>#DIV/0!</v>
      </c>
      <c r="AG189" s="1114">
        <f>AG190/AG23</f>
        <v>0.2015871951219512</v>
      </c>
      <c r="AH189" s="1115" t="e">
        <f>AH190/AH23</f>
        <v>#DIV/0!</v>
      </c>
      <c r="AI189" s="1095">
        <f>AH190/AG190</f>
        <v>0</v>
      </c>
      <c r="AJ189" s="1121" t="e">
        <f>AJ190/AJ23</f>
        <v>#DIV/0!</v>
      </c>
      <c r="AK189" s="1117" t="e">
        <f>AK190/AK23</f>
        <v>#DIV/0!</v>
      </c>
      <c r="AL189" s="1122">
        <f>AL190/AL23</f>
        <v>0.1465978963266828</v>
      </c>
      <c r="AM189" s="1119">
        <f>AM190/AM23</f>
        <v>0.63429288702928877</v>
      </c>
      <c r="AN189" s="1123" t="e">
        <f>AM190/AJ190</f>
        <v>#DIV/0!</v>
      </c>
      <c r="AO189" s="1100" t="e">
        <f>AM190/AK190</f>
        <v>#DIV/0!</v>
      </c>
      <c r="AP189" s="1080">
        <f>AM190/AL190</f>
        <v>2.2559946672807092</v>
      </c>
      <c r="AQ189" s="1121" t="e">
        <f>AQ190/AQ23</f>
        <v>#DIV/0!</v>
      </c>
      <c r="AR189" s="1124" t="e">
        <f>AR190/AR23</f>
        <v>#DIV/0!</v>
      </c>
      <c r="AS189" s="1119">
        <f>AS190/AS23</f>
        <v>-8.1798851607523107E-2</v>
      </c>
      <c r="AT189" s="1094">
        <f>AT190/AT23</f>
        <v>-3.940902911650046E-2</v>
      </c>
      <c r="AU189" s="1123" t="e">
        <f>AT190/AQ190</f>
        <v>#DIV/0!</v>
      </c>
      <c r="AV189" s="1119" t="e">
        <f>AT190/AR190</f>
        <v>#DIV/0!</v>
      </c>
      <c r="AW189" s="1080">
        <f>AT190/AS190</f>
        <v>0.85336346833054888</v>
      </c>
      <c r="AX189" s="708"/>
      <c r="AY189" s="709"/>
      <c r="AZ189" s="970"/>
      <c r="BA189" s="516"/>
      <c r="BB189" s="516"/>
      <c r="BC189" s="516"/>
      <c r="BD189" s="516"/>
      <c r="BE189" s="1113" t="e">
        <f>BE190/BE23</f>
        <v>#DIV/0!</v>
      </c>
      <c r="BF189" s="1114">
        <f>BF190/BF23</f>
        <v>0.2015871951219512</v>
      </c>
      <c r="BG189" s="1115" t="e">
        <f>BG190/BG23</f>
        <v>#DIV/0!</v>
      </c>
      <c r="BH189" s="1093">
        <f>BG190/BF190</f>
        <v>0</v>
      </c>
      <c r="BI189" s="1113" t="e">
        <f>BI190/BI23</f>
        <v>#DIV/0!</v>
      </c>
      <c r="BJ189" s="1114">
        <f>BJ190/BJ23</f>
        <v>9.9993636363636354E-2</v>
      </c>
      <c r="BK189" s="1115">
        <f>BK190/BK23</f>
        <v>0.51163243902439015</v>
      </c>
      <c r="BL189" s="1093">
        <f>BK190/BJ190</f>
        <v>12.714099988181065</v>
      </c>
      <c r="BM189" s="1113" t="e">
        <f>BM190/BM23</f>
        <v>#DIV/0!</v>
      </c>
      <c r="BN189" s="1114" t="e">
        <f>BN190/BN23</f>
        <v>#DIV/0!</v>
      </c>
      <c r="BO189" s="1115" t="e">
        <f>BO190/BO23</f>
        <v>#DIV/0!</v>
      </c>
      <c r="BP189" s="1283" t="e">
        <f>BO190/BN190</f>
        <v>#DIV/0!</v>
      </c>
      <c r="BQ189" s="1121" t="e">
        <f>BQ190/BQ23</f>
        <v>#DIV/0!</v>
      </c>
      <c r="BR189" s="1122"/>
      <c r="BS189" s="1122">
        <f>BS190/BS23</f>
        <v>0.17243426086956518</v>
      </c>
      <c r="BT189" s="1119">
        <f>BT190/BT23</f>
        <v>0.31776439024390241</v>
      </c>
      <c r="BU189" s="1119" t="e">
        <f>BT190/BQ190</f>
        <v>#DIV/0!</v>
      </c>
      <c r="BV189" s="1120"/>
      <c r="BW189" s="1079">
        <f>BT190/BS190</f>
        <v>1.3140070015340439</v>
      </c>
      <c r="BX189" s="1113" t="e">
        <f>BX190/BX23</f>
        <v>#DIV/0!</v>
      </c>
      <c r="BY189" s="1114" t="e">
        <f>BY190/BY23</f>
        <v>#DIV/0!</v>
      </c>
      <c r="BZ189" s="1115">
        <f>BZ190/BZ23</f>
        <v>-1.0537012807377049</v>
      </c>
      <c r="CA189" s="1095" t="e">
        <f>BZ190/BY190</f>
        <v>#DIV/0!</v>
      </c>
      <c r="CB189" s="1113" t="e">
        <f>CB190/CB23</f>
        <v>#DIV/0!</v>
      </c>
      <c r="CC189" s="1114" t="e">
        <f>CC190/CC23</f>
        <v>#DIV/0!</v>
      </c>
      <c r="CD189" s="1278" t="e">
        <f>CD190/CD23</f>
        <v>#DIV/0!</v>
      </c>
      <c r="CE189" s="1095" t="e">
        <f>CD190/CC190</f>
        <v>#DIV/0!</v>
      </c>
      <c r="CF189" s="1113" t="e">
        <f>CF190/CF23</f>
        <v>#DIV/0!</v>
      </c>
      <c r="CG189" s="1114" t="e">
        <f>CG190/CG23</f>
        <v>#DIV/0!</v>
      </c>
      <c r="CH189" s="1278" t="e">
        <f>CH190/CH23</f>
        <v>#DIV/0!</v>
      </c>
      <c r="CI189" s="1095" t="e">
        <f>CH190/CG190</f>
        <v>#DIV/0!</v>
      </c>
      <c r="CJ189" s="1121" t="e">
        <f>CJ190/CJ23</f>
        <v>#DIV/0!</v>
      </c>
      <c r="CK189" s="1122"/>
      <c r="CL189" s="1122" t="e">
        <f>CL190/CL23</f>
        <v>#DIV/0!</v>
      </c>
      <c r="CM189" s="1119">
        <f>CM190/CM23</f>
        <v>0</v>
      </c>
      <c r="CN189" s="1123" t="e">
        <f>CM190/CJ190</f>
        <v>#DIV/0!</v>
      </c>
      <c r="CO189" s="1123"/>
      <c r="CP189" s="1080" t="e">
        <f>CM190/CL190</f>
        <v>#DIV/0!</v>
      </c>
      <c r="CQ189" s="1121" t="e">
        <f>CQ190/CQ23</f>
        <v>#DIV/0!</v>
      </c>
      <c r="CR189" s="1118"/>
      <c r="CS189" s="1119">
        <f>CS190/CS23</f>
        <v>0</v>
      </c>
      <c r="CT189" s="1094">
        <f>CT190/CT23</f>
        <v>0</v>
      </c>
      <c r="CU189" s="1123" t="e">
        <f>CT190/CQ190</f>
        <v>#DIV/0!</v>
      </c>
      <c r="CV189" s="1123"/>
      <c r="CW189" s="1080" t="e">
        <f>CT190/CS190</f>
        <v>#DIV/0!</v>
      </c>
      <c r="CX189" s="708"/>
      <c r="CY189" s="709"/>
      <c r="CZ189" s="555"/>
      <c r="DA189" s="555"/>
      <c r="DB189" s="555"/>
      <c r="DC189" s="516"/>
      <c r="DD189" s="516"/>
    </row>
    <row r="190" spans="1:108">
      <c r="A190" s="1011" t="s">
        <v>399</v>
      </c>
      <c r="B190" s="997"/>
      <c r="C190" s="997"/>
      <c r="D190" s="995"/>
      <c r="E190" s="822">
        <f>E186+E188</f>
        <v>0</v>
      </c>
      <c r="F190" s="887">
        <f>F186+F188</f>
        <v>0</v>
      </c>
      <c r="G190" s="824">
        <v>-561.38400000000001</v>
      </c>
      <c r="H190" s="825">
        <f>G190-F190</f>
        <v>-561.38400000000001</v>
      </c>
      <c r="I190" s="822">
        <f>I186+I188</f>
        <v>0</v>
      </c>
      <c r="J190" s="887">
        <f>J186+J188</f>
        <v>0</v>
      </c>
      <c r="K190" s="824">
        <f>K186+K188</f>
        <v>0</v>
      </c>
      <c r="L190" s="825">
        <f>K190-J190</f>
        <v>0</v>
      </c>
      <c r="M190" s="822">
        <f>M186+M188</f>
        <v>0</v>
      </c>
      <c r="N190" s="887">
        <f>N189*N23</f>
        <v>24.696581196581199</v>
      </c>
      <c r="O190" s="824">
        <v>9.1419999999999995</v>
      </c>
      <c r="P190" s="825">
        <f>O190-N190</f>
        <v>-15.5545811965812</v>
      </c>
      <c r="Q190" s="827">
        <f>E190+I190+M190</f>
        <v>0</v>
      </c>
      <c r="R190" s="828">
        <f>R186+R188</f>
        <v>0</v>
      </c>
      <c r="S190" s="739">
        <f>G190+J190+N190</f>
        <v>-536.68741880341884</v>
      </c>
      <c r="T190" s="520">
        <f>G190+K190+O190</f>
        <v>-552.24199999999996</v>
      </c>
      <c r="U190" s="712">
        <f>T190-Q190</f>
        <v>-552.24199999999996</v>
      </c>
      <c r="V190" s="711">
        <f>T190-R190</f>
        <v>-552.24199999999996</v>
      </c>
      <c r="W190" s="716">
        <f>T190-S190</f>
        <v>-15.554581196581125</v>
      </c>
      <c r="X190" s="822">
        <f t="shared" ref="X190:AF190" si="308">X186+X188</f>
        <v>0</v>
      </c>
      <c r="Y190" s="887">
        <f>Y189*Y23</f>
        <v>16.350427350427353</v>
      </c>
      <c r="Z190" s="824">
        <v>151.596</v>
      </c>
      <c r="AA190" s="825">
        <f t="shared" si="308"/>
        <v>0</v>
      </c>
      <c r="AB190" s="822">
        <f t="shared" si="308"/>
        <v>0</v>
      </c>
      <c r="AC190" s="887">
        <v>8.4615399999999994</v>
      </c>
      <c r="AD190" s="824">
        <v>0</v>
      </c>
      <c r="AE190" s="972">
        <f t="shared" si="308"/>
        <v>0</v>
      </c>
      <c r="AF190" s="822">
        <f t="shared" si="308"/>
        <v>0</v>
      </c>
      <c r="AG190" s="887">
        <v>42.384999999999998</v>
      </c>
      <c r="AH190" s="824"/>
      <c r="AI190" s="972">
        <f>AI186+AI188</f>
        <v>0</v>
      </c>
      <c r="AJ190" s="710">
        <f t="shared" ref="AJ190:AQ190" si="309">AJ186+AJ188</f>
        <v>0</v>
      </c>
      <c r="AK190" s="1157">
        <f>AK186+AK188</f>
        <v>0</v>
      </c>
      <c r="AL190" s="712">
        <f>Y190+AC190+AG190</f>
        <v>67.196967350427343</v>
      </c>
      <c r="AM190" s="712">
        <f>Z190+AD190+AH190</f>
        <v>151.596</v>
      </c>
      <c r="AN190" s="739">
        <f t="shared" si="309"/>
        <v>0</v>
      </c>
      <c r="AO190" s="711">
        <f>AM190-AK190</f>
        <v>151.596</v>
      </c>
      <c r="AP190" s="710">
        <f t="shared" si="309"/>
        <v>0</v>
      </c>
      <c r="AQ190" s="822">
        <f t="shared" si="309"/>
        <v>0</v>
      </c>
      <c r="AR190" s="715">
        <f>AR186+AR188</f>
        <v>0</v>
      </c>
      <c r="AS190" s="610">
        <f>S190+AL190</f>
        <v>-469.49045145299146</v>
      </c>
      <c r="AT190" s="732">
        <f>SUM(T190,AM190)</f>
        <v>-400.64599999999996</v>
      </c>
      <c r="AU190" s="761">
        <f>AU186+AU188</f>
        <v>0</v>
      </c>
      <c r="AV190" s="712">
        <f>AT190-AR190</f>
        <v>-400.64599999999996</v>
      </c>
      <c r="AW190" s="611">
        <f>AW186+AW188</f>
        <v>0</v>
      </c>
      <c r="AX190" s="708">
        <f>AQ190/6</f>
        <v>0</v>
      </c>
      <c r="AY190" s="709">
        <f>AR190/6</f>
        <v>0</v>
      </c>
      <c r="AZ190" s="709">
        <f>AT190/6</f>
        <v>-66.774333333333331</v>
      </c>
      <c r="BA190" s="1239" t="e">
        <f>AZ190/AX190</f>
        <v>#DIV/0!</v>
      </c>
      <c r="BB190" s="516">
        <f>AZ190-AX190</f>
        <v>-66.774333333333331</v>
      </c>
      <c r="BC190" s="516">
        <f>AZ190-AY190</f>
        <v>-66.774333333333331</v>
      </c>
      <c r="BD190" s="516">
        <f>AW190/6</f>
        <v>0</v>
      </c>
      <c r="BE190" s="822">
        <f>BE186+BE188</f>
        <v>0</v>
      </c>
      <c r="BF190" s="887">
        <v>42.384999999999998</v>
      </c>
      <c r="BG190" s="824">
        <v>0</v>
      </c>
      <c r="BH190" s="825">
        <f>BG190-BF190</f>
        <v>-42.384999999999998</v>
      </c>
      <c r="BI190" s="822">
        <f>BI186+BI188</f>
        <v>0</v>
      </c>
      <c r="BJ190" s="887">
        <v>8.4610000000000003</v>
      </c>
      <c r="BK190" s="824">
        <v>107.574</v>
      </c>
      <c r="BL190" s="825">
        <f>BK190-BJ190</f>
        <v>99.113</v>
      </c>
      <c r="BM190" s="822">
        <f>BM186+BM188</f>
        <v>0</v>
      </c>
      <c r="BN190" s="887">
        <v>0</v>
      </c>
      <c r="BO190" s="824">
        <v>-40.762</v>
      </c>
      <c r="BP190" s="972">
        <f>BO190-BN190</f>
        <v>-40.762</v>
      </c>
      <c r="BQ190" s="713">
        <f>BE190+BI190+BM190</f>
        <v>0</v>
      </c>
      <c r="BR190" s="714"/>
      <c r="BS190" s="739">
        <f>BF190+BJ190+BN190</f>
        <v>50.845999999999997</v>
      </c>
      <c r="BT190" s="520">
        <f>BG190+BK190+BO190</f>
        <v>66.811999999999998</v>
      </c>
      <c r="BU190" s="712">
        <f>BT190-BQ190</f>
        <v>66.811999999999998</v>
      </c>
      <c r="BV190" s="711"/>
      <c r="BW190" s="716">
        <f>BT190-BS190</f>
        <v>15.966000000000001</v>
      </c>
      <c r="BX190" s="822">
        <f t="shared" ref="BX190:CQ190" si="310">BX186+BX188</f>
        <v>0</v>
      </c>
      <c r="BY190" s="887">
        <f t="shared" si="310"/>
        <v>0</v>
      </c>
      <c r="BZ190" s="824">
        <v>-175.797</v>
      </c>
      <c r="CA190" s="972">
        <f t="shared" si="310"/>
        <v>0</v>
      </c>
      <c r="CB190" s="822">
        <f t="shared" si="310"/>
        <v>0</v>
      </c>
      <c r="CC190" s="887">
        <f t="shared" si="310"/>
        <v>0</v>
      </c>
      <c r="CD190" s="826">
        <f t="shared" si="310"/>
        <v>0</v>
      </c>
      <c r="CE190" s="972">
        <f t="shared" si="310"/>
        <v>0</v>
      </c>
      <c r="CF190" s="822">
        <f t="shared" si="310"/>
        <v>0</v>
      </c>
      <c r="CG190" s="887">
        <f t="shared" si="310"/>
        <v>0</v>
      </c>
      <c r="CH190" s="826">
        <f t="shared" si="310"/>
        <v>0</v>
      </c>
      <c r="CI190" s="972">
        <f t="shared" si="310"/>
        <v>0</v>
      </c>
      <c r="CJ190" s="710">
        <f t="shared" si="310"/>
        <v>0</v>
      </c>
      <c r="CK190" s="822"/>
      <c r="CL190" s="822">
        <f t="shared" si="310"/>
        <v>0</v>
      </c>
      <c r="CM190" s="712">
        <f t="shared" si="310"/>
        <v>0</v>
      </c>
      <c r="CN190" s="940">
        <f t="shared" si="310"/>
        <v>0</v>
      </c>
      <c r="CO190" s="940"/>
      <c r="CP190" s="710">
        <f t="shared" si="310"/>
        <v>0</v>
      </c>
      <c r="CQ190" s="822">
        <f t="shared" si="310"/>
        <v>0</v>
      </c>
      <c r="CR190" s="739"/>
      <c r="CS190" s="610">
        <f>CS186+CS188</f>
        <v>0</v>
      </c>
      <c r="CT190" s="732">
        <f>CT186+CT188</f>
        <v>0</v>
      </c>
      <c r="CU190" s="761">
        <f>CU186+CU188</f>
        <v>0</v>
      </c>
      <c r="CV190" s="761"/>
      <c r="CW190" s="611">
        <f>CW186+CW188</f>
        <v>0</v>
      </c>
      <c r="CX190" s="708">
        <f>CQ190/6</f>
        <v>0</v>
      </c>
      <c r="CY190" s="709">
        <f>CT190/6</f>
        <v>0</v>
      </c>
      <c r="CZ190" s="1386" t="e">
        <f>CY190/CX190</f>
        <v>#DIV/0!</v>
      </c>
      <c r="DA190" s="555">
        <f>CY190-CX190</f>
        <v>0</v>
      </c>
      <c r="DB190" s="555">
        <f>CW190/6</f>
        <v>0</v>
      </c>
      <c r="DC190" s="516"/>
      <c r="DD190" s="516"/>
    </row>
    <row r="191" spans="1:108">
      <c r="A191" s="644" t="str">
        <f>A171</f>
        <v>%=粗利率</v>
      </c>
      <c r="B191" s="662"/>
      <c r="C191" s="662"/>
      <c r="D191" s="619"/>
      <c r="E191" s="953">
        <f>E192/E25</f>
        <v>0.59449541284403673</v>
      </c>
      <c r="F191" s="973">
        <f>F192/F25</f>
        <v>0.60275229357798166</v>
      </c>
      <c r="G191" s="974">
        <f>G192/G25</f>
        <v>0.51760367129593643</v>
      </c>
      <c r="H191" s="812">
        <f>G192/F192</f>
        <v>1.2950684931506848</v>
      </c>
      <c r="I191" s="1113">
        <f>I192/I25</f>
        <v>0.59449541284403673</v>
      </c>
      <c r="J191" s="973">
        <f>J192/J25</f>
        <v>0.54599999999999993</v>
      </c>
      <c r="K191" s="974">
        <f>K192/K25</f>
        <v>0.55328315270615014</v>
      </c>
      <c r="L191" s="1093">
        <f>K192/J192</f>
        <v>1.5528571428571429</v>
      </c>
      <c r="M191" s="1113">
        <f>M192/M25</f>
        <v>0.58315457413249205</v>
      </c>
      <c r="N191" s="973">
        <f>N192/N25</f>
        <v>0.55002952029520291</v>
      </c>
      <c r="O191" s="974">
        <f>O192/O25</f>
        <v>0.58085082857051828</v>
      </c>
      <c r="P191" s="1093">
        <f>O192/N192</f>
        <v>1.4596671899529041</v>
      </c>
      <c r="Q191" s="1113">
        <f>Q192/Q25</f>
        <v>0.59042769857433808</v>
      </c>
      <c r="R191" s="1140">
        <f>R192/R25</f>
        <v>0.59042769857433808</v>
      </c>
      <c r="S191" s="1122">
        <f>S192/S25</f>
        <v>0.53493771646117538</v>
      </c>
      <c r="T191" s="1119">
        <f>T192/T25</f>
        <v>0.54938121059018352</v>
      </c>
      <c r="U191" s="1119">
        <f>T192/Q192</f>
        <v>1.328344394618834</v>
      </c>
      <c r="V191" s="1120">
        <f>T192/R192</f>
        <v>1.328344394618834</v>
      </c>
      <c r="W191" s="1079">
        <f>T192/S192</f>
        <v>1.2978478794251664</v>
      </c>
      <c r="X191" s="1113">
        <f t="shared" ref="X191:AM191" si="311">X192/X25</f>
        <v>0.58818897637795275</v>
      </c>
      <c r="Y191" s="973">
        <f t="shared" si="311"/>
        <v>0.5502303120356612</v>
      </c>
      <c r="Z191" s="974">
        <f t="shared" si="311"/>
        <v>0.61889265066119636</v>
      </c>
      <c r="AA191" s="1093">
        <f t="shared" si="311"/>
        <v>0.73945952330537357</v>
      </c>
      <c r="AB191" s="1113">
        <f t="shared" si="311"/>
        <v>0.5924954240390482</v>
      </c>
      <c r="AC191" s="973">
        <f t="shared" si="311"/>
        <v>0.58950000000000002</v>
      </c>
      <c r="AD191" s="974">
        <f t="shared" si="311"/>
        <v>0.51100195983245422</v>
      </c>
      <c r="AE191" s="1093">
        <f t="shared" si="311"/>
        <v>0.44795845996224204</v>
      </c>
      <c r="AF191" s="1113">
        <f t="shared" si="311"/>
        <v>0.58988439306358376</v>
      </c>
      <c r="AG191" s="973">
        <f t="shared" si="311"/>
        <v>0.55038043478260867</v>
      </c>
      <c r="AH191" s="974">
        <f t="shared" si="311"/>
        <v>0.58966514935904024</v>
      </c>
      <c r="AI191" s="1093">
        <f t="shared" si="311"/>
        <v>0.62417440389866852</v>
      </c>
      <c r="AJ191" s="1151">
        <f t="shared" si="311"/>
        <v>0.59018980812873945</v>
      </c>
      <c r="AK191" s="1140">
        <f t="shared" si="311"/>
        <v>0.59018980812873945</v>
      </c>
      <c r="AL191" s="1122">
        <f t="shared" si="311"/>
        <v>0.5621548117154811</v>
      </c>
      <c r="AM191" s="1119">
        <f t="shared" si="311"/>
        <v>0.57008499588839645</v>
      </c>
      <c r="AN191" s="1123">
        <f>AM192/AJ192</f>
        <v>1.708348875255624</v>
      </c>
      <c r="AO191" s="1100">
        <f>AM192/AK192</f>
        <v>1.708348875255624</v>
      </c>
      <c r="AP191" s="1080">
        <f>AP192/AP25</f>
        <v>0.57807388923516934</v>
      </c>
      <c r="AQ191" s="1151">
        <f>AQ192/AQ25</f>
        <v>0.59030325922728255</v>
      </c>
      <c r="AR191" s="1119">
        <f>AR192/AR25</f>
        <v>0.59030325922728255</v>
      </c>
      <c r="AS191" s="1119">
        <f>AS192/AS25</f>
        <v>0.54753594857140253</v>
      </c>
      <c r="AT191" s="1119">
        <f>AT192/AT25</f>
        <v>0.56130795825115798</v>
      </c>
      <c r="AU191" s="1123">
        <f>AT192/AQ192</f>
        <v>1.5270847058823531</v>
      </c>
      <c r="AV191" s="1119">
        <f>AT192/AR192</f>
        <v>1.5270847058823531</v>
      </c>
      <c r="AW191" s="1080">
        <f>AW192/AW25</f>
        <v>0.58421812697829678</v>
      </c>
      <c r="AX191" s="708"/>
      <c r="AY191" s="709"/>
      <c r="AZ191" s="709"/>
      <c r="BA191" s="555"/>
      <c r="BB191" s="555"/>
      <c r="BC191" s="555"/>
      <c r="BD191" s="555">
        <f>BD192/BD25</f>
        <v>0.58421812697829678</v>
      </c>
      <c r="BE191" s="1113">
        <f>BE192/BE25</f>
        <v>0.58499999999999996</v>
      </c>
      <c r="BF191" s="973">
        <f>BF192/BF25</f>
        <v>0.57994818652849733</v>
      </c>
      <c r="BG191" s="974">
        <f>BG192/BG25</f>
        <v>0.58993860801963971</v>
      </c>
      <c r="BH191" s="1093">
        <f>BG192/BF192</f>
        <v>1.7177177700348432</v>
      </c>
      <c r="BI191" s="1113">
        <f>BI192/BI25</f>
        <v>0.59734466588511137</v>
      </c>
      <c r="BJ191" s="973">
        <f>BJ192/BJ25</f>
        <v>0.58019929660023439</v>
      </c>
      <c r="BK191" s="974">
        <f>BK192/BK25</f>
        <v>0.53243271715862484</v>
      </c>
      <c r="BL191" s="1093">
        <f>BK192/BJ192</f>
        <v>1.4576560283687943</v>
      </c>
      <c r="BM191" s="1113">
        <f>BM192/BM25</f>
        <v>0.58848025959978367</v>
      </c>
      <c r="BN191" s="973">
        <f>BN192/BN25</f>
        <v>0.57989010989010981</v>
      </c>
      <c r="BO191" s="974">
        <f>BO192/BO25</f>
        <v>0.54655584875414687</v>
      </c>
      <c r="BP191" s="1093">
        <f>BO192/BN192</f>
        <v>1.3184570778851621</v>
      </c>
      <c r="BQ191" s="1151">
        <f>BQ192/BQ25</f>
        <v>0.59002558947176009</v>
      </c>
      <c r="BR191" s="1123"/>
      <c r="BS191" s="1122">
        <f>BS192/BS25</f>
        <v>0.57997754589882433</v>
      </c>
      <c r="BT191" s="1119">
        <f>BT192/BT25</f>
        <v>0.55789714252935829</v>
      </c>
      <c r="BU191" s="1119">
        <f>BT192/BQ192</f>
        <v>2.0022772743747734</v>
      </c>
      <c r="BV191" s="1120"/>
      <c r="BW191" s="1079">
        <f>BT192/BS192</f>
        <v>1.4719645616839863</v>
      </c>
      <c r="BX191" s="1113">
        <f t="shared" ref="BX191:CM191" si="312">BX192/BX25</f>
        <v>0.57956656346749225</v>
      </c>
      <c r="BY191" s="973">
        <f t="shared" si="312"/>
        <v>0.57956656346749225</v>
      </c>
      <c r="BZ191" s="974">
        <f t="shared" si="312"/>
        <v>0.6001379572601635</v>
      </c>
      <c r="CA191" s="1093">
        <f t="shared" si="312"/>
        <v>0.65278717831732247</v>
      </c>
      <c r="CB191" s="1113">
        <f t="shared" si="312"/>
        <v>0.56345609065155799</v>
      </c>
      <c r="CC191" s="973">
        <f t="shared" si="312"/>
        <v>0.56345609065155799</v>
      </c>
      <c r="CD191" s="975">
        <v>0.56345609065155799</v>
      </c>
      <c r="CE191" s="1093" t="e">
        <f t="shared" si="312"/>
        <v>#DIV/0!</v>
      </c>
      <c r="CF191" s="1113">
        <f t="shared" si="312"/>
        <v>0.60331629392971242</v>
      </c>
      <c r="CG191" s="973">
        <f t="shared" si="312"/>
        <v>0.57968181818181819</v>
      </c>
      <c r="CH191" s="975">
        <v>0.57968181818181819</v>
      </c>
      <c r="CI191" s="1093" t="e">
        <f t="shared" si="312"/>
        <v>#DIV/0!</v>
      </c>
      <c r="CJ191" s="1151">
        <f t="shared" si="312"/>
        <v>0.58010852161537085</v>
      </c>
      <c r="CK191" s="1123"/>
      <c r="CL191" s="1122">
        <f t="shared" si="312"/>
        <v>0.57297323506594255</v>
      </c>
      <c r="CM191" s="1119">
        <f t="shared" si="312"/>
        <v>0.58319391592207748</v>
      </c>
      <c r="CN191" s="1123">
        <f>CM192/CJ192</f>
        <v>1.0575834230355219</v>
      </c>
      <c r="CO191" s="1123"/>
      <c r="CP191" s="1080">
        <f>CP192/CP25</f>
        <v>0.65278717831732236</v>
      </c>
      <c r="CQ191" s="1151">
        <f>CQ192/CQ25</f>
        <v>0.58499999999999985</v>
      </c>
      <c r="CR191" s="1176"/>
      <c r="CS191" s="1119">
        <f>CS192/CS25</f>
        <v>0.57713993871297231</v>
      </c>
      <c r="CT191" s="1119">
        <f>CT192/CT25</f>
        <v>0.56644560294925983</v>
      </c>
      <c r="CU191" s="1123">
        <f>CT192/CQ192</f>
        <v>1.5275456184637577</v>
      </c>
      <c r="CV191" s="1123"/>
      <c r="CW191" s="1080">
        <f>CW192/CW25</f>
        <v>0.53792086330479927</v>
      </c>
      <c r="CX191" s="708"/>
      <c r="CY191" s="709">
        <f t="shared" ref="CY191:DB191" si="313">CY192/CY25</f>
        <v>0.56644560294925983</v>
      </c>
      <c r="CZ191" s="555">
        <f t="shared" si="313"/>
        <v>0.96828308196454682</v>
      </c>
      <c r="DA191" s="555">
        <f t="shared" si="313"/>
        <v>0.53432131857872989</v>
      </c>
      <c r="DB191" s="555">
        <f t="shared" si="313"/>
        <v>0.53792086330479927</v>
      </c>
      <c r="DC191" s="555"/>
      <c r="DD191" s="555"/>
    </row>
    <row r="192" spans="1:108">
      <c r="A192" s="647" t="s">
        <v>400</v>
      </c>
      <c r="B192" s="661"/>
      <c r="C192" s="997"/>
      <c r="D192" s="995"/>
      <c r="E192" s="822">
        <v>720</v>
      </c>
      <c r="F192" s="887">
        <v>730</v>
      </c>
      <c r="G192" s="824">
        <v>945.4</v>
      </c>
      <c r="H192" s="825">
        <f>G192-F192</f>
        <v>215.39999999999998</v>
      </c>
      <c r="I192" s="822">
        <v>720</v>
      </c>
      <c r="J192" s="887">
        <v>700</v>
      </c>
      <c r="K192" s="824">
        <v>1087</v>
      </c>
      <c r="L192" s="825">
        <f>K192-J192</f>
        <v>387</v>
      </c>
      <c r="M192" s="822">
        <v>790</v>
      </c>
      <c r="N192" s="887">
        <v>637</v>
      </c>
      <c r="O192" s="824">
        <v>929.80799999999999</v>
      </c>
      <c r="P192" s="825">
        <f>O192-N192</f>
        <v>292.80799999999999</v>
      </c>
      <c r="Q192" s="827">
        <f>E192+I192+M192</f>
        <v>2230</v>
      </c>
      <c r="R192" s="828">
        <v>2230</v>
      </c>
      <c r="S192" s="739">
        <f>G192+J192+N192</f>
        <v>2282.4</v>
      </c>
      <c r="T192" s="520">
        <f>G192+K192+O192</f>
        <v>2962.2080000000001</v>
      </c>
      <c r="U192" s="712">
        <f>T192-Q192</f>
        <v>732.20800000000008</v>
      </c>
      <c r="V192" s="711">
        <f>T192-R192</f>
        <v>732.20800000000008</v>
      </c>
      <c r="W192" s="716">
        <f>T192-S192</f>
        <v>679.80799999999999</v>
      </c>
      <c r="X192" s="822">
        <v>830</v>
      </c>
      <c r="Y192" s="887">
        <v>633</v>
      </c>
      <c r="Z192" s="824">
        <v>1117.4670000000001</v>
      </c>
      <c r="AA192" s="825">
        <f>Z192-Y192</f>
        <v>484.4670000000001</v>
      </c>
      <c r="AB192" s="822">
        <v>830</v>
      </c>
      <c r="AC192" s="887">
        <v>655</v>
      </c>
      <c r="AD192" s="824">
        <v>1274.7460000000001</v>
      </c>
      <c r="AE192" s="825">
        <f>AD192-AC192</f>
        <v>619.74600000000009</v>
      </c>
      <c r="AF192" s="822">
        <v>785</v>
      </c>
      <c r="AG192" s="887">
        <v>779</v>
      </c>
      <c r="AH192" s="824">
        <v>1784.7</v>
      </c>
      <c r="AI192" s="825">
        <f>AH192-AG192</f>
        <v>1005.7</v>
      </c>
      <c r="AJ192" s="713">
        <f>X192+AB192+AF192</f>
        <v>2445</v>
      </c>
      <c r="AK192" s="828">
        <v>2445</v>
      </c>
      <c r="AL192" s="714">
        <f>Y192+AC192+AG192</f>
        <v>2067</v>
      </c>
      <c r="AM192" s="715">
        <f>Z192+AD192+AH192</f>
        <v>4176.9130000000005</v>
      </c>
      <c r="AN192" s="739">
        <f>AM192-AJ192</f>
        <v>1731.9130000000005</v>
      </c>
      <c r="AO192" s="711">
        <f>AM192-AK192</f>
        <v>1731.9130000000005</v>
      </c>
      <c r="AP192" s="716">
        <f>AM192-AL192</f>
        <v>2109.9130000000005</v>
      </c>
      <c r="AQ192" s="713">
        <f>SUM(Q192,AJ192)</f>
        <v>4675</v>
      </c>
      <c r="AR192" s="715">
        <f>R192+AK192</f>
        <v>4675</v>
      </c>
      <c r="AS192" s="608">
        <f>S192+AL192</f>
        <v>4349.3999999999996</v>
      </c>
      <c r="AT192" s="520">
        <f>SUM(T192,AM192)</f>
        <v>7139.121000000001</v>
      </c>
      <c r="AU192" s="517">
        <f>AT192-AQ192</f>
        <v>2464.121000000001</v>
      </c>
      <c r="AV192" s="712">
        <f>AT192-AR192</f>
        <v>2464.121000000001</v>
      </c>
      <c r="AW192" s="716">
        <f>AT192-AS192</f>
        <v>2789.7210000000014</v>
      </c>
      <c r="AX192" s="708">
        <f>AQ192/6</f>
        <v>779.16666666666663</v>
      </c>
      <c r="AY192" s="709">
        <f>AR192/6</f>
        <v>779.16666666666663</v>
      </c>
      <c r="AZ192" s="709">
        <f>AT192/6</f>
        <v>1189.8535000000002</v>
      </c>
      <c r="BA192" s="1239">
        <f>AZ192/AX192</f>
        <v>1.5270847058823531</v>
      </c>
      <c r="BB192" s="516">
        <f>AZ192-AX192</f>
        <v>410.68683333333354</v>
      </c>
      <c r="BC192" s="516">
        <f>AZ192-AY192</f>
        <v>410.68683333333354</v>
      </c>
      <c r="BD192" s="516">
        <f>AW192/6</f>
        <v>464.95350000000025</v>
      </c>
      <c r="BE192" s="822">
        <v>958</v>
      </c>
      <c r="BF192" s="887">
        <v>1148</v>
      </c>
      <c r="BG192" s="824">
        <v>1971.94</v>
      </c>
      <c r="BH192" s="825">
        <f>BG192-BF192</f>
        <v>823.94</v>
      </c>
      <c r="BI192" s="822">
        <v>871</v>
      </c>
      <c r="BJ192" s="887">
        <v>846</v>
      </c>
      <c r="BK192" s="824">
        <v>1233.1769999999999</v>
      </c>
      <c r="BL192" s="825">
        <f>BK192-BJ192</f>
        <v>387.17699999999991</v>
      </c>
      <c r="BM192" s="822">
        <v>930</v>
      </c>
      <c r="BN192" s="887">
        <v>1759</v>
      </c>
      <c r="BO192" s="824">
        <v>2319.1660000000002</v>
      </c>
      <c r="BP192" s="825">
        <f>BO192-BN192</f>
        <v>560.16600000000017</v>
      </c>
      <c r="BQ192" s="713">
        <f>BE192+BI192+BM192</f>
        <v>2759</v>
      </c>
      <c r="BR192" s="714"/>
      <c r="BS192" s="739">
        <f>BF192+BJ192+BN192</f>
        <v>3753</v>
      </c>
      <c r="BT192" s="520">
        <f>BG192+BK192+BO192</f>
        <v>5524.2830000000004</v>
      </c>
      <c r="BU192" s="712">
        <f>BT192-BQ192</f>
        <v>2765.2830000000004</v>
      </c>
      <c r="BV192" s="711"/>
      <c r="BW192" s="716">
        <f>BT192-BS192</f>
        <v>1771.2830000000004</v>
      </c>
      <c r="BX192" s="822">
        <v>960</v>
      </c>
      <c r="BY192" s="887">
        <v>960</v>
      </c>
      <c r="BZ192" s="824">
        <v>1382.4849999999999</v>
      </c>
      <c r="CA192" s="825">
        <f>BZ192-BY192</f>
        <v>422.4849999999999</v>
      </c>
      <c r="CB192" s="822">
        <v>1020</v>
      </c>
      <c r="CC192" s="887">
        <v>1020</v>
      </c>
      <c r="CD192" s="826">
        <v>1020</v>
      </c>
      <c r="CE192" s="825">
        <f>CD192-CC192</f>
        <v>0</v>
      </c>
      <c r="CF192" s="822">
        <v>807</v>
      </c>
      <c r="CG192" s="887">
        <v>545</v>
      </c>
      <c r="CH192" s="826">
        <v>545</v>
      </c>
      <c r="CI192" s="825">
        <f>CH192-CG192</f>
        <v>0</v>
      </c>
      <c r="CJ192" s="713">
        <f>BX192+CB192+CF192</f>
        <v>2787</v>
      </c>
      <c r="CK192" s="714"/>
      <c r="CL192" s="714">
        <f>BY192+CC192+CG192</f>
        <v>2525</v>
      </c>
      <c r="CM192" s="715">
        <f>BZ192+CD192+CH192</f>
        <v>2947.4849999999997</v>
      </c>
      <c r="CN192" s="739">
        <f>CM192-CJ192</f>
        <v>160.48499999999967</v>
      </c>
      <c r="CO192" s="739"/>
      <c r="CP192" s="716">
        <f>CM192-CL192</f>
        <v>422.48499999999967</v>
      </c>
      <c r="CQ192" s="713">
        <f>SUM(BQ192,CJ192)</f>
        <v>5546</v>
      </c>
      <c r="CR192" s="1340"/>
      <c r="CS192" s="608">
        <f>BS192+CL192</f>
        <v>6278</v>
      </c>
      <c r="CT192" s="520">
        <f>SUM(BT192,CM192)</f>
        <v>8471.768</v>
      </c>
      <c r="CU192" s="517">
        <f>CT192-CQ192</f>
        <v>2925.768</v>
      </c>
      <c r="CV192" s="517"/>
      <c r="CW192" s="716">
        <f>CT192-CS192</f>
        <v>2193.768</v>
      </c>
      <c r="CX192" s="708">
        <f>CQ192/6</f>
        <v>924.33333333333337</v>
      </c>
      <c r="CY192" s="709">
        <f>CT192/6</f>
        <v>1411.9613333333334</v>
      </c>
      <c r="CZ192" s="1386">
        <f>CY192/CX192</f>
        <v>1.5275456184637577</v>
      </c>
      <c r="DA192" s="555">
        <f>CY192-CX192</f>
        <v>487.62800000000004</v>
      </c>
      <c r="DB192" s="555">
        <f>CW192/6</f>
        <v>365.62799999999999</v>
      </c>
      <c r="DC192" s="516"/>
      <c r="DD192" s="516"/>
    </row>
    <row r="193" spans="1:108">
      <c r="A193" s="644" t="str">
        <f>A191</f>
        <v>%=粗利率</v>
      </c>
      <c r="B193" s="662"/>
      <c r="C193" s="662"/>
      <c r="D193" s="619"/>
      <c r="E193" s="953"/>
      <c r="F193" s="954"/>
      <c r="G193" s="955">
        <v>0.22700000000000001</v>
      </c>
      <c r="H193" s="812" t="e">
        <f>G194/F194</f>
        <v>#DIV/0!</v>
      </c>
      <c r="I193" s="1113"/>
      <c r="J193" s="1114"/>
      <c r="K193" s="1115">
        <f>K194/K27</f>
        <v>-1.7458739999999999</v>
      </c>
      <c r="L193" s="1093" t="e">
        <f>K194/J194</f>
        <v>#DIV/0!</v>
      </c>
      <c r="M193" s="1113"/>
      <c r="N193" s="1114"/>
      <c r="O193" s="1115"/>
      <c r="P193" s="1093" t="e">
        <f>O194/N194</f>
        <v>#DIV/0!</v>
      </c>
      <c r="Q193" s="1113" t="e">
        <f>Q194/Q27</f>
        <v>#DIV/0!</v>
      </c>
      <c r="R193" s="1140"/>
      <c r="S193" s="1122">
        <f>S194/S27</f>
        <v>0.22699999999999998</v>
      </c>
      <c r="T193" s="1119">
        <f>T194/T27</f>
        <v>3.6076709677419355E-2</v>
      </c>
      <c r="U193" s="1119" t="e">
        <f>T194/Q194</f>
        <v>#DIV/0!</v>
      </c>
      <c r="V193" s="1120" t="e">
        <f>T194/R194</f>
        <v>#DIV/0!</v>
      </c>
      <c r="W193" s="1079">
        <f>T194/S194</f>
        <v>0.17595626179987414</v>
      </c>
      <c r="X193" s="1113"/>
      <c r="Y193" s="1114"/>
      <c r="Z193" s="1115"/>
      <c r="AA193" s="1093" t="e">
        <f>Z194/Y194</f>
        <v>#DIV/0!</v>
      </c>
      <c r="AB193" s="1113"/>
      <c r="AC193" s="1114">
        <v>-2.6057999999999999</v>
      </c>
      <c r="AD193" s="1115">
        <v>-2.6059999999999999</v>
      </c>
      <c r="AE193" s="1093">
        <f>AD194/AC194</f>
        <v>1.0000767518612326</v>
      </c>
      <c r="AF193" s="1113"/>
      <c r="AG193" s="1114">
        <f>AG194/AG27</f>
        <v>-0.57704399999999989</v>
      </c>
      <c r="AH193" s="1115">
        <f>AH194/AH27</f>
        <v>-0.58784738577484685</v>
      </c>
      <c r="AI193" s="1093">
        <f>AH194/AG194</f>
        <v>1.4418311255294225</v>
      </c>
      <c r="AJ193" s="1151" t="e">
        <f>AJ194/AJ27</f>
        <v>#DIV/0!</v>
      </c>
      <c r="AK193" s="1140"/>
      <c r="AL193" s="1122">
        <f>AL194/AL27</f>
        <v>-1.9971732</v>
      </c>
      <c r="AM193" s="1119">
        <f>AM194/AM27</f>
        <v>-1.8440334341099061</v>
      </c>
      <c r="AN193" s="1123" t="e">
        <f>AM194/AJ194</f>
        <v>#DIV/0!</v>
      </c>
      <c r="AO193" s="1100" t="e">
        <f>AM194/AK194</f>
        <v>#DIV/0!</v>
      </c>
      <c r="AP193" s="1080">
        <f>AM194/AL194</f>
        <v>1.0383676288065553</v>
      </c>
      <c r="AQ193" s="1151" t="e">
        <f>AQ194/AQ27</f>
        <v>#DIV/0!</v>
      </c>
      <c r="AR193" s="1119"/>
      <c r="AS193" s="1119">
        <f>AS194/AS27</f>
        <v>-1.2894817272727273</v>
      </c>
      <c r="AT193" s="1119">
        <f>AT194/AT27</f>
        <v>-1.2521794345830459</v>
      </c>
      <c r="AU193" s="1123" t="e">
        <f>AT194/AQ194</f>
        <v>#DIV/0!</v>
      </c>
      <c r="AV193" s="1119" t="e">
        <f>AT194/AR194</f>
        <v>#DIV/0!</v>
      </c>
      <c r="AW193" s="1080">
        <f>AT194/AS194</f>
        <v>1.0866735641994012</v>
      </c>
      <c r="AX193" s="708"/>
      <c r="AY193" s="709"/>
      <c r="AZ193" s="709"/>
      <c r="BA193" s="555"/>
      <c r="BB193" s="555"/>
      <c r="BC193" s="555"/>
      <c r="BD193" s="555"/>
      <c r="BE193" s="1113"/>
      <c r="BF193" s="1114"/>
      <c r="BG193" s="1115">
        <v>-1.73</v>
      </c>
      <c r="BH193" s="1093" t="e">
        <f>BG194/BF194</f>
        <v>#DIV/0!</v>
      </c>
      <c r="BI193" s="1113"/>
      <c r="BJ193" s="1114"/>
      <c r="BK193" s="1115"/>
      <c r="BL193" s="1093" t="e">
        <f>BK194/BJ194</f>
        <v>#DIV/0!</v>
      </c>
      <c r="BM193" s="1113"/>
      <c r="BN193" s="1114"/>
      <c r="BO193" s="1115"/>
      <c r="BP193" s="1093" t="e">
        <f>BO194/BN194</f>
        <v>#DIV/0!</v>
      </c>
      <c r="BQ193" s="1151" t="e">
        <f>BQ194/BQ27</f>
        <v>#DIV/0!</v>
      </c>
      <c r="BR193" s="1123"/>
      <c r="BS193" s="1122" t="e">
        <f>BS194/BS27</f>
        <v>#DIV/0!</v>
      </c>
      <c r="BT193" s="1119">
        <f>BT194/BT27</f>
        <v>-1.73</v>
      </c>
      <c r="BU193" s="1119" t="e">
        <f>BT194/BQ194</f>
        <v>#DIV/0!</v>
      </c>
      <c r="BV193" s="1120"/>
      <c r="BW193" s="1079" t="e">
        <f>BT194/BS194</f>
        <v>#DIV/0!</v>
      </c>
      <c r="BX193" s="1113"/>
      <c r="BY193" s="1114"/>
      <c r="BZ193" s="1115">
        <v>-0.56499999999999995</v>
      </c>
      <c r="CA193" s="1093" t="e">
        <f>BZ194/BY194</f>
        <v>#DIV/0!</v>
      </c>
      <c r="CB193" s="1113"/>
      <c r="CC193" s="1114"/>
      <c r="CD193" s="975">
        <f>CD194/CD27</f>
        <v>9.3599999999999989E-2</v>
      </c>
      <c r="CE193" s="1093" t="e">
        <f>CD194/CC194</f>
        <v>#DIV/0!</v>
      </c>
      <c r="CF193" s="1113"/>
      <c r="CG193" s="1114"/>
      <c r="CH193" s="1278"/>
      <c r="CI193" s="1093" t="e">
        <f>CH194/CG194</f>
        <v>#DIV/0!</v>
      </c>
      <c r="CJ193" s="1151" t="e">
        <f>CJ194/CJ27</f>
        <v>#DIV/0!</v>
      </c>
      <c r="CK193" s="1123"/>
      <c r="CL193" s="1122" t="e">
        <f>CL194/CL27</f>
        <v>#DIV/0!</v>
      </c>
      <c r="CM193" s="1119">
        <f>CM194/CM27</f>
        <v>-0.30434277651789493</v>
      </c>
      <c r="CN193" s="1123" t="e">
        <f>CM194/CJ194</f>
        <v>#DIV/0!</v>
      </c>
      <c r="CO193" s="1123"/>
      <c r="CP193" s="1080" t="e">
        <f>CM194/CL194</f>
        <v>#DIV/0!</v>
      </c>
      <c r="CQ193" s="1151" t="e">
        <f>CQ194/CQ27</f>
        <v>#DIV/0!</v>
      </c>
      <c r="CR193" s="1176"/>
      <c r="CS193" s="1119" t="e">
        <f>CS194/CS27</f>
        <v>#DIV/0!</v>
      </c>
      <c r="CT193" s="1119">
        <f>CT194/CT27</f>
        <v>-0.867548190073958</v>
      </c>
      <c r="CU193" s="1123" t="e">
        <f>CT194/CQ194</f>
        <v>#DIV/0!</v>
      </c>
      <c r="CV193" s="1123"/>
      <c r="CW193" s="1080" t="e">
        <f>CT194/CS194</f>
        <v>#DIV/0!</v>
      </c>
      <c r="CX193" s="708"/>
      <c r="CY193" s="709"/>
      <c r="CZ193" s="555"/>
      <c r="DA193" s="555"/>
      <c r="DB193" s="555"/>
      <c r="DC193" s="555"/>
      <c r="DD193" s="555"/>
    </row>
    <row r="194" spans="1:108">
      <c r="A194" s="647" t="s">
        <v>401</v>
      </c>
      <c r="B194" s="661"/>
      <c r="C194" s="997"/>
      <c r="D194" s="995"/>
      <c r="E194" s="822">
        <f>E193*E27</f>
        <v>0</v>
      </c>
      <c r="F194" s="887">
        <f>F27*F193</f>
        <v>0</v>
      </c>
      <c r="G194" s="824">
        <f>G27*G193</f>
        <v>27.162393162393162</v>
      </c>
      <c r="H194" s="825">
        <f>G194-F194</f>
        <v>27.162393162393162</v>
      </c>
      <c r="I194" s="822">
        <f>I193*I27</f>
        <v>0</v>
      </c>
      <c r="J194" s="887">
        <f>J27*J193</f>
        <v>0</v>
      </c>
      <c r="K194" s="824">
        <v>-22.382999999999999</v>
      </c>
      <c r="L194" s="825">
        <f>K194-J194</f>
        <v>-22.382999999999999</v>
      </c>
      <c r="M194" s="822">
        <f>M193*M27</f>
        <v>0</v>
      </c>
      <c r="N194" s="887">
        <f>N27*N193</f>
        <v>0</v>
      </c>
      <c r="O194" s="824">
        <f>O27*O193</f>
        <v>0</v>
      </c>
      <c r="P194" s="825">
        <f>O194-N194</f>
        <v>0</v>
      </c>
      <c r="Q194" s="827">
        <f>E194+I194+M194</f>
        <v>0</v>
      </c>
      <c r="R194" s="828">
        <f>R27*R193</f>
        <v>0</v>
      </c>
      <c r="S194" s="739">
        <f>G194+J194+N194</f>
        <v>27.162393162393162</v>
      </c>
      <c r="T194" s="520">
        <f>G194+K194+O194</f>
        <v>4.7793931623931627</v>
      </c>
      <c r="U194" s="712">
        <f>T194-Q194</f>
        <v>4.7793931623931627</v>
      </c>
      <c r="V194" s="711">
        <f>T194-R194</f>
        <v>4.7793931623931627</v>
      </c>
      <c r="W194" s="716">
        <f>T194-S194</f>
        <v>-22.382999999999999</v>
      </c>
      <c r="X194" s="822">
        <f>X193*X27</f>
        <v>0</v>
      </c>
      <c r="Y194" s="887">
        <f>Y27*Y193</f>
        <v>0</v>
      </c>
      <c r="Z194" s="824">
        <f>Z27*Z193</f>
        <v>0</v>
      </c>
      <c r="AA194" s="825">
        <f>Z194-Y194</f>
        <v>0</v>
      </c>
      <c r="AB194" s="822">
        <f>AB193*AB27</f>
        <v>0</v>
      </c>
      <c r="AC194" s="887">
        <f>AC27*AC193</f>
        <v>-467.70769230769235</v>
      </c>
      <c r="AD194" s="824">
        <f>AD27*AD193</f>
        <v>-467.74358974358978</v>
      </c>
      <c r="AE194" s="825">
        <f>AD194-AC194</f>
        <v>-3.5897435897425112E-2</v>
      </c>
      <c r="AF194" s="822">
        <f>AF193*AF27</f>
        <v>0</v>
      </c>
      <c r="AG194" s="887">
        <v>-44.387999999999998</v>
      </c>
      <c r="AH194" s="824">
        <v>-64</v>
      </c>
      <c r="AI194" s="825">
        <f>AH194-AG194</f>
        <v>-19.612000000000002</v>
      </c>
      <c r="AJ194" s="713">
        <f>X194+AB194+AF194</f>
        <v>0</v>
      </c>
      <c r="AK194" s="828">
        <f>AK27*AK193</f>
        <v>0</v>
      </c>
      <c r="AL194" s="714">
        <f>Y194+AC194+AG194</f>
        <v>-512.09569230769239</v>
      </c>
      <c r="AM194" s="520">
        <f>Z194+AD194+AH194</f>
        <v>-531.74358974358984</v>
      </c>
      <c r="AN194" s="739">
        <f>AM194-AJ194</f>
        <v>-531.74358974358984</v>
      </c>
      <c r="AO194" s="711">
        <f>AM194-AK194</f>
        <v>-531.74358974358984</v>
      </c>
      <c r="AP194" s="716">
        <f>AM194-AL194</f>
        <v>-19.647897435897448</v>
      </c>
      <c r="AQ194" s="713">
        <f>SUM(Q194,AJ194)</f>
        <v>0</v>
      </c>
      <c r="AR194" s="715">
        <f>AR27*AR193</f>
        <v>0</v>
      </c>
      <c r="AS194" s="608">
        <f>S194+AL194</f>
        <v>-484.9332991452992</v>
      </c>
      <c r="AT194" s="520">
        <f>SUM(T194,AM194)</f>
        <v>-526.96419658119669</v>
      </c>
      <c r="AU194" s="517">
        <f>AT194-AQ194</f>
        <v>-526.96419658119669</v>
      </c>
      <c r="AV194" s="712">
        <f>AT194-AR194</f>
        <v>-526.96419658119669</v>
      </c>
      <c r="AW194" s="716">
        <f>AT194-AS194</f>
        <v>-42.030897435897487</v>
      </c>
      <c r="AX194" s="708">
        <f>AQ194/6</f>
        <v>0</v>
      </c>
      <c r="AY194" s="709">
        <f>AR194/6</f>
        <v>0</v>
      </c>
      <c r="AZ194" s="709">
        <f>AT194/6</f>
        <v>-87.827366096866115</v>
      </c>
      <c r="BA194" s="1239" t="e">
        <f>AZ194/AX194</f>
        <v>#DIV/0!</v>
      </c>
      <c r="BB194" s="516">
        <f>AZ194-AX194</f>
        <v>-87.827366096866115</v>
      </c>
      <c r="BC194" s="516">
        <f>AZ194-AY194</f>
        <v>-87.827366096866115</v>
      </c>
      <c r="BD194" s="516">
        <f>AW194/6</f>
        <v>-7.0051495726495814</v>
      </c>
      <c r="BE194" s="822">
        <f>BE193*BE27</f>
        <v>0</v>
      </c>
      <c r="BF194" s="887">
        <f>BF27*BF193</f>
        <v>0</v>
      </c>
      <c r="BG194" s="824">
        <f>BG27*BG193</f>
        <v>-243.97435897435898</v>
      </c>
      <c r="BH194" s="825">
        <f>BG194-BF194</f>
        <v>-243.97435897435898</v>
      </c>
      <c r="BI194" s="822">
        <f>BI193*BI27</f>
        <v>0</v>
      </c>
      <c r="BJ194" s="887">
        <f>BJ27*BJ193</f>
        <v>0</v>
      </c>
      <c r="BK194" s="824">
        <v>0</v>
      </c>
      <c r="BL194" s="825">
        <f>BK194-BJ194</f>
        <v>0</v>
      </c>
      <c r="BM194" s="822">
        <f>BM193*BM27</f>
        <v>0</v>
      </c>
      <c r="BN194" s="887">
        <f>BN27*BN193</f>
        <v>0</v>
      </c>
      <c r="BO194" s="824">
        <f>BO27*BO193</f>
        <v>0</v>
      </c>
      <c r="BP194" s="825">
        <f>BO194-BN194</f>
        <v>0</v>
      </c>
      <c r="BQ194" s="713">
        <f>BE194+BI194+BM194</f>
        <v>0</v>
      </c>
      <c r="BR194" s="714"/>
      <c r="BS194" s="739">
        <f>BF194+BJ194+BN194</f>
        <v>0</v>
      </c>
      <c r="BT194" s="520">
        <f>BG194+BK194+BO194</f>
        <v>-243.97435897435898</v>
      </c>
      <c r="BU194" s="712">
        <f>BT194-BQ194</f>
        <v>-243.97435897435898</v>
      </c>
      <c r="BV194" s="711"/>
      <c r="BW194" s="716">
        <f>BT194-BS194</f>
        <v>-243.97435897435898</v>
      </c>
      <c r="BX194" s="822">
        <f>BX193*BX27</f>
        <v>0</v>
      </c>
      <c r="BY194" s="887">
        <f>BY27*BY193</f>
        <v>0</v>
      </c>
      <c r="BZ194" s="824">
        <f>BZ27*BZ193</f>
        <v>-73.724773504273514</v>
      </c>
      <c r="CA194" s="825">
        <f>BZ194-BY194</f>
        <v>-73.724773504273514</v>
      </c>
      <c r="CB194" s="822">
        <f>CB193*CB27</f>
        <v>0</v>
      </c>
      <c r="CC194" s="887">
        <f>CC27*CC193</f>
        <v>0</v>
      </c>
      <c r="CD194" s="826">
        <v>8</v>
      </c>
      <c r="CE194" s="825">
        <f>CD194-CC194</f>
        <v>8</v>
      </c>
      <c r="CF194" s="822">
        <f>CF193*CF27</f>
        <v>0</v>
      </c>
      <c r="CG194" s="887">
        <f>CG27*CG193</f>
        <v>0</v>
      </c>
      <c r="CH194" s="826"/>
      <c r="CI194" s="825">
        <f>CH194-CG194</f>
        <v>0</v>
      </c>
      <c r="CJ194" s="713">
        <f>BX194+CB194+CF194</f>
        <v>0</v>
      </c>
      <c r="CK194" s="714"/>
      <c r="CL194" s="714">
        <f>BY194+CC194+CG194</f>
        <v>0</v>
      </c>
      <c r="CM194" s="520">
        <f>BZ194+CD194+CH194</f>
        <v>-65.724773504273514</v>
      </c>
      <c r="CN194" s="739">
        <f>CM194-CJ194</f>
        <v>-65.724773504273514</v>
      </c>
      <c r="CO194" s="739"/>
      <c r="CP194" s="716">
        <f>CM194-CL194</f>
        <v>-65.724773504273514</v>
      </c>
      <c r="CQ194" s="713">
        <f>SUM(BQ194,CJ194)</f>
        <v>0</v>
      </c>
      <c r="CR194" s="1340"/>
      <c r="CS194" s="608">
        <f>BS194+CL194</f>
        <v>0</v>
      </c>
      <c r="CT194" s="520">
        <f>SUM(BT194,CM194)</f>
        <v>-309.69913247863246</v>
      </c>
      <c r="CU194" s="517">
        <f>CT194-CQ194</f>
        <v>-309.69913247863246</v>
      </c>
      <c r="CV194" s="517"/>
      <c r="CW194" s="716">
        <f>CT194-CS194</f>
        <v>-309.69913247863246</v>
      </c>
      <c r="CX194" s="708">
        <f>CQ194/6</f>
        <v>0</v>
      </c>
      <c r="CY194" s="709">
        <f>CT194/6</f>
        <v>-51.616522079772075</v>
      </c>
      <c r="CZ194" s="1386" t="e">
        <f>CY194/CX194</f>
        <v>#DIV/0!</v>
      </c>
      <c r="DA194" s="555">
        <f>CY194-CX194</f>
        <v>-51.616522079772075</v>
      </c>
      <c r="DB194" s="555">
        <f>CW194/6</f>
        <v>-51.616522079772075</v>
      </c>
      <c r="DC194" s="516"/>
      <c r="DD194" s="516"/>
    </row>
    <row r="195" spans="1:108">
      <c r="A195" s="644" t="str">
        <f>A193</f>
        <v>%=粗利率</v>
      </c>
      <c r="B195" s="662"/>
      <c r="C195" s="662"/>
      <c r="D195" s="619"/>
      <c r="E195" s="953">
        <v>0.2</v>
      </c>
      <c r="F195" s="954">
        <v>0.19</v>
      </c>
      <c r="G195" s="955">
        <v>0.34100000000000003</v>
      </c>
      <c r="H195" s="812">
        <f>G196/F196</f>
        <v>1.7947368421052634</v>
      </c>
      <c r="I195" s="1113">
        <v>0.2</v>
      </c>
      <c r="J195" s="1114">
        <v>0.14000000000000001</v>
      </c>
      <c r="K195" s="1115">
        <v>0.22700000000000001</v>
      </c>
      <c r="L195" s="1093">
        <f>K196/J196</f>
        <v>3.3962355212355209</v>
      </c>
      <c r="M195" s="1113">
        <v>0.2</v>
      </c>
      <c r="N195" s="1114">
        <v>0.2</v>
      </c>
      <c r="O195" s="1115">
        <v>0.16600000000000001</v>
      </c>
      <c r="P195" s="1093">
        <f>O196/N196</f>
        <v>7.4819711538461536E-2</v>
      </c>
      <c r="Q195" s="1113">
        <f>Q196/Q29</f>
        <v>0.20000000000000004</v>
      </c>
      <c r="R195" s="1140">
        <f>R196/R29</f>
        <v>0.20000000000000004</v>
      </c>
      <c r="S195" s="1122">
        <f>S196/S29</f>
        <v>0.20493892433910665</v>
      </c>
      <c r="T195" s="1119">
        <f>T196/T29</f>
        <v>0.23423163507109004</v>
      </c>
      <c r="U195" s="1119">
        <f>T196/Q196</f>
        <v>3.3281397306397302</v>
      </c>
      <c r="V195" s="1120">
        <f>T196/R196</f>
        <v>3.3281397306397302</v>
      </c>
      <c r="W195" s="1079">
        <f>T196/S196</f>
        <v>0.29311339246264384</v>
      </c>
      <c r="X195" s="1113">
        <v>0.3</v>
      </c>
      <c r="Y195" s="1114">
        <v>0.2</v>
      </c>
      <c r="Z195" s="1115"/>
      <c r="AA195" s="1093">
        <f>Z196/Y196</f>
        <v>0</v>
      </c>
      <c r="AB195" s="1113">
        <v>0.3</v>
      </c>
      <c r="AC195" s="1114">
        <v>0.2</v>
      </c>
      <c r="AD195" s="1115">
        <f>AD196/AD29</f>
        <v>0.24960097989949748</v>
      </c>
      <c r="AE195" s="1093">
        <f>AD196/AC196</f>
        <v>6.6227459999999994</v>
      </c>
      <c r="AF195" s="1113">
        <v>0.3</v>
      </c>
      <c r="AG195" s="1114">
        <v>0.18</v>
      </c>
      <c r="AH195" s="1115">
        <v>0.189</v>
      </c>
      <c r="AI195" s="1093">
        <f>AH196/AG196</f>
        <v>0.16310000000000002</v>
      </c>
      <c r="AJ195" s="1151">
        <f>AJ196/AJ29</f>
        <v>0.3</v>
      </c>
      <c r="AK195" s="1140">
        <f>AK196/AK29</f>
        <v>0.3</v>
      </c>
      <c r="AL195" s="1122">
        <f>AL196/AL29</f>
        <v>0.18124999999999999</v>
      </c>
      <c r="AM195" s="1119">
        <f>AM196/AM29</f>
        <v>0.22126647491638796</v>
      </c>
      <c r="AN195" s="1123">
        <f>AM196/AJ196</f>
        <v>2.4503213333333331</v>
      </c>
      <c r="AO195" s="1100">
        <f>AM196/AK196</f>
        <v>2.4503213333333331</v>
      </c>
      <c r="AP195" s="1080">
        <f>AM196/AL196</f>
        <v>0.38022227586206897</v>
      </c>
      <c r="AQ195" s="1151">
        <f>AQ196/AQ29</f>
        <v>0.26024096385542167</v>
      </c>
      <c r="AR195" s="1119">
        <v>0.26024096385542167</v>
      </c>
      <c r="AS195" s="1119">
        <f>AS196/AS29</f>
        <v>0.19088542825361512</v>
      </c>
      <c r="AT195" s="1119">
        <f>AT196/AT29</f>
        <v>0.22594479692176142</v>
      </c>
      <c r="AU195" s="1123">
        <f>AT196/AQ196</f>
        <v>2.7185436213991769</v>
      </c>
      <c r="AV195" s="1119">
        <f>AT196/AR196</f>
        <v>2.7185436213991774</v>
      </c>
      <c r="AW195" s="1080">
        <f>AT196/AS196</f>
        <v>0.34218233757690419</v>
      </c>
      <c r="AX195" s="708"/>
      <c r="AY195" s="709"/>
      <c r="AZ195" s="709"/>
      <c r="BA195" s="555"/>
      <c r="BB195" s="555"/>
      <c r="BC195" s="555"/>
      <c r="BD195" s="555"/>
      <c r="BE195" s="1113">
        <f>BE196/BE29</f>
        <v>0.15524052631578947</v>
      </c>
      <c r="BF195" s="1114">
        <v>0.15</v>
      </c>
      <c r="BG195" s="1115">
        <v>0.27700000000000002</v>
      </c>
      <c r="BH195" s="1093">
        <f>BG196/BF196</f>
        <v>0.11186912280701755</v>
      </c>
      <c r="BI195" s="1113">
        <f>BI196/BI29</f>
        <v>0.15524052631578947</v>
      </c>
      <c r="BJ195" s="1114">
        <v>0.15</v>
      </c>
      <c r="BK195" s="1115">
        <f>BK196/BK29</f>
        <v>0.16892141296431173</v>
      </c>
      <c r="BL195" s="1093">
        <f>BK196/BJ196</f>
        <v>0.48827178947368421</v>
      </c>
      <c r="BM195" s="1113">
        <f>BM196/BM29</f>
        <v>0.15524052631578947</v>
      </c>
      <c r="BN195" s="1114">
        <v>0.222</v>
      </c>
      <c r="BO195" s="1115">
        <f>BO196/BO29</f>
        <v>0.23489641386644855</v>
      </c>
      <c r="BP195" s="1093">
        <f>BO196/BN196</f>
        <v>1.8684822899505762</v>
      </c>
      <c r="BQ195" s="1151">
        <f>BQ196/BQ29</f>
        <v>0.15524052631578947</v>
      </c>
      <c r="BR195" s="1123"/>
      <c r="BS195" s="1122">
        <f>BS196/BS29</f>
        <v>0.16158130907163679</v>
      </c>
      <c r="BT195" s="1119">
        <f>BT196/BT29</f>
        <v>0.21264918740402367</v>
      </c>
      <c r="BU195" s="1119">
        <f>BT196/BQ196</f>
        <v>0.53474768073538403</v>
      </c>
      <c r="BV195" s="1120"/>
      <c r="BW195" s="1079">
        <f>BT196/BS196</f>
        <v>0.64668526843065666</v>
      </c>
      <c r="BX195" s="1113">
        <f>BX196/BX29</f>
        <v>0.15517894736842106</v>
      </c>
      <c r="BY195" s="1114">
        <v>0.15</v>
      </c>
      <c r="BZ195" s="1115">
        <v>0.207256</v>
      </c>
      <c r="CA195" s="1093">
        <f>BZ196/BY196</f>
        <v>1.0897605843772376</v>
      </c>
      <c r="CB195" s="1113">
        <f>CB196/CB29</f>
        <v>0.15517894736842106</v>
      </c>
      <c r="CC195" s="1114">
        <v>0.15</v>
      </c>
      <c r="CD195" s="1278">
        <v>0.16200000000000001</v>
      </c>
      <c r="CE195" s="1093">
        <f>CD196/CC196</f>
        <v>0.61172086043021512</v>
      </c>
      <c r="CF195" s="1113">
        <f>CF196/CF29</f>
        <v>0.15548684210526315</v>
      </c>
      <c r="CG195" s="1114">
        <v>0.15</v>
      </c>
      <c r="CH195" s="1278">
        <v>0.20799999999999999</v>
      </c>
      <c r="CI195" s="1093">
        <f>CH196/CG196</f>
        <v>3.0079573333333331</v>
      </c>
      <c r="CJ195" s="1151">
        <f>CJ196/CJ29</f>
        <v>0.15524052631578947</v>
      </c>
      <c r="CK195" s="1123"/>
      <c r="CL195" s="1122">
        <f>CL196/CL29</f>
        <v>0.15</v>
      </c>
      <c r="CM195" s="1119">
        <f>CM196/CM29</f>
        <v>0.19529312779022617</v>
      </c>
      <c r="CN195" s="1123">
        <f>CM196/CJ196</f>
        <v>2.7243787647501838</v>
      </c>
      <c r="CO195" s="1123"/>
      <c r="CP195" s="1080">
        <f>CM196/CL196</f>
        <v>1.4911870163058181</v>
      </c>
      <c r="CQ195" s="1151">
        <f>CQ196/CQ29</f>
        <v>0.15524052631578947</v>
      </c>
      <c r="CR195" s="1176"/>
      <c r="CS195" s="1119">
        <f>CS196/CS29</f>
        <v>0.15447729542835187</v>
      </c>
      <c r="CT195" s="1119">
        <f>CT196/CT29</f>
        <v>0.19898722956648762</v>
      </c>
      <c r="CU195" s="1123">
        <f>CT196/CQ196</f>
        <v>1.4106001143413041</v>
      </c>
      <c r="CV195" s="1123"/>
      <c r="CW195" s="1080">
        <f>CT196/CS196</f>
        <v>1.149691412163298</v>
      </c>
      <c r="CX195" s="708"/>
      <c r="CY195" s="709"/>
      <c r="CZ195" s="555"/>
      <c r="DA195" s="555"/>
      <c r="DB195" s="555"/>
      <c r="DC195" s="555"/>
      <c r="DD195" s="555"/>
    </row>
    <row r="196" spans="1:108">
      <c r="A196" s="647" t="s">
        <v>402</v>
      </c>
      <c r="B196" s="661"/>
      <c r="C196" s="997"/>
      <c r="D196" s="995"/>
      <c r="E196" s="822">
        <f>E195*E29</f>
        <v>16.923076923076927</v>
      </c>
      <c r="F196" s="887">
        <f>F29*F195</f>
        <v>31.504273504273506</v>
      </c>
      <c r="G196" s="824">
        <f>G29*G195</f>
        <v>56.541880341880351</v>
      </c>
      <c r="H196" s="825">
        <f>G196-F196</f>
        <v>25.037606837606845</v>
      </c>
      <c r="I196" s="822">
        <f>I195*I29</f>
        <v>16.923076923076927</v>
      </c>
      <c r="J196" s="887">
        <f>J29*J195</f>
        <v>22.136752136752143</v>
      </c>
      <c r="K196" s="824">
        <f>K29*K195</f>
        <v>75.181623931623946</v>
      </c>
      <c r="L196" s="825">
        <f>K196-J196</f>
        <v>53.044871794871803</v>
      </c>
      <c r="M196" s="822">
        <f>M195*M29</f>
        <v>16.923076923076927</v>
      </c>
      <c r="N196" s="887">
        <f>N29*N195</f>
        <v>497.77777777777783</v>
      </c>
      <c r="O196" s="824">
        <f>O29*O195</f>
        <v>37.243589743589745</v>
      </c>
      <c r="P196" s="825">
        <f>O196-N196</f>
        <v>-460.53418803418811</v>
      </c>
      <c r="Q196" s="827">
        <f>E196+I196+M196</f>
        <v>50.769230769230781</v>
      </c>
      <c r="R196" s="828">
        <v>50.769230769230781</v>
      </c>
      <c r="S196" s="739">
        <f>G196+J196+N196</f>
        <v>576.45641025641032</v>
      </c>
      <c r="T196" s="520">
        <f>G196+K196+O196</f>
        <v>168.96709401709404</v>
      </c>
      <c r="U196" s="712">
        <f>T196-Q196</f>
        <v>118.19786324786327</v>
      </c>
      <c r="V196" s="711">
        <f>T196-R196</f>
        <v>118.19786324786327</v>
      </c>
      <c r="W196" s="716">
        <f>T196-S196</f>
        <v>-407.48931623931628</v>
      </c>
      <c r="X196" s="822">
        <f>X195*X29</f>
        <v>38.46153846153846</v>
      </c>
      <c r="Y196" s="887">
        <f>Y29*Y195</f>
        <v>25.641025641025642</v>
      </c>
      <c r="Z196" s="824">
        <f>Z29*Z195</f>
        <v>0</v>
      </c>
      <c r="AA196" s="825">
        <f>Z196-Y196</f>
        <v>-25.641025641025642</v>
      </c>
      <c r="AB196" s="822">
        <f>AB195*AB29</f>
        <v>38.46153846153846</v>
      </c>
      <c r="AC196" s="887">
        <f>AC29*AC195</f>
        <v>25.641025641025642</v>
      </c>
      <c r="AD196" s="824">
        <v>169.81399999999999</v>
      </c>
      <c r="AE196" s="825">
        <f>AD196-AC196</f>
        <v>144.17297435897436</v>
      </c>
      <c r="AF196" s="822">
        <f>AF195*AF29</f>
        <v>38.46153846153846</v>
      </c>
      <c r="AG196" s="887">
        <f>AG29*AG195</f>
        <v>692.30769230769226</v>
      </c>
      <c r="AH196" s="824">
        <f>AH29*AH195</f>
        <v>112.91538461538462</v>
      </c>
      <c r="AI196" s="825">
        <f>AH196-AG196</f>
        <v>-579.39230769230767</v>
      </c>
      <c r="AJ196" s="713">
        <f>X196+AB196+AF196</f>
        <v>115.38461538461539</v>
      </c>
      <c r="AK196" s="828">
        <v>115.38461538461539</v>
      </c>
      <c r="AL196" s="714">
        <f>Y196+AC196+AG196</f>
        <v>743.58974358974353</v>
      </c>
      <c r="AM196" s="520">
        <f>Z196+AD196+AH196</f>
        <v>282.72938461538462</v>
      </c>
      <c r="AN196" s="739">
        <f>AM196-AJ196</f>
        <v>167.34476923076923</v>
      </c>
      <c r="AO196" s="711">
        <f>AM196-AK196</f>
        <v>167.34476923076923</v>
      </c>
      <c r="AP196" s="716">
        <f>AM196-AL196</f>
        <v>-460.86035897435892</v>
      </c>
      <c r="AQ196" s="713">
        <f>SUM(Q196,AJ196)</f>
        <v>166.15384615384616</v>
      </c>
      <c r="AR196" s="715">
        <f>AR29*AR195</f>
        <v>166.15384615384613</v>
      </c>
      <c r="AS196" s="608">
        <f>S196+AL196</f>
        <v>1320.0461538461539</v>
      </c>
      <c r="AT196" s="520">
        <f>SUM(T196,AM196)</f>
        <v>451.69647863247866</v>
      </c>
      <c r="AU196" s="517">
        <f>AT196-AQ196</f>
        <v>285.54263247863253</v>
      </c>
      <c r="AV196" s="712">
        <f>AT196-AR196</f>
        <v>285.54263247863253</v>
      </c>
      <c r="AW196" s="716">
        <f>AT196-AS196</f>
        <v>-868.34967521367525</v>
      </c>
      <c r="AX196" s="708">
        <f>AQ196/6</f>
        <v>27.692307692307693</v>
      </c>
      <c r="AY196" s="709">
        <f>AR196/6</f>
        <v>27.69230769230769</v>
      </c>
      <c r="AZ196" s="709">
        <f>AT196/6</f>
        <v>75.282746438746443</v>
      </c>
      <c r="BA196" s="1239">
        <f>AZ196/AX196</f>
        <v>2.7185436213991769</v>
      </c>
      <c r="BB196" s="516">
        <f>AZ196-AX196</f>
        <v>47.59043874643875</v>
      </c>
      <c r="BC196" s="516">
        <f>AZ196-AY196</f>
        <v>47.59043874643875</v>
      </c>
      <c r="BD196" s="516">
        <f>AW196/6</f>
        <v>-144.72494586894587</v>
      </c>
      <c r="BE196" s="822">
        <v>2521</v>
      </c>
      <c r="BF196" s="887">
        <f>BF29*BF195</f>
        <v>2435.897435897436</v>
      </c>
      <c r="BG196" s="824">
        <f>BG29*BG195</f>
        <v>272.50170940170943</v>
      </c>
      <c r="BH196" s="825">
        <f>BG196-BF196</f>
        <v>-2163.3957264957266</v>
      </c>
      <c r="BI196" s="822">
        <v>2521</v>
      </c>
      <c r="BJ196" s="887">
        <v>2435.897435897436</v>
      </c>
      <c r="BK196" s="824">
        <v>1189.3800000000001</v>
      </c>
      <c r="BL196" s="825">
        <f>BK196-BJ196</f>
        <v>-1246.5174358974359</v>
      </c>
      <c r="BM196" s="822">
        <v>2521</v>
      </c>
      <c r="BN196" s="887">
        <f>BN29*BN195</f>
        <v>1382.0923076923079</v>
      </c>
      <c r="BO196" s="824">
        <v>2582.415</v>
      </c>
      <c r="BP196" s="825">
        <f>BO196-BN196</f>
        <v>1200.322692307692</v>
      </c>
      <c r="BQ196" s="713">
        <f>BE196+BI196+BM196</f>
        <v>7563</v>
      </c>
      <c r="BR196" s="714"/>
      <c r="BS196" s="739">
        <f>BF196+BJ196+BN196</f>
        <v>6253.8871794871802</v>
      </c>
      <c r="BT196" s="520">
        <f>BG196+BK196+BO196</f>
        <v>4044.2967094017094</v>
      </c>
      <c r="BU196" s="712">
        <f>BT196-BQ196</f>
        <v>-3518.7032905982906</v>
      </c>
      <c r="BV196" s="711"/>
      <c r="BW196" s="716">
        <f>BT196-BS196</f>
        <v>-2209.5904700854708</v>
      </c>
      <c r="BX196" s="822">
        <v>2520</v>
      </c>
      <c r="BY196" s="887">
        <f>BY29*BY195</f>
        <v>880.89743589743591</v>
      </c>
      <c r="BZ196" s="824">
        <f>BZ29*BZ195</f>
        <v>959.96730451999997</v>
      </c>
      <c r="CA196" s="825">
        <f>BZ196-BY196</f>
        <v>79.069868622564059</v>
      </c>
      <c r="CB196" s="822">
        <v>1512</v>
      </c>
      <c r="CC196" s="887">
        <f>CC29*CC195</f>
        <v>5125.6410256410254</v>
      </c>
      <c r="CD196" s="826">
        <f>CD29*CD195</f>
        <v>3135.4615384615386</v>
      </c>
      <c r="CE196" s="825">
        <f>CD196-CC196</f>
        <v>-1990.1794871794868</v>
      </c>
      <c r="CF196" s="822">
        <v>1010</v>
      </c>
      <c r="CG196" s="887">
        <f>CG29*CG195</f>
        <v>3205.1282051282051</v>
      </c>
      <c r="CH196" s="826">
        <f>CH29*CH195</f>
        <v>9640.8888888888887</v>
      </c>
      <c r="CI196" s="825">
        <f>CH196-CG196</f>
        <v>6435.7606837606836</v>
      </c>
      <c r="CJ196" s="713">
        <f>BX196+CB196+CF196</f>
        <v>5042</v>
      </c>
      <c r="CK196" s="714"/>
      <c r="CL196" s="714">
        <f>BY196+CC196+CG196</f>
        <v>9211.6666666666661</v>
      </c>
      <c r="CM196" s="520">
        <f>BZ196+CD196+CH196</f>
        <v>13736.317731870427</v>
      </c>
      <c r="CN196" s="739">
        <f>CM196-CJ196</f>
        <v>8694.3177318704275</v>
      </c>
      <c r="CO196" s="739"/>
      <c r="CP196" s="716">
        <f>CM196-CL196</f>
        <v>4524.6510652037614</v>
      </c>
      <c r="CQ196" s="713">
        <f>SUM(BQ196,CJ196)</f>
        <v>12605</v>
      </c>
      <c r="CR196" s="1340"/>
      <c r="CS196" s="608">
        <f>BS196+CL196</f>
        <v>15465.553846153845</v>
      </c>
      <c r="CT196" s="520">
        <f>SUM(BT196,CM196)</f>
        <v>17780.614441272137</v>
      </c>
      <c r="CU196" s="517">
        <f>CT196-CQ196</f>
        <v>5175.6144412721369</v>
      </c>
      <c r="CV196" s="517"/>
      <c r="CW196" s="716">
        <f>CT196-CS196</f>
        <v>2315.0605951182915</v>
      </c>
      <c r="CX196" s="708">
        <f>CQ196/6</f>
        <v>2100.8333333333335</v>
      </c>
      <c r="CY196" s="709">
        <f>CT196/6</f>
        <v>2963.4357402120227</v>
      </c>
      <c r="CZ196" s="1386">
        <f>CY196/CX196</f>
        <v>1.4106001143413038</v>
      </c>
      <c r="DA196" s="555">
        <f>CY196-CX196</f>
        <v>862.60240687868918</v>
      </c>
      <c r="DB196" s="555">
        <f>CW196/6</f>
        <v>385.84343251971524</v>
      </c>
      <c r="DC196" s="516"/>
      <c r="DD196" s="516"/>
    </row>
    <row r="197" spans="1:108">
      <c r="A197" s="662"/>
      <c r="B197" s="662"/>
      <c r="C197" s="662"/>
      <c r="D197" s="619"/>
      <c r="E197" s="976">
        <f>E198/E31</f>
        <v>0.17241390905314791</v>
      </c>
      <c r="F197" s="977">
        <f>F198/F31</f>
        <v>0.1732367214947686</v>
      </c>
      <c r="G197" s="978">
        <f>G198/G31</f>
        <v>0.17214069764636444</v>
      </c>
      <c r="H197" s="812">
        <f>G198/F198</f>
        <v>1.2581349303206764</v>
      </c>
      <c r="I197" s="1158">
        <f>I198/I31</f>
        <v>0.17406441609328469</v>
      </c>
      <c r="J197" s="1159">
        <f>J198/J31</f>
        <v>0.18217392134584717</v>
      </c>
      <c r="K197" s="1160">
        <f>K198/K31</f>
        <v>0.18559380842505419</v>
      </c>
      <c r="L197" s="1093">
        <f>K198/J198</f>
        <v>1.0910096877074671</v>
      </c>
      <c r="M197" s="1158">
        <f>M198/M31</f>
        <v>0.17397507493460374</v>
      </c>
      <c r="N197" s="1159">
        <f>N198/N31</f>
        <v>0.185740571684164</v>
      </c>
      <c r="O197" s="1160">
        <f>O198/O31</f>
        <v>0.20062535704450093</v>
      </c>
      <c r="P197" s="1093">
        <f>O198/N198</f>
        <v>1.1401333231867004</v>
      </c>
      <c r="Q197" s="1158">
        <f>Q198/Q31</f>
        <v>0.1735115548143942</v>
      </c>
      <c r="R197" s="1161">
        <f>R198/R31</f>
        <v>0.17605624564931843</v>
      </c>
      <c r="S197" s="1096">
        <f>S198/S31</f>
        <v>0.18008803326715006</v>
      </c>
      <c r="T197" s="1094">
        <f>T198/T31</f>
        <v>0.18654833662809461</v>
      </c>
      <c r="U197" s="1119">
        <f>T198/Q198</f>
        <v>1.597824515101639</v>
      </c>
      <c r="V197" s="1120">
        <f>T198/R198</f>
        <v>1.3728257811291573</v>
      </c>
      <c r="W197" s="1079">
        <f>T198/S198</f>
        <v>1.079677049965079</v>
      </c>
      <c r="X197" s="1158">
        <f>X198/X31</f>
        <v>0.17808304173524142</v>
      </c>
      <c r="Y197" s="1159">
        <f>Y198/Y31</f>
        <v>0.18636203375675367</v>
      </c>
      <c r="Z197" s="1160">
        <f>Z198/Z31</f>
        <v>0.1830761750855413</v>
      </c>
      <c r="AA197" s="1093">
        <f>Z198/Y198</f>
        <v>1.0532623492921291</v>
      </c>
      <c r="AB197" s="1158">
        <f>AB198/AB31</f>
        <v>0.17590907453142751</v>
      </c>
      <c r="AC197" s="1159">
        <f>AC198/AC31</f>
        <v>0.1770499557449452</v>
      </c>
      <c r="AD197" s="1160">
        <f>AD198/AD31</f>
        <v>0.18103103039840984</v>
      </c>
      <c r="AE197" s="1098">
        <f>AD198/AC198</f>
        <v>1.0199724366887157</v>
      </c>
      <c r="AF197" s="1158">
        <f>AF198/AF31</f>
        <v>0.17017182545728463</v>
      </c>
      <c r="AG197" s="1159">
        <f>AG198/AG31</f>
        <v>0.18037510259179265</v>
      </c>
      <c r="AH197" s="1160">
        <f>AH198/AH31</f>
        <v>0.16943050082323852</v>
      </c>
      <c r="AI197" s="1098">
        <f>AH198/AG198</f>
        <v>0.99255557030072439</v>
      </c>
      <c r="AJ197" s="1142">
        <f>AJ198/AJ31</f>
        <v>0.1748314563782698</v>
      </c>
      <c r="AK197" s="1161">
        <f>AK198/AK31</f>
        <v>0.17022024420683257</v>
      </c>
      <c r="AL197" s="1100">
        <f>AL198/AL31</f>
        <v>0.18148198915297445</v>
      </c>
      <c r="AM197" s="1094">
        <f>AM198/AM31</f>
        <v>0.17815258271037723</v>
      </c>
      <c r="AN197" s="1123">
        <f>AM198/AJ198</f>
        <v>1.3191481539435388</v>
      </c>
      <c r="AO197" s="1100">
        <f>AM198/AK198</f>
        <v>1.2533803380126232</v>
      </c>
      <c r="AP197" s="1073">
        <f>AM198/AL198</f>
        <v>1.0240004076857387</v>
      </c>
      <c r="AQ197" s="1142">
        <f>AQ198/AQ31</f>
        <v>0.17415473839115028</v>
      </c>
      <c r="AR197" s="1094">
        <f>AR198/AR31</f>
        <v>0.17329881427509933</v>
      </c>
      <c r="AS197" s="1100">
        <f>AS198/AS31</f>
        <v>0.18071911122278608</v>
      </c>
      <c r="AT197" s="1100">
        <f>AT198/AT31</f>
        <v>0.18274567671601771</v>
      </c>
      <c r="AU197" s="1120">
        <f>AT198/AQ198</f>
        <v>1.4614987906599597</v>
      </c>
      <c r="AV197" s="1119">
        <f>AT198/AR198</f>
        <v>1.3173919970253811</v>
      </c>
      <c r="AW197" s="1080">
        <f>AT198/AS198</f>
        <v>1.0543644669502934</v>
      </c>
      <c r="AX197" s="708"/>
      <c r="AY197" s="709"/>
      <c r="AZ197" s="709"/>
      <c r="BA197" s="555"/>
      <c r="BB197" s="555"/>
      <c r="BC197" s="555"/>
      <c r="BD197" s="555"/>
      <c r="BE197" s="1158">
        <f>BE198/BE31</f>
        <v>0.18590574224081149</v>
      </c>
      <c r="BF197" s="1159">
        <f>BF198/BF31</f>
        <v>0.18608694389307331</v>
      </c>
      <c r="BG197" s="1160">
        <f>BG198/BG31</f>
        <v>0.15125994344152621</v>
      </c>
      <c r="BH197" s="1093">
        <f>BG198/BF198</f>
        <v>0.6713665989139056</v>
      </c>
      <c r="BI197" s="1158">
        <f>BI198/BI31</f>
        <v>0.18173399848887947</v>
      </c>
      <c r="BJ197" s="1159">
        <f>BJ198/BJ31</f>
        <v>0.16870987293464942</v>
      </c>
      <c r="BK197" s="1160">
        <f>BK198/BK31</f>
        <v>0.17135254042327239</v>
      </c>
      <c r="BL197" s="1093">
        <f>BK198/BJ198</f>
        <v>0.95476390445547099</v>
      </c>
      <c r="BM197" s="1158">
        <f>BM198/BM31</f>
        <v>0.18638776549044514</v>
      </c>
      <c r="BN197" s="1159">
        <f>BN198/BN31</f>
        <v>0.18848254116716845</v>
      </c>
      <c r="BO197" s="1160">
        <f>BO198/BO31</f>
        <v>0.18979897555487593</v>
      </c>
      <c r="BP197" s="1098">
        <f>BO198/BN198</f>
        <v>0.91354527471075375</v>
      </c>
      <c r="BQ197" s="1142">
        <f>BQ198/BQ31</f>
        <v>0.18473948148565983</v>
      </c>
      <c r="BR197" s="1096"/>
      <c r="BS197" s="1100">
        <f>BS198/BS31</f>
        <v>0.18165820512778905</v>
      </c>
      <c r="BT197" s="1094">
        <f>BT198/BT31</f>
        <v>0.17092713002089999</v>
      </c>
      <c r="BU197" s="1119">
        <f>BT198/BQ198</f>
        <v>0.79304378725002656</v>
      </c>
      <c r="BV197" s="1120"/>
      <c r="BW197" s="1079">
        <f>BT198/BS198</f>
        <v>0.83523210625870903</v>
      </c>
      <c r="BX197" s="1158">
        <f>BX198/BX31</f>
        <v>0.18750622211413231</v>
      </c>
      <c r="BY197" s="1159">
        <f>BY198/BY31</f>
        <v>0.18550203503878093</v>
      </c>
      <c r="BZ197" s="1160">
        <f>BZ198/BZ31</f>
        <v>0.1674125655048278</v>
      </c>
      <c r="CA197" s="1098">
        <f>BZ198/BY198</f>
        <v>0.91353515946060115</v>
      </c>
      <c r="CB197" s="1158">
        <f>CB198/CB31</f>
        <v>0.18779156256580776</v>
      </c>
      <c r="CC197" s="1159">
        <f>CC198/CC31</f>
        <v>0.18512779415903002</v>
      </c>
      <c r="CD197" s="1284">
        <f>CD198/CD31</f>
        <v>0.17984655810489775</v>
      </c>
      <c r="CE197" s="1098">
        <f>CD198/CC198</f>
        <v>0.69961161540893269</v>
      </c>
      <c r="CF197" s="1158">
        <f>CF198/CF31</f>
        <v>0.18823044269254091</v>
      </c>
      <c r="CG197" s="1159">
        <f>CG198/CG31</f>
        <v>0.18317680965147451</v>
      </c>
      <c r="CH197" s="1284">
        <f>CH198/CH31</f>
        <v>0.18803159908448058</v>
      </c>
      <c r="CI197" s="1098">
        <f>CH198/CG198</f>
        <v>0.80559868686329084</v>
      </c>
      <c r="CJ197" s="1142">
        <f>CJ198/CJ31</f>
        <v>0.1878141440401197</v>
      </c>
      <c r="CK197" s="1096"/>
      <c r="CL197" s="1100">
        <f>CL198/CL31</f>
        <v>0.18472086452122241</v>
      </c>
      <c r="CM197" s="1094">
        <f>CM198/CM31</f>
        <v>0.17679215197805856</v>
      </c>
      <c r="CN197" s="1123">
        <f>CM198/CJ198</f>
        <v>0.91133275858350582</v>
      </c>
      <c r="CO197" s="1096"/>
      <c r="CP197" s="1073">
        <f>CM198/CL198</f>
        <v>0.8065262896057207</v>
      </c>
      <c r="CQ197" s="1142">
        <f>CQ198/CQ31</f>
        <v>0.18621052812228267</v>
      </c>
      <c r="CR197" s="1096"/>
      <c r="CS197" s="1100">
        <f>CS198/CS31</f>
        <v>0.18323341171048532</v>
      </c>
      <c r="CT197" s="1100">
        <f>CT198/CT31</f>
        <v>0.17387661386372613</v>
      </c>
      <c r="CU197" s="1119">
        <f>CT198/CQ198</f>
        <v>0.84995400751737449</v>
      </c>
      <c r="CV197" s="1120"/>
      <c r="CW197" s="1080">
        <f>CT198/CS198</f>
        <v>0.82006972396050903</v>
      </c>
      <c r="CX197" s="708"/>
      <c r="CY197" s="709"/>
      <c r="CZ197" s="555"/>
      <c r="DA197" s="555"/>
      <c r="DB197" s="555"/>
      <c r="DC197" s="555"/>
      <c r="DD197" s="555"/>
    </row>
    <row r="198" spans="1:108" ht="16.5" thickBot="1">
      <c r="A198" s="661" t="s">
        <v>403</v>
      </c>
      <c r="B198" s="661"/>
      <c r="C198" s="997"/>
      <c r="D198" s="995"/>
      <c r="E198" s="902">
        <f>E172+E178+E192+E184+E190+E194+E196</f>
        <v>52151.37606837607</v>
      </c>
      <c r="F198" s="903">
        <f>F172+F178+F192+F184+F190+F194+F196</f>
        <v>61446.324786324789</v>
      </c>
      <c r="G198" s="904">
        <f>G172+G178+G192+G184+G190+G194+G196</f>
        <v>77307.767553504382</v>
      </c>
      <c r="H198" s="905">
        <f>G198-F198</f>
        <v>15861.442767179593</v>
      </c>
      <c r="I198" s="902">
        <f>I172+I178+I192+I184+I190+I194+I196</f>
        <v>56801.384615384617</v>
      </c>
      <c r="J198" s="903">
        <f>J172+J178+J192+J184+J190+J194+J196</f>
        <v>81539.957264957266</v>
      </c>
      <c r="K198" s="904">
        <f>K172+K178+K192+K184+K190+K194+K196</f>
        <v>88960.883311321246</v>
      </c>
      <c r="L198" s="905">
        <f>K198-J198</f>
        <v>7420.9260463639803</v>
      </c>
      <c r="M198" s="902">
        <f>M172+M178+M192+M184+M190+M194+M196</f>
        <v>56901.299145299148</v>
      </c>
      <c r="N198" s="903">
        <f>N172+N178+N192+N184+N190+N194+N196</f>
        <v>86601.303418803422</v>
      </c>
      <c r="O198" s="904">
        <f>O172+O178+O192+O184+O190+O194+O196</f>
        <v>98737.031859180104</v>
      </c>
      <c r="P198" s="905">
        <f>P172+P178+P192+P184+P190+P194+P196</f>
        <v>12135.728440376673</v>
      </c>
      <c r="Q198" s="902">
        <f t="shared" ref="Q198:AZ198" si="314">Q172+Q178+Q192+Q184+Q190+Q194+Q196</f>
        <v>165854.05982905981</v>
      </c>
      <c r="R198" s="907">
        <f>R172+R178+R192+R184+R190+R194+R196</f>
        <v>193036.64482905981</v>
      </c>
      <c r="S198" s="979">
        <f t="shared" si="314"/>
        <v>245449.02823726507</v>
      </c>
      <c r="T198" s="746">
        <f t="shared" si="314"/>
        <v>265005.68272400572</v>
      </c>
      <c r="U198" s="746">
        <f t="shared" si="314"/>
        <v>99151.622894945889</v>
      </c>
      <c r="V198" s="745">
        <f>T198-R198</f>
        <v>71969.037894945912</v>
      </c>
      <c r="W198" s="748">
        <f t="shared" si="314"/>
        <v>19556.654486740645</v>
      </c>
      <c r="X198" s="902">
        <f t="shared" si="314"/>
        <v>55421.421288470861</v>
      </c>
      <c r="Y198" s="903">
        <f t="shared" si="314"/>
        <v>76724.955578347581</v>
      </c>
      <c r="Z198" s="904">
        <f>Z172+Z178+Z192+Z184+Z190+Z194+Z196</f>
        <v>80811.506961784617</v>
      </c>
      <c r="AA198" s="905">
        <f t="shared" si="314"/>
        <v>9607.8499560866112</v>
      </c>
      <c r="AB198" s="902">
        <f t="shared" si="314"/>
        <v>54307.040398396821</v>
      </c>
      <c r="AC198" s="903">
        <f t="shared" si="314"/>
        <v>64791.052992991448</v>
      </c>
      <c r="AD198" s="904">
        <f t="shared" si="314"/>
        <v>66085.088196889192</v>
      </c>
      <c r="AE198" s="905">
        <f t="shared" si="314"/>
        <v>1302.4967438977492</v>
      </c>
      <c r="AF198" s="902">
        <f t="shared" si="314"/>
        <v>49105.916432790436</v>
      </c>
      <c r="AG198" s="903">
        <f t="shared" si="314"/>
        <v>63099.219222222229</v>
      </c>
      <c r="AH198" s="904">
        <f t="shared" si="314"/>
        <v>62629.481520643218</v>
      </c>
      <c r="AI198" s="905">
        <f t="shared" si="314"/>
        <v>-427.35270157900402</v>
      </c>
      <c r="AJ198" s="744">
        <f t="shared" si="314"/>
        <v>158834.37811965813</v>
      </c>
      <c r="AK198" s="907">
        <f t="shared" si="314"/>
        <v>167168.79172649572</v>
      </c>
      <c r="AL198" s="980">
        <f t="shared" si="314"/>
        <v>204615.22779356127</v>
      </c>
      <c r="AM198" s="746">
        <f t="shared" si="314"/>
        <v>209526.07667931702</v>
      </c>
      <c r="AN198" s="747">
        <f t="shared" si="314"/>
        <v>50540.102559658917</v>
      </c>
      <c r="AO198" s="745">
        <f>AM198-AK198</f>
        <v>42357.284952821297</v>
      </c>
      <c r="AP198" s="748">
        <f t="shared" si="314"/>
        <v>4826.4498531062081</v>
      </c>
      <c r="AQ198" s="539">
        <f t="shared" si="314"/>
        <v>324688.43794871797</v>
      </c>
      <c r="AR198" s="746">
        <f>AR172+AR178+AR192+AR184+AR190+AR194+AR196</f>
        <v>360205.43655555561</v>
      </c>
      <c r="AS198" s="908">
        <f t="shared" si="314"/>
        <v>450064.25603082636</v>
      </c>
      <c r="AT198" s="541">
        <f t="shared" si="314"/>
        <v>474531.75940332265</v>
      </c>
      <c r="AU198" s="540">
        <f t="shared" si="314"/>
        <v>150243.96745460483</v>
      </c>
      <c r="AV198" s="746">
        <f>AT198-AR198</f>
        <v>114326.32284776703</v>
      </c>
      <c r="AW198" s="748">
        <f t="shared" si="314"/>
        <v>24398.658921043421</v>
      </c>
      <c r="AX198" s="708">
        <f t="shared" si="314"/>
        <v>54114.739658119644</v>
      </c>
      <c r="AY198" s="709">
        <f>AR198/6</f>
        <v>60034.239425925938</v>
      </c>
      <c r="AZ198" s="709">
        <f t="shared" si="314"/>
        <v>79088.626567220461</v>
      </c>
      <c r="BA198" s="1239">
        <f>AZ198/AX198</f>
        <v>1.4614987906599604</v>
      </c>
      <c r="BB198" s="516">
        <f>AZ198-AX198</f>
        <v>24973.886909100816</v>
      </c>
      <c r="BC198" s="516">
        <f>AZ198-AY198</f>
        <v>19054.387141294523</v>
      </c>
      <c r="BD198" s="516">
        <f>AW198/6</f>
        <v>4066.4431535072367</v>
      </c>
      <c r="BE198" s="902">
        <f>BE172+BE178+BE192+BE184+BE190+BE194+BE196</f>
        <v>70204.205128205125</v>
      </c>
      <c r="BF198" s="903">
        <f>BF172+BF178+BF192+BF184+BF190+BF194+BF196</f>
        <v>70993.282435897432</v>
      </c>
      <c r="BG198" s="904">
        <f>BG172+BG178+BG192+BG184+BG190+BG194+BG196</f>
        <v>47662.518574722773</v>
      </c>
      <c r="BH198" s="905">
        <f>BG198-BF198</f>
        <v>-23330.763861174659</v>
      </c>
      <c r="BI198" s="902">
        <f>BI172+BI178+BI192+BI184+BI190+BI194+BI196</f>
        <v>63113.111111111109</v>
      </c>
      <c r="BJ198" s="903">
        <f>BJ172+BJ178+BJ192+BJ184+BJ190+BJ194+BJ196</f>
        <v>53540.871256410261</v>
      </c>
      <c r="BK198" s="904">
        <f>BK172+BK178+BK192+BK184+BK190+BK194+BK196</f>
        <v>51118.891288717961</v>
      </c>
      <c r="BL198" s="905">
        <f>BK198-BJ198</f>
        <v>-2421.9799676922994</v>
      </c>
      <c r="BM198" s="902">
        <f t="shared" ref="BM198:CW198" si="315">BM172+BM178+BM192+BM184+BM190+BM194+BM196</f>
        <v>68224.931623931625</v>
      </c>
      <c r="BN198" s="903">
        <f t="shared" si="315"/>
        <v>66828.015384615384</v>
      </c>
      <c r="BO198" s="904">
        <f t="shared" si="315"/>
        <v>61050.417672912939</v>
      </c>
      <c r="BP198" s="905">
        <f t="shared" si="315"/>
        <v>-5777.5977117024422</v>
      </c>
      <c r="BQ198" s="744">
        <f t="shared" si="315"/>
        <v>201542.24786324787</v>
      </c>
      <c r="BR198" s="747"/>
      <c r="BS198" s="980">
        <f t="shared" si="315"/>
        <v>191362.16907692308</v>
      </c>
      <c r="BT198" s="746">
        <f t="shared" si="315"/>
        <v>159831.82753635367</v>
      </c>
      <c r="BU198" s="746">
        <f t="shared" si="315"/>
        <v>-41710.420326894186</v>
      </c>
      <c r="BV198" s="745"/>
      <c r="BW198" s="748">
        <f t="shared" si="315"/>
        <v>-31530.341540569407</v>
      </c>
      <c r="BX198" s="902">
        <f>BX172+BX178+BX192+BX184+BX190+BX194+BX196</f>
        <v>70509.230769230766</v>
      </c>
      <c r="BY198" s="903">
        <f t="shared" ref="BY198:CW198" si="316">BY172+BY178+BY192+BY184+BY190+BY194+BY196</f>
        <v>76390.213675213687</v>
      </c>
      <c r="BZ198" s="904">
        <f t="shared" si="316"/>
        <v>69785.146031015727</v>
      </c>
      <c r="CA198" s="905">
        <f t="shared" si="316"/>
        <v>-5103.2193621466704</v>
      </c>
      <c r="CB198" s="902">
        <f>CB172+CB178+CB192+CB184+CB190+CB194+CB196</f>
        <v>61737.358974358969</v>
      </c>
      <c r="CC198" s="903">
        <f t="shared" ref="CC198" si="317">CC172+CC178+CC192+CC184+CC190+CC194+CC196</f>
        <v>77595.128205128218</v>
      </c>
      <c r="CD198" s="906">
        <f t="shared" si="316"/>
        <v>54286.452991452992</v>
      </c>
      <c r="CE198" s="905">
        <f t="shared" si="316"/>
        <v>-10782.179487179486</v>
      </c>
      <c r="CF198" s="902">
        <f>CF172+CF178+CF192+CF184+CF190+CF194+CF196</f>
        <v>55711.38461538461</v>
      </c>
      <c r="CG198" s="903">
        <f t="shared" ref="CG198" si="318">CG172+CG178+CG192+CG184+CG190+CG194+CG196</f>
        <v>58397.393162393164</v>
      </c>
      <c r="CH198" s="906">
        <f t="shared" si="316"/>
        <v>47044.86324786325</v>
      </c>
      <c r="CI198" s="905">
        <f t="shared" si="316"/>
        <v>-11352.529914529918</v>
      </c>
      <c r="CJ198" s="744">
        <f>CJ172+CJ178+CJ192+CJ184+CJ190+CJ194+CJ196</f>
        <v>187957.97435897437</v>
      </c>
      <c r="CK198" s="747"/>
      <c r="CL198" s="980">
        <f t="shared" si="316"/>
        <v>212382.73504273503</v>
      </c>
      <c r="CM198" s="746">
        <f t="shared" si="316"/>
        <v>171292.25927033197</v>
      </c>
      <c r="CN198" s="747">
        <f t="shared" si="316"/>
        <v>-16665.715088642384</v>
      </c>
      <c r="CO198" s="747"/>
      <c r="CP198" s="748">
        <f t="shared" si="316"/>
        <v>-41090.475772403086</v>
      </c>
      <c r="CQ198" s="539">
        <f t="shared" si="316"/>
        <v>389500.22222222219</v>
      </c>
      <c r="CR198" s="1347"/>
      <c r="CS198" s="908">
        <f t="shared" si="316"/>
        <v>403694.05811965809</v>
      </c>
      <c r="CT198" s="541">
        <f>CT172+CT178+CT192+CT184+CT190+CT194+CT196</f>
        <v>331057.27480668569</v>
      </c>
      <c r="CU198" s="540">
        <f t="shared" si="316"/>
        <v>-58442.947415536561</v>
      </c>
      <c r="CV198" s="540"/>
      <c r="CW198" s="748">
        <f t="shared" si="316"/>
        <v>-72636.783312972475</v>
      </c>
      <c r="CX198" s="708">
        <f>CQ198/6</f>
        <v>64916.703703703701</v>
      </c>
      <c r="CY198" s="709">
        <f t="shared" ref="CY198" si="319">CY172+CY178+CY192+CY184+CY190+CY194+CY196</f>
        <v>55176.212467780948</v>
      </c>
      <c r="CZ198" s="1386">
        <f>CY198/CX198</f>
        <v>0.84995400751737449</v>
      </c>
      <c r="DA198" s="555">
        <f>CY198-CX198</f>
        <v>-9740.4912359227528</v>
      </c>
      <c r="DB198" s="555">
        <f>CW198/6</f>
        <v>-12106.13055216208</v>
      </c>
      <c r="DC198" s="516"/>
      <c r="DD198" s="516"/>
    </row>
    <row r="199" spans="1:108">
      <c r="A199" s="664"/>
      <c r="B199" s="664"/>
      <c r="C199" s="664"/>
      <c r="D199" s="664"/>
      <c r="E199" s="696"/>
      <c r="F199" s="981"/>
      <c r="G199" s="981"/>
      <c r="H199" s="981"/>
      <c r="I199" s="696"/>
      <c r="J199" s="981"/>
      <c r="K199" s="981"/>
      <c r="L199" s="981"/>
      <c r="M199" s="696"/>
      <c r="N199" s="981"/>
      <c r="O199" s="981"/>
      <c r="P199" s="981"/>
      <c r="Q199" s="696">
        <f>Q198/3</f>
        <v>55284.686609686607</v>
      </c>
      <c r="R199" s="696"/>
      <c r="S199" s="696"/>
      <c r="T199" s="981"/>
      <c r="U199" s="696"/>
      <c r="V199" s="696"/>
      <c r="W199" s="696"/>
      <c r="X199" s="696"/>
      <c r="Y199" s="981"/>
      <c r="Z199" s="981"/>
      <c r="AA199" s="981"/>
      <c r="AB199" s="696"/>
      <c r="AC199" s="696"/>
      <c r="AD199" s="981"/>
      <c r="AE199" s="981"/>
      <c r="AF199" s="696"/>
      <c r="AG199" s="696"/>
      <c r="AH199" s="981"/>
      <c r="AI199" s="981"/>
      <c r="AJ199" s="696">
        <f>AJ198/3</f>
        <v>52944.792706552711</v>
      </c>
      <c r="AK199" s="696"/>
      <c r="AL199" s="696"/>
      <c r="AM199" s="981"/>
      <c r="AN199" s="696"/>
      <c r="AO199" s="696"/>
      <c r="AP199" s="696"/>
      <c r="AQ199" s="657"/>
      <c r="AR199" s="696"/>
      <c r="AS199" s="696"/>
      <c r="AT199" s="612"/>
      <c r="AU199" s="657"/>
      <c r="AV199" s="696"/>
      <c r="AW199" s="696"/>
      <c r="AX199" s="723"/>
      <c r="AY199" s="723"/>
      <c r="AZ199" s="723"/>
      <c r="BE199" s="696"/>
      <c r="BF199" s="981"/>
      <c r="BG199" s="981"/>
      <c r="BH199" s="981"/>
      <c r="BI199" s="696"/>
      <c r="BJ199" s="981"/>
      <c r="BK199" s="981"/>
      <c r="BL199" s="981"/>
      <c r="BM199" s="696"/>
      <c r="BN199" s="696"/>
      <c r="BO199" s="981"/>
      <c r="BP199" s="981"/>
      <c r="BQ199" s="696"/>
      <c r="BR199" s="696"/>
      <c r="BS199" s="696"/>
      <c r="BT199" s="981"/>
      <c r="BU199" s="696"/>
      <c r="BV199" s="696"/>
      <c r="BW199" s="696"/>
      <c r="BX199" s="696"/>
      <c r="BY199" s="696"/>
      <c r="BZ199" s="981"/>
      <c r="CA199" s="981"/>
      <c r="CB199" s="696"/>
      <c r="CC199" s="696"/>
      <c r="CD199" s="981"/>
      <c r="CE199" s="981"/>
      <c r="CF199" s="696"/>
      <c r="CG199" s="696"/>
      <c r="CH199" s="981"/>
      <c r="CI199" s="981"/>
      <c r="CJ199" s="696"/>
      <c r="CK199" s="696"/>
      <c r="CL199" s="696"/>
      <c r="CM199" s="981"/>
      <c r="CN199" s="696"/>
      <c r="CO199" s="696"/>
      <c r="CP199" s="696"/>
      <c r="CQ199" s="657"/>
      <c r="CR199" s="657"/>
      <c r="CS199" s="696"/>
      <c r="CT199" s="612"/>
      <c r="CU199" s="657"/>
      <c r="CV199" s="657"/>
      <c r="CW199" s="696"/>
      <c r="CX199" s="723"/>
      <c r="CY199" s="723"/>
      <c r="CZ199" s="556"/>
      <c r="DA199" s="556"/>
      <c r="DB199" s="556"/>
      <c r="DC199" s="493"/>
      <c r="DD199" s="493"/>
    </row>
    <row r="200" spans="1:108" ht="20.25" thickBot="1">
      <c r="A200" s="1030" t="s">
        <v>404</v>
      </c>
      <c r="B200" s="1007"/>
      <c r="C200" s="1008"/>
      <c r="D200" s="1008"/>
      <c r="E200" s="777"/>
      <c r="F200" s="777"/>
      <c r="G200" s="777"/>
      <c r="H200" s="777"/>
      <c r="I200" s="777"/>
      <c r="J200" s="777"/>
      <c r="K200" s="777"/>
      <c r="L200" s="777"/>
      <c r="M200" s="777"/>
      <c r="N200" s="777"/>
      <c r="O200" s="777"/>
      <c r="P200" s="777"/>
      <c r="Q200" s="494"/>
      <c r="R200" s="494"/>
      <c r="S200" s="494"/>
      <c r="T200" s="657"/>
      <c r="U200" s="657"/>
      <c r="V200" s="657"/>
      <c r="W200" s="777"/>
      <c r="X200" s="777"/>
      <c r="Y200" s="777"/>
      <c r="Z200" s="777"/>
      <c r="AA200" s="777"/>
      <c r="AB200" s="777"/>
      <c r="AC200" s="777"/>
      <c r="AD200" s="777"/>
      <c r="AE200" s="777"/>
      <c r="AF200" s="777"/>
      <c r="AG200" s="777"/>
      <c r="AH200" s="777"/>
      <c r="AI200" s="777"/>
      <c r="AJ200" s="494"/>
      <c r="AK200" s="494"/>
      <c r="AL200" s="494"/>
      <c r="AM200" s="657"/>
      <c r="AN200" s="657"/>
      <c r="AO200" s="657"/>
      <c r="AP200" s="777"/>
      <c r="AQ200" s="749"/>
      <c r="AR200" s="749"/>
      <c r="AT200" s="749"/>
      <c r="AU200" s="564"/>
      <c r="AV200" s="657"/>
      <c r="AW200" s="750" t="s">
        <v>179</v>
      </c>
      <c r="AX200" s="697"/>
      <c r="AY200" s="697"/>
      <c r="BE200" s="777"/>
      <c r="BF200" s="777"/>
      <c r="BG200" s="777"/>
      <c r="BH200" s="564"/>
      <c r="BI200" s="777"/>
      <c r="BJ200" s="777"/>
      <c r="BK200" s="777"/>
      <c r="BL200" s="777"/>
      <c r="BM200" s="777"/>
      <c r="BN200" s="777"/>
      <c r="BO200" s="777"/>
      <c r="BP200" s="564"/>
      <c r="BQ200" s="494"/>
      <c r="BR200" s="494"/>
      <c r="BS200" s="494"/>
      <c r="BT200" s="657"/>
      <c r="BU200" s="657"/>
      <c r="BV200" s="657"/>
      <c r="BW200" s="777"/>
      <c r="BX200" s="777"/>
      <c r="BY200" s="777"/>
      <c r="BZ200" s="777"/>
      <c r="CA200" s="777"/>
      <c r="CB200" s="777"/>
      <c r="CC200" s="777"/>
      <c r="CD200" s="777"/>
      <c r="CE200" s="777"/>
      <c r="CF200" s="777"/>
      <c r="CG200" s="777"/>
      <c r="CH200" s="777"/>
      <c r="CI200" s="777"/>
      <c r="CJ200" s="494"/>
      <c r="CK200" s="494"/>
      <c r="CL200" s="494"/>
      <c r="CM200" s="657"/>
      <c r="CN200" s="657"/>
      <c r="CO200" s="657"/>
      <c r="CP200" s="777"/>
      <c r="CQ200" s="749"/>
      <c r="CR200" s="749"/>
      <c r="CS200" s="655"/>
      <c r="CT200" s="749"/>
      <c r="CU200" s="564"/>
      <c r="CV200" s="564"/>
      <c r="CW200" s="750" t="s">
        <v>179</v>
      </c>
      <c r="CX200" s="697"/>
      <c r="CY200" s="544"/>
      <c r="CZ200" s="556"/>
      <c r="DA200" s="556"/>
      <c r="DB200" s="556"/>
      <c r="DC200" s="493"/>
      <c r="DD200" s="493"/>
    </row>
    <row r="201" spans="1:108" ht="16.5" thickBot="1">
      <c r="A201" s="991"/>
      <c r="B201" s="991"/>
      <c r="C201" s="991"/>
      <c r="D201" s="617"/>
      <c r="E201" s="1403" t="str">
        <f>E3</f>
        <v>17/3</v>
      </c>
      <c r="F201" s="1404"/>
      <c r="G201" s="1406"/>
      <c r="H201" s="1405">
        <v>0</v>
      </c>
      <c r="I201" s="1403" t="str">
        <f>I3</f>
        <v>17/4</v>
      </c>
      <c r="J201" s="1404"/>
      <c r="K201" s="1406"/>
      <c r="L201" s="1405">
        <v>0</v>
      </c>
      <c r="M201" s="1403" t="str">
        <f>M3</f>
        <v>17/5</v>
      </c>
      <c r="N201" s="1404"/>
      <c r="O201" s="1406"/>
      <c r="P201" s="1405">
        <v>0</v>
      </c>
      <c r="Q201" s="1403" t="str">
        <f>Q3</f>
        <v>17/3-17/5累計</v>
      </c>
      <c r="R201" s="1404"/>
      <c r="S201" s="1404"/>
      <c r="T201" s="1406"/>
      <c r="U201" s="1404"/>
      <c r="V201" s="1404"/>
      <c r="W201" s="1405"/>
      <c r="X201" s="1403" t="str">
        <f>X3</f>
        <v>17/6</v>
      </c>
      <c r="Y201" s="1404"/>
      <c r="Z201" s="1406"/>
      <c r="AA201" s="1405">
        <v>0</v>
      </c>
      <c r="AB201" s="1403" t="str">
        <f>AB3</f>
        <v>17/7</v>
      </c>
      <c r="AC201" s="1404"/>
      <c r="AD201" s="1406"/>
      <c r="AE201" s="1405">
        <v>0</v>
      </c>
      <c r="AF201" s="1403" t="str">
        <f>AF3</f>
        <v>17/8</v>
      </c>
      <c r="AG201" s="1404"/>
      <c r="AH201" s="1406"/>
      <c r="AI201" s="1405">
        <v>0</v>
      </c>
      <c r="AJ201" s="1403" t="str">
        <f>AJ3</f>
        <v>17/6-17/8累計</v>
      </c>
      <c r="AK201" s="1404"/>
      <c r="AL201" s="1404"/>
      <c r="AM201" s="1406"/>
      <c r="AN201" s="1404"/>
      <c r="AO201" s="1404"/>
      <c r="AP201" s="1405"/>
      <c r="AQ201" s="1407" t="str">
        <f>AQ3</f>
        <v>17/上(17/3-17/8)累計</v>
      </c>
      <c r="AR201" s="1408"/>
      <c r="AS201" s="1408"/>
      <c r="AT201" s="1408"/>
      <c r="AU201" s="1408"/>
      <c r="AV201" s="1408"/>
      <c r="AW201" s="1409"/>
      <c r="AX201" s="674"/>
      <c r="AY201" s="675"/>
      <c r="AZ201" s="676"/>
      <c r="BA201" s="495"/>
      <c r="BB201" s="495"/>
      <c r="BC201" s="495"/>
      <c r="BD201" s="495"/>
      <c r="BE201" s="1403" t="str">
        <f>BE3</f>
        <v>17/9</v>
      </c>
      <c r="BF201" s="1406"/>
      <c r="BG201" s="1406"/>
      <c r="BH201" s="1405">
        <v>0</v>
      </c>
      <c r="BI201" s="1403" t="str">
        <f>BI3</f>
        <v>17/10</v>
      </c>
      <c r="BJ201" s="1404"/>
      <c r="BK201" s="1406"/>
      <c r="BL201" s="1405">
        <v>0</v>
      </c>
      <c r="BM201" s="1403" t="str">
        <f>BM3</f>
        <v>17/11</v>
      </c>
      <c r="BN201" s="1404"/>
      <c r="BO201" s="1406"/>
      <c r="BP201" s="1405">
        <v>0</v>
      </c>
      <c r="BQ201" s="1403" t="str">
        <f>BQ3</f>
        <v>17/9-17/11累計</v>
      </c>
      <c r="BR201" s="1404"/>
      <c r="BS201" s="1404"/>
      <c r="BT201" s="1406"/>
      <c r="BU201" s="1404"/>
      <c r="BV201" s="1404"/>
      <c r="BW201" s="1405"/>
      <c r="BX201" s="1403" t="str">
        <f>BX3</f>
        <v>17/12</v>
      </c>
      <c r="BY201" s="1404"/>
      <c r="BZ201" s="1406"/>
      <c r="CA201" s="1405">
        <v>0</v>
      </c>
      <c r="CB201" s="1403" t="str">
        <f>CB3</f>
        <v>18/1</v>
      </c>
      <c r="CC201" s="1404"/>
      <c r="CD201" s="1406"/>
      <c r="CE201" s="1405">
        <v>0</v>
      </c>
      <c r="CF201" s="1403" t="str">
        <f>CF3</f>
        <v>18/2</v>
      </c>
      <c r="CG201" s="1404"/>
      <c r="CH201" s="1406"/>
      <c r="CI201" s="1405">
        <v>0</v>
      </c>
      <c r="CJ201" s="1403" t="str">
        <f>CJ3</f>
        <v>17/12-18/2累計</v>
      </c>
      <c r="CK201" s="1404"/>
      <c r="CL201" s="1404"/>
      <c r="CM201" s="1406"/>
      <c r="CN201" s="1404"/>
      <c r="CO201" s="1404"/>
      <c r="CP201" s="1405"/>
      <c r="CQ201" s="1407" t="str">
        <f>CQ3</f>
        <v>17/下(17/12-18/2)累計</v>
      </c>
      <c r="CR201" s="1408"/>
      <c r="CS201" s="1408"/>
      <c r="CT201" s="1408"/>
      <c r="CU201" s="1408"/>
      <c r="CV201" s="1408"/>
      <c r="CW201" s="1409"/>
      <c r="CX201" s="674"/>
      <c r="CY201" s="675"/>
      <c r="CZ201" s="1383"/>
      <c r="DA201" s="1383"/>
      <c r="DB201" s="1387"/>
      <c r="DC201" s="495"/>
      <c r="DD201" s="495"/>
    </row>
    <row r="202" spans="1:108" ht="16.5" thickTop="1">
      <c r="A202" s="491"/>
      <c r="B202" s="491"/>
      <c r="C202" s="491"/>
      <c r="D202" s="652"/>
      <c r="E202" s="910" t="s">
        <v>168</v>
      </c>
      <c r="F202" s="779" t="str">
        <f>F4</f>
        <v>今回計画</v>
      </c>
      <c r="G202" s="780" t="str">
        <f>G4</f>
        <v>実績</v>
      </c>
      <c r="H202" s="911" t="s">
        <v>170</v>
      </c>
      <c r="I202" s="910" t="s">
        <v>168</v>
      </c>
      <c r="J202" s="779" t="str">
        <f>J4</f>
        <v>前回計画</v>
      </c>
      <c r="K202" s="780" t="str">
        <f>K4</f>
        <v>実績</v>
      </c>
      <c r="L202" s="911" t="s">
        <v>170</v>
      </c>
      <c r="M202" s="910" t="s">
        <v>168</v>
      </c>
      <c r="N202" s="779" t="str">
        <f>N4</f>
        <v>前回計画</v>
      </c>
      <c r="O202" s="780" t="str">
        <f>O4</f>
        <v>実績</v>
      </c>
      <c r="P202" s="911" t="s">
        <v>170</v>
      </c>
      <c r="Q202" s="565" t="s">
        <v>168</v>
      </c>
      <c r="R202" s="783" t="str">
        <f>R4</f>
        <v>目標</v>
      </c>
      <c r="S202" s="500" t="str">
        <f>S35</f>
        <v>前回見通</v>
      </c>
      <c r="T202" s="498" t="str">
        <f>T4</f>
        <v>今回見通</v>
      </c>
      <c r="U202" s="497" t="s">
        <v>425</v>
      </c>
      <c r="V202" s="502" t="s">
        <v>301</v>
      </c>
      <c r="W202" s="681" t="str">
        <f>W35</f>
        <v>計画差異</v>
      </c>
      <c r="X202" s="910" t="s">
        <v>168</v>
      </c>
      <c r="Y202" s="779" t="str">
        <f>Y4</f>
        <v>計画</v>
      </c>
      <c r="Z202" s="780" t="str">
        <f>Z4</f>
        <v>実績</v>
      </c>
      <c r="AA202" s="911" t="s">
        <v>170</v>
      </c>
      <c r="AB202" s="910" t="s">
        <v>168</v>
      </c>
      <c r="AC202" s="779" t="str">
        <f>AC4</f>
        <v>今回計画</v>
      </c>
      <c r="AD202" s="780" t="str">
        <f>AD4</f>
        <v>実績</v>
      </c>
      <c r="AE202" s="911" t="s">
        <v>170</v>
      </c>
      <c r="AF202" s="910" t="s">
        <v>168</v>
      </c>
      <c r="AG202" s="779" t="str">
        <f>AG4</f>
        <v>前回計画</v>
      </c>
      <c r="AH202" s="780" t="str">
        <f>AH4</f>
        <v>実績</v>
      </c>
      <c r="AI202" s="911" t="s">
        <v>170</v>
      </c>
      <c r="AJ202" s="496" t="s">
        <v>168</v>
      </c>
      <c r="AK202" s="783" t="str">
        <f>AK4</f>
        <v>目標</v>
      </c>
      <c r="AL202" s="500" t="str">
        <f>AL35</f>
        <v>前回見通</v>
      </c>
      <c r="AM202" s="498" t="str">
        <f>AM4</f>
        <v>今回見通</v>
      </c>
      <c r="AN202" s="500" t="s">
        <v>461</v>
      </c>
      <c r="AO202" s="502" t="s">
        <v>301</v>
      </c>
      <c r="AP202" s="681" t="str">
        <f>AP35</f>
        <v>計画差異</v>
      </c>
      <c r="AQ202" s="496" t="s">
        <v>168</v>
      </c>
      <c r="AR202" s="678" t="str">
        <f>AR4</f>
        <v>目標</v>
      </c>
      <c r="AS202" s="614" t="str">
        <f>AS35</f>
        <v>前回見通</v>
      </c>
      <c r="AT202" s="498" t="str">
        <f>AT4</f>
        <v>今回見通</v>
      </c>
      <c r="AU202" s="546" t="str">
        <f>AU35</f>
        <v>予算差異</v>
      </c>
      <c r="AV202" s="502" t="s">
        <v>301</v>
      </c>
      <c r="AW202" s="681" t="str">
        <f>AW35</f>
        <v>計画差異</v>
      </c>
      <c r="AX202" s="677" t="s">
        <v>180</v>
      </c>
      <c r="AY202" s="682" t="str">
        <f>AY4</f>
        <v>目標平均</v>
      </c>
      <c r="AZ202" s="681" t="str">
        <f>AZ4</f>
        <v>見通し平均</v>
      </c>
      <c r="BA202" s="510"/>
      <c r="BB202" s="493" t="s">
        <v>457</v>
      </c>
      <c r="BD202" s="493" t="s">
        <v>460</v>
      </c>
      <c r="BE202" s="910" t="s">
        <v>168</v>
      </c>
      <c r="BF202" s="779" t="str">
        <f>BF4</f>
        <v>前回計画</v>
      </c>
      <c r="BG202" s="780" t="str">
        <f>BG4</f>
        <v>実績</v>
      </c>
      <c r="BH202" s="591" t="s">
        <v>170</v>
      </c>
      <c r="BI202" s="910" t="str">
        <f>BI4</f>
        <v>レビュー</v>
      </c>
      <c r="BJ202" s="779" t="str">
        <f>BJ4</f>
        <v>前回計画</v>
      </c>
      <c r="BK202" s="780" t="str">
        <f>BK4</f>
        <v>実績</v>
      </c>
      <c r="BL202" s="911" t="s">
        <v>170</v>
      </c>
      <c r="BM202" s="910" t="str">
        <f>BM4</f>
        <v>レビュー</v>
      </c>
      <c r="BN202" s="779" t="str">
        <f>BN4</f>
        <v>計画</v>
      </c>
      <c r="BO202" s="780" t="str">
        <f>BO4</f>
        <v>実績</v>
      </c>
      <c r="BP202" s="591" t="s">
        <v>170</v>
      </c>
      <c r="BQ202" s="910" t="str">
        <f>BQ4</f>
        <v>レビュー</v>
      </c>
      <c r="BR202" s="500"/>
      <c r="BS202" s="497" t="str">
        <f>BS35</f>
        <v>前回見通</v>
      </c>
      <c r="BT202" s="498" t="str">
        <f>BT4</f>
        <v>実績</v>
      </c>
      <c r="BU202" s="497" t="str">
        <f>BU4</f>
        <v>レビュー差異</v>
      </c>
      <c r="BV202" s="502"/>
      <c r="BW202" s="681" t="str">
        <f>BW35</f>
        <v>計画差異</v>
      </c>
      <c r="BX202" s="910" t="str">
        <f>BX4</f>
        <v>レビュー</v>
      </c>
      <c r="BY202" s="779" t="str">
        <f>BY4</f>
        <v>前回計画</v>
      </c>
      <c r="BZ202" s="780" t="str">
        <f>BZ4</f>
        <v>実績</v>
      </c>
      <c r="CA202" s="911" t="s">
        <v>170</v>
      </c>
      <c r="CB202" s="910" t="str">
        <f>CB4</f>
        <v>レビュー</v>
      </c>
      <c r="CC202" s="779" t="str">
        <f>CC4</f>
        <v>前回計画</v>
      </c>
      <c r="CD202" s="782" t="str">
        <f>CD4</f>
        <v>今回計画</v>
      </c>
      <c r="CE202" s="911" t="s">
        <v>170</v>
      </c>
      <c r="CF202" s="910" t="str">
        <f>CF4</f>
        <v>レビュー</v>
      </c>
      <c r="CG202" s="779" t="str">
        <f>CG4</f>
        <v>前回計画</v>
      </c>
      <c r="CH202" s="782" t="str">
        <f>CH4</f>
        <v>今回計画</v>
      </c>
      <c r="CI202" s="911" t="s">
        <v>170</v>
      </c>
      <c r="CJ202" s="910" t="str">
        <f>CJ4</f>
        <v>レビュー</v>
      </c>
      <c r="CK202" s="500"/>
      <c r="CL202" s="497" t="str">
        <f>CL35</f>
        <v>前回見通</v>
      </c>
      <c r="CM202" s="498" t="str">
        <f>CM4</f>
        <v>今回見通</v>
      </c>
      <c r="CN202" s="500" t="s">
        <v>549</v>
      </c>
      <c r="CO202" s="500"/>
      <c r="CP202" s="681" t="str">
        <f>CP35</f>
        <v>計画差異</v>
      </c>
      <c r="CQ202" s="910" t="str">
        <f>CQ4</f>
        <v>レビュー</v>
      </c>
      <c r="CR202" s="614"/>
      <c r="CS202" s="497" t="str">
        <f>CS35</f>
        <v>前回見通</v>
      </c>
      <c r="CT202" s="498" t="str">
        <f>CT4</f>
        <v>今回見通</v>
      </c>
      <c r="CU202" s="546" t="str">
        <f>CU35</f>
        <v>レビュー差異</v>
      </c>
      <c r="CV202" s="546"/>
      <c r="CW202" s="681" t="str">
        <f>CW35</f>
        <v>計画差異</v>
      </c>
      <c r="CX202" s="677" t="s">
        <v>514</v>
      </c>
      <c r="CY202" s="681" t="str">
        <f>CY4</f>
        <v>見通し平均</v>
      </c>
      <c r="CZ202" s="1385"/>
      <c r="DA202" s="556" t="s">
        <v>515</v>
      </c>
      <c r="DB202" s="556" t="s">
        <v>516</v>
      </c>
      <c r="DC202" s="493"/>
      <c r="DD202" s="493"/>
    </row>
    <row r="203" spans="1:108">
      <c r="A203" s="1031"/>
      <c r="B203" s="1423" t="s">
        <v>165</v>
      </c>
      <c r="C203" s="1421"/>
      <c r="D203" s="1032"/>
      <c r="E203" s="944">
        <f>E204/E36</f>
        <v>0.05</v>
      </c>
      <c r="F203" s="945">
        <f>F204/F36</f>
        <v>0.05</v>
      </c>
      <c r="G203" s="946">
        <f>G204/G36</f>
        <v>5.332195457162836E-2</v>
      </c>
      <c r="H203" s="947"/>
      <c r="I203" s="1102">
        <f>I204/I36</f>
        <v>0.05</v>
      </c>
      <c r="J203" s="1103">
        <v>0.05</v>
      </c>
      <c r="K203" s="1104">
        <v>6.0859999999999997E-2</v>
      </c>
      <c r="L203" s="1105"/>
      <c r="M203" s="1102">
        <f>M204/M36</f>
        <v>0.05</v>
      </c>
      <c r="N203" s="1103">
        <v>7.0000000000000007E-2</v>
      </c>
      <c r="O203" s="1104">
        <v>0.10113471531701966</v>
      </c>
      <c r="P203" s="1105"/>
      <c r="Q203" s="1102">
        <f>Q204/Q36</f>
        <v>0.05</v>
      </c>
      <c r="R203" s="1106">
        <v>0.05</v>
      </c>
      <c r="S203" s="1111">
        <f>S204/S36</f>
        <v>5.8323450390016657E-2</v>
      </c>
      <c r="T203" s="1108">
        <f>T204/T36</f>
        <v>7.5325020696401665E-2</v>
      </c>
      <c r="U203" s="1108"/>
      <c r="V203" s="1109"/>
      <c r="W203" s="1089"/>
      <c r="X203" s="1102">
        <f>X204/X36</f>
        <v>0.05</v>
      </c>
      <c r="Y203" s="1103">
        <v>7.0000000000000007E-2</v>
      </c>
      <c r="Z203" s="1104">
        <v>6.8353019636629181E-2</v>
      </c>
      <c r="AA203" s="1105"/>
      <c r="AB203" s="1102">
        <f>AB204/AB36</f>
        <v>0.05</v>
      </c>
      <c r="AC203" s="1103">
        <v>7.0000000000000007E-2</v>
      </c>
      <c r="AD203" s="1104">
        <v>0.06</v>
      </c>
      <c r="AE203" s="1105">
        <v>4.8000000000000001E-2</v>
      </c>
      <c r="AF203" s="1102">
        <f>AF204/AF36</f>
        <v>0.05</v>
      </c>
      <c r="AG203" s="1103">
        <v>5.5E-2</v>
      </c>
      <c r="AH203" s="1104">
        <v>5.087061416938831E-2</v>
      </c>
      <c r="AI203" s="1105"/>
      <c r="AJ203" s="1110">
        <f>AJ204/AJ36</f>
        <v>4.9999999999999996E-2</v>
      </c>
      <c r="AK203" s="1106">
        <v>0.05</v>
      </c>
      <c r="AL203" s="1111">
        <f>AL204/AL36</f>
        <v>6.5887072892681309E-2</v>
      </c>
      <c r="AM203" s="1108">
        <f>AM204/AM36</f>
        <v>6.1000239335484076E-2</v>
      </c>
      <c r="AN203" s="1111"/>
      <c r="AO203" s="1109"/>
      <c r="AP203" s="1089"/>
      <c r="AQ203" s="1110">
        <f>AQ204/AQ36</f>
        <v>4.9999999999999996E-2</v>
      </c>
      <c r="AR203" s="1108">
        <f>AR204/AR36</f>
        <v>0.05</v>
      </c>
      <c r="AS203" s="1111">
        <f>AS204/AS36</f>
        <v>6.1743970657045386E-2</v>
      </c>
      <c r="AT203" s="1108">
        <f>AT204/AT36</f>
        <v>6.8805667489185096E-2</v>
      </c>
      <c r="AU203" s="1162"/>
      <c r="AV203" s="1109"/>
      <c r="AW203" s="1083"/>
      <c r="AX203" s="1128"/>
      <c r="AY203" s="1131"/>
      <c r="AZ203" s="1131"/>
      <c r="BA203" s="1248"/>
      <c r="BB203" s="1248"/>
      <c r="BC203" s="1248"/>
      <c r="BD203" s="1248"/>
      <c r="BE203" s="1102">
        <v>0.05</v>
      </c>
      <c r="BF203" s="1103">
        <v>0.05</v>
      </c>
      <c r="BG203" s="1104">
        <f>BG204/BG36</f>
        <v>4.3915318319763447E-2</v>
      </c>
      <c r="BH203" s="1105"/>
      <c r="BI203" s="1102">
        <f>BI204/BI36</f>
        <v>4.9500000000000002E-2</v>
      </c>
      <c r="BJ203" s="1103">
        <f>BJ204/BJ36</f>
        <v>4.9990909090909086E-2</v>
      </c>
      <c r="BK203" s="1361">
        <f>BK204/BK36</f>
        <v>3.9145893427355159E-2</v>
      </c>
      <c r="BL203" s="1105"/>
      <c r="BM203" s="1102">
        <f>BM204/BM36</f>
        <v>4.9585714285714282E-2</v>
      </c>
      <c r="BN203" s="1103">
        <v>0.05</v>
      </c>
      <c r="BO203" s="1104">
        <v>5.0363940426707124E-2</v>
      </c>
      <c r="BP203" s="1105"/>
      <c r="BQ203" s="1110">
        <f>BQ204/BQ36</f>
        <v>4.9975714285714283E-2</v>
      </c>
      <c r="BR203" s="1111"/>
      <c r="BS203" s="1111">
        <f>BS204/BS36</f>
        <v>5.0249999999999996E-2</v>
      </c>
      <c r="BT203" s="1108">
        <f>BT204/BT36</f>
        <v>4.510415765150276E-2</v>
      </c>
      <c r="BU203" s="1108"/>
      <c r="BV203" s="1109"/>
      <c r="BW203" s="1089"/>
      <c r="BX203" s="1102">
        <f>BX204/BX36</f>
        <v>4.9999999999999996E-2</v>
      </c>
      <c r="BY203" s="1103">
        <v>0.05</v>
      </c>
      <c r="BZ203" s="1104">
        <f>BZ204/BZ36</f>
        <v>6.5791073965347419E-2</v>
      </c>
      <c r="CA203" s="1105"/>
      <c r="CB203" s="1102">
        <f>CB204/CB36</f>
        <v>5.0909090909090918E-2</v>
      </c>
      <c r="CC203" s="1103">
        <v>0.05</v>
      </c>
      <c r="CD203" s="1277">
        <v>0.05</v>
      </c>
      <c r="CE203" s="1105">
        <v>4.8000000000000001E-2</v>
      </c>
      <c r="CF203" s="1102">
        <f>CF204/CF36</f>
        <v>0.05</v>
      </c>
      <c r="CG203" s="1103">
        <v>0.05</v>
      </c>
      <c r="CH203" s="1277">
        <f>CG203</f>
        <v>0.05</v>
      </c>
      <c r="CI203" s="1105"/>
      <c r="CJ203" s="1110">
        <f>CJ204/CJ36</f>
        <v>5.0326797385620917E-2</v>
      </c>
      <c r="CK203" s="1111"/>
      <c r="CL203" s="1111">
        <f>CL204/CL36</f>
        <v>0.05</v>
      </c>
      <c r="CM203" s="1108">
        <f>CM204/CM36</f>
        <v>5.6575538663656784E-2</v>
      </c>
      <c r="CN203" s="1111"/>
      <c r="CO203" s="1111"/>
      <c r="CP203" s="1089"/>
      <c r="CQ203" s="1110">
        <f>CQ204/CQ36</f>
        <v>5.0123691460055096E-2</v>
      </c>
      <c r="CR203" s="1111"/>
      <c r="CS203" s="1111">
        <f>CS204/CS36</f>
        <v>5.0142473118279574E-2</v>
      </c>
      <c r="CT203" s="1108">
        <f>CT204/CT36</f>
        <v>5.0224237295412436E-2</v>
      </c>
      <c r="CU203" s="1162"/>
      <c r="CV203" s="1162"/>
      <c r="CW203" s="1083">
        <f>CT204/CS204</f>
        <v>0.93033049828770664</v>
      </c>
      <c r="CX203" s="1128"/>
      <c r="CY203" s="1131"/>
      <c r="CZ203" s="1248"/>
      <c r="DA203" s="1248"/>
      <c r="DB203" s="1248"/>
      <c r="DC203" s="950"/>
      <c r="DD203" s="950"/>
    </row>
    <row r="204" spans="1:108">
      <c r="A204" s="992"/>
      <c r="B204" s="1412" t="s">
        <v>320</v>
      </c>
      <c r="C204" s="1413"/>
      <c r="D204" s="1009"/>
      <c r="E204" s="695">
        <f>E36*5%</f>
        <v>299.14529914529919</v>
      </c>
      <c r="F204" s="800">
        <f>F36*F163</f>
        <v>341.88034188034192</v>
      </c>
      <c r="G204" s="801">
        <v>411.93736000000001</v>
      </c>
      <c r="H204" s="867">
        <f>G204-F204</f>
        <v>70.057018119658096</v>
      </c>
      <c r="I204" s="695">
        <f>I36*5%</f>
        <v>329.0598290598291</v>
      </c>
      <c r="J204" s="800">
        <f>J203*J36</f>
        <v>427.35042735042737</v>
      </c>
      <c r="K204" s="801">
        <f>K203*K36</f>
        <v>451.61468392358972</v>
      </c>
      <c r="L204" s="867">
        <f>K204-J204</f>
        <v>24.264256573162356</v>
      </c>
      <c r="M204" s="695">
        <f>M36*5%</f>
        <v>358.97435897435901</v>
      </c>
      <c r="N204" s="800">
        <f>N203*N36</f>
        <v>658.1196581196582</v>
      </c>
      <c r="O204" s="801">
        <f>O203*O36</f>
        <v>1086.6821432900617</v>
      </c>
      <c r="P204" s="867">
        <f>O204-N204</f>
        <v>428.56248517040353</v>
      </c>
      <c r="Q204" s="767">
        <f>E204+I204+M204</f>
        <v>987.1794871794873</v>
      </c>
      <c r="R204" s="951">
        <f>R203*R36</f>
        <v>987.1794871794873</v>
      </c>
      <c r="S204" s="721">
        <f>G204+J204+N204</f>
        <v>1497.4074454700856</v>
      </c>
      <c r="T204" s="699">
        <f>G204+K204+O204</f>
        <v>1950.2341872136515</v>
      </c>
      <c r="U204" s="699">
        <f>T204-Q204</f>
        <v>963.05470003416417</v>
      </c>
      <c r="V204" s="717">
        <f t="shared" ref="V204:V250" si="320">T204-R204</f>
        <v>963.05470003416417</v>
      </c>
      <c r="W204" s="688">
        <f>T204-S204</f>
        <v>452.82674174356589</v>
      </c>
      <c r="X204" s="695">
        <f>X36*5%</f>
        <v>358.97435897435901</v>
      </c>
      <c r="Y204" s="800">
        <f>Y203*Y36</f>
        <v>538.45292307692318</v>
      </c>
      <c r="Z204" s="801">
        <f>Z203*Z36</f>
        <v>582.39901779751438</v>
      </c>
      <c r="AA204" s="867">
        <f>Z204-Y204</f>
        <v>43.946094720591191</v>
      </c>
      <c r="AB204" s="695">
        <f>AB36*5%</f>
        <v>358.97435897435901</v>
      </c>
      <c r="AC204" s="800">
        <f>AC203*AC36</f>
        <v>538.46153846153857</v>
      </c>
      <c r="AD204" s="801">
        <f>AD203*AD36</f>
        <v>460.67476512820502</v>
      </c>
      <c r="AE204" s="867">
        <f>AD204-AC204</f>
        <v>-77.786773333333542</v>
      </c>
      <c r="AF204" s="695">
        <f>AF36*5%</f>
        <v>333.33333333333337</v>
      </c>
      <c r="AG204" s="800">
        <f>AG203*AG36</f>
        <v>319.65811965811969</v>
      </c>
      <c r="AH204" s="801">
        <f>AH203*AH36</f>
        <v>276.0538713608978</v>
      </c>
      <c r="AI204" s="867">
        <f>AH204-AG204</f>
        <v>-43.604248297221886</v>
      </c>
      <c r="AJ204" s="702">
        <f>X204+AB204+AF204</f>
        <v>1051.2820512820513</v>
      </c>
      <c r="AK204" s="951">
        <f>AK203*AK36</f>
        <v>1051.2820512820515</v>
      </c>
      <c r="AL204" s="721">
        <f>Y204+AC204+AG204</f>
        <v>1396.5725811965813</v>
      </c>
      <c r="AM204" s="699">
        <f>Z204+AD204+AH204</f>
        <v>1319.1276542866171</v>
      </c>
      <c r="AN204" s="721">
        <f>AM204-AJ204</f>
        <v>267.84560300456587</v>
      </c>
      <c r="AO204" s="717">
        <f t="shared" ref="AO204:AO250" si="321">AM204-AK204</f>
        <v>267.84560300456565</v>
      </c>
      <c r="AP204" s="688">
        <f>AM204-AL204</f>
        <v>-77.444926909964124</v>
      </c>
      <c r="AQ204" s="700">
        <f>SUM(Q204,AJ204)</f>
        <v>2038.4615384615386</v>
      </c>
      <c r="AR204" s="699">
        <f>SUM(R204,AK204)</f>
        <v>2038.4615384615388</v>
      </c>
      <c r="AS204" s="613">
        <f>S204+AL204</f>
        <v>2893.9800266666671</v>
      </c>
      <c r="AT204" s="760">
        <f>SUM(T204,AM204)</f>
        <v>3269.3618415002684</v>
      </c>
      <c r="AU204" s="717">
        <f>AT204-AQ204</f>
        <v>1230.9003030387298</v>
      </c>
      <c r="AV204" s="717">
        <f t="shared" ref="AV204:AV250" si="322">AT204-AR204</f>
        <v>1230.9003030387296</v>
      </c>
      <c r="AW204" s="688">
        <f>AT204-AS204</f>
        <v>375.38181483360131</v>
      </c>
      <c r="AX204" s="695"/>
      <c r="AY204" s="696"/>
      <c r="AZ204" s="696"/>
      <c r="BA204" s="697"/>
      <c r="BB204" s="697"/>
      <c r="BC204" s="697"/>
      <c r="BD204" s="697"/>
      <c r="BE204" s="695">
        <v>355</v>
      </c>
      <c r="BF204" s="800">
        <v>355</v>
      </c>
      <c r="BG204" s="801">
        <v>240.24216000000007</v>
      </c>
      <c r="BH204" s="867">
        <f>BG204-BF204</f>
        <v>-114.75783999999993</v>
      </c>
      <c r="BI204" s="695">
        <v>275</v>
      </c>
      <c r="BJ204" s="800">
        <v>235</v>
      </c>
      <c r="BK204" s="1362">
        <v>177</v>
      </c>
      <c r="BL204" s="867">
        <f>BK204-BJ204</f>
        <v>-58</v>
      </c>
      <c r="BM204" s="695">
        <v>267</v>
      </c>
      <c r="BN204" s="800">
        <f>BN203*BN36</f>
        <v>320.51282051282055</v>
      </c>
      <c r="BO204" s="801">
        <f>BO203*BO36</f>
        <v>320.23797878609986</v>
      </c>
      <c r="BP204" s="867">
        <f>BO204-BN204</f>
        <v>-0.27484172672069462</v>
      </c>
      <c r="BQ204" s="702">
        <f>BE204+BI204+BM204</f>
        <v>897</v>
      </c>
      <c r="BR204" s="721"/>
      <c r="BS204" s="721">
        <f>BF204+BJ204+BN204</f>
        <v>910.51282051282055</v>
      </c>
      <c r="BT204" s="699">
        <f>BG204+BK204+BO204</f>
        <v>737.48013878609993</v>
      </c>
      <c r="BU204" s="699">
        <f>BT204-BQ204</f>
        <v>-159.51986121390007</v>
      </c>
      <c r="BV204" s="717"/>
      <c r="BW204" s="688">
        <f>BT204-BS204</f>
        <v>-173.03268172672063</v>
      </c>
      <c r="BX204" s="695">
        <v>269.23076923076923</v>
      </c>
      <c r="BY204" s="800">
        <f>BY203*BY36</f>
        <v>299.14529914529919</v>
      </c>
      <c r="BZ204" s="801">
        <v>361.10574023617301</v>
      </c>
      <c r="CA204" s="867">
        <f>BZ204-BY204</f>
        <v>61.960441090873815</v>
      </c>
      <c r="CB204" s="695">
        <v>239.31623931623938</v>
      </c>
      <c r="CC204" s="800">
        <f>CC203*CC36</f>
        <v>213.67521367521368</v>
      </c>
      <c r="CD204" s="803">
        <v>213.67521367521368</v>
      </c>
      <c r="CE204" s="867">
        <f>CD204-CC204</f>
        <v>0</v>
      </c>
      <c r="CF204" s="695">
        <v>149.5726495726496</v>
      </c>
      <c r="CG204" s="800">
        <f>CG203*CG36</f>
        <v>170.94017094017096</v>
      </c>
      <c r="CH204" s="803">
        <f>CH203*CH36</f>
        <v>170.94017094017096</v>
      </c>
      <c r="CI204" s="867">
        <f>CH204-CG204</f>
        <v>0</v>
      </c>
      <c r="CJ204" s="702">
        <f>BX204+CB204+CF204</f>
        <v>658.1196581196582</v>
      </c>
      <c r="CK204" s="721"/>
      <c r="CL204" s="721">
        <f>BY204+CC204+CG204</f>
        <v>683.76068376068383</v>
      </c>
      <c r="CM204" s="699">
        <f>BZ204+CD204+CH204</f>
        <v>745.72112485155753</v>
      </c>
      <c r="CN204" s="721">
        <f>CM204-CJ204</f>
        <v>87.601466731899336</v>
      </c>
      <c r="CO204" s="721"/>
      <c r="CP204" s="688">
        <f>CM204-CL204</f>
        <v>61.960441090873701</v>
      </c>
      <c r="CQ204" s="700">
        <f>SUM(BQ204,CJ204)</f>
        <v>1555.1196581196582</v>
      </c>
      <c r="CR204" s="1184"/>
      <c r="CS204" s="613">
        <f>BS204+CL204</f>
        <v>1594.2735042735044</v>
      </c>
      <c r="CT204" s="760">
        <f>SUM(BT204,CM204)</f>
        <v>1483.2012636376576</v>
      </c>
      <c r="CU204" s="717">
        <f>CT204-CQ204</f>
        <v>-71.918394482000622</v>
      </c>
      <c r="CV204" s="717"/>
      <c r="CW204" s="688">
        <f>CT204-CS204</f>
        <v>-111.07224063584681</v>
      </c>
      <c r="CX204" s="695"/>
      <c r="CY204" s="696"/>
      <c r="CZ204" s="723"/>
      <c r="DA204" s="723"/>
      <c r="DB204" s="723"/>
      <c r="DC204" s="697"/>
      <c r="DD204" s="697"/>
    </row>
    <row r="205" spans="1:108">
      <c r="A205" s="1033"/>
      <c r="B205" s="1041"/>
      <c r="C205" s="1041" t="s">
        <v>165</v>
      </c>
      <c r="D205" s="1032"/>
      <c r="E205" s="944">
        <f>E206/E37</f>
        <v>0.19</v>
      </c>
      <c r="F205" s="945">
        <f>F206/F37</f>
        <v>0.19</v>
      </c>
      <c r="G205" s="946">
        <f>G206/G37</f>
        <v>0.12006880046695224</v>
      </c>
      <c r="H205" s="947"/>
      <c r="I205" s="1102">
        <f>I206/I37</f>
        <v>0.19</v>
      </c>
      <c r="J205" s="1103">
        <v>0.19</v>
      </c>
      <c r="K205" s="1104">
        <v>0.22731999999999999</v>
      </c>
      <c r="L205" s="1105"/>
      <c r="M205" s="1102">
        <f>M206/M37</f>
        <v>0.19</v>
      </c>
      <c r="N205" s="1103">
        <v>0.19</v>
      </c>
      <c r="O205" s="1104">
        <v>0.11632479363464651</v>
      </c>
      <c r="P205" s="1105"/>
      <c r="Q205" s="1102">
        <f>Q206/Q37</f>
        <v>0.19</v>
      </c>
      <c r="R205" s="1106">
        <v>0.18961</v>
      </c>
      <c r="S205" s="1111">
        <f>S206/S37</f>
        <v>0.16485167770144551</v>
      </c>
      <c r="T205" s="1108">
        <f>T206/T37</f>
        <v>0.1345752181498002</v>
      </c>
      <c r="U205" s="1108"/>
      <c r="V205" s="1109"/>
      <c r="W205" s="1089"/>
      <c r="X205" s="1102">
        <f>X206/X37</f>
        <v>0.19</v>
      </c>
      <c r="Y205" s="1103">
        <v>0.19</v>
      </c>
      <c r="Z205" s="1104">
        <v>0.26156415871611494</v>
      </c>
      <c r="AA205" s="1105">
        <v>0.14599999999999999</v>
      </c>
      <c r="AB205" s="1102">
        <f>AB206/AB37</f>
        <v>0.19</v>
      </c>
      <c r="AC205" s="1103">
        <v>0.19</v>
      </c>
      <c r="AD205" s="1104">
        <v>0.22974901485902804</v>
      </c>
      <c r="AE205" s="1105">
        <v>0.14599999999999999</v>
      </c>
      <c r="AF205" s="1102">
        <f>AF206/AF37</f>
        <v>0.19</v>
      </c>
      <c r="AG205" s="1103">
        <v>0.19</v>
      </c>
      <c r="AH205" s="1104">
        <v>0.24676715788050765</v>
      </c>
      <c r="AI205" s="1105"/>
      <c r="AJ205" s="1110">
        <f>AJ206/AJ37</f>
        <v>0.19</v>
      </c>
      <c r="AK205" s="1106">
        <v>0.18961</v>
      </c>
      <c r="AL205" s="1111">
        <f>AL206/AL37</f>
        <v>0.19</v>
      </c>
      <c r="AM205" s="1108">
        <f>AM206/AM37</f>
        <v>0.24508357819179055</v>
      </c>
      <c r="AN205" s="1111"/>
      <c r="AO205" s="1109"/>
      <c r="AP205" s="1089"/>
      <c r="AQ205" s="1110">
        <f>AQ206/AQ37</f>
        <v>0.19</v>
      </c>
      <c r="AR205" s="1108">
        <f>AR206/AR37</f>
        <v>0.18961</v>
      </c>
      <c r="AS205" s="1111">
        <f>AS206/AS37</f>
        <v>0.1753065999696517</v>
      </c>
      <c r="AT205" s="1108">
        <f>AT206/AT37</f>
        <v>0.18896177885110935</v>
      </c>
      <c r="AU205" s="1162"/>
      <c r="AV205" s="1109"/>
      <c r="AW205" s="1083"/>
      <c r="AX205" s="1128"/>
      <c r="AY205" s="1131"/>
      <c r="AZ205" s="1131"/>
      <c r="BA205" s="1248"/>
      <c r="BB205" s="1248"/>
      <c r="BC205" s="1248"/>
      <c r="BD205" s="1248"/>
      <c r="BE205" s="1102">
        <f>BE206/BE37</f>
        <v>0.18953999999999999</v>
      </c>
      <c r="BF205" s="1103">
        <f>BF206/BF37</f>
        <v>0.18953999999999999</v>
      </c>
      <c r="BG205" s="1104">
        <f>BG206/BG37</f>
        <v>0.18047691300863472</v>
      </c>
      <c r="BH205" s="1105"/>
      <c r="BI205" s="1102">
        <f>BI206/BI37</f>
        <v>0.19</v>
      </c>
      <c r="BJ205" s="1103">
        <f>BJ206/BJ37</f>
        <v>0.19188</v>
      </c>
      <c r="BK205" s="1361">
        <f>BK206/BK37</f>
        <v>0.31976747321853782</v>
      </c>
      <c r="BL205" s="1105"/>
      <c r="BM205" s="1102">
        <f>BM206/BM37</f>
        <v>0.19</v>
      </c>
      <c r="BN205" s="1103">
        <v>0.19</v>
      </c>
      <c r="BO205" s="1104">
        <f>BO206/BO37</f>
        <v>0.25182969230665436</v>
      </c>
      <c r="BP205" s="1105"/>
      <c r="BQ205" s="1110">
        <f>BQ206/BQ37</f>
        <v>0.18984666666666666</v>
      </c>
      <c r="BR205" s="1111"/>
      <c r="BS205" s="1111">
        <f>BS206/BS37</f>
        <v>0.19047333333333333</v>
      </c>
      <c r="BT205" s="1108">
        <f>BT206/BT37</f>
        <v>0.239968200388433</v>
      </c>
      <c r="BU205" s="1108"/>
      <c r="BV205" s="1109"/>
      <c r="BW205" s="1089"/>
      <c r="BX205" s="1102">
        <f>BX206/BX37</f>
        <v>0.19012499999999999</v>
      </c>
      <c r="BY205" s="1103">
        <v>0.19</v>
      </c>
      <c r="BZ205" s="1104">
        <f>BZ206/BZ37</f>
        <v>0.21781981475781709</v>
      </c>
      <c r="CA205" s="1105">
        <v>0.14599999999999999</v>
      </c>
      <c r="CB205" s="1102">
        <f>CB206/CB37</f>
        <v>0.19</v>
      </c>
      <c r="CC205" s="1103">
        <v>0.19</v>
      </c>
      <c r="CD205" s="1277">
        <v>0.19</v>
      </c>
      <c r="CE205" s="1105">
        <v>0.14599999999999999</v>
      </c>
      <c r="CF205" s="1102">
        <f>CF206/CF37</f>
        <v>0.19</v>
      </c>
      <c r="CG205" s="1103">
        <v>0.19</v>
      </c>
      <c r="CH205" s="1277">
        <f>CG205</f>
        <v>0.19</v>
      </c>
      <c r="CI205" s="1105"/>
      <c r="CJ205" s="1110">
        <f>CJ206/CJ37</f>
        <v>0.19005555555555553</v>
      </c>
      <c r="CK205" s="1111"/>
      <c r="CL205" s="1111">
        <f>CL206/CL37</f>
        <v>0.19</v>
      </c>
      <c r="CM205" s="1108">
        <f>CM206/CM37</f>
        <v>0.20979489134187973</v>
      </c>
      <c r="CN205" s="1111"/>
      <c r="CO205" s="1111"/>
      <c r="CP205" s="1089"/>
      <c r="CQ205" s="1110">
        <f>CQ206/CQ37</f>
        <v>0.18993410852713177</v>
      </c>
      <c r="CR205" s="1111"/>
      <c r="CS205" s="1111">
        <f>CS206/CS37</f>
        <v>0.19027307692307688</v>
      </c>
      <c r="CT205" s="1108">
        <f>CT206/CT37</f>
        <v>0.22322449235265837</v>
      </c>
      <c r="CU205" s="1162"/>
      <c r="CV205" s="1162"/>
      <c r="CW205" s="1083">
        <f>CT206/CS206</f>
        <v>1.6913248934440532</v>
      </c>
      <c r="CX205" s="1128"/>
      <c r="CY205" s="1131"/>
      <c r="CZ205" s="1248"/>
      <c r="DA205" s="1248"/>
      <c r="DB205" s="1248"/>
      <c r="DC205" s="950"/>
      <c r="DD205" s="950"/>
    </row>
    <row r="206" spans="1:108">
      <c r="A206" s="992"/>
      <c r="B206" s="998"/>
      <c r="C206" s="1023" t="s">
        <v>158</v>
      </c>
      <c r="D206" s="1024"/>
      <c r="E206" s="695">
        <f>E37*19%</f>
        <v>64.957264957264968</v>
      </c>
      <c r="F206" s="800">
        <f>F37*19%</f>
        <v>64.957264957264968</v>
      </c>
      <c r="G206" s="801">
        <v>51.866129999999998</v>
      </c>
      <c r="H206" s="867">
        <f>G206-F206</f>
        <v>-13.09113495726497</v>
      </c>
      <c r="I206" s="695">
        <f>I37*19%</f>
        <v>64.957264957264968</v>
      </c>
      <c r="J206" s="800">
        <f>J205*J37</f>
        <v>81.196581196581207</v>
      </c>
      <c r="K206" s="801">
        <f>K205*K37</f>
        <v>27.043446322393162</v>
      </c>
      <c r="L206" s="867">
        <f>K206-J206</f>
        <v>-54.153134874188041</v>
      </c>
      <c r="M206" s="695">
        <f>M37*19%</f>
        <v>64.957264957264968</v>
      </c>
      <c r="N206" s="800">
        <f>N205*N37</f>
        <v>64.957264957264968</v>
      </c>
      <c r="O206" s="801">
        <f>O205*O37</f>
        <v>30.385088985886416</v>
      </c>
      <c r="P206" s="867">
        <f>O206-N206</f>
        <v>-34.572175971378556</v>
      </c>
      <c r="Q206" s="767">
        <f>E206+I206+M206</f>
        <v>194.87179487179492</v>
      </c>
      <c r="R206" s="951">
        <f>R205*R37</f>
        <v>194.47179487179488</v>
      </c>
      <c r="S206" s="721">
        <f>G206+J206+N206</f>
        <v>198.01997615384619</v>
      </c>
      <c r="T206" s="699">
        <f>G206+K206+O206</f>
        <v>109.29466530827958</v>
      </c>
      <c r="U206" s="699">
        <f>T206-Q206</f>
        <v>-85.577129563515342</v>
      </c>
      <c r="V206" s="717">
        <f t="shared" si="320"/>
        <v>-85.177129563515308</v>
      </c>
      <c r="W206" s="688">
        <f>T206-S206</f>
        <v>-88.725310845566611</v>
      </c>
      <c r="X206" s="695">
        <f>X37*19%</f>
        <v>81.196581196581207</v>
      </c>
      <c r="Y206" s="800">
        <f>Y205*Y37</f>
        <v>81.196581196581207</v>
      </c>
      <c r="Z206" s="801">
        <f>Z205*Z37</f>
        <v>53.846948010323906</v>
      </c>
      <c r="AA206" s="867">
        <f>Z206-Y206</f>
        <v>-27.3496331862573</v>
      </c>
      <c r="AB206" s="695">
        <f>AB37*19%</f>
        <v>81.196581196581207</v>
      </c>
      <c r="AC206" s="800">
        <f>AC205*AC37</f>
        <v>40.598290598290603</v>
      </c>
      <c r="AD206" s="801">
        <f>AD205*AD37</f>
        <v>59.012554344639653</v>
      </c>
      <c r="AE206" s="867">
        <f>AD206-AC206</f>
        <v>18.41426374634905</v>
      </c>
      <c r="AF206" s="695">
        <f>AF37*19%</f>
        <v>81.196581196581207</v>
      </c>
      <c r="AG206" s="800">
        <f>AG205*AG37</f>
        <v>40.598290598290603</v>
      </c>
      <c r="AH206" s="801">
        <f>AH205*AH37</f>
        <v>80.029778291612018</v>
      </c>
      <c r="AI206" s="867">
        <f>AH206-AG206</f>
        <v>39.431487693321415</v>
      </c>
      <c r="AJ206" s="702">
        <f>X206+AB206+AF206</f>
        <v>243.58974358974362</v>
      </c>
      <c r="AK206" s="951">
        <f>AK205*AK37</f>
        <v>243.08974358974362</v>
      </c>
      <c r="AL206" s="721">
        <f>Y206+AC206+AG206</f>
        <v>162.39316239316241</v>
      </c>
      <c r="AM206" s="699">
        <f>Z206+AD206+AH206</f>
        <v>192.88928064657557</v>
      </c>
      <c r="AN206" s="721">
        <f>AM206-AJ206</f>
        <v>-50.700462943168048</v>
      </c>
      <c r="AO206" s="717">
        <f t="shared" si="321"/>
        <v>-50.200462943168048</v>
      </c>
      <c r="AP206" s="688">
        <f>AM206-AL206</f>
        <v>30.496118253413158</v>
      </c>
      <c r="AQ206" s="700">
        <f>SUM(Q206,AJ206)</f>
        <v>438.46153846153857</v>
      </c>
      <c r="AR206" s="699">
        <f>SUM(R206,AK206)</f>
        <v>437.56153846153848</v>
      </c>
      <c r="AS206" s="613">
        <f>S206+AL206</f>
        <v>360.4131385470086</v>
      </c>
      <c r="AT206" s="760">
        <f>SUM(T206,AM206)</f>
        <v>302.18394595485518</v>
      </c>
      <c r="AU206" s="717">
        <f>AT206-AQ206</f>
        <v>-136.27759250668339</v>
      </c>
      <c r="AV206" s="717">
        <f t="shared" si="322"/>
        <v>-135.3775925066833</v>
      </c>
      <c r="AW206" s="688">
        <f>AT206-AS206</f>
        <v>-58.229192592153424</v>
      </c>
      <c r="AX206" s="695"/>
      <c r="AY206" s="696"/>
      <c r="AZ206" s="696"/>
      <c r="BA206" s="697"/>
      <c r="BB206" s="697"/>
      <c r="BC206" s="697"/>
      <c r="BD206" s="697"/>
      <c r="BE206" s="695">
        <v>40.5</v>
      </c>
      <c r="BF206" s="800">
        <v>40.5</v>
      </c>
      <c r="BG206" s="801">
        <v>34.700329999999994</v>
      </c>
      <c r="BH206" s="867">
        <f>BG206-BF206</f>
        <v>-5.7996700000000061</v>
      </c>
      <c r="BI206" s="695">
        <v>40.598290598290603</v>
      </c>
      <c r="BJ206" s="800">
        <v>41</v>
      </c>
      <c r="BK206" s="1362">
        <v>24.768619999999999</v>
      </c>
      <c r="BL206" s="867">
        <f>BK206-BJ206</f>
        <v>-16.231380000000001</v>
      </c>
      <c r="BM206" s="695">
        <v>40.598290598290603</v>
      </c>
      <c r="BN206" s="800">
        <f>BN205*BN37</f>
        <v>40.598290598290603</v>
      </c>
      <c r="BO206" s="801">
        <v>111.61682148514943</v>
      </c>
      <c r="BP206" s="867">
        <f>BO206-BN206</f>
        <v>71.018530886858827</v>
      </c>
      <c r="BQ206" s="702">
        <f>BE206+BI206+BM206</f>
        <v>121.69658119658121</v>
      </c>
      <c r="BR206" s="721"/>
      <c r="BS206" s="721">
        <f>BF206+BJ206+BN206</f>
        <v>122.0982905982906</v>
      </c>
      <c r="BT206" s="699">
        <f>BG206+BK206+BO206</f>
        <v>171.08577148514942</v>
      </c>
      <c r="BU206" s="699">
        <f>BT206-BQ206</f>
        <v>49.389190288568216</v>
      </c>
      <c r="BV206" s="717"/>
      <c r="BW206" s="688">
        <f>BT206-BS206</f>
        <v>48.987480886858819</v>
      </c>
      <c r="BX206" s="695">
        <v>39</v>
      </c>
      <c r="BY206" s="800">
        <f>BY205*BY37</f>
        <v>40.598290598290603</v>
      </c>
      <c r="BZ206" s="801">
        <v>137.76693707711874</v>
      </c>
      <c r="CA206" s="867">
        <f>BZ206-BY206</f>
        <v>97.168646478828137</v>
      </c>
      <c r="CB206" s="695">
        <v>24.358974358974358</v>
      </c>
      <c r="CC206" s="800">
        <f>CC205*CC37</f>
        <v>24.358974358974358</v>
      </c>
      <c r="CD206" s="803">
        <v>24.358974358974358</v>
      </c>
      <c r="CE206" s="867">
        <f>CD206-CC206</f>
        <v>0</v>
      </c>
      <c r="CF206" s="695">
        <v>24.358974358974358</v>
      </c>
      <c r="CG206" s="800">
        <f>CG205*CG37</f>
        <v>24.358974358974358</v>
      </c>
      <c r="CH206" s="803">
        <f>CH205*CH37</f>
        <v>24.358974358974358</v>
      </c>
      <c r="CI206" s="867">
        <f>CH206-CG206</f>
        <v>0</v>
      </c>
      <c r="CJ206" s="702">
        <f>BX206+CB206+CF206</f>
        <v>87.717948717948715</v>
      </c>
      <c r="CK206" s="721"/>
      <c r="CL206" s="721">
        <f>BY206+CC206+CG206</f>
        <v>89.316239316239319</v>
      </c>
      <c r="CM206" s="699">
        <f>BZ206+CD206+CH206</f>
        <v>186.48488579506747</v>
      </c>
      <c r="CN206" s="721">
        <f>CM206-CJ206</f>
        <v>98.766937077118754</v>
      </c>
      <c r="CO206" s="721"/>
      <c r="CP206" s="688">
        <f>CM206-CL206</f>
        <v>97.168646478828151</v>
      </c>
      <c r="CQ206" s="700">
        <f>SUM(BQ206,CJ206)</f>
        <v>209.41452991452991</v>
      </c>
      <c r="CR206" s="1184"/>
      <c r="CS206" s="613">
        <f>BS206+CL206</f>
        <v>211.41452991452991</v>
      </c>
      <c r="CT206" s="760">
        <f>SUM(BT206,CM206)</f>
        <v>357.57065728021689</v>
      </c>
      <c r="CU206" s="717">
        <f>CT206-CQ206</f>
        <v>148.15612736568698</v>
      </c>
      <c r="CV206" s="717"/>
      <c r="CW206" s="688">
        <f>CT206-CS206</f>
        <v>146.15612736568698</v>
      </c>
      <c r="CX206" s="695"/>
      <c r="CY206" s="696"/>
      <c r="CZ206" s="723"/>
      <c r="DA206" s="723"/>
      <c r="DB206" s="723"/>
      <c r="DC206" s="697"/>
      <c r="DD206" s="697"/>
    </row>
    <row r="207" spans="1:108">
      <c r="A207" s="1033"/>
      <c r="B207" s="1042"/>
      <c r="C207" s="1031"/>
      <c r="D207" s="1032" t="s">
        <v>165</v>
      </c>
      <c r="E207" s="944"/>
      <c r="F207" s="945"/>
      <c r="G207" s="946"/>
      <c r="H207" s="982"/>
      <c r="I207" s="1102">
        <v>0.18</v>
      </c>
      <c r="J207" s="1103">
        <v>0.18</v>
      </c>
      <c r="K207" s="1104">
        <v>0.13002983041305821</v>
      </c>
      <c r="L207" s="1163"/>
      <c r="M207" s="1102">
        <v>0.18</v>
      </c>
      <c r="N207" s="1103">
        <v>0.18</v>
      </c>
      <c r="O207" s="1104">
        <v>0.14783042674779295</v>
      </c>
      <c r="P207" s="1163"/>
      <c r="Q207" s="1128">
        <f>Q208/Q38</f>
        <v>0.18</v>
      </c>
      <c r="R207" s="1129">
        <v>0.18</v>
      </c>
      <c r="S207" s="1131">
        <f>S208/S38</f>
        <v>0.17999999999999997</v>
      </c>
      <c r="T207" s="1134">
        <f>T208/T38</f>
        <v>0.14718476110052575</v>
      </c>
      <c r="U207" s="1134"/>
      <c r="V207" s="1135"/>
      <c r="W207" s="1084"/>
      <c r="X207" s="1102">
        <v>0.18</v>
      </c>
      <c r="Y207" s="1103">
        <v>0.18</v>
      </c>
      <c r="Z207" s="1104">
        <v>0.14002085214372895</v>
      </c>
      <c r="AA207" s="1163">
        <v>0.13200000000000001</v>
      </c>
      <c r="AB207" s="1102">
        <v>0.18</v>
      </c>
      <c r="AC207" s="1103">
        <v>0.18</v>
      </c>
      <c r="AD207" s="1104">
        <v>0.14319401174916863</v>
      </c>
      <c r="AE207" s="1163"/>
      <c r="AF207" s="1102">
        <v>0.18</v>
      </c>
      <c r="AG207" s="1103">
        <v>0.156</v>
      </c>
      <c r="AH207" s="1104">
        <v>0.14974987561586647</v>
      </c>
      <c r="AI207" s="1163"/>
      <c r="AJ207" s="1133">
        <f>AJ208/AJ38</f>
        <v>0.18</v>
      </c>
      <c r="AK207" s="1129">
        <v>0.18</v>
      </c>
      <c r="AL207" s="1131">
        <f>AL208/AL38</f>
        <v>0.16800000000000001</v>
      </c>
      <c r="AM207" s="1134">
        <f>AM208/AM38</f>
        <v>0.14487646831739978</v>
      </c>
      <c r="AN207" s="1131"/>
      <c r="AO207" s="1135"/>
      <c r="AP207" s="1084"/>
      <c r="AQ207" s="1110">
        <f>AQ208/AQ38</f>
        <v>0.17999999999999997</v>
      </c>
      <c r="AR207" s="1134">
        <f>AR208/AR38</f>
        <v>0.18000000000000002</v>
      </c>
      <c r="AS207" s="1111">
        <f>AS208/AS38</f>
        <v>0.16936170212765958</v>
      </c>
      <c r="AT207" s="1108">
        <f>AT208/AT38</f>
        <v>0.14507833686891053</v>
      </c>
      <c r="AU207" s="1162"/>
      <c r="AV207" s="1135"/>
      <c r="AW207" s="1083"/>
      <c r="AX207" s="1128"/>
      <c r="AY207" s="1131"/>
      <c r="AZ207" s="1131"/>
      <c r="BA207" s="1248"/>
      <c r="BB207" s="1248"/>
      <c r="BC207" s="1248"/>
      <c r="BD207" s="1248"/>
      <c r="BE207" s="1102">
        <v>0.247</v>
      </c>
      <c r="BF207" s="1103">
        <f>BF208/BF38</f>
        <v>0.19306643785729563</v>
      </c>
      <c r="BG207" s="1104">
        <f>BG208/BG38</f>
        <v>0.1910592620269328</v>
      </c>
      <c r="BH207" s="1163"/>
      <c r="BI207" s="1102">
        <v>0.247</v>
      </c>
      <c r="BJ207" s="1103">
        <f>BJ208/BJ38</f>
        <v>0.24004499999999998</v>
      </c>
      <c r="BK207" s="1361">
        <f>BK208/BK38</f>
        <v>0.23363429701930011</v>
      </c>
      <c r="BL207" s="1163"/>
      <c r="BM207" s="1102">
        <v>0.247</v>
      </c>
      <c r="BN207" s="1103">
        <v>0.23999999999999996</v>
      </c>
      <c r="BO207" s="1104">
        <f>BO208/BO38</f>
        <v>0.23355668705884253</v>
      </c>
      <c r="BP207" s="1163"/>
      <c r="BQ207" s="1133">
        <f>BQ208/BQ38</f>
        <v>0.247</v>
      </c>
      <c r="BR207" s="1131"/>
      <c r="BS207" s="1131">
        <f>BS208/BS38</f>
        <v>0.21989847336741239</v>
      </c>
      <c r="BT207" s="1134">
        <f>BT208/BT38</f>
        <v>0.22011786164776131</v>
      </c>
      <c r="BU207" s="1134"/>
      <c r="BV207" s="1135"/>
      <c r="BW207" s="1084"/>
      <c r="BX207" s="1102">
        <v>0.251</v>
      </c>
      <c r="BY207" s="1103">
        <v>0.23285714285714287</v>
      </c>
      <c r="BZ207" s="1104">
        <f>BZ208/BZ38</f>
        <v>0.22682812569017491</v>
      </c>
      <c r="CA207" s="1105">
        <v>0.13200000000000001</v>
      </c>
      <c r="CB207" s="1102">
        <v>0.251</v>
      </c>
      <c r="CC207" s="1103">
        <v>0.23333333333333328</v>
      </c>
      <c r="CD207" s="1277">
        <v>0.23333333333333328</v>
      </c>
      <c r="CE207" s="1105">
        <v>0.13200000000000001</v>
      </c>
      <c r="CF207" s="1102">
        <v>0.251</v>
      </c>
      <c r="CG207" s="1103">
        <v>0.23444444444444448</v>
      </c>
      <c r="CH207" s="1277">
        <f>CG207</f>
        <v>0.23444444444444448</v>
      </c>
      <c r="CI207" s="1105"/>
      <c r="CJ207" s="1110">
        <f>CJ208/CJ38</f>
        <v>0.251</v>
      </c>
      <c r="CK207" s="1111"/>
      <c r="CL207" s="1111">
        <f>CL208/CL38</f>
        <v>0.23342857142857143</v>
      </c>
      <c r="CM207" s="1108">
        <f>CM208/CM38</f>
        <v>0.23142452376457409</v>
      </c>
      <c r="CN207" s="1111"/>
      <c r="CO207" s="1111"/>
      <c r="CP207" s="1089"/>
      <c r="CQ207" s="1110">
        <f>CQ208/CQ38</f>
        <v>0.24877777777777774</v>
      </c>
      <c r="CR207" s="1111"/>
      <c r="CS207" s="1111">
        <f>CS208/CS38</f>
        <v>0.22604851794066649</v>
      </c>
      <c r="CT207" s="1108">
        <f>CT208/CT38</f>
        <v>0.22612851213189639</v>
      </c>
      <c r="CU207" s="1162"/>
      <c r="CV207" s="1162"/>
      <c r="CW207" s="1083">
        <f>CT208/CS208</f>
        <v>0.77950685868762037</v>
      </c>
      <c r="CX207" s="1128"/>
      <c r="CY207" s="1131"/>
      <c r="CZ207" s="1248"/>
      <c r="DA207" s="1248"/>
      <c r="DB207" s="1248"/>
      <c r="DC207" s="950"/>
      <c r="DD207" s="950"/>
    </row>
    <row r="208" spans="1:108">
      <c r="A208" s="992"/>
      <c r="B208" s="992"/>
      <c r="C208" s="992"/>
      <c r="D208" s="1024" t="s">
        <v>314</v>
      </c>
      <c r="E208" s="695"/>
      <c r="F208" s="800"/>
      <c r="G208" s="801"/>
      <c r="H208" s="889"/>
      <c r="I208" s="695">
        <f>I38*I207</f>
        <v>1392.3076923076924</v>
      </c>
      <c r="J208" s="800">
        <f>J207*J38</f>
        <v>338.46153846153845</v>
      </c>
      <c r="K208" s="801">
        <f>K207*K38</f>
        <v>7.0401706557059827</v>
      </c>
      <c r="L208" s="889">
        <f>K208-J208</f>
        <v>-331.42136780583246</v>
      </c>
      <c r="M208" s="695">
        <f>M38*M207</f>
        <v>1392.3076923076924</v>
      </c>
      <c r="N208" s="800">
        <f>N207*N38</f>
        <v>153.84615384615384</v>
      </c>
      <c r="O208" s="801">
        <f>O207*O38</f>
        <v>212.65975466234434</v>
      </c>
      <c r="P208" s="889">
        <f>O208-N208</f>
        <v>58.813600816190501</v>
      </c>
      <c r="Q208" s="695">
        <f>E208+I208+M208</f>
        <v>2784.6153846153848</v>
      </c>
      <c r="R208" s="901">
        <f>R207*R38</f>
        <v>4870.7692307692314</v>
      </c>
      <c r="S208" s="696">
        <f>G208+J208+N208</f>
        <v>492.30769230769226</v>
      </c>
      <c r="T208" s="760">
        <f>G208+K208+O208</f>
        <v>219.69992531805033</v>
      </c>
      <c r="U208" s="760">
        <f>T208-Q208</f>
        <v>-2564.9154592973346</v>
      </c>
      <c r="V208" s="761">
        <f>T208-R208</f>
        <v>-4651.0693054511812</v>
      </c>
      <c r="W208" s="762">
        <f>T208-S208</f>
        <v>-272.60776698964196</v>
      </c>
      <c r="X208" s="695">
        <f>X38*X207</f>
        <v>2784.6153846153848</v>
      </c>
      <c r="Y208" s="800">
        <f>Y207*Y38</f>
        <v>615.38461538461536</v>
      </c>
      <c r="Z208" s="801">
        <f>Z207*Z38</f>
        <v>563.65860766631897</v>
      </c>
      <c r="AA208" s="889">
        <f>Z208-Y208</f>
        <v>-51.726007718296387</v>
      </c>
      <c r="AB208" s="695">
        <f>AB38*AB207</f>
        <v>3200</v>
      </c>
      <c r="AC208" s="800">
        <f>AC207*AC38</f>
        <v>1307.6923076923078</v>
      </c>
      <c r="AD208" s="801">
        <f>AD207*AD38</f>
        <v>802.5155403426869</v>
      </c>
      <c r="AE208" s="889">
        <f>AD208-AC208</f>
        <v>-505.17676734962095</v>
      </c>
      <c r="AF208" s="695">
        <f>AF38*AF207</f>
        <v>3646.1538461538462</v>
      </c>
      <c r="AG208" s="800">
        <f>AG207*AG38</f>
        <v>1666.6666666666667</v>
      </c>
      <c r="AH208" s="801">
        <f>AH207*AH38</f>
        <v>890.36092391653665</v>
      </c>
      <c r="AI208" s="889">
        <f>AH208-AG208</f>
        <v>-776.30574275013009</v>
      </c>
      <c r="AJ208" s="700">
        <f>X208+AB208+AF208</f>
        <v>9630.7692307692305</v>
      </c>
      <c r="AK208" s="901">
        <f>AK207*AK38</f>
        <v>11384.615384615385</v>
      </c>
      <c r="AL208" s="696">
        <f>Y208+AC208+AG208</f>
        <v>3589.7435897435898</v>
      </c>
      <c r="AM208" s="760">
        <f>Z208+AD208+AH208</f>
        <v>2256.5350719255425</v>
      </c>
      <c r="AN208" s="696">
        <f>AM208-AJ208</f>
        <v>-7374.2341588436884</v>
      </c>
      <c r="AO208" s="761">
        <f>AM208-AK208</f>
        <v>-9128.0803126898427</v>
      </c>
      <c r="AP208" s="762">
        <f>AM208-AL208</f>
        <v>-1333.2085178180473</v>
      </c>
      <c r="AQ208" s="700">
        <f>SUM(Q208,AJ208)</f>
        <v>12415.384615384615</v>
      </c>
      <c r="AR208" s="760">
        <f>SUM(R208,AK208)</f>
        <v>16255.384615384617</v>
      </c>
      <c r="AS208" s="595">
        <f>S208+AL208</f>
        <v>4082.0512820512822</v>
      </c>
      <c r="AT208" s="760">
        <f>SUM(T208,AM208)</f>
        <v>2476.2349972435927</v>
      </c>
      <c r="AU208" s="761">
        <f>AT208-AQ208</f>
        <v>-9939.1496181410221</v>
      </c>
      <c r="AV208" s="761">
        <f>AT208-AR208</f>
        <v>-13779.149618141024</v>
      </c>
      <c r="AW208" s="762">
        <f>AT208-AS208</f>
        <v>-1605.8162848076895</v>
      </c>
      <c r="AX208" s="695"/>
      <c r="AY208" s="696"/>
      <c r="AZ208" s="696"/>
      <c r="BA208" s="697"/>
      <c r="BB208" s="697"/>
      <c r="BC208" s="697"/>
      <c r="BD208" s="697"/>
      <c r="BE208" s="695">
        <f>BE207*BE38</f>
        <v>3800</v>
      </c>
      <c r="BF208" s="800">
        <v>2970.2528901122405</v>
      </c>
      <c r="BG208" s="866">
        <v>1454.07366</v>
      </c>
      <c r="BH208" s="867">
        <f>BG208-BF208</f>
        <v>-1516.1792301122405</v>
      </c>
      <c r="BI208" s="767">
        <f>BI207*BI38</f>
        <v>4222.2222222222217</v>
      </c>
      <c r="BJ208" s="865">
        <v>2462</v>
      </c>
      <c r="BK208" s="1365">
        <v>1867.85169</v>
      </c>
      <c r="BL208" s="867">
        <f>BK208-BJ208</f>
        <v>-594.14831000000004</v>
      </c>
      <c r="BM208" s="767">
        <f>BM207*BM38</f>
        <v>4644.4444444444443</v>
      </c>
      <c r="BN208" s="865">
        <f>BN207*BN38</f>
        <v>2461.5384615384614</v>
      </c>
      <c r="BO208" s="866">
        <v>1965.4597692823802</v>
      </c>
      <c r="BP208" s="867">
        <f>BO208-BN208</f>
        <v>-496.07869225608124</v>
      </c>
      <c r="BQ208" s="702">
        <f>BE208+BI208+BM208</f>
        <v>12666.666666666666</v>
      </c>
      <c r="BR208" s="721"/>
      <c r="BS208" s="721">
        <f>BF208+BJ208+BN208</f>
        <v>7893.7913516507015</v>
      </c>
      <c r="BT208" s="699">
        <f>BG208+BK208+BO208</f>
        <v>5287.3851192823804</v>
      </c>
      <c r="BU208" s="699">
        <f>BT208-BQ208</f>
        <v>-7379.2815473842857</v>
      </c>
      <c r="BV208" s="717"/>
      <c r="BW208" s="688">
        <f>BT208-BS208</f>
        <v>-2606.4062323683211</v>
      </c>
      <c r="BX208" s="702">
        <f>BX207*BX38</f>
        <v>4719.6581196581201</v>
      </c>
      <c r="BY208" s="865">
        <f>BY207*BY38</f>
        <v>2786.3247863247866</v>
      </c>
      <c r="BZ208" s="866">
        <v>2112.5212910431992</v>
      </c>
      <c r="CA208" s="867">
        <f>BZ208-BY208</f>
        <v>-673.8034952815874</v>
      </c>
      <c r="CB208" s="767">
        <f>CB207*CB38</f>
        <v>3432.4786324786328</v>
      </c>
      <c r="CC208" s="865">
        <f>CC207*CC38</f>
        <v>2393.1623931623931</v>
      </c>
      <c r="CD208" s="803">
        <v>2393.1623931623931</v>
      </c>
      <c r="CE208" s="867">
        <f>CD208-CC208</f>
        <v>0</v>
      </c>
      <c r="CF208" s="767">
        <f>CF207*CF38</f>
        <v>2145.2991452991455</v>
      </c>
      <c r="CG208" s="865">
        <f>CG207*CG38</f>
        <v>1803.4188034188037</v>
      </c>
      <c r="CH208" s="868">
        <f>CH207*CH38</f>
        <v>1803.4188034188037</v>
      </c>
      <c r="CI208" s="867">
        <f>CH208-CG208</f>
        <v>0</v>
      </c>
      <c r="CJ208" s="702">
        <f>BX208+CB208+CF208</f>
        <v>10297.435897435898</v>
      </c>
      <c r="CK208" s="721"/>
      <c r="CL208" s="721">
        <f>BY208+CC208+CG208</f>
        <v>6982.9059829059834</v>
      </c>
      <c r="CM208" s="699">
        <f>BZ208+CD208+CH208</f>
        <v>6309.1024876243964</v>
      </c>
      <c r="CN208" s="721">
        <f>CM208-CJ208</f>
        <v>-3988.333409811502</v>
      </c>
      <c r="CO208" s="721"/>
      <c r="CP208" s="688">
        <f>CM208-CL208</f>
        <v>-673.80349528158695</v>
      </c>
      <c r="CQ208" s="702">
        <f>SUM(BQ208,CJ208)</f>
        <v>22964.102564102563</v>
      </c>
      <c r="CR208" s="952"/>
      <c r="CS208" s="613">
        <f>BS208+CL208</f>
        <v>14876.697334556684</v>
      </c>
      <c r="CT208" s="699">
        <f>SUM(BT208,CM208)</f>
        <v>11596.487606906776</v>
      </c>
      <c r="CU208" s="717">
        <f>CT208-CQ208</f>
        <v>-11367.614957195787</v>
      </c>
      <c r="CV208" s="761"/>
      <c r="CW208" s="762">
        <f>CT208-CS208</f>
        <v>-3280.209727649908</v>
      </c>
      <c r="CX208" s="695"/>
      <c r="CY208" s="696"/>
      <c r="CZ208" s="723"/>
      <c r="DA208" s="723"/>
      <c r="DB208" s="723"/>
      <c r="DC208" s="697"/>
      <c r="DD208" s="697"/>
    </row>
    <row r="209" spans="1:108">
      <c r="A209" s="1033"/>
      <c r="B209" s="1042"/>
      <c r="C209" s="1033"/>
      <c r="D209" s="1032" t="s">
        <v>165</v>
      </c>
      <c r="E209" s="944"/>
      <c r="F209" s="945"/>
      <c r="G209" s="946"/>
      <c r="H209" s="947"/>
      <c r="I209" s="1102">
        <v>0.17899999999999999</v>
      </c>
      <c r="J209" s="1103">
        <v>0.17899999999999999</v>
      </c>
      <c r="K209" s="1104"/>
      <c r="L209" s="1105"/>
      <c r="M209" s="1102">
        <v>0.17899999999999999</v>
      </c>
      <c r="N209" s="1103">
        <v>0.17899999999999999</v>
      </c>
      <c r="O209" s="1104">
        <v>0.2201646245332263</v>
      </c>
      <c r="P209" s="1105"/>
      <c r="Q209" s="1102">
        <f>Q210/Q39</f>
        <v>0.17899999999999999</v>
      </c>
      <c r="R209" s="1106">
        <v>0.17899999999999999</v>
      </c>
      <c r="S209" s="1111">
        <f>S210/S38</f>
        <v>0.19130625000000001</v>
      </c>
      <c r="T209" s="1108">
        <f>T210/T39</f>
        <v>0.2201646245332263</v>
      </c>
      <c r="U209" s="1108"/>
      <c r="V209" s="1109"/>
      <c r="W209" s="1089"/>
      <c r="X209" s="1102">
        <v>0.17899999999999999</v>
      </c>
      <c r="Y209" s="1103">
        <v>0.17899999999999999</v>
      </c>
      <c r="Z209" s="1104">
        <v>0.20748098783200355</v>
      </c>
      <c r="AA209" s="1105">
        <v>0.13200000000000001</v>
      </c>
      <c r="AB209" s="1102">
        <v>0.17899999999999999</v>
      </c>
      <c r="AC209" s="1103">
        <v>0.17899999999999999</v>
      </c>
      <c r="AD209" s="1104">
        <v>0.21441985023445162</v>
      </c>
      <c r="AE209" s="1105"/>
      <c r="AF209" s="1102">
        <v>0.17899999999999999</v>
      </c>
      <c r="AG209" s="1103">
        <v>0.21299999999999999</v>
      </c>
      <c r="AH209" s="1104">
        <v>0.25097352502147247</v>
      </c>
      <c r="AI209" s="1105"/>
      <c r="AJ209" s="1110">
        <f>AJ210/AJ39</f>
        <v>0.17899999999999999</v>
      </c>
      <c r="AK209" s="1106">
        <v>0.17899999999999999</v>
      </c>
      <c r="AL209" s="1111">
        <f>AL210/AL39</f>
        <v>0.19842857142857143</v>
      </c>
      <c r="AM209" s="1108">
        <f>AM210/AM39</f>
        <v>0.22929479254570068</v>
      </c>
      <c r="AN209" s="1111"/>
      <c r="AO209" s="1109"/>
      <c r="AP209" s="1089"/>
      <c r="AQ209" s="1110">
        <f>AQ210/AQ39</f>
        <v>0.17899999999999999</v>
      </c>
      <c r="AR209" s="1108">
        <f>AR210/AR39</f>
        <v>0.17899999999999996</v>
      </c>
      <c r="AS209" s="1111">
        <f>AS210/AS39</f>
        <v>0.19205182341650673</v>
      </c>
      <c r="AT209" s="1108">
        <f>AT210/AT39</f>
        <v>0.2291277586518444</v>
      </c>
      <c r="AU209" s="1162"/>
      <c r="AV209" s="1109"/>
      <c r="AW209" s="1083"/>
      <c r="AX209" s="1128"/>
      <c r="AY209" s="1131"/>
      <c r="AZ209" s="1131"/>
      <c r="BA209" s="1248"/>
      <c r="BB209" s="1248"/>
      <c r="BC209" s="1248"/>
      <c r="BD209" s="1248"/>
      <c r="BE209" s="1102">
        <f>BE210/BE39</f>
        <v>0.18051428571428571</v>
      </c>
      <c r="BF209" s="1103">
        <f>BF210/BF39</f>
        <v>0.18187317138664777</v>
      </c>
      <c r="BG209" s="1127">
        <f>BG210/BG39</f>
        <v>0.22604980565035346</v>
      </c>
      <c r="BH209" s="1163"/>
      <c r="BI209" s="1128">
        <f>BI210/BI39</f>
        <v>0.18</v>
      </c>
      <c r="BJ209" s="1126">
        <f>BJ210/BJ39</f>
        <v>0.2079</v>
      </c>
      <c r="BK209" s="1366">
        <f>BK210/BK39</f>
        <v>0.22382857922995195</v>
      </c>
      <c r="BL209" s="1163"/>
      <c r="BM209" s="1128">
        <f>BM210/BM39</f>
        <v>0.18</v>
      </c>
      <c r="BN209" s="1126">
        <v>0.18947368421052632</v>
      </c>
      <c r="BO209" s="1127">
        <f>BO210/BO39</f>
        <v>0.23074339967206561</v>
      </c>
      <c r="BP209" s="1163"/>
      <c r="BQ209" s="1133">
        <f>BQ210/BQ39</f>
        <v>0.18014285714285713</v>
      </c>
      <c r="BR209" s="1131"/>
      <c r="BS209" s="1131">
        <f>BS210/BS38</f>
        <v>4.5318623802536533E-2</v>
      </c>
      <c r="BT209" s="1134">
        <f>BT210/BT39</f>
        <v>0.2272603772288477</v>
      </c>
      <c r="BU209" s="1134"/>
      <c r="BV209" s="1135"/>
      <c r="BW209" s="1084"/>
      <c r="BX209" s="1128">
        <f>BX210/BX39</f>
        <v>0.18</v>
      </c>
      <c r="BY209" s="1126">
        <v>0.18000000000000002</v>
      </c>
      <c r="BZ209" s="1127">
        <f>BZ210/BZ39</f>
        <v>0.23987099270626308</v>
      </c>
      <c r="CA209" s="1163">
        <v>0.13200000000000001</v>
      </c>
      <c r="CB209" s="1128">
        <f>CB210/CB39</f>
        <v>0.18</v>
      </c>
      <c r="CC209" s="1126">
        <v>0.18000000000000002</v>
      </c>
      <c r="CD209" s="1277">
        <v>0.18000000000000002</v>
      </c>
      <c r="CE209" s="1163">
        <v>0.13200000000000001</v>
      </c>
      <c r="CF209" s="1128">
        <f>CF210/CF39</f>
        <v>0.17948863636363635</v>
      </c>
      <c r="CG209" s="1126">
        <v>0.18</v>
      </c>
      <c r="CH209" s="1277">
        <f>CG209</f>
        <v>0.18</v>
      </c>
      <c r="CI209" s="1163"/>
      <c r="CJ209" s="1133">
        <f>CJ210/CJ39</f>
        <v>0.17988970588235292</v>
      </c>
      <c r="CK209" s="1131"/>
      <c r="CL209" s="1131">
        <f>CL210/CL39</f>
        <v>0.18000000000000005</v>
      </c>
      <c r="CM209" s="1134">
        <f>CM210/CM39</f>
        <v>0.19348578865665558</v>
      </c>
      <c r="CN209" s="1131"/>
      <c r="CO209" s="1131"/>
      <c r="CP209" s="1084"/>
      <c r="CQ209" s="1133">
        <f>CQ210/CQ39</f>
        <v>0.18002960526315787</v>
      </c>
      <c r="CR209" s="1130"/>
      <c r="CS209" s="1130">
        <f>CS210/CS39</f>
        <v>0.18431937177605992</v>
      </c>
      <c r="CT209" s="1134">
        <f>CT210/CT39</f>
        <v>0.20567281688421976</v>
      </c>
      <c r="CU209" s="1162"/>
      <c r="CV209" s="1162"/>
      <c r="CW209" s="1083">
        <f>CT210/CS210</f>
        <v>0.49111559363106821</v>
      </c>
      <c r="CX209" s="1128"/>
      <c r="CY209" s="1131"/>
      <c r="CZ209" s="1248"/>
      <c r="DA209" s="1248"/>
      <c r="DB209" s="1248"/>
      <c r="DC209" s="950"/>
      <c r="DD209" s="950"/>
    </row>
    <row r="210" spans="1:108">
      <c r="A210" s="992"/>
      <c r="B210" s="992"/>
      <c r="C210" s="992"/>
      <c r="D210" s="1024" t="s">
        <v>315</v>
      </c>
      <c r="E210" s="767"/>
      <c r="F210" s="865"/>
      <c r="G210" s="866"/>
      <c r="H210" s="867"/>
      <c r="I210" s="767">
        <f>I209*I39</f>
        <v>711.41025641025647</v>
      </c>
      <c r="J210" s="865">
        <f>J209*J39</f>
        <v>263.14529914529913</v>
      </c>
      <c r="K210" s="866">
        <f>K209*K39</f>
        <v>0</v>
      </c>
      <c r="L210" s="867">
        <f>L209*L7</f>
        <v>0</v>
      </c>
      <c r="M210" s="767">
        <f>M209*M39</f>
        <v>711.41025641025647</v>
      </c>
      <c r="N210" s="865">
        <f>N209*N39</f>
        <v>260.08547008547009</v>
      </c>
      <c r="O210" s="866">
        <f>O209*O39</f>
        <v>7.3162398306425978</v>
      </c>
      <c r="P210" s="867">
        <f>P209*P7</f>
        <v>0</v>
      </c>
      <c r="Q210" s="767">
        <f>E210+I210+M210</f>
        <v>1422.8205128205129</v>
      </c>
      <c r="R210" s="951">
        <f>R209*R39</f>
        <v>2631.4529914529912</v>
      </c>
      <c r="S210" s="721">
        <f>G210+J210+N210</f>
        <v>523.23076923076928</v>
      </c>
      <c r="T210" s="699">
        <f>G210+K210+O210</f>
        <v>7.3162398306425978</v>
      </c>
      <c r="U210" s="699">
        <f>T210-Q210</f>
        <v>-1415.5042729898703</v>
      </c>
      <c r="V210" s="717">
        <f>T210-R210</f>
        <v>-2624.1367516223486</v>
      </c>
      <c r="W210" s="688">
        <f>T210-S210</f>
        <v>-515.91452940012664</v>
      </c>
      <c r="X210" s="767">
        <f>X39*X209</f>
        <v>1162.7350427350427</v>
      </c>
      <c r="Y210" s="865">
        <f>Y39*Y209</f>
        <v>152.991452991453</v>
      </c>
      <c r="Z210" s="866">
        <f>Z39*Z209</f>
        <v>107.22138648878332</v>
      </c>
      <c r="AA210" s="867">
        <f>Z210-Y210</f>
        <v>-45.770066502669678</v>
      </c>
      <c r="AB210" s="767">
        <f>AB39*AB209</f>
        <v>1407.5213675213674</v>
      </c>
      <c r="AC210" s="865">
        <f>AC39*AC209</f>
        <v>305.982905982906</v>
      </c>
      <c r="AD210" s="866">
        <f>AD39*AD209</f>
        <v>94.917070164938366</v>
      </c>
      <c r="AE210" s="867">
        <f>AD210-AC210</f>
        <v>-211.06583581796764</v>
      </c>
      <c r="AF210" s="767">
        <f>AF39*AF209</f>
        <v>1649.2478632478633</v>
      </c>
      <c r="AG210" s="865">
        <f>AG39*AG209</f>
        <v>728.20512820512818</v>
      </c>
      <c r="AH210" s="866">
        <f>AH39*AH209</f>
        <v>206.73590186621328</v>
      </c>
      <c r="AI210" s="867">
        <f>AH210-AG210</f>
        <v>-521.46922633891495</v>
      </c>
      <c r="AJ210" s="702">
        <f>X210+AB210+AF210</f>
        <v>4219.5042735042734</v>
      </c>
      <c r="AK210" s="951">
        <f>AK39*AK209</f>
        <v>6119.6581196581192</v>
      </c>
      <c r="AL210" s="721">
        <f>Y210+AC210+AG210</f>
        <v>1187.1794871794873</v>
      </c>
      <c r="AM210" s="699">
        <f>Z210+AD210+AH210</f>
        <v>408.87435851993496</v>
      </c>
      <c r="AN210" s="721">
        <f>AM210-AJ210</f>
        <v>-3810.6299149843385</v>
      </c>
      <c r="AO210" s="717">
        <f>AM210-AK210</f>
        <v>-5710.7837611381838</v>
      </c>
      <c r="AP210" s="688">
        <f>AM210-AL210</f>
        <v>-778.30512865955234</v>
      </c>
      <c r="AQ210" s="702">
        <f>SUM(Q210,AJ210)</f>
        <v>5642.3247863247861</v>
      </c>
      <c r="AR210" s="699">
        <f>SUM(R210,AK210)</f>
        <v>8751.1111111111095</v>
      </c>
      <c r="AS210" s="613">
        <f>S210+AL210</f>
        <v>1710.4102564102566</v>
      </c>
      <c r="AT210" s="699">
        <f>SUM(T210,AM210)</f>
        <v>416.19059835057755</v>
      </c>
      <c r="AU210" s="717">
        <f>AT210-AQ210</f>
        <v>-5226.1341879742085</v>
      </c>
      <c r="AV210" s="717">
        <f>AT210-AR210</f>
        <v>-8334.9205127605328</v>
      </c>
      <c r="AW210" s="688">
        <f>AT210-AS210</f>
        <v>-1294.219658059679</v>
      </c>
      <c r="AX210" s="695"/>
      <c r="AY210" s="696"/>
      <c r="AZ210" s="696"/>
      <c r="BA210" s="697"/>
      <c r="BB210" s="697"/>
      <c r="BC210" s="697"/>
      <c r="BD210" s="697"/>
      <c r="BE210" s="695">
        <v>1080</v>
      </c>
      <c r="BF210" s="865">
        <v>1088.1300852192603</v>
      </c>
      <c r="BG210" s="866">
        <v>135.24869000000001</v>
      </c>
      <c r="BH210" s="867">
        <f>BG210-BF210</f>
        <v>-952.8813952192603</v>
      </c>
      <c r="BI210" s="767">
        <v>1400</v>
      </c>
      <c r="BJ210" s="865">
        <v>231</v>
      </c>
      <c r="BK210" s="1365">
        <v>147.83341999999999</v>
      </c>
      <c r="BL210" s="867">
        <f>BK210-BJ210</f>
        <v>-83.16658000000001</v>
      </c>
      <c r="BM210" s="767">
        <v>1400</v>
      </c>
      <c r="BN210" s="865">
        <f>BN209*BN39</f>
        <v>307.69230769230774</v>
      </c>
      <c r="BO210" s="866">
        <v>198.14270998027834</v>
      </c>
      <c r="BP210" s="867">
        <f>BO210-BN210</f>
        <v>-109.5495977120294</v>
      </c>
      <c r="BQ210" s="702">
        <f>BE210+BI210+BM210</f>
        <v>3880</v>
      </c>
      <c r="BR210" s="721"/>
      <c r="BS210" s="721">
        <f>BF210+BJ210+BN210</f>
        <v>1626.8223929115679</v>
      </c>
      <c r="BT210" s="699">
        <f>BG210+BK210+BO210</f>
        <v>481.22481998027831</v>
      </c>
      <c r="BU210" s="699">
        <f>BT210-BQ210</f>
        <v>-3398.7751800197216</v>
      </c>
      <c r="BV210" s="717"/>
      <c r="BW210" s="688">
        <f>BT210-BS210</f>
        <v>-1145.5975729312895</v>
      </c>
      <c r="BX210" s="702">
        <v>1384.6153846153845</v>
      </c>
      <c r="BY210" s="865">
        <f>BY209*BY39</f>
        <v>307.69230769230774</v>
      </c>
      <c r="BZ210" s="866">
        <v>202.65982610953475</v>
      </c>
      <c r="CA210" s="867">
        <f>BZ210-BY210</f>
        <v>-105.03248158277299</v>
      </c>
      <c r="CB210" s="767">
        <v>1076.9230769230769</v>
      </c>
      <c r="CC210" s="865">
        <f>CC209*CC39</f>
        <v>307.69230769230774</v>
      </c>
      <c r="CD210" s="803">
        <v>307.69230769230774</v>
      </c>
      <c r="CE210" s="867">
        <f>CD210-CC210</f>
        <v>0</v>
      </c>
      <c r="CF210" s="767">
        <v>675</v>
      </c>
      <c r="CG210" s="865">
        <f>CG209*CG39</f>
        <v>215.38461538461542</v>
      </c>
      <c r="CH210" s="868">
        <f>CH209*CH39</f>
        <v>215.38461538461542</v>
      </c>
      <c r="CI210" s="867">
        <f>CH210-CG210</f>
        <v>0</v>
      </c>
      <c r="CJ210" s="702">
        <f>BX210+CB210+CF210</f>
        <v>3136.5384615384614</v>
      </c>
      <c r="CK210" s="721"/>
      <c r="CL210" s="721">
        <f>BY210+CC210+CG210</f>
        <v>830.76923076923094</v>
      </c>
      <c r="CM210" s="699">
        <f>BZ210+CD210+CH210</f>
        <v>725.73674918645793</v>
      </c>
      <c r="CN210" s="721">
        <f>CM210-CJ210</f>
        <v>-2410.8017123520035</v>
      </c>
      <c r="CO210" s="721"/>
      <c r="CP210" s="688">
        <f>CM210-CL210</f>
        <v>-105.03248158277302</v>
      </c>
      <c r="CQ210" s="702">
        <f>SUM(BQ210,CJ210)</f>
        <v>7016.538461538461</v>
      </c>
      <c r="CR210" s="952"/>
      <c r="CS210" s="613">
        <f>BS210+CL210</f>
        <v>2457.5916236807989</v>
      </c>
      <c r="CT210" s="760">
        <f>SUM(BT210,CM210)</f>
        <v>1206.9615691667364</v>
      </c>
      <c r="CU210" s="717">
        <f>CT210-CQ210</f>
        <v>-5809.5768923717242</v>
      </c>
      <c r="CV210" s="761"/>
      <c r="CW210" s="762">
        <f>CT210-CS210</f>
        <v>-1250.6300545140625</v>
      </c>
      <c r="CX210" s="695"/>
      <c r="CY210" s="696"/>
      <c r="CZ210" s="723"/>
      <c r="DA210" s="723"/>
      <c r="DB210" s="723"/>
      <c r="DC210" s="697"/>
      <c r="DD210" s="697"/>
    </row>
    <row r="211" spans="1:108">
      <c r="A211" s="1033"/>
      <c r="B211" s="1042"/>
      <c r="C211" s="1042" t="s">
        <v>165</v>
      </c>
      <c r="D211" s="1032"/>
      <c r="E211" s="949">
        <f>E212/E40</f>
        <v>0.13800000000000001</v>
      </c>
      <c r="F211" s="959">
        <f>F212/F40</f>
        <v>0.126</v>
      </c>
      <c r="G211" s="960">
        <f>G212/G40</f>
        <v>0.12005504593522769</v>
      </c>
      <c r="H211" s="982"/>
      <c r="I211" s="1128">
        <f>I212/I40</f>
        <v>0.13800000000000001</v>
      </c>
      <c r="J211" s="1126">
        <v>0.126</v>
      </c>
      <c r="K211" s="1127">
        <v>0.1215</v>
      </c>
      <c r="L211" s="1163"/>
      <c r="M211" s="1128">
        <f>M212/M40</f>
        <v>0.13800000000000001</v>
      </c>
      <c r="N211" s="1126">
        <v>0.125</v>
      </c>
      <c r="O211" s="1127">
        <v>0.11859431142108387</v>
      </c>
      <c r="P211" s="1163"/>
      <c r="Q211" s="1128">
        <f>Q212/Q40</f>
        <v>0.13800000000000001</v>
      </c>
      <c r="R211" s="1129">
        <v>0.1441636</v>
      </c>
      <c r="S211" s="1131">
        <f>S212/S40</f>
        <v>0.1238095423634865</v>
      </c>
      <c r="T211" s="1134">
        <f>T212/T40</f>
        <v>0.12004745885446001</v>
      </c>
      <c r="U211" s="1134"/>
      <c r="V211" s="1135"/>
      <c r="W211" s="1084"/>
      <c r="X211" s="1128">
        <f>X212/X40</f>
        <v>0.14400000000000002</v>
      </c>
      <c r="Y211" s="1126">
        <v>0.12636241610738255</v>
      </c>
      <c r="Z211" s="1127">
        <v>0.12244170695247025</v>
      </c>
      <c r="AA211" s="1163">
        <v>0.13200000000000001</v>
      </c>
      <c r="AB211" s="1128">
        <f>AB212/AB40</f>
        <v>0.14400000000000002</v>
      </c>
      <c r="AC211" s="1126">
        <v>0.13</v>
      </c>
      <c r="AD211" s="1127">
        <v>0.12475043424694061</v>
      </c>
      <c r="AE211" s="1163">
        <v>0.13200000000000001</v>
      </c>
      <c r="AF211" s="1128">
        <f>AF212/AF40</f>
        <v>0.14400000000000002</v>
      </c>
      <c r="AG211" s="1126">
        <v>0.129</v>
      </c>
      <c r="AH211" s="1127">
        <v>0.12402998034013756</v>
      </c>
      <c r="AI211" s="1163"/>
      <c r="AJ211" s="1133">
        <f>AJ212/AJ40</f>
        <v>0.14399999999999999</v>
      </c>
      <c r="AK211" s="1129">
        <v>0.1441636</v>
      </c>
      <c r="AL211" s="1131">
        <f>AL212/AL40</f>
        <v>0.12851150627615063</v>
      </c>
      <c r="AM211" s="1134">
        <f>AM212/AM40</f>
        <v>0.1236739725209034</v>
      </c>
      <c r="AN211" s="1131"/>
      <c r="AO211" s="1135"/>
      <c r="AP211" s="1084"/>
      <c r="AQ211" s="1133">
        <f>AQ212/AQ40</f>
        <v>0.14119341563786009</v>
      </c>
      <c r="AR211" s="1134">
        <f>AR212/AR40</f>
        <v>0.1441636</v>
      </c>
      <c r="AS211" s="1131">
        <f>AS212/AS40</f>
        <v>0.12618200304236385</v>
      </c>
      <c r="AT211" s="1134">
        <f>AT212/AT40</f>
        <v>0.12189694968696151</v>
      </c>
      <c r="AU211" s="1164"/>
      <c r="AV211" s="1135"/>
      <c r="AW211" s="1087"/>
      <c r="AX211" s="1128"/>
      <c r="AY211" s="1131"/>
      <c r="AZ211" s="1131"/>
      <c r="BA211" s="1248"/>
      <c r="BB211" s="1248"/>
      <c r="BC211" s="1248"/>
      <c r="BD211" s="1248"/>
      <c r="BE211" s="1102">
        <f>BE212/BE40</f>
        <v>0.14486078431372548</v>
      </c>
      <c r="BF211" s="1126">
        <f>BF212/BF40</f>
        <v>0.14493972752043596</v>
      </c>
      <c r="BG211" s="1127">
        <f>BG212/BG40</f>
        <v>0.1367402408310785</v>
      </c>
      <c r="BH211" s="1163"/>
      <c r="BI211" s="1128">
        <f>BI212/BI40</f>
        <v>0.16636527545909849</v>
      </c>
      <c r="BJ211" s="1126">
        <f>BJ212/BJ40</f>
        <v>0.14823476323119775</v>
      </c>
      <c r="BK211" s="1366">
        <f>BK212/BK40</f>
        <v>0.14444647117232848</v>
      </c>
      <c r="BL211" s="1163"/>
      <c r="BM211" s="1128">
        <f>BM212/BM40</f>
        <v>0.1694041450777202</v>
      </c>
      <c r="BN211" s="1126">
        <v>0.14887377521613832</v>
      </c>
      <c r="BO211" s="1127">
        <f>BO212/BO40</f>
        <v>0.14889876458316731</v>
      </c>
      <c r="BP211" s="1163"/>
      <c r="BQ211" s="1133">
        <f>BQ212/BQ40</f>
        <v>0.15999586592178769</v>
      </c>
      <c r="BR211" s="1131"/>
      <c r="BS211" s="1131">
        <f>BS212/BS40</f>
        <v>0.14731440820130476</v>
      </c>
      <c r="BT211" s="1134">
        <f>BT212/BT40</f>
        <v>0.14321107580939815</v>
      </c>
      <c r="BU211" s="1134"/>
      <c r="BV211" s="1135"/>
      <c r="BW211" s="1084"/>
      <c r="BX211" s="1128">
        <f>BX212/BX40</f>
        <v>0.16847459584295613</v>
      </c>
      <c r="BY211" s="1126">
        <v>0.15003458213256485</v>
      </c>
      <c r="BZ211" s="1127">
        <f>BZ212/BZ40</f>
        <v>0.1455406055100528</v>
      </c>
      <c r="CA211" s="1163">
        <v>0.13200000000000001</v>
      </c>
      <c r="CB211" s="1128">
        <f>CB212/CB40</f>
        <v>0.16433035714285713</v>
      </c>
      <c r="CC211" s="1126">
        <v>0.15070006863417984</v>
      </c>
      <c r="CD211" s="1278">
        <v>0.15070006863417984</v>
      </c>
      <c r="CE211" s="1163">
        <v>0.13200000000000001</v>
      </c>
      <c r="CF211" s="1128">
        <f>CF212/CF40</f>
        <v>0.16874278074866308</v>
      </c>
      <c r="CG211" s="1126">
        <v>0.15904697986577182</v>
      </c>
      <c r="CH211" s="1277">
        <f>CG211</f>
        <v>0.15904697986577182</v>
      </c>
      <c r="CI211" s="1163"/>
      <c r="CJ211" s="1133">
        <f>CJ212/CJ40</f>
        <v>0.16699253048780485</v>
      </c>
      <c r="CK211" s="1131"/>
      <c r="CL211" s="1131">
        <f>CL212/CL40</f>
        <v>0.15198628397256794</v>
      </c>
      <c r="CM211" s="1134">
        <f>CM212/CM40</f>
        <v>0.14999966568944834</v>
      </c>
      <c r="CN211" s="1131"/>
      <c r="CO211" s="1131"/>
      <c r="CP211" s="1084"/>
      <c r="CQ211" s="1133">
        <f>CQ212/CQ40</f>
        <v>0.16295512572533846</v>
      </c>
      <c r="CR211" s="1131"/>
      <c r="CS211" s="1131">
        <f>CS212/CS40</f>
        <v>0.14929174371102988</v>
      </c>
      <c r="CT211" s="1108">
        <f>CT212/CT40</f>
        <v>0.14607112302301911</v>
      </c>
      <c r="CU211" s="1162"/>
      <c r="CV211" s="1162"/>
      <c r="CW211" s="1083">
        <f>CT212/CS212</f>
        <v>0.98429196162543642</v>
      </c>
      <c r="CX211" s="1128"/>
      <c r="CY211" s="1131"/>
      <c r="CZ211" s="1248"/>
      <c r="DA211" s="1248"/>
      <c r="DB211" s="1248"/>
      <c r="DC211" s="950"/>
      <c r="DD211" s="950"/>
    </row>
    <row r="212" spans="1:108">
      <c r="A212" s="992"/>
      <c r="B212" s="992"/>
      <c r="C212" s="1023" t="s">
        <v>405</v>
      </c>
      <c r="D212" s="1024"/>
      <c r="E212" s="695">
        <f>E40*13.8%</f>
        <v>7477.9487179487196</v>
      </c>
      <c r="F212" s="800">
        <f>F40*12.6%</f>
        <v>6827.6923076923085</v>
      </c>
      <c r="G212" s="801">
        <f>G214-G206</f>
        <v>7446.7474599999996</v>
      </c>
      <c r="H212" s="889">
        <f>G212-F212</f>
        <v>619.05515230769106</v>
      </c>
      <c r="I212" s="695">
        <f>I40*13.8%</f>
        <v>8327.1794871794882</v>
      </c>
      <c r="J212" s="800">
        <f>J211*J40</f>
        <v>8561.5384615384628</v>
      </c>
      <c r="K212" s="801">
        <f>K211*K40</f>
        <v>8620.8923076923074</v>
      </c>
      <c r="L212" s="889">
        <f>K212-J212</f>
        <v>59.353846153844643</v>
      </c>
      <c r="M212" s="695">
        <f>M40*13.8%</f>
        <v>8327.1794871794882</v>
      </c>
      <c r="N212" s="800">
        <f>N211*N40</f>
        <v>8824.7863247863261</v>
      </c>
      <c r="O212" s="801">
        <f>O211*O40</f>
        <v>8449.6191203446506</v>
      </c>
      <c r="P212" s="889">
        <f>O212-N212</f>
        <v>-375.16720444167549</v>
      </c>
      <c r="Q212" s="695">
        <f>E212+I212+M212</f>
        <v>24132.307692307695</v>
      </c>
      <c r="R212" s="901">
        <f>R211*R40</f>
        <v>27391.083999999999</v>
      </c>
      <c r="S212" s="721">
        <f>G212+J212+N212</f>
        <v>24833.072246324788</v>
      </c>
      <c r="T212" s="760">
        <f>G212+K212+O212</f>
        <v>24517.258888036959</v>
      </c>
      <c r="U212" s="760">
        <f>T212-Q212</f>
        <v>384.95119572926342</v>
      </c>
      <c r="V212" s="761">
        <f t="shared" si="320"/>
        <v>-2873.8251119630404</v>
      </c>
      <c r="W212" s="762">
        <f>T212-S212</f>
        <v>-315.81335828782903</v>
      </c>
      <c r="X212" s="695">
        <f>X40*14.4%</f>
        <v>8676.923076923078</v>
      </c>
      <c r="Y212" s="800">
        <f>Y211*Y40</f>
        <v>8046.1538461538466</v>
      </c>
      <c r="Z212" s="801">
        <f>Z211*Z40</f>
        <v>8672.5937657092909</v>
      </c>
      <c r="AA212" s="889">
        <f>Z212-Y212</f>
        <v>626.43991955544425</v>
      </c>
      <c r="AB212" s="695">
        <f>AB40*14.4%</f>
        <v>9550.7692307692323</v>
      </c>
      <c r="AC212" s="800">
        <f>AC211*AC40</f>
        <v>8861.1111111111131</v>
      </c>
      <c r="AD212" s="801">
        <v>8563</v>
      </c>
      <c r="AE212" s="889">
        <f>AD212-AC212</f>
        <v>-298.11111111111313</v>
      </c>
      <c r="AF212" s="695">
        <f>AF40*14.4%</f>
        <v>10424.615384615385</v>
      </c>
      <c r="AG212" s="800">
        <f>AG211*AG40</f>
        <v>9344.2307692307695</v>
      </c>
      <c r="AH212" s="801">
        <f>AH211*AH40</f>
        <v>9052.3385039609002</v>
      </c>
      <c r="AI212" s="889">
        <f>AH212-AG212</f>
        <v>-291.89226526986931</v>
      </c>
      <c r="AJ212" s="700">
        <f>X212+AB212+AF212</f>
        <v>28652.307692307695</v>
      </c>
      <c r="AK212" s="901">
        <f>AK211*AK40</f>
        <v>29830.775692307696</v>
      </c>
      <c r="AL212" s="721">
        <f>Y212+AC212+AG212</f>
        <v>26251.49572649573</v>
      </c>
      <c r="AM212" s="760">
        <f>Z212+AD212+AH212</f>
        <v>26287.932269670193</v>
      </c>
      <c r="AN212" s="696">
        <f>AM212-AJ212</f>
        <v>-2364.3754226375022</v>
      </c>
      <c r="AO212" s="761">
        <f t="shared" si="321"/>
        <v>-3542.843422637503</v>
      </c>
      <c r="AP212" s="762">
        <f>AM212-AL212</f>
        <v>36.436543174462713</v>
      </c>
      <c r="AQ212" s="700">
        <f>SUM(Q212,AJ212)</f>
        <v>52784.61538461539</v>
      </c>
      <c r="AR212" s="760">
        <f>SUM(R212,AK212)</f>
        <v>57221.859692307698</v>
      </c>
      <c r="AS212" s="613">
        <f>S212+AL212</f>
        <v>51084.567972820514</v>
      </c>
      <c r="AT212" s="760">
        <f>SUM(T212,AM212)</f>
        <v>50805.191157707151</v>
      </c>
      <c r="AU212" s="717">
        <f>AT212-AQ212</f>
        <v>-1979.4242269082388</v>
      </c>
      <c r="AV212" s="761">
        <f t="shared" si="322"/>
        <v>-6416.668534600547</v>
      </c>
      <c r="AW212" s="762">
        <f>AT212-AS212</f>
        <v>-279.37681511336268</v>
      </c>
      <c r="AX212" s="695"/>
      <c r="AY212" s="696"/>
      <c r="AZ212" s="696"/>
      <c r="BA212" s="697"/>
      <c r="BB212" s="697"/>
      <c r="BC212" s="697"/>
      <c r="BD212" s="697"/>
      <c r="BE212" s="695">
        <v>11366</v>
      </c>
      <c r="BF212" s="800">
        <v>11366</v>
      </c>
      <c r="BG212" s="801">
        <v>10939.57965999999</v>
      </c>
      <c r="BH212" s="889">
        <f>BG212-BF212</f>
        <v>-426.42034000000967</v>
      </c>
      <c r="BI212" s="695">
        <v>12776</v>
      </c>
      <c r="BJ212" s="800">
        <v>11371</v>
      </c>
      <c r="BK212" s="1362">
        <v>11145.904839999992</v>
      </c>
      <c r="BL212" s="889">
        <f>BK212-BJ212</f>
        <v>-225.09516000000804</v>
      </c>
      <c r="BM212" s="695">
        <v>12575</v>
      </c>
      <c r="BN212" s="800">
        <f>BN211*BN40</f>
        <v>11038.2905982906</v>
      </c>
      <c r="BO212" s="801">
        <f>11075.4454895039-18.5</f>
        <v>11056.9454895039</v>
      </c>
      <c r="BP212" s="889">
        <f>BO212-BN212</f>
        <v>18.654891213300289</v>
      </c>
      <c r="BQ212" s="700">
        <f>BE212+BI212+BM212</f>
        <v>36717</v>
      </c>
      <c r="BR212" s="696"/>
      <c r="BS212" s="721">
        <f>BF212+BJ212+BN212</f>
        <v>33775.290598290601</v>
      </c>
      <c r="BT212" s="760">
        <f>BG212+BK212+BO212</f>
        <v>33142.429989503886</v>
      </c>
      <c r="BU212" s="760">
        <f>BT212-BQ212</f>
        <v>-3574.5700104961143</v>
      </c>
      <c r="BV212" s="761"/>
      <c r="BW212" s="762">
        <f>BT212-BS212</f>
        <v>-632.8606087867156</v>
      </c>
      <c r="BX212" s="695">
        <v>12470</v>
      </c>
      <c r="BY212" s="800">
        <f>BY211*BY40</f>
        <v>11124.358974358976</v>
      </c>
      <c r="BZ212" s="801">
        <v>10825</v>
      </c>
      <c r="CA212" s="889">
        <f>BZ212-BY212</f>
        <v>-299.35897435897641</v>
      </c>
      <c r="CB212" s="695">
        <v>10225</v>
      </c>
      <c r="CC212" s="800">
        <f>CC211*CC40</f>
        <v>9383.3333333333339</v>
      </c>
      <c r="CD212" s="826">
        <v>9383.3333333333339</v>
      </c>
      <c r="CE212" s="889">
        <f>CD212-CC212</f>
        <v>0</v>
      </c>
      <c r="CF212" s="695">
        <v>5394</v>
      </c>
      <c r="CG212" s="800">
        <f>CG211*CG40</f>
        <v>5063.6752136752139</v>
      </c>
      <c r="CH212" s="803">
        <f>CH211*CH40</f>
        <v>5063.6752136752139</v>
      </c>
      <c r="CI212" s="889">
        <f>CH212-CG212</f>
        <v>0</v>
      </c>
      <c r="CJ212" s="700">
        <f>BX212+CB212+CF212</f>
        <v>28089</v>
      </c>
      <c r="CK212" s="696"/>
      <c r="CL212" s="721">
        <f>BY212+CC212+CG212</f>
        <v>25571.367521367527</v>
      </c>
      <c r="CM212" s="760">
        <f>BZ212+CD212+CH212</f>
        <v>25272.008547008551</v>
      </c>
      <c r="CN212" s="696">
        <f>CM212-CJ212</f>
        <v>-2816.9914529914495</v>
      </c>
      <c r="CO212" s="696"/>
      <c r="CP212" s="762">
        <f>CM212-CL212</f>
        <v>-299.35897435897641</v>
      </c>
      <c r="CQ212" s="700">
        <f>SUM(BQ212,CJ212)</f>
        <v>64806</v>
      </c>
      <c r="CR212" s="1184"/>
      <c r="CS212" s="613">
        <f>BS212+CL212</f>
        <v>59346.658119658125</v>
      </c>
      <c r="CT212" s="760">
        <f>SUM(BT212,CM212)</f>
        <v>58414.438536512433</v>
      </c>
      <c r="CU212" s="717">
        <f>CT212-CQ212</f>
        <v>-6391.5614634875674</v>
      </c>
      <c r="CV212" s="761"/>
      <c r="CW212" s="762">
        <f>CT212-CS212</f>
        <v>-932.21958314569201</v>
      </c>
      <c r="CX212" s="695"/>
      <c r="CY212" s="696"/>
      <c r="CZ212" s="723"/>
      <c r="DA212" s="723"/>
      <c r="DB212" s="723"/>
      <c r="DC212" s="697"/>
      <c r="DD212" s="697"/>
    </row>
    <row r="213" spans="1:108">
      <c r="A213" s="1033"/>
      <c r="B213" s="1420" t="s">
        <v>165</v>
      </c>
      <c r="C213" s="1421"/>
      <c r="D213" s="1032"/>
      <c r="E213" s="944">
        <f>E214/E41</f>
        <v>0.13832601880877746</v>
      </c>
      <c r="F213" s="945">
        <f>F214/F41</f>
        <v>0.1264012539184953</v>
      </c>
      <c r="G213" s="946">
        <f>G214/G41</f>
        <v>0.12005514106123517</v>
      </c>
      <c r="H213" s="947"/>
      <c r="I213" s="1102">
        <f>I214/I41</f>
        <v>0.1382929577464789</v>
      </c>
      <c r="J213" s="1103">
        <f>J214/J41</f>
        <v>0.12640000000000004</v>
      </c>
      <c r="K213" s="1104">
        <f>K214/K41</f>
        <v>0.12167712858098741</v>
      </c>
      <c r="L213" s="1105"/>
      <c r="M213" s="1102">
        <f>M214/M41</f>
        <v>0.1382929577464789</v>
      </c>
      <c r="N213" s="1103">
        <f>N214/N41</f>
        <v>0.12531325301204824</v>
      </c>
      <c r="O213" s="1104">
        <f>O214/O41</f>
        <v>0.11858602133112985</v>
      </c>
      <c r="P213" s="1105"/>
      <c r="Q213" s="1102">
        <f>Q214/Q41</f>
        <v>0.13830320699708457</v>
      </c>
      <c r="R213" s="1106">
        <f>R214/R41</f>
        <v>0.1444076075167785</v>
      </c>
      <c r="S213" s="1111">
        <f>S214/S41</f>
        <v>0.12405387197497983</v>
      </c>
      <c r="T213" s="1108">
        <f>T214/T41</f>
        <v>0.12010500151835335</v>
      </c>
      <c r="U213" s="1108"/>
      <c r="V213" s="1109"/>
      <c r="W213" s="1089"/>
      <c r="X213" s="1102">
        <f>X214/X41</f>
        <v>0.14432394366197185</v>
      </c>
      <c r="Y213" s="1103">
        <f>Y214/Y41</f>
        <v>0.12678666666666666</v>
      </c>
      <c r="Z213" s="1104">
        <f>Z214/Z41</f>
        <v>0.12284488792471798</v>
      </c>
      <c r="AA213" s="1105"/>
      <c r="AB213" s="1102">
        <f>AB214/AB41</f>
        <v>0.14429449423815624</v>
      </c>
      <c r="AC213" s="1103">
        <f>AC214/AC41</f>
        <v>0.13018750000000004</v>
      </c>
      <c r="AD213" s="1104">
        <f>AD214/AD41</f>
        <v>0.12495723399208679</v>
      </c>
      <c r="AE213" s="1105"/>
      <c r="AF213" s="1102">
        <f>AF214/AF41</f>
        <v>0.1442699530516432</v>
      </c>
      <c r="AG213" s="1103">
        <v>0.13</v>
      </c>
      <c r="AH213" s="1104">
        <f>AH214/AH41</f>
        <v>0.12457295647442551</v>
      </c>
      <c r="AI213" s="1105"/>
      <c r="AJ213" s="1110">
        <f>AJ214/AJ41</f>
        <v>0.14429449423815627</v>
      </c>
      <c r="AK213" s="1106">
        <f>AK214/AK41</f>
        <v>0.14444344236453202</v>
      </c>
      <c r="AL213" s="1111">
        <f>AL214/AL41</f>
        <v>0.12876770833333331</v>
      </c>
      <c r="AM213" s="1108">
        <f>AM214/AM41</f>
        <v>0.12412185464709309</v>
      </c>
      <c r="AN213" s="1111"/>
      <c r="AO213" s="1109"/>
      <c r="AP213" s="1089"/>
      <c r="AQ213" s="1110">
        <f>AQ214/AQ41</f>
        <v>0.14149284253578737</v>
      </c>
      <c r="AR213" s="1108">
        <f>AR214/AR41</f>
        <v>0.14442629595375722</v>
      </c>
      <c r="AS213" s="1111">
        <f>AS214/AS41</f>
        <v>0.12643020727624338</v>
      </c>
      <c r="AT213" s="1108">
        <f>AT214/AT41</f>
        <v>0.12215328818066337</v>
      </c>
      <c r="AU213" s="1162"/>
      <c r="AV213" s="1109"/>
      <c r="AW213" s="1083"/>
      <c r="AX213" s="1128"/>
      <c r="AY213" s="1131"/>
      <c r="AZ213" s="1131"/>
      <c r="BA213" s="1248"/>
      <c r="BB213" s="1248"/>
      <c r="BC213" s="1248"/>
      <c r="BD213" s="1248"/>
      <c r="BE213" s="1102">
        <f>BE214/BE41</f>
        <v>0.14498212927756651</v>
      </c>
      <c r="BF213" s="1103">
        <f>BF214/BF41</f>
        <v>0.14506092391304345</v>
      </c>
      <c r="BG213" s="1104">
        <f>BG214/BG41</f>
        <v>0.13684510108498388</v>
      </c>
      <c r="BH213" s="1105"/>
      <c r="BI213" s="1102">
        <f>BI214/BI41</f>
        <v>0.16643085460599333</v>
      </c>
      <c r="BJ213" s="1103">
        <f>BJ214/BJ41</f>
        <v>0.14835600000000002</v>
      </c>
      <c r="BK213" s="1361">
        <f>BK214/BK41</f>
        <v>0.14232201879932382</v>
      </c>
      <c r="BL213" s="1105"/>
      <c r="BM213" s="1102">
        <f>BM214/BM41</f>
        <v>0.16946326061997702</v>
      </c>
      <c r="BN213" s="1103">
        <f>BN214/BN41</f>
        <v>0.14899195402298854</v>
      </c>
      <c r="BO213" s="1104">
        <f>BO214/BO41</f>
        <v>0.14950948166510133</v>
      </c>
      <c r="BP213" s="1105"/>
      <c r="BQ213" s="1110">
        <f>BQ214/BQ41</f>
        <v>0.1600790157845868</v>
      </c>
      <c r="BR213" s="1111"/>
      <c r="BS213" s="1111">
        <f>BS214/BS41</f>
        <v>0.14743473977695168</v>
      </c>
      <c r="BT213" s="1108">
        <f>BT214/BT41</f>
        <v>0.14274285887077545</v>
      </c>
      <c r="BU213" s="1108"/>
      <c r="BV213" s="1109"/>
      <c r="BW213" s="1089"/>
      <c r="BX213" s="1102">
        <f>BX214/BX41</f>
        <v>0.16853443113772454</v>
      </c>
      <c r="BY213" s="1103">
        <f>BY214/BY41</f>
        <v>0.15014942528735636</v>
      </c>
      <c r="BZ213" s="1104">
        <f>BZ214/BZ41</f>
        <v>0.14615005795246133</v>
      </c>
      <c r="CA213" s="1105"/>
      <c r="CB213" s="1102">
        <f>CB214/CB41</f>
        <v>0.1643831391363948</v>
      </c>
      <c r="CC213" s="1103">
        <f>CC214/CC41</f>
        <v>0.15078082191780823</v>
      </c>
      <c r="CD213" s="1277">
        <v>0.15078082191780823</v>
      </c>
      <c r="CE213" s="1105"/>
      <c r="CF213" s="1102">
        <f>CF214/CF41</f>
        <v>0.16882769640479359</v>
      </c>
      <c r="CG213" s="1103">
        <f>CG214/CG41</f>
        <v>0.15917112299465241</v>
      </c>
      <c r="CH213" s="1277">
        <f>CH214/CH41</f>
        <v>0.15917112299465241</v>
      </c>
      <c r="CI213" s="1105"/>
      <c r="CJ213" s="1110">
        <f>CJ214/CJ41</f>
        <v>0.16705564001216175</v>
      </c>
      <c r="CK213" s="1111"/>
      <c r="CL213" s="1111">
        <f>CL214/CL41</f>
        <v>0.15209219858156031</v>
      </c>
      <c r="CM213" s="1108">
        <f>CM214/CM41</f>
        <v>0.15031348559365718</v>
      </c>
      <c r="CN213" s="1111"/>
      <c r="CO213" s="1111"/>
      <c r="CP213" s="1089"/>
      <c r="CQ213" s="1110">
        <f>CQ214/CQ41</f>
        <v>0.16302971559613363</v>
      </c>
      <c r="CR213" s="1111"/>
      <c r="CS213" s="1111">
        <f>CS214/CS41</f>
        <v>0.14940597126929675</v>
      </c>
      <c r="CT213" s="1108">
        <f>CT214/CT41</f>
        <v>0.14593641554110826</v>
      </c>
      <c r="CU213" s="1162"/>
      <c r="CV213" s="1162"/>
      <c r="CW213" s="1083">
        <f>CT214/CS214</f>
        <v>0.98381853419853882</v>
      </c>
      <c r="CX213" s="1128"/>
      <c r="CY213" s="1131"/>
      <c r="CZ213" s="1248"/>
      <c r="DA213" s="1248"/>
      <c r="DB213" s="1248"/>
      <c r="DC213" s="950"/>
      <c r="DD213" s="950"/>
    </row>
    <row r="214" spans="1:108">
      <c r="A214" s="992"/>
      <c r="B214" s="1412" t="s">
        <v>322</v>
      </c>
      <c r="C214" s="1413"/>
      <c r="D214" s="1004"/>
      <c r="E214" s="695">
        <f>E212+E206</f>
        <v>7542.9059829059843</v>
      </c>
      <c r="F214" s="800">
        <f>F212+F206</f>
        <v>6892.6495726495732</v>
      </c>
      <c r="G214" s="801">
        <v>7498.6135899999999</v>
      </c>
      <c r="H214" s="867">
        <f>G214-F214</f>
        <v>605.96401735042673</v>
      </c>
      <c r="I214" s="695">
        <f>I212+I206</f>
        <v>8392.1367521367538</v>
      </c>
      <c r="J214" s="800">
        <f>J212+J206</f>
        <v>8642.7350427350448</v>
      </c>
      <c r="K214" s="801">
        <f>K212+K206</f>
        <v>8647.9357540147012</v>
      </c>
      <c r="L214" s="867">
        <f>K214-J214</f>
        <v>5.2007112796563888</v>
      </c>
      <c r="M214" s="695">
        <f>M212+M206</f>
        <v>8392.1367521367538</v>
      </c>
      <c r="N214" s="800">
        <f>N212+N206</f>
        <v>8889.7435897435917</v>
      </c>
      <c r="O214" s="801">
        <f>O212+O206</f>
        <v>8480.0042093305365</v>
      </c>
      <c r="P214" s="867">
        <f>O214-N214</f>
        <v>-409.73938041305519</v>
      </c>
      <c r="Q214" s="767">
        <f>E214+I214+M214</f>
        <v>24327.179487179492</v>
      </c>
      <c r="R214" s="951">
        <f>R212+R206</f>
        <v>27585.555794871794</v>
      </c>
      <c r="S214" s="721">
        <f>G214+J214+N214</f>
        <v>25031.092222478634</v>
      </c>
      <c r="T214" s="699">
        <f>G214+K214+O214</f>
        <v>24626.553553345235</v>
      </c>
      <c r="U214" s="699">
        <f>T214-Q214</f>
        <v>299.37406616574299</v>
      </c>
      <c r="V214" s="717">
        <f t="shared" si="320"/>
        <v>-2959.0022415265594</v>
      </c>
      <c r="W214" s="688">
        <f>T214-S214</f>
        <v>-404.5386691333988</v>
      </c>
      <c r="X214" s="695">
        <f>X212+X206</f>
        <v>8758.11965811966</v>
      </c>
      <c r="Y214" s="800">
        <f>Y212+Y206</f>
        <v>8127.3504273504277</v>
      </c>
      <c r="Z214" s="801">
        <f>Z212+Z206</f>
        <v>8726.440713719614</v>
      </c>
      <c r="AA214" s="867">
        <f>Z214-Y214</f>
        <v>599.09028636918629</v>
      </c>
      <c r="AB214" s="695">
        <f>AB212+AB206</f>
        <v>9631.9658119658143</v>
      </c>
      <c r="AC214" s="800">
        <f>AC212+AC206</f>
        <v>8901.7094017094041</v>
      </c>
      <c r="AD214" s="801">
        <f>AD212+AD206</f>
        <v>8622.0125543446393</v>
      </c>
      <c r="AE214" s="867">
        <f>AD214-AC214</f>
        <v>-279.69684736476484</v>
      </c>
      <c r="AF214" s="695">
        <f>AF212+AF206</f>
        <v>10505.811965811967</v>
      </c>
      <c r="AG214" s="800">
        <f>AG212+AG206</f>
        <v>9384.8290598290605</v>
      </c>
      <c r="AH214" s="801">
        <f>AH212+AH206</f>
        <v>9132.3682822525116</v>
      </c>
      <c r="AI214" s="867">
        <f>AH214-AG214</f>
        <v>-252.46077757654894</v>
      </c>
      <c r="AJ214" s="702">
        <f>X214+AB214+AF214</f>
        <v>28895.897435897445</v>
      </c>
      <c r="AK214" s="951">
        <f>AK212+AK206</f>
        <v>30073.865435897438</v>
      </c>
      <c r="AL214" s="721">
        <f>Y214+AC214+AG214</f>
        <v>26413.888888888891</v>
      </c>
      <c r="AM214" s="699">
        <f>Z214+AD214+AH214</f>
        <v>26480.821550316763</v>
      </c>
      <c r="AN214" s="721">
        <f>AM214-AJ214</f>
        <v>-2415.0758855806816</v>
      </c>
      <c r="AO214" s="717">
        <f t="shared" si="321"/>
        <v>-3593.0438855806751</v>
      </c>
      <c r="AP214" s="688">
        <f>AM214-AL214</f>
        <v>66.932661427872517</v>
      </c>
      <c r="AQ214" s="700">
        <f>SUM(Q214,AJ214)</f>
        <v>53223.076923076937</v>
      </c>
      <c r="AR214" s="699">
        <f>AR212+AR206</f>
        <v>57659.421230769236</v>
      </c>
      <c r="AS214" s="613">
        <f>S214+AL214</f>
        <v>51444.981111367524</v>
      </c>
      <c r="AT214" s="760">
        <f>SUM(T214,AM214)</f>
        <v>51107.375103661994</v>
      </c>
      <c r="AU214" s="717">
        <f>AT214-AQ214</f>
        <v>-2115.7018194149423</v>
      </c>
      <c r="AV214" s="717">
        <f t="shared" si="322"/>
        <v>-6552.0461271072418</v>
      </c>
      <c r="AW214" s="688">
        <f>AT214-AS214</f>
        <v>-337.60600770552992</v>
      </c>
      <c r="AX214" s="695"/>
      <c r="AY214" s="696"/>
      <c r="AZ214" s="696"/>
      <c r="BA214" s="697"/>
      <c r="BB214" s="697"/>
      <c r="BC214" s="697"/>
      <c r="BD214" s="697"/>
      <c r="BE214" s="695">
        <f>BE212+BE206</f>
        <v>11406.5</v>
      </c>
      <c r="BF214" s="800">
        <f>BF212+BF206</f>
        <v>11406.5</v>
      </c>
      <c r="BG214" s="801">
        <f>BG212+BG206</f>
        <v>10974.27998999999</v>
      </c>
      <c r="BH214" s="867">
        <f>BG214-BF214</f>
        <v>-432.22001000001001</v>
      </c>
      <c r="BI214" s="695">
        <f>BI212+BI206</f>
        <v>12816.598290598291</v>
      </c>
      <c r="BJ214" s="800">
        <f>BJ212+BJ206</f>
        <v>11412</v>
      </c>
      <c r="BK214" s="1362">
        <v>10993</v>
      </c>
      <c r="BL214" s="867">
        <f>BK214-BJ214</f>
        <v>-419</v>
      </c>
      <c r="BM214" s="695">
        <f>BM212+BM206</f>
        <v>12615.598290598291</v>
      </c>
      <c r="BN214" s="800">
        <f>BN212+BN206</f>
        <v>11078.888888888891</v>
      </c>
      <c r="BO214" s="1375">
        <f>BO206+BO212</f>
        <v>11168.562310989049</v>
      </c>
      <c r="BP214" s="867">
        <f>BO214-BN214</f>
        <v>89.673422100158859</v>
      </c>
      <c r="BQ214" s="702">
        <f>BE214+BI214+BM214</f>
        <v>36838.696581196578</v>
      </c>
      <c r="BR214" s="721"/>
      <c r="BS214" s="721">
        <f>BF214+BJ214+BN214</f>
        <v>33897.388888888891</v>
      </c>
      <c r="BT214" s="699">
        <f>BG214+BK214+BO214</f>
        <v>33135.842300989039</v>
      </c>
      <c r="BU214" s="699">
        <f>BT214-BQ214</f>
        <v>-3702.854280207539</v>
      </c>
      <c r="BV214" s="717"/>
      <c r="BW214" s="688">
        <f>BT214-BS214</f>
        <v>-761.54658789985115</v>
      </c>
      <c r="BX214" s="695">
        <f>BX212+BX206</f>
        <v>12509</v>
      </c>
      <c r="BY214" s="800">
        <f>BY212+BY206</f>
        <v>11164.957264957267</v>
      </c>
      <c r="BZ214" s="801">
        <f>BZ206+BZ212</f>
        <v>10962.766937077118</v>
      </c>
      <c r="CA214" s="867">
        <f>BZ214-BY214</f>
        <v>-202.1903278801492</v>
      </c>
      <c r="CB214" s="695">
        <f>CB212+CB206</f>
        <v>10249.358974358975</v>
      </c>
      <c r="CC214" s="800">
        <f>CC212+CC206</f>
        <v>9407.6923076923085</v>
      </c>
      <c r="CD214" s="803">
        <v>9407.6923076923085</v>
      </c>
      <c r="CE214" s="867">
        <f>CD214-CC214</f>
        <v>0</v>
      </c>
      <c r="CF214" s="695">
        <f>CF212+CF206</f>
        <v>5418.3589743589746</v>
      </c>
      <c r="CG214" s="800">
        <f>CG212+CG206</f>
        <v>5088.0341880341884</v>
      </c>
      <c r="CH214" s="803">
        <f>CH212+CH206</f>
        <v>5088.0341880341884</v>
      </c>
      <c r="CI214" s="867">
        <f>CH214-CG214</f>
        <v>0</v>
      </c>
      <c r="CJ214" s="702">
        <f>BX214+CB214+CF214</f>
        <v>28176.717948717953</v>
      </c>
      <c r="CK214" s="721"/>
      <c r="CL214" s="721">
        <f>BY214+CC214+CG214</f>
        <v>25660.683760683765</v>
      </c>
      <c r="CM214" s="699">
        <f>BZ214+CD214+CH214</f>
        <v>25458.493432803614</v>
      </c>
      <c r="CN214" s="721">
        <f>CM214-CJ214</f>
        <v>-2718.2245159143386</v>
      </c>
      <c r="CO214" s="721"/>
      <c r="CP214" s="688">
        <f>CM214-CL214</f>
        <v>-202.19032788015102</v>
      </c>
      <c r="CQ214" s="700">
        <f>SUM(BQ214,CJ214)</f>
        <v>65015.414529914531</v>
      </c>
      <c r="CR214" s="1184"/>
      <c r="CS214" s="613">
        <f>BS214+CL214</f>
        <v>59558.072649572656</v>
      </c>
      <c r="CT214" s="760">
        <f>SUM(BT214,CM214)</f>
        <v>58594.335733792657</v>
      </c>
      <c r="CU214" s="717">
        <f>CT214-CQ214</f>
        <v>-6421.0787961218739</v>
      </c>
      <c r="CV214" s="717"/>
      <c r="CW214" s="688">
        <f>CT214-CS214</f>
        <v>-963.73691577999853</v>
      </c>
      <c r="CX214" s="695"/>
      <c r="CY214" s="696"/>
      <c r="CZ214" s="723"/>
      <c r="DA214" s="723"/>
      <c r="DB214" s="723"/>
      <c r="DC214" s="697"/>
      <c r="DD214" s="697"/>
    </row>
    <row r="215" spans="1:108">
      <c r="A215" s="1038" t="s">
        <v>165</v>
      </c>
      <c r="B215" s="1039"/>
      <c r="C215" s="1039"/>
      <c r="D215" s="1040"/>
      <c r="E215" s="953">
        <f>E216/E43</f>
        <v>0.12959322033898307</v>
      </c>
      <c r="F215" s="954">
        <f>F216/F43</f>
        <v>0.11788857938718662</v>
      </c>
      <c r="G215" s="955">
        <f>G216/G43</f>
        <v>0.11270964177281903</v>
      </c>
      <c r="H215" s="812">
        <f>G216/F216</f>
        <v>1.093443671317518</v>
      </c>
      <c r="I215" s="1113">
        <f>I216/I43</f>
        <v>0.12965438373570523</v>
      </c>
      <c r="J215" s="1114">
        <f>J216/J43</f>
        <v>0.11791111111111115</v>
      </c>
      <c r="K215" s="1115">
        <f>K216/K43</f>
        <v>0.11592764176345068</v>
      </c>
      <c r="L215" s="1093">
        <f>K216/J216</f>
        <v>1.0032485876731811</v>
      </c>
      <c r="M215" s="1113">
        <f>M216/M43</f>
        <v>0.12895214105793451</v>
      </c>
      <c r="N215" s="1114">
        <f>N216/N43</f>
        <v>0.11884042553191491</v>
      </c>
      <c r="O215" s="1115">
        <f>O216/O43</f>
        <v>0.11630635071183318</v>
      </c>
      <c r="P215" s="1093">
        <f>O216/N216</f>
        <v>1.0019714468325214</v>
      </c>
      <c r="Q215" s="1113">
        <f>Q216/Q43</f>
        <v>0.12939187418086504</v>
      </c>
      <c r="R215" s="1140">
        <f>R216/R43</f>
        <v>0.13556407250608271</v>
      </c>
      <c r="S215" s="1123">
        <f>S216/S43</f>
        <v>0.11663433303404547</v>
      </c>
      <c r="T215" s="1119">
        <f>T216/T43</f>
        <v>0.11508451491588215</v>
      </c>
      <c r="U215" s="1119">
        <f>T216/Q216</f>
        <v>1.0498700665293808</v>
      </c>
      <c r="V215" s="1120">
        <f>T216/R216</f>
        <v>0.93014503085582423</v>
      </c>
      <c r="W215" s="1079">
        <f>T216/S216</f>
        <v>1.0018202338320892</v>
      </c>
      <c r="X215" s="1113">
        <f>X216/X43</f>
        <v>0.13434508816120908</v>
      </c>
      <c r="Y215" s="1114">
        <f>Y216/Y43</f>
        <v>0.12070246787089732</v>
      </c>
      <c r="Z215" s="1115">
        <f>Z216/Z43</f>
        <v>0.11700885410542498</v>
      </c>
      <c r="AA215" s="1093">
        <f>Z216/Y216</f>
        <v>1.0742038972137609</v>
      </c>
      <c r="AB215" s="1113">
        <f>AB216/AB43</f>
        <v>0.13513757225433529</v>
      </c>
      <c r="AC215" s="1114">
        <f>AC216/AC43</f>
        <v>0.12410112359550564</v>
      </c>
      <c r="AD215" s="1115">
        <f>AD216/AD43</f>
        <v>0.11845291140471766</v>
      </c>
      <c r="AE215" s="1095">
        <f>AD216/AC216</f>
        <v>0.96213165810622225</v>
      </c>
      <c r="AF215" s="1113">
        <f>AF216/AF43</f>
        <v>0.13636344086021504</v>
      </c>
      <c r="AG215" s="1114">
        <f>AG216/AG43</f>
        <v>0.12368464052287581</v>
      </c>
      <c r="AH215" s="1115">
        <f>AH216/AH43</f>
        <v>0.11949329363264997</v>
      </c>
      <c r="AI215" s="1095">
        <f>AH216/AG216</f>
        <v>0.96949194528284033</v>
      </c>
      <c r="AJ215" s="1151">
        <f>AJ216/AJ43</f>
        <v>0.13533487833140212</v>
      </c>
      <c r="AK215" s="1140">
        <f>AK216/AK43</f>
        <v>0.13578084474272931</v>
      </c>
      <c r="AL215" s="1123">
        <f>AL216/AL43</f>
        <v>0.12287861636903609</v>
      </c>
      <c r="AM215" s="1119">
        <f>AM216/AM43</f>
        <v>0.11831260035568959</v>
      </c>
      <c r="AN215" s="1123">
        <f>AM216/AJ216</f>
        <v>0.92829941519216019</v>
      </c>
      <c r="AO215" s="1100">
        <f>AM216/AK216</f>
        <v>0.89316682647220347</v>
      </c>
      <c r="AP215" s="1080">
        <f>AM216/AL216</f>
        <v>0.9996220031985662</v>
      </c>
      <c r="AQ215" s="1151">
        <f>AQ216/AQ43</f>
        <v>0.13254612546125463</v>
      </c>
      <c r="AR215" s="1119">
        <f>AR216/AR43</f>
        <v>0.1356770062937063</v>
      </c>
      <c r="AS215" s="1123">
        <f>AS216/AS43</f>
        <v>0.11974873074483419</v>
      </c>
      <c r="AT215" s="1119">
        <f>AT216/AT43</f>
        <v>0.1167125449781803</v>
      </c>
      <c r="AU215" s="1123">
        <f>AT216/AQ216</f>
        <v>0.98398883670254633</v>
      </c>
      <c r="AV215" s="1119">
        <f>AT216/AR216</f>
        <v>0.91086541804777188</v>
      </c>
      <c r="AW215" s="1080">
        <f>AT216/AS216</f>
        <v>1.0006951882468291</v>
      </c>
      <c r="AX215" s="956"/>
      <c r="AY215" s="957"/>
      <c r="AZ215" s="957"/>
      <c r="BA215" s="983">
        <f>AT215/ AQ215</f>
        <v>0.88054286439551388</v>
      </c>
      <c r="BB215" s="958"/>
      <c r="BC215" s="958"/>
      <c r="BD215" s="958"/>
      <c r="BE215" s="1113">
        <f>BE216/BE43</f>
        <v>0.13726638403990024</v>
      </c>
      <c r="BF215" s="1114">
        <f>BF216/BF43</f>
        <v>0.13733488023952095</v>
      </c>
      <c r="BG215" s="1115">
        <f>BG216/BG43</f>
        <v>0.13091062696116249</v>
      </c>
      <c r="BH215" s="1093">
        <f>BG216/BF216</f>
        <v>0.95349420992220291</v>
      </c>
      <c r="BI215" s="1113">
        <f>BI216/BI43</f>
        <v>0.15856283643892341</v>
      </c>
      <c r="BJ215" s="1114">
        <f>BJ216/BJ43</f>
        <v>0.14269099476439789</v>
      </c>
      <c r="BK215" s="1139">
        <f>BK216/BK43</f>
        <v>0.13661623374805043</v>
      </c>
      <c r="BL215" s="1093">
        <f>BK216/BJ216</f>
        <v>0.95904524770327126</v>
      </c>
      <c r="BM215" s="1113">
        <f>BM216/BM43</f>
        <v>0.16137730192719488</v>
      </c>
      <c r="BN215" s="1114">
        <f>BN216/BN43</f>
        <v>0.14113544973544973</v>
      </c>
      <c r="BO215" s="1115">
        <f>BO216/BO43</f>
        <v>0.14173232998947244</v>
      </c>
      <c r="BP215" s="1095">
        <f>BO216/BN216</f>
        <v>1.0078423923160551</v>
      </c>
      <c r="BQ215" s="1151">
        <f>BQ216/BQ43</f>
        <v>0.15211288544358312</v>
      </c>
      <c r="BR215" s="1123"/>
      <c r="BS215" s="1123">
        <f>BS216/BS43</f>
        <v>0.14033509648518264</v>
      </c>
      <c r="BT215" s="1119">
        <f>BT216/BT43</f>
        <v>0.13631817570338553</v>
      </c>
      <c r="BU215" s="1119">
        <f>BT216/BQ216</f>
        <v>0.89764667168364842</v>
      </c>
      <c r="BV215" s="1120"/>
      <c r="BW215" s="1079">
        <f>BT216/BS216</f>
        <v>0.97315037035472496</v>
      </c>
      <c r="BX215" s="1113">
        <f>BX216/BX43</f>
        <v>0.16051674898003007</v>
      </c>
      <c r="BY215" s="1114">
        <f>BY216/BY43</f>
        <v>0.14269148936170215</v>
      </c>
      <c r="BZ215" s="1115">
        <f>BZ216/BZ43</f>
        <v>0.14067093252582225</v>
      </c>
      <c r="CA215" s="1095">
        <f>BZ216/BY216</f>
        <v>0.98776791414721155</v>
      </c>
      <c r="CB215" s="1113">
        <f>CB216/CB43</f>
        <v>0.15642766093052898</v>
      </c>
      <c r="CC215" s="1114">
        <f>CC216/CC43</f>
        <v>0.14432051282051281</v>
      </c>
      <c r="CD215" s="1278">
        <v>0.14432051282051281</v>
      </c>
      <c r="CE215" s="1095">
        <f>CD216/CC216</f>
        <v>1</v>
      </c>
      <c r="CF215" s="1113">
        <f>CF216/CF43</f>
        <v>0.15869622411693057</v>
      </c>
      <c r="CG215" s="1114">
        <f>CG216/CG43</f>
        <v>0.14862318840579708</v>
      </c>
      <c r="CH215" s="1278">
        <f>CH216/CH43</f>
        <v>0.14862318840579708</v>
      </c>
      <c r="CI215" s="1095">
        <f>CH216/CG216</f>
        <v>1</v>
      </c>
      <c r="CJ215" s="1151">
        <f>CJ216/CJ43</f>
        <v>0.15865669676448454</v>
      </c>
      <c r="CK215" s="1123"/>
      <c r="CL215" s="1123">
        <f>CL216/CL43</f>
        <v>0.14443767572633553</v>
      </c>
      <c r="CM215" s="1119">
        <f>CM216/CM43</f>
        <v>0.14354516967199399</v>
      </c>
      <c r="CN215" s="1123">
        <f>CM216/CJ216</f>
        <v>0.90876927815405351</v>
      </c>
      <c r="CO215" s="1123"/>
      <c r="CP215" s="1080">
        <f>CM216/CL216</f>
        <v>0.99467706039180315</v>
      </c>
      <c r="CQ215" s="1151">
        <f>CQ216/CQ43</f>
        <v>0.15487984449879694</v>
      </c>
      <c r="CR215" s="1123"/>
      <c r="CS215" s="1123">
        <f>CS216/CS43</f>
        <v>0.14207356036536936</v>
      </c>
      <c r="CT215" s="1119">
        <f>CT216/CT43</f>
        <v>0.1393789069038793</v>
      </c>
      <c r="CU215" s="1123">
        <f>CT216/CQ216</f>
        <v>0.90246439705194714</v>
      </c>
      <c r="CV215" s="1123"/>
      <c r="CW215" s="1080">
        <f>CT216/CS216</f>
        <v>0.98242407325285841</v>
      </c>
      <c r="CX215" s="956"/>
      <c r="CY215" s="957"/>
      <c r="CZ215" s="1391">
        <f>CT215/ CQ215</f>
        <v>0.89991636648990803</v>
      </c>
      <c r="DA215" s="957"/>
      <c r="DB215" s="957"/>
      <c r="DC215" s="958"/>
      <c r="DD215" s="958"/>
    </row>
    <row r="216" spans="1:108">
      <c r="A216" s="1011" t="s">
        <v>162</v>
      </c>
      <c r="B216" s="997"/>
      <c r="C216" s="997"/>
      <c r="D216" s="995"/>
      <c r="E216" s="822">
        <f>E214+E204</f>
        <v>7842.0512820512831</v>
      </c>
      <c r="F216" s="887">
        <f>F214+F204</f>
        <v>7234.529914529915</v>
      </c>
      <c r="G216" s="824">
        <f>G214+G204</f>
        <v>7910.5509499999998</v>
      </c>
      <c r="H216" s="825">
        <f>G216-F216</f>
        <v>676.02103547008483</v>
      </c>
      <c r="I216" s="822">
        <f>I214+I204</f>
        <v>8721.196581196582</v>
      </c>
      <c r="J216" s="887">
        <f>J214+J204</f>
        <v>9070.0854700854725</v>
      </c>
      <c r="K216" s="824">
        <f>K214+K204</f>
        <v>9099.550437938291</v>
      </c>
      <c r="L216" s="825">
        <f>K216-J216</f>
        <v>29.464967852818518</v>
      </c>
      <c r="M216" s="822">
        <f>M214+M204</f>
        <v>8751.1111111111131</v>
      </c>
      <c r="N216" s="887">
        <f>N214+N204</f>
        <v>9547.8632478632499</v>
      </c>
      <c r="O216" s="824">
        <f>O214+O204</f>
        <v>9566.686352620598</v>
      </c>
      <c r="P216" s="825">
        <f>O216-N216</f>
        <v>18.823104757348119</v>
      </c>
      <c r="Q216" s="827">
        <f>E216+I216+M216</f>
        <v>25314.35897435898</v>
      </c>
      <c r="R216" s="828">
        <f>R214+R204</f>
        <v>28572.735282051282</v>
      </c>
      <c r="S216" s="739">
        <f>G216+J216+N216</f>
        <v>26528.499667948723</v>
      </c>
      <c r="T216" s="715">
        <f>G216+K216+O216</f>
        <v>26576.787740558888</v>
      </c>
      <c r="U216" s="712">
        <f>T216-Q216</f>
        <v>1262.4287661999078</v>
      </c>
      <c r="V216" s="711">
        <f t="shared" si="320"/>
        <v>-1995.9475414923945</v>
      </c>
      <c r="W216" s="716">
        <f>T216-S216</f>
        <v>48.288072610164818</v>
      </c>
      <c r="X216" s="822">
        <f>X214+X204</f>
        <v>9117.0940170940194</v>
      </c>
      <c r="Y216" s="887">
        <f>Y214+Y204</f>
        <v>8665.8033504273517</v>
      </c>
      <c r="Z216" s="824">
        <f>Z214+Z204</f>
        <v>9308.8397315171278</v>
      </c>
      <c r="AA216" s="825">
        <f>Z216-Y216</f>
        <v>643.03638108977611</v>
      </c>
      <c r="AB216" s="822">
        <f>AB214+AB204</f>
        <v>9990.9401709401736</v>
      </c>
      <c r="AC216" s="887">
        <f>AC214+AC204</f>
        <v>9440.1709401709431</v>
      </c>
      <c r="AD216" s="824">
        <f>AD214+AD204</f>
        <v>9082.687319472845</v>
      </c>
      <c r="AE216" s="825">
        <f>AD216-AC216</f>
        <v>-357.48362069809809</v>
      </c>
      <c r="AF216" s="822">
        <f>AF214+AF204</f>
        <v>10839.145299145301</v>
      </c>
      <c r="AG216" s="887">
        <f>AG214+AG204</f>
        <v>9704.4871794871797</v>
      </c>
      <c r="AH216" s="824">
        <f>AH214+AH204</f>
        <v>9408.42215361341</v>
      </c>
      <c r="AI216" s="825">
        <f>AH216-AG216</f>
        <v>-296.06502587376963</v>
      </c>
      <c r="AJ216" s="713">
        <f>X216+AB216+AF216</f>
        <v>29947.179487179495</v>
      </c>
      <c r="AK216" s="828">
        <f>AK214+AK204</f>
        <v>31125.147487179489</v>
      </c>
      <c r="AL216" s="739">
        <f>Y216+AC216+AG216</f>
        <v>27810.461470085473</v>
      </c>
      <c r="AM216" s="715">
        <f>Z216+AD216+AH216</f>
        <v>27799.949204603381</v>
      </c>
      <c r="AN216" s="739">
        <f>AM216-AJ216</f>
        <v>-2147.2302825761144</v>
      </c>
      <c r="AO216" s="711">
        <f t="shared" si="321"/>
        <v>-3325.1982825761079</v>
      </c>
      <c r="AP216" s="716">
        <f>AM216-AL216</f>
        <v>-10.512265482091607</v>
      </c>
      <c r="AQ216" s="713">
        <f>SUM(Q216,AJ216)</f>
        <v>55261.538461538476</v>
      </c>
      <c r="AR216" s="715">
        <f>AR214+AR204</f>
        <v>59697.882769230775</v>
      </c>
      <c r="AS216" s="608">
        <f>S216+AL216</f>
        <v>54338.961138034196</v>
      </c>
      <c r="AT216" s="715">
        <f>SUM(T216,AM216)</f>
        <v>54376.736945162265</v>
      </c>
      <c r="AU216" s="711">
        <f>AT216-AQ216</f>
        <v>-884.8015163762102</v>
      </c>
      <c r="AV216" s="711">
        <f t="shared" si="322"/>
        <v>-5321.1458240685097</v>
      </c>
      <c r="AW216" s="716">
        <f>AT216-AS216</f>
        <v>37.775807128069573</v>
      </c>
      <c r="AX216" s="708">
        <f>AQ216/6</f>
        <v>9210.256410256412</v>
      </c>
      <c r="AY216" s="709">
        <f>AR216/6</f>
        <v>9949.6471282051298</v>
      </c>
      <c r="AZ216" s="709">
        <f>AT216/6</f>
        <v>9062.7894908603776</v>
      </c>
      <c r="BA216" s="829">
        <f>AZ216/AX216</f>
        <v>0.98398883670254633</v>
      </c>
      <c r="BB216" s="516">
        <f>AZ216-AX216</f>
        <v>-147.46691939603443</v>
      </c>
      <c r="BC216" s="516">
        <f>AZ216-AY216</f>
        <v>-886.85763734475222</v>
      </c>
      <c r="BD216" s="516">
        <f>AW216/6</f>
        <v>6.2959678546782625</v>
      </c>
      <c r="BE216" s="822">
        <f>BE214+BE204</f>
        <v>11761.5</v>
      </c>
      <c r="BF216" s="887">
        <f>BF214+BF204</f>
        <v>11761.5</v>
      </c>
      <c r="BG216" s="824">
        <f>BG214+BG204</f>
        <v>11214.52214999999</v>
      </c>
      <c r="BH216" s="825">
        <f>BG216-BF216</f>
        <v>-546.97785000001022</v>
      </c>
      <c r="BI216" s="822">
        <f>BI214+BI204</f>
        <v>13091.598290598291</v>
      </c>
      <c r="BJ216" s="887">
        <f>BJ214+BJ204</f>
        <v>11647</v>
      </c>
      <c r="BK216" s="1363">
        <f>BK214+BK204</f>
        <v>11170</v>
      </c>
      <c r="BL216" s="825">
        <f>BK216-BJ216</f>
        <v>-477</v>
      </c>
      <c r="BM216" s="822">
        <f>BM214+BM204</f>
        <v>12882.598290598291</v>
      </c>
      <c r="BN216" s="887">
        <f>BN214+BN204</f>
        <v>11399.401709401711</v>
      </c>
      <c r="BO216" s="824">
        <f>BO214+BO204</f>
        <v>11488.800289775148</v>
      </c>
      <c r="BP216" s="825">
        <f>BO216-BN216</f>
        <v>89.398580373437653</v>
      </c>
      <c r="BQ216" s="713">
        <f>BE216+BI216+BM216</f>
        <v>37735.696581196578</v>
      </c>
      <c r="BR216" s="714"/>
      <c r="BS216" s="739">
        <f>BF216+BJ216+BN216</f>
        <v>34807.901709401711</v>
      </c>
      <c r="BT216" s="715">
        <f>BG216+BK216+BO216</f>
        <v>33873.32243977514</v>
      </c>
      <c r="BU216" s="712">
        <f>BT216-BQ216</f>
        <v>-3862.3741414214383</v>
      </c>
      <c r="BV216" s="711"/>
      <c r="BW216" s="716">
        <f>BT216-BS216</f>
        <v>-934.57926962657075</v>
      </c>
      <c r="BX216" s="822">
        <f>BX214+BX204</f>
        <v>12778.23076923077</v>
      </c>
      <c r="BY216" s="887">
        <f>BY214+BY204</f>
        <v>11464.102564102566</v>
      </c>
      <c r="BZ216" s="824">
        <f>BZ214+BZ204</f>
        <v>11323.872677313291</v>
      </c>
      <c r="CA216" s="825">
        <f>BZ216-BY216</f>
        <v>-140.22988678927504</v>
      </c>
      <c r="CB216" s="822">
        <f>CB214+CB204</f>
        <v>10488.675213675215</v>
      </c>
      <c r="CC216" s="887">
        <f>CC214+CC204</f>
        <v>9621.3675213675215</v>
      </c>
      <c r="CD216" s="826">
        <v>9621.3675213675215</v>
      </c>
      <c r="CE216" s="825">
        <f>CD216-CC216</f>
        <v>0</v>
      </c>
      <c r="CF216" s="822">
        <f>CF214+CF204</f>
        <v>5567.931623931624</v>
      </c>
      <c r="CG216" s="887">
        <f>CG214+CG204</f>
        <v>5258.9743589743593</v>
      </c>
      <c r="CH216" s="826">
        <f>CH214+CH204</f>
        <v>5258.9743589743593</v>
      </c>
      <c r="CI216" s="825">
        <f>CH216-CG216</f>
        <v>0</v>
      </c>
      <c r="CJ216" s="713">
        <f>BX216+CB216+CF216</f>
        <v>28834.837606837609</v>
      </c>
      <c r="CK216" s="714"/>
      <c r="CL216" s="739">
        <f>BY216+CC216+CG216</f>
        <v>26344.444444444445</v>
      </c>
      <c r="CM216" s="715">
        <f>BZ216+CD216+CH216</f>
        <v>26204.21455765517</v>
      </c>
      <c r="CN216" s="739">
        <f>CM216-CJ216</f>
        <v>-2630.623049182439</v>
      </c>
      <c r="CO216" s="739"/>
      <c r="CP216" s="716">
        <f>CM216-CL216</f>
        <v>-140.22988678927504</v>
      </c>
      <c r="CQ216" s="713">
        <f>SUM(BQ216,CJ216)</f>
        <v>66570.534188034188</v>
      </c>
      <c r="CR216" s="1340"/>
      <c r="CS216" s="608">
        <f>BS216+CL216</f>
        <v>61152.346153846156</v>
      </c>
      <c r="CT216" s="715">
        <f>SUM(BT216,CM216)</f>
        <v>60077.53699743031</v>
      </c>
      <c r="CU216" s="711">
        <f>CT216-CQ216</f>
        <v>-6492.9971906038772</v>
      </c>
      <c r="CV216" s="711"/>
      <c r="CW216" s="716">
        <f>CT216-CS216</f>
        <v>-1074.8091564158458</v>
      </c>
      <c r="CX216" s="708">
        <f>CQ216/6</f>
        <v>11095.089031339032</v>
      </c>
      <c r="CY216" s="709">
        <f>CT216/6</f>
        <v>10012.922832905051</v>
      </c>
      <c r="CZ216" s="829">
        <f>CY216/CX216</f>
        <v>0.90246439705194714</v>
      </c>
      <c r="DA216" s="555">
        <f>CY216-CX216</f>
        <v>-1082.1661984339808</v>
      </c>
      <c r="DB216" s="555">
        <f>CW216/6</f>
        <v>-179.13485940264096</v>
      </c>
      <c r="DC216" s="516"/>
      <c r="DD216" s="516"/>
    </row>
    <row r="217" spans="1:108">
      <c r="A217" s="1042"/>
      <c r="B217" s="1043" t="s">
        <v>165</v>
      </c>
      <c r="C217" s="1041"/>
      <c r="D217" s="1032"/>
      <c r="E217" s="944">
        <v>8.6499999999999994E-2</v>
      </c>
      <c r="F217" s="945">
        <v>0.13</v>
      </c>
      <c r="G217" s="946">
        <v>8.1942779980162334E-2</v>
      </c>
      <c r="H217" s="948">
        <v>0.13</v>
      </c>
      <c r="I217" s="1102">
        <f>E217</f>
        <v>8.6499999999999994E-2</v>
      </c>
      <c r="J217" s="1103">
        <v>7.2999999999999995E-2</v>
      </c>
      <c r="K217" s="1104">
        <v>8.3599999999999994E-2</v>
      </c>
      <c r="L217" s="1111"/>
      <c r="M217" s="1102">
        <f>E217</f>
        <v>8.6499999999999994E-2</v>
      </c>
      <c r="N217" s="1103">
        <v>8.4000000000000005E-2</v>
      </c>
      <c r="O217" s="1104">
        <v>4.3837130519455099E-2</v>
      </c>
      <c r="P217" s="1111"/>
      <c r="Q217" s="1165">
        <f>Q218/Q44</f>
        <v>8.6499999999999994E-2</v>
      </c>
      <c r="R217" s="1166">
        <v>0.11619833333333332</v>
      </c>
      <c r="S217" s="1167">
        <f>S218/S44</f>
        <v>8.0345790008443912E-2</v>
      </c>
      <c r="T217" s="1168">
        <f>T218/T44</f>
        <v>7.1403260712711386E-2</v>
      </c>
      <c r="U217" s="1108"/>
      <c r="V217" s="1109"/>
      <c r="W217" s="1089"/>
      <c r="X217" s="1102">
        <v>8.6499999999999994E-2</v>
      </c>
      <c r="Y217" s="1103">
        <v>0.03</v>
      </c>
      <c r="Z217" s="1104">
        <v>8.5730000000000001E-2</v>
      </c>
      <c r="AA217" s="1111">
        <v>0.13</v>
      </c>
      <c r="AB217" s="1102">
        <f>X217</f>
        <v>8.6499999999999994E-2</v>
      </c>
      <c r="AC217" s="1103">
        <v>7.0000000000000007E-2</v>
      </c>
      <c r="AD217" s="1104">
        <v>4.9196527722766059E-2</v>
      </c>
      <c r="AE217" s="1169">
        <v>0.13</v>
      </c>
      <c r="AF217" s="1102">
        <f>X217</f>
        <v>8.6499999999999994E-2</v>
      </c>
      <c r="AG217" s="1103">
        <v>0.05</v>
      </c>
      <c r="AH217" s="1104">
        <v>4.2069658021208038E-2</v>
      </c>
      <c r="AI217" s="1105"/>
      <c r="AJ217" s="1170">
        <f>AJ218/AJ44</f>
        <v>8.6499999999999994E-2</v>
      </c>
      <c r="AK217" s="1166">
        <v>6.7236216216216213E-2</v>
      </c>
      <c r="AL217" s="1167">
        <f>AL218/AL44</f>
        <v>5.1212121212121223E-2</v>
      </c>
      <c r="AM217" s="1168">
        <f>AM218/AM44</f>
        <v>6.5304340354438578E-2</v>
      </c>
      <c r="AN217" s="1111"/>
      <c r="AO217" s="1109"/>
      <c r="AP217" s="1089"/>
      <c r="AQ217" s="1170">
        <f>AQ218/AQ44</f>
        <v>8.6499999999999994E-2</v>
      </c>
      <c r="AR217" s="1171">
        <f>AR218/AR44</f>
        <v>8.6499999999999994E-2</v>
      </c>
      <c r="AS217" s="1167">
        <f>AS218/AS44</f>
        <v>6.6564142034201731E-2</v>
      </c>
      <c r="AT217" s="1168">
        <f>AT218/AT44</f>
        <v>6.8327607525421483E-2</v>
      </c>
      <c r="AU217" s="1162"/>
      <c r="AV217" s="1109"/>
      <c r="AW217" s="1083"/>
      <c r="AX217" s="1249"/>
      <c r="AY217" s="1248"/>
      <c r="AZ217" s="1248"/>
      <c r="BA217" s="1247"/>
      <c r="BB217" s="1247"/>
      <c r="BC217" s="1247"/>
      <c r="BD217" s="1247"/>
      <c r="BE217" s="1102">
        <v>6.3600000000000004E-2</v>
      </c>
      <c r="BF217" s="1103">
        <v>6.5000000000000002E-2</v>
      </c>
      <c r="BG217" s="1104">
        <v>7.7448884379494265E-2</v>
      </c>
      <c r="BH217" s="1111"/>
      <c r="BI217" s="1102">
        <v>6.2799999999999995E-2</v>
      </c>
      <c r="BJ217" s="1103">
        <v>0.06</v>
      </c>
      <c r="BK217" s="1104">
        <v>1.9020908897604979E-2</v>
      </c>
      <c r="BL217" s="1111"/>
      <c r="BM217" s="1102">
        <v>6.2600000000000003E-2</v>
      </c>
      <c r="BN217" s="1103">
        <v>6.3E-2</v>
      </c>
      <c r="BO217" s="1104">
        <v>5.7309868289305885E-2</v>
      </c>
      <c r="BP217" s="1105"/>
      <c r="BQ217" s="1170">
        <f>BQ218/BQ44</f>
        <v>6.308777727478497E-2</v>
      </c>
      <c r="BR217" s="1167"/>
      <c r="BS217" s="1167">
        <f>BS218/BS44</f>
        <v>6.3233912635039913E-2</v>
      </c>
      <c r="BT217" s="1168">
        <f>BT218/BT44</f>
        <v>5.212129021021903E-2</v>
      </c>
      <c r="BU217" s="1108"/>
      <c r="BV217" s="1109"/>
      <c r="BW217" s="1089"/>
      <c r="BX217" s="1102">
        <v>6.3500000000000001E-2</v>
      </c>
      <c r="BY217" s="1103">
        <v>6.2E-2</v>
      </c>
      <c r="BZ217" s="1104">
        <v>4.1009519617478021E-2</v>
      </c>
      <c r="CA217" s="1105"/>
      <c r="CB217" s="1102">
        <v>6.3E-2</v>
      </c>
      <c r="CC217" s="1103">
        <v>0.05</v>
      </c>
      <c r="CD217" s="1277">
        <v>0.05</v>
      </c>
      <c r="CE217" s="1169"/>
      <c r="CF217" s="1102">
        <v>6.3E-2</v>
      </c>
      <c r="CG217" s="1103">
        <v>0.05</v>
      </c>
      <c r="CH217" s="1277">
        <v>0.05</v>
      </c>
      <c r="CI217" s="1105"/>
      <c r="CJ217" s="1170">
        <f>CJ218/CJ44</f>
        <v>6.3183641491695391E-2</v>
      </c>
      <c r="CK217" s="1167"/>
      <c r="CL217" s="1167">
        <f>CL218/CL44</f>
        <v>5.4436115843270856E-2</v>
      </c>
      <c r="CM217" s="1168">
        <f>CM218/CM44</f>
        <v>4.6160350608505665E-2</v>
      </c>
      <c r="CN217" s="1111"/>
      <c r="CO217" s="1111"/>
      <c r="CP217" s="1089"/>
      <c r="CQ217" s="1170">
        <f>CQ218/CQ44</f>
        <v>6.3127980023656202E-2</v>
      </c>
      <c r="CR217" s="1167"/>
      <c r="CS217" s="1167">
        <f>CS218/CS44</f>
        <v>5.8619834710743793E-2</v>
      </c>
      <c r="CT217" s="1168">
        <f>CT218/CT44</f>
        <v>4.9618821744249315E-2</v>
      </c>
      <c r="CU217" s="1162"/>
      <c r="CV217" s="1162"/>
      <c r="CW217" s="1083">
        <f>CT218/CS218</f>
        <v>0.66816757240675095</v>
      </c>
      <c r="CX217" s="1249"/>
      <c r="CY217" s="1248"/>
      <c r="CZ217" s="1247"/>
      <c r="DA217" s="1247"/>
      <c r="DB217" s="1247"/>
      <c r="DC217" s="900"/>
      <c r="DD217" s="900"/>
    </row>
    <row r="218" spans="1:108">
      <c r="A218" s="998"/>
      <c r="B218" s="1044" t="s">
        <v>158</v>
      </c>
      <c r="C218" s="1023"/>
      <c r="D218" s="1000"/>
      <c r="E218" s="767">
        <f t="shared" ref="E218:K218" si="323">E217*E44</f>
        <v>938.9316239316239</v>
      </c>
      <c r="F218" s="865">
        <f t="shared" si="323"/>
        <v>1333.3333333333335</v>
      </c>
      <c r="G218" s="866">
        <f t="shared" si="323"/>
        <v>1296.3936100000003</v>
      </c>
      <c r="H218" s="867">
        <f t="shared" si="323"/>
        <v>723.36000000000013</v>
      </c>
      <c r="I218" s="767">
        <f t="shared" si="323"/>
        <v>1020.2564102564102</v>
      </c>
      <c r="J218" s="865">
        <f t="shared" si="323"/>
        <v>545.94017094017101</v>
      </c>
      <c r="K218" s="866">
        <f t="shared" si="323"/>
        <v>877.04259829059833</v>
      </c>
      <c r="L218" s="867">
        <f>K218-J218</f>
        <v>331.10242735042732</v>
      </c>
      <c r="M218" s="767">
        <f>M217*M44</f>
        <v>1020.2564102564102</v>
      </c>
      <c r="N218" s="865">
        <f>N217*N44</f>
        <v>682.0512820512821</v>
      </c>
      <c r="O218" s="866">
        <f>O217*O44</f>
        <v>468.6445156462612</v>
      </c>
      <c r="P218" s="867">
        <f>O218-N218</f>
        <v>-213.4067664050209</v>
      </c>
      <c r="Q218" s="869">
        <f>E218+I218+M218</f>
        <v>2979.4444444444443</v>
      </c>
      <c r="R218" s="870">
        <v>2979.4444444444443</v>
      </c>
      <c r="S218" s="952">
        <f>G218+J218+N218</f>
        <v>2524.3850629914537</v>
      </c>
      <c r="T218" s="526">
        <f>G218+K218+O218</f>
        <v>2642.0807239368596</v>
      </c>
      <c r="U218" s="699">
        <f>T218-Q218</f>
        <v>-337.36372050758473</v>
      </c>
      <c r="V218" s="717">
        <f t="shared" si="320"/>
        <v>-337.36372050758473</v>
      </c>
      <c r="W218" s="508">
        <f>T218-S218</f>
        <v>117.69566094540596</v>
      </c>
      <c r="X218" s="767">
        <f t="shared" ref="X218:AH218" si="324">X217*X44</f>
        <v>946.32478632478637</v>
      </c>
      <c r="Y218" s="865">
        <f t="shared" si="324"/>
        <v>243.58974358974359</v>
      </c>
      <c r="Z218" s="866">
        <f t="shared" si="324"/>
        <v>1592.0798131452993</v>
      </c>
      <c r="AA218" s="867">
        <f t="shared" si="324"/>
        <v>1358.6562222222224</v>
      </c>
      <c r="AB218" s="767">
        <f t="shared" si="324"/>
        <v>905.66239316239319</v>
      </c>
      <c r="AC218" s="865">
        <f t="shared" si="324"/>
        <v>688.03418803418822</v>
      </c>
      <c r="AD218" s="866">
        <f t="shared" si="324"/>
        <v>440.56382000000019</v>
      </c>
      <c r="AE218" s="984">
        <f t="shared" si="324"/>
        <v>-113.60422222222222</v>
      </c>
      <c r="AF218" s="767">
        <f t="shared" si="324"/>
        <v>805.85470085470081</v>
      </c>
      <c r="AG218" s="865">
        <f t="shared" si="324"/>
        <v>512.82051282051293</v>
      </c>
      <c r="AH218" s="866">
        <f t="shared" si="324"/>
        <v>425.63394000000017</v>
      </c>
      <c r="AI218" s="867">
        <f>AH218-AG218</f>
        <v>-87.186572820512765</v>
      </c>
      <c r="AJ218" s="718">
        <f>X218+AB218+AF218</f>
        <v>2657.8418803418804</v>
      </c>
      <c r="AK218" s="870">
        <v>2657.8418803418804</v>
      </c>
      <c r="AL218" s="721">
        <f>Y218+AC218+AG218</f>
        <v>1444.4444444444448</v>
      </c>
      <c r="AM218" s="526">
        <f>Z218+AD218+AH218</f>
        <v>2458.2775731452998</v>
      </c>
      <c r="AN218" s="721">
        <f>AM218-AJ218</f>
        <v>-199.56430719658056</v>
      </c>
      <c r="AO218" s="717">
        <f t="shared" si="321"/>
        <v>-199.56430719658056</v>
      </c>
      <c r="AP218" s="508">
        <f>AM218-AL218</f>
        <v>1013.833128700855</v>
      </c>
      <c r="AQ218" s="718">
        <f>SUM(Q218,AJ218)</f>
        <v>5637.2863247863243</v>
      </c>
      <c r="AR218" s="720">
        <f>SUM(R218,AK218)</f>
        <v>5637.2863247863243</v>
      </c>
      <c r="AS218" s="613">
        <f>S218+AL218</f>
        <v>3968.8295074358984</v>
      </c>
      <c r="AT218" s="526">
        <f>SUM(T218,AM218)</f>
        <v>5100.358297082159</v>
      </c>
      <c r="AU218" s="717">
        <f>AT218-AQ218</f>
        <v>-536.92802770416529</v>
      </c>
      <c r="AV218" s="717">
        <f t="shared" si="322"/>
        <v>-536.92802770416529</v>
      </c>
      <c r="AW218" s="688">
        <f>AT218-AS218</f>
        <v>1131.5287896462605</v>
      </c>
      <c r="AX218" s="722"/>
      <c r="AY218" s="723"/>
      <c r="AZ218" s="723"/>
      <c r="BA218" s="556"/>
      <c r="BB218" s="556"/>
      <c r="BC218" s="556"/>
      <c r="BD218" s="556"/>
      <c r="BE218" s="767">
        <f>BE217*BE44</f>
        <v>1053.4769230769232</v>
      </c>
      <c r="BF218" s="865">
        <f>BF217*BF44</f>
        <v>1076.6666666666667</v>
      </c>
      <c r="BG218" s="866">
        <v>921.77424999999994</v>
      </c>
      <c r="BH218" s="527">
        <f>BG218-BF218</f>
        <v>-154.8924166666668</v>
      </c>
      <c r="BI218" s="767">
        <f>BI217*BI44</f>
        <v>582.37606837606836</v>
      </c>
      <c r="BJ218" s="865">
        <f>BJ217*BJ44</f>
        <v>492.30769230769226</v>
      </c>
      <c r="BK218" s="866">
        <f>BK217*BK44</f>
        <v>209.41294000000076</v>
      </c>
      <c r="BL218" s="721">
        <f>BK218-BJ218</f>
        <v>-282.89475230769153</v>
      </c>
      <c r="BM218" s="767">
        <f>BM217*BM44</f>
        <v>746.38461538461547</v>
      </c>
      <c r="BN218" s="865">
        <f>BN217*BN44</f>
        <v>732.30769230769238</v>
      </c>
      <c r="BO218" s="866">
        <f>BO217*BO44</f>
        <v>695.64795000000049</v>
      </c>
      <c r="BP218" s="575">
        <f>BO218-BN218</f>
        <v>-36.659742307691886</v>
      </c>
      <c r="BQ218" s="869">
        <f>BE218+BI218+BM218</f>
        <v>2382.237606837607</v>
      </c>
      <c r="BR218" s="719"/>
      <c r="BS218" s="699">
        <f>BF218+BJ218+BN218</f>
        <v>2301.2820512820513</v>
      </c>
      <c r="BT218" s="526">
        <f>BG218+BK218+BO218</f>
        <v>1826.8351400000013</v>
      </c>
      <c r="BU218" s="699">
        <f>BT218-BQ218</f>
        <v>-555.40246683760574</v>
      </c>
      <c r="BV218" s="717"/>
      <c r="BW218" s="508">
        <f>BT218-BS218</f>
        <v>-474.44691128205</v>
      </c>
      <c r="BX218" s="767">
        <f>BX217*BX44</f>
        <v>636.08547008547009</v>
      </c>
      <c r="BY218" s="865">
        <f>BY217*BY44</f>
        <v>919.9316239316239</v>
      </c>
      <c r="BZ218" s="866">
        <f>BZ217*BZ44</f>
        <v>444.18308000000025</v>
      </c>
      <c r="CA218" s="867">
        <f>BZ218-BY218</f>
        <v>-475.74854393162366</v>
      </c>
      <c r="CB218" s="767">
        <f>CB217*CB44</f>
        <v>561.07692307692309</v>
      </c>
      <c r="CC218" s="865">
        <f>CC217*CC44</f>
        <v>752.13675213675219</v>
      </c>
      <c r="CD218" s="868">
        <f>CD217*CD44</f>
        <v>512.82051282051293</v>
      </c>
      <c r="CE218" s="984">
        <f>CD218-CC218</f>
        <v>-239.31623931623926</v>
      </c>
      <c r="CF218" s="767">
        <f>CF217*CF44</f>
        <v>526.07692307692309</v>
      </c>
      <c r="CG218" s="865">
        <f>CG217*CG44</f>
        <v>512.82051282051293</v>
      </c>
      <c r="CH218" s="868">
        <f>CH217*CH44</f>
        <v>213.67521367521368</v>
      </c>
      <c r="CI218" s="867">
        <f>CH218-CG218</f>
        <v>-299.14529914529925</v>
      </c>
      <c r="CJ218" s="718">
        <f>BX218+CB218+CF218</f>
        <v>1723.2393162393162</v>
      </c>
      <c r="CK218" s="719"/>
      <c r="CL218" s="721">
        <f>BY218+CC218+CG218</f>
        <v>2184.8888888888887</v>
      </c>
      <c r="CM218" s="526">
        <f>BZ218+CD218+CH218</f>
        <v>1170.6788064957268</v>
      </c>
      <c r="CN218" s="721">
        <f>CM218-CJ218</f>
        <v>-552.56050974358936</v>
      </c>
      <c r="CO218" s="721"/>
      <c r="CP218" s="508">
        <f>CM218-CL218</f>
        <v>-1014.2100823931619</v>
      </c>
      <c r="CQ218" s="718">
        <f>SUM(BQ218,CJ218)</f>
        <v>4105.4769230769234</v>
      </c>
      <c r="CR218" s="937"/>
      <c r="CS218" s="613">
        <f>BS218+CL218</f>
        <v>4486.1709401709395</v>
      </c>
      <c r="CT218" s="526">
        <f>SUM(BT218,CM218)</f>
        <v>2997.5139464957283</v>
      </c>
      <c r="CU218" s="717">
        <f>CT218-CQ218</f>
        <v>-1107.9629765811951</v>
      </c>
      <c r="CV218" s="717"/>
      <c r="CW218" s="688">
        <f>CT218-CS218</f>
        <v>-1488.6569936752112</v>
      </c>
      <c r="CX218" s="722"/>
      <c r="CY218" s="723"/>
      <c r="CZ218" s="556"/>
      <c r="DA218" s="556"/>
      <c r="DB218" s="556"/>
      <c r="DC218" s="556"/>
      <c r="DD218" s="556"/>
    </row>
    <row r="219" spans="1:108">
      <c r="A219" s="1042"/>
      <c r="B219" s="1045" t="s">
        <v>165</v>
      </c>
      <c r="C219" s="1042"/>
      <c r="D219" s="1046"/>
      <c r="E219" s="944">
        <v>0.22839999999999999</v>
      </c>
      <c r="F219" s="945">
        <v>0.216</v>
      </c>
      <c r="G219" s="946">
        <v>0.22556966504958467</v>
      </c>
      <c r="H219" s="948">
        <v>0.22</v>
      </c>
      <c r="I219" s="1102">
        <f>E219</f>
        <v>0.22839999999999999</v>
      </c>
      <c r="J219" s="1103">
        <v>0.23400000000000001</v>
      </c>
      <c r="K219" s="1104">
        <v>0.24483461781291962</v>
      </c>
      <c r="L219" s="1111"/>
      <c r="M219" s="1102">
        <f>I219</f>
        <v>0.22839999999999999</v>
      </c>
      <c r="N219" s="1103">
        <v>0.2475</v>
      </c>
      <c r="O219" s="1104">
        <v>0.24640935028139013</v>
      </c>
      <c r="P219" s="1111"/>
      <c r="Q219" s="1152">
        <f>Q220/Q45</f>
        <v>0.22840000000000002</v>
      </c>
      <c r="R219" s="1153">
        <v>0.227435</v>
      </c>
      <c r="S219" s="1172">
        <f>S220/S45</f>
        <v>0.23466093531809257</v>
      </c>
      <c r="T219" s="1173">
        <f>T220/T45</f>
        <v>0.23851245323231787</v>
      </c>
      <c r="U219" s="1108"/>
      <c r="V219" s="1109"/>
      <c r="W219" s="1089"/>
      <c r="X219" s="1102">
        <v>0.24112705199858506</v>
      </c>
      <c r="Y219" s="1103">
        <v>0.246</v>
      </c>
      <c r="Z219" s="1104">
        <v>0.24063672147399487</v>
      </c>
      <c r="AA219" s="1111">
        <v>0.22</v>
      </c>
      <c r="AB219" s="1102">
        <f>X219</f>
        <v>0.24112705199858506</v>
      </c>
      <c r="AC219" s="1103">
        <v>0.23400000000000001</v>
      </c>
      <c r="AD219" s="1104">
        <v>0.24499218860973168</v>
      </c>
      <c r="AE219" s="1169">
        <v>0.22</v>
      </c>
      <c r="AF219" s="1102">
        <f>X219</f>
        <v>0.24112705199858506</v>
      </c>
      <c r="AG219" s="1103">
        <v>0.246</v>
      </c>
      <c r="AH219" s="1104">
        <v>0.24988308003891371</v>
      </c>
      <c r="AI219" s="1105"/>
      <c r="AJ219" s="1155">
        <f>AJ220/AJ45</f>
        <v>0.24112705199858506</v>
      </c>
      <c r="AK219" s="1153">
        <v>0.24122496829971182</v>
      </c>
      <c r="AL219" s="1154">
        <f>AL220/AL45</f>
        <v>0.24181818181818182</v>
      </c>
      <c r="AM219" s="1173">
        <f>AM220/AM45</f>
        <v>0.24537297438643052</v>
      </c>
      <c r="AN219" s="1111"/>
      <c r="AO219" s="1109"/>
      <c r="AP219" s="1089"/>
      <c r="AQ219" s="1155">
        <f>AQ220/AQ45</f>
        <v>0.23399990287937744</v>
      </c>
      <c r="AR219" s="1156">
        <f>AR220/AR45</f>
        <v>0.23318772781918731</v>
      </c>
      <c r="AS219" s="1154">
        <f>AS220/AS45</f>
        <v>0.23825113674585927</v>
      </c>
      <c r="AT219" s="1168">
        <f>AT220/AT45</f>
        <v>0.24185670201346607</v>
      </c>
      <c r="AU219" s="1162"/>
      <c r="AV219" s="1109"/>
      <c r="AW219" s="1082"/>
      <c r="AX219" s="1249"/>
      <c r="AY219" s="1248"/>
      <c r="AZ219" s="1248"/>
      <c r="BA219" s="1247"/>
      <c r="BB219" s="1247"/>
      <c r="BC219" s="1247"/>
      <c r="BD219" s="1247"/>
      <c r="BE219" s="1102">
        <v>0.24798999999999999</v>
      </c>
      <c r="BF219" s="1103">
        <v>0.25</v>
      </c>
      <c r="BG219" s="1104">
        <v>0.25024633937632595</v>
      </c>
      <c r="BH219" s="1111"/>
      <c r="BI219" s="1102">
        <v>0.24704999999999999</v>
      </c>
      <c r="BJ219" s="1103">
        <v>0.23599999999999999</v>
      </c>
      <c r="BK219" s="1104">
        <v>0.2569344522969807</v>
      </c>
      <c r="BL219" s="1111"/>
      <c r="BM219" s="1102">
        <v>0.24660000000000001</v>
      </c>
      <c r="BN219" s="1103">
        <v>0.249</v>
      </c>
      <c r="BO219" s="1104">
        <v>0.24483406061752747</v>
      </c>
      <c r="BP219" s="1105"/>
      <c r="BQ219" s="1152">
        <f>BQ220/BQ45</f>
        <v>0.24732016906926324</v>
      </c>
      <c r="BR219" s="1154"/>
      <c r="BS219" s="1156">
        <f>BS220/BS45</f>
        <v>0.24657834425636282</v>
      </c>
      <c r="BT219" s="1173">
        <f>BT220/BT45</f>
        <v>0.25003437203472756</v>
      </c>
      <c r="BU219" s="1108"/>
      <c r="BV219" s="1109"/>
      <c r="BW219" s="1089"/>
      <c r="BX219" s="1102">
        <v>0.24759999999999999</v>
      </c>
      <c r="BY219" s="1103">
        <v>0.245</v>
      </c>
      <c r="BZ219" s="1104">
        <v>0.23586391915395399</v>
      </c>
      <c r="CA219" s="1105"/>
      <c r="CB219" s="1102">
        <v>0.24759999999999999</v>
      </c>
      <c r="CC219" s="1103">
        <v>0.245</v>
      </c>
      <c r="CD219" s="1277">
        <v>0.245</v>
      </c>
      <c r="CE219" s="1169"/>
      <c r="CF219" s="1102">
        <v>0.2475</v>
      </c>
      <c r="CG219" s="1103">
        <v>0.245</v>
      </c>
      <c r="CH219" s="1277">
        <v>0.24</v>
      </c>
      <c r="CI219" s="1105"/>
      <c r="CJ219" s="1155">
        <f>CJ220/CJ45</f>
        <v>0.24756748237245954</v>
      </c>
      <c r="CK219" s="1154"/>
      <c r="CL219" s="1154">
        <f>CL220/CL45</f>
        <v>0.24500000000000002</v>
      </c>
      <c r="CM219" s="1173">
        <f>CM220/CM45</f>
        <v>0.23979212970366939</v>
      </c>
      <c r="CN219" s="1111"/>
      <c r="CO219" s="1111"/>
      <c r="CP219" s="1089"/>
      <c r="CQ219" s="1155">
        <f>CQ220/CQ45</f>
        <v>0.2474353134941204</v>
      </c>
      <c r="CR219" s="1154"/>
      <c r="CS219" s="1154">
        <f>CS220/CS45</f>
        <v>0.2457567520675496</v>
      </c>
      <c r="CT219" s="1168">
        <f>CT220/CT45</f>
        <v>0.24494263341865494</v>
      </c>
      <c r="CU219" s="1162"/>
      <c r="CV219" s="1162"/>
      <c r="CW219" s="1082">
        <f>CT220/CS220</f>
        <v>0.81354255117687779</v>
      </c>
      <c r="CX219" s="1249"/>
      <c r="CY219" s="1248"/>
      <c r="CZ219" s="1247"/>
      <c r="DA219" s="1247"/>
      <c r="DB219" s="1247"/>
      <c r="DC219" s="900"/>
      <c r="DD219" s="900"/>
    </row>
    <row r="220" spans="1:108">
      <c r="A220" s="998"/>
      <c r="B220" s="1044" t="s">
        <v>159</v>
      </c>
      <c r="C220" s="1023"/>
      <c r="D220" s="1000"/>
      <c r="E220" s="767">
        <f t="shared" ref="E220:K220" si="325">E219*E45</f>
        <v>32659.247863247863</v>
      </c>
      <c r="F220" s="865">
        <f t="shared" si="325"/>
        <v>42092.307692307695</v>
      </c>
      <c r="G220" s="866">
        <f t="shared" si="325"/>
        <v>46310.402229999847</v>
      </c>
      <c r="H220" s="867">
        <f t="shared" si="325"/>
        <v>2295.1316666666644</v>
      </c>
      <c r="I220" s="767">
        <f t="shared" si="325"/>
        <v>36348.786324786328</v>
      </c>
      <c r="J220" s="865">
        <f t="shared" si="325"/>
        <v>40450.000000000007</v>
      </c>
      <c r="K220" s="866">
        <f t="shared" si="325"/>
        <v>54026.085660098688</v>
      </c>
      <c r="L220" s="867">
        <f>K220-J220</f>
        <v>13576.085660098681</v>
      </c>
      <c r="M220" s="767">
        <f>M219*M45</f>
        <v>36348.786324786328</v>
      </c>
      <c r="N220" s="865">
        <f>N219*N45</f>
        <v>38182.692307692312</v>
      </c>
      <c r="O220" s="866">
        <f>O219*O45</f>
        <v>39382.868069848875</v>
      </c>
      <c r="P220" s="867">
        <f>O220-N220</f>
        <v>1200.175762156563</v>
      </c>
      <c r="Q220" s="869">
        <f>E220+I220+M220</f>
        <v>105356.82051282052</v>
      </c>
      <c r="R220" s="870">
        <v>117799.66666666667</v>
      </c>
      <c r="S220" s="952">
        <f>G220+J220+N220</f>
        <v>124943.09453769217</v>
      </c>
      <c r="T220" s="526">
        <f>G220+K220+O220</f>
        <v>139719.3559599474</v>
      </c>
      <c r="U220" s="699">
        <f>T220-Q220</f>
        <v>34362.53544712688</v>
      </c>
      <c r="V220" s="717">
        <f t="shared" si="320"/>
        <v>21919.689293280724</v>
      </c>
      <c r="W220" s="508">
        <f>T220-S220</f>
        <v>14776.261422255222</v>
      </c>
      <c r="X220" s="767">
        <f t="shared" ref="X220:AC220" si="326">X219*X45</f>
        <v>32397.583396732971</v>
      </c>
      <c r="Y220" s="865">
        <f t="shared" si="326"/>
        <v>37951.282051282054</v>
      </c>
      <c r="Z220" s="866">
        <f t="shared" si="326"/>
        <v>40922.026609926535</v>
      </c>
      <c r="AA220" s="867">
        <f t="shared" si="326"/>
        <v>3472.4309230769222</v>
      </c>
      <c r="AB220" s="767">
        <f t="shared" si="326"/>
        <v>30450.018745975169</v>
      </c>
      <c r="AC220" s="865">
        <f t="shared" si="326"/>
        <v>43700</v>
      </c>
      <c r="AD220" s="866">
        <v>47009.741000000002</v>
      </c>
      <c r="AE220" s="984">
        <f>AE219*AE45</f>
        <v>1130.3391545299121</v>
      </c>
      <c r="AF220" s="767">
        <f>AF219*AF45</f>
        <v>24545.497344471351</v>
      </c>
      <c r="AG220" s="865">
        <f>AG219*AG45</f>
        <v>47938.461538461539</v>
      </c>
      <c r="AH220" s="866">
        <f>AH219*AH45</f>
        <v>48774.464070000002</v>
      </c>
      <c r="AI220" s="867">
        <f>AH220-AG220</f>
        <v>836.00253153846279</v>
      </c>
      <c r="AJ220" s="869">
        <f>X220+AB220+AF220</f>
        <v>87393.099487179497</v>
      </c>
      <c r="AK220" s="870">
        <v>89428.487179487187</v>
      </c>
      <c r="AL220" s="717">
        <f>Y220+AC220+AG220</f>
        <v>129589.74358974359</v>
      </c>
      <c r="AM220" s="526">
        <f>Z220+AD220+AH220</f>
        <v>136706.23167992654</v>
      </c>
      <c r="AN220" s="721">
        <f>AM220-AJ220</f>
        <v>49313.132192747042</v>
      </c>
      <c r="AO220" s="717">
        <f t="shared" si="321"/>
        <v>47277.744500439352</v>
      </c>
      <c r="AP220" s="508">
        <f>AM220-AL220</f>
        <v>7116.4880901829456</v>
      </c>
      <c r="AQ220" s="718">
        <f>SUM(Q220,AJ220)</f>
        <v>192749.92</v>
      </c>
      <c r="AR220" s="720">
        <f>SUM(R220,AK220)</f>
        <v>207228.15384615387</v>
      </c>
      <c r="AS220" s="613">
        <f>S220+AL220</f>
        <v>254532.83812743577</v>
      </c>
      <c r="AT220" s="526">
        <f>SUM(T220,AM220)</f>
        <v>276425.58763987396</v>
      </c>
      <c r="AU220" s="523">
        <f>AT220-AQ220</f>
        <v>83675.667639873951</v>
      </c>
      <c r="AV220" s="717">
        <f t="shared" si="322"/>
        <v>69197.433793720091</v>
      </c>
      <c r="AW220" s="508">
        <f>AT220-AS220</f>
        <v>21892.749512438197</v>
      </c>
      <c r="AX220" s="722"/>
      <c r="AY220" s="723"/>
      <c r="AZ220" s="696"/>
      <c r="BA220" s="556"/>
      <c r="BB220" s="556"/>
      <c r="BC220" s="556"/>
      <c r="BD220" s="556"/>
      <c r="BE220" s="767">
        <f>BE219*BE45</f>
        <v>48881.584444444445</v>
      </c>
      <c r="BF220" s="865">
        <f>BF219*BF45</f>
        <v>49277.777777777781</v>
      </c>
      <c r="BG220" s="866">
        <v>36166.27990000003</v>
      </c>
      <c r="BH220" s="527">
        <f>BG220-BF220</f>
        <v>-13111.497877777751</v>
      </c>
      <c r="BI220" s="767">
        <f>BI219*BI45</f>
        <v>27270.51923076923</v>
      </c>
      <c r="BJ220" s="865">
        <f>BJ219*BJ45</f>
        <v>22268.717948717949</v>
      </c>
      <c r="BK220" s="866">
        <f>BK219*BK45</f>
        <v>23580.771720000044</v>
      </c>
      <c r="BL220" s="721">
        <f>BK220-BJ220</f>
        <v>1312.0537712820951</v>
      </c>
      <c r="BM220" s="767">
        <f>BM219*BM45</f>
        <v>34998.230769230773</v>
      </c>
      <c r="BN220" s="865">
        <f>BN219*BN45</f>
        <v>33285.128205128211</v>
      </c>
      <c r="BO220" s="866">
        <f>BO219*BO45</f>
        <v>31257.103310000017</v>
      </c>
      <c r="BP220" s="575">
        <f>BO220-BN220</f>
        <v>-2028.0248951281937</v>
      </c>
      <c r="BQ220" s="869">
        <f>BE220+BI220+BM220</f>
        <v>111150.33444444445</v>
      </c>
      <c r="BR220" s="719"/>
      <c r="BS220" s="699">
        <f>BF220+BJ220+BN220</f>
        <v>104831.62393162394</v>
      </c>
      <c r="BT220" s="526">
        <f>BG220+BK220+BO220</f>
        <v>91004.154930000092</v>
      </c>
      <c r="BU220" s="699">
        <f>BT220-BQ220</f>
        <v>-20146.17951444436</v>
      </c>
      <c r="BV220" s="717"/>
      <c r="BW220" s="508">
        <f>BT220-BS220</f>
        <v>-13827.469001623846</v>
      </c>
      <c r="BX220" s="767">
        <f>BX219*BX45</f>
        <v>35612.075213675213</v>
      </c>
      <c r="BY220" s="865">
        <f>BY219*BY45</f>
        <v>41804.957264957273</v>
      </c>
      <c r="BZ220" s="866">
        <f>BZ219*BZ45</f>
        <v>37895.919229999992</v>
      </c>
      <c r="CA220" s="867">
        <f>BZ220-BY220</f>
        <v>-3909.0380349572806</v>
      </c>
      <c r="CB220" s="767">
        <v>31642</v>
      </c>
      <c r="CC220" s="865">
        <f>CC219*CC45</f>
        <v>42382.905982905984</v>
      </c>
      <c r="CD220" s="868">
        <f>CD219*CD45</f>
        <v>28897.435897435898</v>
      </c>
      <c r="CE220" s="984">
        <f>CD220-CC220</f>
        <v>-13485.470085470086</v>
      </c>
      <c r="CF220" s="767">
        <v>29676</v>
      </c>
      <c r="CG220" s="865">
        <f>CG219*CG45</f>
        <v>28897.435897435898</v>
      </c>
      <c r="CH220" s="868">
        <f>CH219*CH45</f>
        <v>19487.179487179488</v>
      </c>
      <c r="CI220" s="867">
        <f>CH220-CG220</f>
        <v>-9410.2564102564102</v>
      </c>
      <c r="CJ220" s="869">
        <f>BX220+CB220+CF220</f>
        <v>96930.075213675213</v>
      </c>
      <c r="CK220" s="719"/>
      <c r="CL220" s="717">
        <f>BY220+CC220+CG220</f>
        <v>113085.29914529916</v>
      </c>
      <c r="CM220" s="526">
        <f>BZ220+CD220+CH220</f>
        <v>86280.534614615375</v>
      </c>
      <c r="CN220" s="721">
        <f>CM220-CJ220</f>
        <v>-10649.540599059837</v>
      </c>
      <c r="CO220" s="721"/>
      <c r="CP220" s="508">
        <f>CM220-CL220</f>
        <v>-26804.76453068378</v>
      </c>
      <c r="CQ220" s="718">
        <f>SUM(BQ220,CJ220)</f>
        <v>208080.40965811966</v>
      </c>
      <c r="CR220" s="937"/>
      <c r="CS220" s="613">
        <f>BS220+CL220</f>
        <v>217916.92307692309</v>
      </c>
      <c r="CT220" s="526">
        <f>SUM(BT220,CM220)</f>
        <v>177284.68954461545</v>
      </c>
      <c r="CU220" s="523">
        <f>CT220-CQ220</f>
        <v>-30795.720113504212</v>
      </c>
      <c r="CV220" s="523"/>
      <c r="CW220" s="508">
        <f>CT220-CS220</f>
        <v>-40632.23353230764</v>
      </c>
      <c r="CX220" s="722"/>
      <c r="CY220" s="696"/>
      <c r="CZ220" s="556"/>
      <c r="DA220" s="556"/>
      <c r="DB220" s="556"/>
      <c r="DC220" s="556"/>
      <c r="DD220" s="556"/>
    </row>
    <row r="221" spans="1:108">
      <c r="A221" s="1042"/>
      <c r="B221" s="1043" t="s">
        <v>165</v>
      </c>
      <c r="C221" s="1041"/>
      <c r="D221" s="1032"/>
      <c r="E221" s="944"/>
      <c r="F221" s="945"/>
      <c r="G221" s="946"/>
      <c r="H221" s="947"/>
      <c r="I221" s="1102"/>
      <c r="J221" s="1103"/>
      <c r="K221" s="1104"/>
      <c r="L221" s="1105"/>
      <c r="M221" s="1102"/>
      <c r="N221" s="1103"/>
      <c r="O221" s="1104"/>
      <c r="P221" s="1105"/>
      <c r="Q221" s="1152" t="e">
        <f>Q222/Q46</f>
        <v>#DIV/0!</v>
      </c>
      <c r="R221" s="1153"/>
      <c r="S221" s="1172" t="e">
        <f>S222/S46</f>
        <v>#DIV/0!</v>
      </c>
      <c r="T221" s="1173" t="e">
        <f>T222/T46</f>
        <v>#DIV/0!</v>
      </c>
      <c r="U221" s="1108"/>
      <c r="V221" s="1109" t="e">
        <f t="shared" si="320"/>
        <v>#DIV/0!</v>
      </c>
      <c r="W221" s="1089"/>
      <c r="X221" s="1102"/>
      <c r="Y221" s="1103"/>
      <c r="Z221" s="1104"/>
      <c r="AA221" s="1105"/>
      <c r="AB221" s="1102"/>
      <c r="AC221" s="1103"/>
      <c r="AD221" s="1104"/>
      <c r="AE221" s="1105"/>
      <c r="AF221" s="1102"/>
      <c r="AG221" s="1103"/>
      <c r="AH221" s="1104"/>
      <c r="AI221" s="1105"/>
      <c r="AJ221" s="1152" t="e">
        <f>AJ222/AJ46</f>
        <v>#DIV/0!</v>
      </c>
      <c r="AK221" s="1153"/>
      <c r="AL221" s="1174" t="e">
        <f>AL222/AL46</f>
        <v>#DIV/0!</v>
      </c>
      <c r="AM221" s="1173" t="e">
        <f>AM222/AM46</f>
        <v>#DIV/0!</v>
      </c>
      <c r="AN221" s="1111"/>
      <c r="AO221" s="1109" t="e">
        <f t="shared" si="321"/>
        <v>#DIV/0!</v>
      </c>
      <c r="AP221" s="1089"/>
      <c r="AQ221" s="1155"/>
      <c r="AR221" s="1156"/>
      <c r="AS221" s="1154" t="e">
        <f>AS222/AS46</f>
        <v>#DIV/0!</v>
      </c>
      <c r="AT221" s="1168" t="e">
        <f>AT222/AT46</f>
        <v>#DIV/0!</v>
      </c>
      <c r="AU221" s="1162" t="e">
        <f>AT222/AQ222</f>
        <v>#DIV/0!</v>
      </c>
      <c r="AV221" s="1109" t="e">
        <f t="shared" si="322"/>
        <v>#DIV/0!</v>
      </c>
      <c r="AW221" s="1083" t="e">
        <f>AT222/AS222</f>
        <v>#DIV/0!</v>
      </c>
      <c r="AX221" s="1249"/>
      <c r="AY221" s="1248"/>
      <c r="AZ221" s="1248"/>
      <c r="BA221" s="1247"/>
      <c r="BB221" s="1247"/>
      <c r="BC221" s="1247"/>
      <c r="BD221" s="1247"/>
      <c r="BE221" s="1102"/>
      <c r="BF221" s="1103">
        <v>-0.09</v>
      </c>
      <c r="BG221" s="1104">
        <v>-0.09</v>
      </c>
      <c r="BH221" s="1105"/>
      <c r="BI221" s="1102"/>
      <c r="BJ221" s="1103">
        <v>-0.09</v>
      </c>
      <c r="BK221" s="1104">
        <v>-0.09</v>
      </c>
      <c r="BL221" s="1105"/>
      <c r="BM221" s="1102"/>
      <c r="BN221" s="1103">
        <v>-0.09</v>
      </c>
      <c r="BO221" s="1104">
        <v>-0.09</v>
      </c>
      <c r="BP221" s="1105"/>
      <c r="BQ221" s="1152" t="e">
        <f>BQ222/BQ46</f>
        <v>#DIV/0!</v>
      </c>
      <c r="BR221" s="1154"/>
      <c r="BS221" s="1156" t="e">
        <f>BS222/BS46</f>
        <v>#DIV/0!</v>
      </c>
      <c r="BT221" s="1173" t="e">
        <f>BT222/BT46</f>
        <v>#DIV/0!</v>
      </c>
      <c r="BU221" s="1108"/>
      <c r="BV221" s="1109"/>
      <c r="BW221" s="1089"/>
      <c r="BX221" s="1102"/>
      <c r="BY221" s="1103">
        <v>-0.09</v>
      </c>
      <c r="BZ221" s="1104">
        <v>-0.09</v>
      </c>
      <c r="CA221" s="1105"/>
      <c r="CB221" s="1102"/>
      <c r="CC221" s="1103">
        <v>-0.09</v>
      </c>
      <c r="CD221" s="1277">
        <v>-0.09</v>
      </c>
      <c r="CE221" s="1105"/>
      <c r="CF221" s="1102"/>
      <c r="CG221" s="1103">
        <v>-0.09</v>
      </c>
      <c r="CH221" s="1277">
        <v>-0.09</v>
      </c>
      <c r="CI221" s="1105"/>
      <c r="CJ221" s="1152" t="e">
        <f>CJ222/CJ46</f>
        <v>#DIV/0!</v>
      </c>
      <c r="CK221" s="1154"/>
      <c r="CL221" s="1174" t="e">
        <f>CL222/CL46</f>
        <v>#DIV/0!</v>
      </c>
      <c r="CM221" s="1173" t="e">
        <f>CM222/CM46</f>
        <v>#DIV/0!</v>
      </c>
      <c r="CN221" s="1111"/>
      <c r="CO221" s="1111"/>
      <c r="CP221" s="1089"/>
      <c r="CQ221" s="1155"/>
      <c r="CR221" s="1154"/>
      <c r="CS221" s="1154" t="e">
        <f>CS222/CS46</f>
        <v>#DIV/0!</v>
      </c>
      <c r="CT221" s="1168" t="e">
        <f>CT222/CT46</f>
        <v>#DIV/0!</v>
      </c>
      <c r="CU221" s="1162" t="e">
        <f>CT222/CQ222</f>
        <v>#DIV/0!</v>
      </c>
      <c r="CV221" s="1162"/>
      <c r="CW221" s="1083" t="e">
        <f>CT222/CS222</f>
        <v>#DIV/0!</v>
      </c>
      <c r="CX221" s="1249"/>
      <c r="CY221" s="1248"/>
      <c r="CZ221" s="1247"/>
      <c r="DA221" s="1247"/>
      <c r="DB221" s="1247"/>
      <c r="DC221" s="900"/>
      <c r="DD221" s="900"/>
    </row>
    <row r="222" spans="1:108">
      <c r="A222" s="998"/>
      <c r="B222" s="1044" t="s">
        <v>160</v>
      </c>
      <c r="C222" s="1023"/>
      <c r="D222" s="1000"/>
      <c r="E222" s="767"/>
      <c r="F222" s="865"/>
      <c r="G222" s="866"/>
      <c r="H222" s="575"/>
      <c r="I222" s="767"/>
      <c r="J222" s="865"/>
      <c r="K222" s="866"/>
      <c r="L222" s="575"/>
      <c r="M222" s="767"/>
      <c r="N222" s="865"/>
      <c r="O222" s="866"/>
      <c r="P222" s="575"/>
      <c r="Q222" s="869">
        <f>E222+I222+M222</f>
        <v>0</v>
      </c>
      <c r="R222" s="870"/>
      <c r="S222" s="952">
        <f>G222+J222+N222</f>
        <v>0</v>
      </c>
      <c r="T222" s="526">
        <f>G222+K222+O222</f>
        <v>0</v>
      </c>
      <c r="U222" s="699">
        <f>T222-Q222</f>
        <v>0</v>
      </c>
      <c r="V222" s="717">
        <f t="shared" si="320"/>
        <v>0</v>
      </c>
      <c r="W222" s="508">
        <f>T222-S222</f>
        <v>0</v>
      </c>
      <c r="X222" s="767"/>
      <c r="Y222" s="865"/>
      <c r="Z222" s="866"/>
      <c r="AA222" s="575"/>
      <c r="AB222" s="767"/>
      <c r="AC222" s="865"/>
      <c r="AD222" s="866"/>
      <c r="AE222" s="867"/>
      <c r="AF222" s="767"/>
      <c r="AG222" s="865"/>
      <c r="AH222" s="866"/>
      <c r="AI222" s="867"/>
      <c r="AJ222" s="869">
        <f>X222+AB222+AF222</f>
        <v>0</v>
      </c>
      <c r="AK222" s="870"/>
      <c r="AL222" s="717">
        <f>Y222+AC222+AG222</f>
        <v>0</v>
      </c>
      <c r="AM222" s="526">
        <f>Z222+AD222+AH222</f>
        <v>0</v>
      </c>
      <c r="AN222" s="721">
        <f>AM222-AJ222</f>
        <v>0</v>
      </c>
      <c r="AO222" s="717">
        <f t="shared" si="321"/>
        <v>0</v>
      </c>
      <c r="AP222" s="508">
        <f>AM222-AL222</f>
        <v>0</v>
      </c>
      <c r="AQ222" s="718">
        <f>SUM(Q222,AJ222)</f>
        <v>0</v>
      </c>
      <c r="AR222" s="720">
        <f>SUM(R222,AK222)</f>
        <v>0</v>
      </c>
      <c r="AS222" s="985">
        <f>S222+AL222</f>
        <v>0</v>
      </c>
      <c r="AT222" s="526">
        <f>SUM(T222,AM222)</f>
        <v>0</v>
      </c>
      <c r="AU222" s="717">
        <f>AT222-AQ222</f>
        <v>0</v>
      </c>
      <c r="AV222" s="717">
        <f t="shared" si="322"/>
        <v>0</v>
      </c>
      <c r="AW222" s="688">
        <f>AT222-AS222</f>
        <v>0</v>
      </c>
      <c r="AX222" s="722"/>
      <c r="AY222" s="723"/>
      <c r="AZ222" s="723"/>
      <c r="BA222" s="556"/>
      <c r="BB222" s="556"/>
      <c r="BC222" s="556"/>
      <c r="BD222" s="556"/>
      <c r="BE222" s="767"/>
      <c r="BF222" s="865">
        <f>BF221*BF46</f>
        <v>0</v>
      </c>
      <c r="BG222" s="866">
        <f>BG221*BG46</f>
        <v>0</v>
      </c>
      <c r="BH222" s="575"/>
      <c r="BI222" s="767"/>
      <c r="BJ222" s="865">
        <f>BJ221*BJ46</f>
        <v>0</v>
      </c>
      <c r="BK222" s="866">
        <f>BK221*BK46</f>
        <v>0</v>
      </c>
      <c r="BL222" s="867"/>
      <c r="BM222" s="767"/>
      <c r="BN222" s="865">
        <f>BN221*BN46</f>
        <v>0</v>
      </c>
      <c r="BO222" s="866">
        <f>BO221*BO46</f>
        <v>0</v>
      </c>
      <c r="BP222" s="575"/>
      <c r="BQ222" s="869">
        <f>BE222+BI222+BM222</f>
        <v>0</v>
      </c>
      <c r="BR222" s="719"/>
      <c r="BS222" s="699">
        <f>BF222+BJ222+BN222</f>
        <v>0</v>
      </c>
      <c r="BT222" s="526">
        <f>BG222+BK222+BO222</f>
        <v>0</v>
      </c>
      <c r="BU222" s="699">
        <f>BT222-BQ222</f>
        <v>0</v>
      </c>
      <c r="BV222" s="717"/>
      <c r="BW222" s="508">
        <f>BT222-BS222</f>
        <v>0</v>
      </c>
      <c r="BX222" s="767"/>
      <c r="BY222" s="865">
        <f>BY221*BY46</f>
        <v>0</v>
      </c>
      <c r="BZ222" s="866">
        <f>BZ221*BZ46</f>
        <v>0</v>
      </c>
      <c r="CA222" s="867"/>
      <c r="CB222" s="767"/>
      <c r="CC222" s="865">
        <f>CC221*CC46</f>
        <v>0</v>
      </c>
      <c r="CD222" s="868">
        <f>CD221*CD46</f>
        <v>0</v>
      </c>
      <c r="CE222" s="867"/>
      <c r="CF222" s="767"/>
      <c r="CG222" s="865">
        <f>CG221*CG46</f>
        <v>0</v>
      </c>
      <c r="CH222" s="868">
        <f>CH221*CH46</f>
        <v>0</v>
      </c>
      <c r="CI222" s="867"/>
      <c r="CJ222" s="869">
        <f>BX222+CB222+CF222</f>
        <v>0</v>
      </c>
      <c r="CK222" s="719"/>
      <c r="CL222" s="717">
        <f>BY222+CC222+CG222</f>
        <v>0</v>
      </c>
      <c r="CM222" s="526">
        <f>BZ222+CD222+CH222</f>
        <v>0</v>
      </c>
      <c r="CN222" s="721">
        <f>CM222-CJ222</f>
        <v>0</v>
      </c>
      <c r="CO222" s="721"/>
      <c r="CP222" s="508">
        <f>CM222-CL222</f>
        <v>0</v>
      </c>
      <c r="CQ222" s="718">
        <f>SUM(BQ222,CJ222)</f>
        <v>0</v>
      </c>
      <c r="CR222" s="937"/>
      <c r="CS222" s="985">
        <f>BS222+CL222</f>
        <v>0</v>
      </c>
      <c r="CT222" s="526">
        <f>SUM(BT222,CM222)</f>
        <v>0</v>
      </c>
      <c r="CU222" s="717">
        <f>CT222-CQ222</f>
        <v>0</v>
      </c>
      <c r="CV222" s="717"/>
      <c r="CW222" s="688">
        <f>CT222-CS222</f>
        <v>0</v>
      </c>
      <c r="CX222" s="722"/>
      <c r="CY222" s="723"/>
      <c r="CZ222" s="556"/>
      <c r="DA222" s="556"/>
      <c r="DB222" s="556"/>
      <c r="DC222" s="556"/>
      <c r="DD222" s="556"/>
    </row>
    <row r="223" spans="1:108">
      <c r="A223" s="998"/>
      <c r="B223" s="1029"/>
      <c r="C223" s="1021" t="s">
        <v>166</v>
      </c>
      <c r="D223" s="1022"/>
      <c r="E223" s="944">
        <v>0.191</v>
      </c>
      <c r="F223" s="959">
        <v>0.20499999999999999</v>
      </c>
      <c r="G223" s="960">
        <v>0.20911341740014899</v>
      </c>
      <c r="H223" s="986">
        <v>0.20799999999999999</v>
      </c>
      <c r="I223" s="1102">
        <f>E223</f>
        <v>0.191</v>
      </c>
      <c r="J223" s="1126">
        <v>0.20200000000000001</v>
      </c>
      <c r="K223" s="1127">
        <v>0.19059999999999999</v>
      </c>
      <c r="L223" s="986"/>
      <c r="M223" s="1102">
        <f>I223</f>
        <v>0.191</v>
      </c>
      <c r="N223" s="1126">
        <v>0.18</v>
      </c>
      <c r="O223" s="1127">
        <v>0.19940902046002301</v>
      </c>
      <c r="P223" s="986"/>
      <c r="Q223" s="1152">
        <f>Q224/Q47</f>
        <v>0.191</v>
      </c>
      <c r="R223" s="1153">
        <v>0.17887401315789475</v>
      </c>
      <c r="S223" s="1175">
        <f>S224/S47</f>
        <v>0.19866592165024552</v>
      </c>
      <c r="T223" s="1173">
        <f>T224/T47</f>
        <v>0.19943974083384108</v>
      </c>
      <c r="U223" s="760"/>
      <c r="V223" s="761">
        <f t="shared" si="320"/>
        <v>2.0565727675946333E-2</v>
      </c>
      <c r="W223" s="762"/>
      <c r="X223" s="1102">
        <v>0.191</v>
      </c>
      <c r="Y223" s="1126">
        <v>0.18</v>
      </c>
      <c r="Z223" s="1127">
        <v>0.18760722562509646</v>
      </c>
      <c r="AA223" s="986">
        <v>0.20799999999999999</v>
      </c>
      <c r="AB223" s="1102">
        <f>X223</f>
        <v>0.191</v>
      </c>
      <c r="AC223" s="1126">
        <v>0.15</v>
      </c>
      <c r="AD223" s="1127">
        <v>0.18519708738174309</v>
      </c>
      <c r="AE223" s="1163">
        <v>0.20799999999999999</v>
      </c>
      <c r="AF223" s="1102">
        <f>X223</f>
        <v>0.191</v>
      </c>
      <c r="AG223" s="1126">
        <v>0.18</v>
      </c>
      <c r="AH223" s="1127">
        <v>0.17148098684875654</v>
      </c>
      <c r="AI223" s="1163"/>
      <c r="AJ223" s="1155">
        <f>AJ224/AJ47</f>
        <v>0.19100000000000003</v>
      </c>
      <c r="AK223" s="1153">
        <v>0.20902591687041566</v>
      </c>
      <c r="AL223" s="1135">
        <f>AL224/AL47</f>
        <v>0.16983820459290189</v>
      </c>
      <c r="AM223" s="1173">
        <f>AM224/AM47</f>
        <v>0.18226051378549982</v>
      </c>
      <c r="AN223" s="696"/>
      <c r="AO223" s="761">
        <f t="shared" si="321"/>
        <v>-2.6765403084915845E-2</v>
      </c>
      <c r="AP223" s="762"/>
      <c r="AQ223" s="1155">
        <f>AQ224/AQ47</f>
        <v>0.191</v>
      </c>
      <c r="AR223" s="1156">
        <f>AR224/AR47</f>
        <v>0.19100000000000003</v>
      </c>
      <c r="AS223" s="1154">
        <f>AS224/AS47</f>
        <v>0.1847515603690181</v>
      </c>
      <c r="AT223" s="1173">
        <f>AT224/AT47</f>
        <v>0.190980267316116</v>
      </c>
      <c r="AU223" s="1162"/>
      <c r="AV223" s="761"/>
      <c r="AW223" s="1083"/>
      <c r="AX223" s="722"/>
      <c r="AY223" s="723"/>
      <c r="AZ223" s="723"/>
      <c r="BA223" s="556"/>
      <c r="BB223" s="556"/>
      <c r="BC223" s="556"/>
      <c r="BD223" s="556"/>
      <c r="BE223" s="1102">
        <f>BE224/BE47</f>
        <v>0.19595570216776625</v>
      </c>
      <c r="BF223" s="1126">
        <f>BF173</f>
        <v>0.19600000000000001</v>
      </c>
      <c r="BG223" s="1127">
        <v>0.16707389338376766</v>
      </c>
      <c r="BH223" s="1163"/>
      <c r="BI223" s="1102">
        <f>BI224/BI47</f>
        <v>0.19600000000000001</v>
      </c>
      <c r="BJ223" s="1126">
        <v>0.17</v>
      </c>
      <c r="BK223" s="1127">
        <v>0.18160569002365787</v>
      </c>
      <c r="BL223" s="1163"/>
      <c r="BM223" s="1102">
        <f>BM224/BM47</f>
        <v>0.19525557011795547</v>
      </c>
      <c r="BN223" s="1126">
        <v>0.19500000000000001</v>
      </c>
      <c r="BO223" s="1127">
        <v>0.16450542598093096</v>
      </c>
      <c r="BP223" s="1163"/>
      <c r="BQ223" s="1152">
        <f>BQ224/BQ47</f>
        <v>0.19574565756823825</v>
      </c>
      <c r="BR223" s="1154"/>
      <c r="BS223" s="1173">
        <f>BS224/BS47</f>
        <v>0.18994359422824664</v>
      </c>
      <c r="BT223" s="1173">
        <f>BT224/BT47</f>
        <v>0.17127852445178993</v>
      </c>
      <c r="BU223" s="760"/>
      <c r="BV223" s="761"/>
      <c r="BW223" s="762"/>
      <c r="BX223" s="1102">
        <f>BX224/BX47</f>
        <v>0.1984308131241084</v>
      </c>
      <c r="BY223" s="1126">
        <v>0.193</v>
      </c>
      <c r="BZ223" s="1127">
        <v>0.18032475654598906</v>
      </c>
      <c r="CA223" s="1163"/>
      <c r="CB223" s="1102">
        <f>CB224/CB47</f>
        <v>0.20399429386590584</v>
      </c>
      <c r="CC223" s="1126">
        <v>0.192</v>
      </c>
      <c r="CD223" s="1279">
        <v>0.192</v>
      </c>
      <c r="CE223" s="1163"/>
      <c r="CF223" s="1102">
        <f>CF224/CF47</f>
        <v>0.18544935805991442</v>
      </c>
      <c r="CG223" s="1126">
        <v>0.192</v>
      </c>
      <c r="CH223" s="1279">
        <v>0</v>
      </c>
      <c r="CI223" s="1163"/>
      <c r="CJ223" s="1155">
        <f>CJ224/CJ47</f>
        <v>0.19595815501664288</v>
      </c>
      <c r="CK223" s="1154"/>
      <c r="CL223" s="1135">
        <f>CL224/CL47</f>
        <v>0.19236794766966478</v>
      </c>
      <c r="CM223" s="1173">
        <f>CM224/CM47</f>
        <v>0.18528832858180783</v>
      </c>
      <c r="CN223" s="696"/>
      <c r="CO223" s="696"/>
      <c r="CP223" s="762"/>
      <c r="CQ223" s="1155">
        <f>CQ224/CQ47</f>
        <v>0.19583895886978914</v>
      </c>
      <c r="CR223" s="1154"/>
      <c r="CS223" s="1154">
        <f>CS224/CS47</f>
        <v>0.19119649271075431</v>
      </c>
      <c r="CT223" s="1173">
        <f>CT224/CT47</f>
        <v>0.17569229269861347</v>
      </c>
      <c r="CU223" s="1162"/>
      <c r="CV223" s="1162"/>
      <c r="CW223" s="1083">
        <f>CT224/CS224</f>
        <v>0.93640334425863536</v>
      </c>
      <c r="CX223" s="722"/>
      <c r="CY223" s="723"/>
      <c r="CZ223" s="556"/>
      <c r="DA223" s="556"/>
      <c r="DB223" s="556"/>
      <c r="DC223" s="556"/>
      <c r="DD223" s="556"/>
    </row>
    <row r="224" spans="1:108">
      <c r="A224" s="998"/>
      <c r="B224" s="1029"/>
      <c r="C224" s="1023" t="s">
        <v>167</v>
      </c>
      <c r="D224" s="1000"/>
      <c r="E224" s="767">
        <f t="shared" ref="E224:K224" si="327">E223*E47</f>
        <v>1465.965811965812</v>
      </c>
      <c r="F224" s="865">
        <f t="shared" si="327"/>
        <v>1997.4358974358975</v>
      </c>
      <c r="G224" s="866">
        <f t="shared" si="327"/>
        <v>1541.0246899999991</v>
      </c>
      <c r="H224" s="867">
        <f t="shared" si="327"/>
        <v>-493.84711111111102</v>
      </c>
      <c r="I224" s="767">
        <f t="shared" si="327"/>
        <v>1590.0341880341882</v>
      </c>
      <c r="J224" s="865">
        <f t="shared" si="327"/>
        <v>1038.2282051282052</v>
      </c>
      <c r="K224" s="866">
        <f t="shared" si="327"/>
        <v>1532.4565811965813</v>
      </c>
      <c r="L224" s="867">
        <f>K224-J224</f>
        <v>494.22837606837606</v>
      </c>
      <c r="M224" s="767">
        <f>M223*M47</f>
        <v>1591.6666666666667</v>
      </c>
      <c r="N224" s="865">
        <f>N223*N47</f>
        <v>907.69230769230774</v>
      </c>
      <c r="O224" s="866">
        <f>O223*O47</f>
        <v>1398.4239300000004</v>
      </c>
      <c r="P224" s="867">
        <f>O224-N224</f>
        <v>490.73162230769265</v>
      </c>
      <c r="Q224" s="869">
        <f>E224+I224+M224</f>
        <v>4647.666666666667</v>
      </c>
      <c r="R224" s="870">
        <v>4647.666666666667</v>
      </c>
      <c r="S224" s="952">
        <f>G224+J224+N224</f>
        <v>3486.9452028205119</v>
      </c>
      <c r="T224" s="526">
        <f>G224+K224+O224</f>
        <v>4471.9052011965814</v>
      </c>
      <c r="U224" s="699">
        <f>T224-Q224</f>
        <v>-175.76146547008557</v>
      </c>
      <c r="V224" s="717">
        <f t="shared" si="320"/>
        <v>-175.76146547008557</v>
      </c>
      <c r="W224" s="688">
        <f>T224-S224</f>
        <v>984.95999837606951</v>
      </c>
      <c r="X224" s="767">
        <f t="shared" ref="X224:AH224" si="328">X223*X47</f>
        <v>1354.9572649572651</v>
      </c>
      <c r="Y224" s="865">
        <f t="shared" si="328"/>
        <v>907.69230769230774</v>
      </c>
      <c r="Z224" s="866">
        <f t="shared" si="328"/>
        <v>1526.4701999999995</v>
      </c>
      <c r="AA224" s="867">
        <f t="shared" si="328"/>
        <v>643.50755555555543</v>
      </c>
      <c r="AB224" s="767">
        <f t="shared" si="328"/>
        <v>1257.0085470085471</v>
      </c>
      <c r="AC224" s="865">
        <f t="shared" si="328"/>
        <v>832.0512820512821</v>
      </c>
      <c r="AD224" s="866">
        <f t="shared" si="328"/>
        <v>1394.4501752868227</v>
      </c>
      <c r="AE224" s="867">
        <f t="shared" si="328"/>
        <v>412.36799999999988</v>
      </c>
      <c r="AF224" s="767">
        <f t="shared" si="328"/>
        <v>1041.5213675213677</v>
      </c>
      <c r="AG224" s="865">
        <f t="shared" si="328"/>
        <v>1041.5384615384617</v>
      </c>
      <c r="AH224" s="866">
        <f t="shared" si="328"/>
        <v>1043.8003700000004</v>
      </c>
      <c r="AI224" s="867">
        <f>AH224-AG224</f>
        <v>2.2619084615387237</v>
      </c>
      <c r="AJ224" s="869">
        <f>X224+AB224+AF224</f>
        <v>3653.4871794871801</v>
      </c>
      <c r="AK224" s="870">
        <v>3653.4871794871801</v>
      </c>
      <c r="AL224" s="717">
        <f>Y224+AC224+AG224</f>
        <v>2781.2820512820517</v>
      </c>
      <c r="AM224" s="526">
        <f>Z224+AD224+AH224</f>
        <v>3964.7207452868229</v>
      </c>
      <c r="AN224" s="721">
        <f>AM224-AJ224</f>
        <v>311.23356579964275</v>
      </c>
      <c r="AO224" s="717">
        <f t="shared" si="321"/>
        <v>311.23356579964275</v>
      </c>
      <c r="AP224" s="508">
        <f>AM224-AL224</f>
        <v>1183.4386940047712</v>
      </c>
      <c r="AQ224" s="718">
        <f>SUM(Q224,AJ224)</f>
        <v>8301.1538461538476</v>
      </c>
      <c r="AR224" s="720">
        <f>SUM(R224,AK224)</f>
        <v>8301.1538461538476</v>
      </c>
      <c r="AS224" s="987">
        <f>S224+AL224</f>
        <v>6268.2272541025632</v>
      </c>
      <c r="AT224" s="526">
        <f>SUM(T224,AM224)</f>
        <v>8436.6259464834038</v>
      </c>
      <c r="AU224" s="717">
        <f>AT224-AQ224</f>
        <v>135.47210032955627</v>
      </c>
      <c r="AV224" s="717">
        <f t="shared" si="322"/>
        <v>135.47210032955627</v>
      </c>
      <c r="AW224" s="688">
        <f>AT224-AS224</f>
        <v>2168.3986923808407</v>
      </c>
      <c r="AX224" s="722"/>
      <c r="AY224" s="723"/>
      <c r="AZ224" s="723"/>
      <c r="BA224" s="556"/>
      <c r="BB224" s="556"/>
      <c r="BC224" s="556"/>
      <c r="BD224" s="556"/>
      <c r="BE224" s="767">
        <v>1777</v>
      </c>
      <c r="BF224" s="865">
        <f>BF223*BF47</f>
        <v>1777.4017094017095</v>
      </c>
      <c r="BG224" s="866">
        <v>1626.0203999999999</v>
      </c>
      <c r="BH224" s="575">
        <f>BG224-BF224</f>
        <v>-151.38130940170959</v>
      </c>
      <c r="BI224" s="767">
        <v>995.07692307692321</v>
      </c>
      <c r="BJ224" s="865">
        <f>BJ223*BJ47</f>
        <v>733.76068376068383</v>
      </c>
      <c r="BK224" s="866">
        <f>BK223*BK47</f>
        <v>1765.5503399999996</v>
      </c>
      <c r="BL224" s="867">
        <f>BK224-BJ224</f>
        <v>1031.7896562393157</v>
      </c>
      <c r="BM224" s="767">
        <v>1273.3333333333335</v>
      </c>
      <c r="BN224" s="865">
        <f>BN223*BN47</f>
        <v>1201.6666666666667</v>
      </c>
      <c r="BO224" s="866">
        <f>BO223*BO47</f>
        <v>1444.6211299999998</v>
      </c>
      <c r="BP224" s="575">
        <f>BO224-BN224</f>
        <v>242.95446333333302</v>
      </c>
      <c r="BQ224" s="869">
        <f>BE224+BI224+BM224</f>
        <v>4045.4102564102568</v>
      </c>
      <c r="BR224" s="719"/>
      <c r="BS224" s="699">
        <f>BF224+BJ224+BN224</f>
        <v>3712.8290598290605</v>
      </c>
      <c r="BT224" s="526">
        <f>BG224+BK224+BO224</f>
        <v>4836.1918699999987</v>
      </c>
      <c r="BU224" s="699">
        <f>BT224-BQ224</f>
        <v>790.78161358974194</v>
      </c>
      <c r="BV224" s="717"/>
      <c r="BW224" s="688">
        <f>BT224-BS224</f>
        <v>1123.3628101709382</v>
      </c>
      <c r="BX224" s="767">
        <v>1070</v>
      </c>
      <c r="BY224" s="865">
        <f>BY223*BY47</f>
        <v>1484.6153846153848</v>
      </c>
      <c r="BZ224" s="866">
        <f>BZ223*BZ47</f>
        <v>1346.2892200000001</v>
      </c>
      <c r="CA224" s="867">
        <f>BZ224-BY224</f>
        <v>-138.32616461538464</v>
      </c>
      <c r="CB224" s="767">
        <v>1100</v>
      </c>
      <c r="CC224" s="865">
        <f>CC223*CC47</f>
        <v>1476.9230769230769</v>
      </c>
      <c r="CD224" s="868">
        <f>CD223*CD47</f>
        <v>1060.1025641025642</v>
      </c>
      <c r="CE224" s="867">
        <f>CD224-CC224</f>
        <v>-416.8205128205127</v>
      </c>
      <c r="CF224" s="767">
        <v>1000</v>
      </c>
      <c r="CG224" s="865">
        <f>CG223*CG47</f>
        <v>1060.1025641025642</v>
      </c>
      <c r="CH224" s="868">
        <f>CH223*CH47</f>
        <v>0</v>
      </c>
      <c r="CI224" s="867">
        <f>CH224-CG224</f>
        <v>-1060.1025641025642</v>
      </c>
      <c r="CJ224" s="869">
        <f>BX224+CB224+CF224</f>
        <v>3170</v>
      </c>
      <c r="CK224" s="719"/>
      <c r="CL224" s="717">
        <f>BY224+CC224+CG224</f>
        <v>4021.6410256410263</v>
      </c>
      <c r="CM224" s="526">
        <f>BZ224+CD224+CH224</f>
        <v>2406.3917841025641</v>
      </c>
      <c r="CN224" s="721">
        <f>CM224-CJ224</f>
        <v>-763.60821589743591</v>
      </c>
      <c r="CO224" s="721"/>
      <c r="CP224" s="508">
        <f>CM224-CL224</f>
        <v>-1615.2492415384622</v>
      </c>
      <c r="CQ224" s="718">
        <f>SUM(BQ224,CJ224)</f>
        <v>7215.4102564102568</v>
      </c>
      <c r="CR224" s="719"/>
      <c r="CS224" s="987">
        <f>BS224+CL224</f>
        <v>7734.4700854700868</v>
      </c>
      <c r="CT224" s="526">
        <f>SUM(BT224,CM224)</f>
        <v>7242.5836541025628</v>
      </c>
      <c r="CU224" s="717">
        <f>CT224-CQ224</f>
        <v>27.173397692306025</v>
      </c>
      <c r="CV224" s="717"/>
      <c r="CW224" s="688">
        <f>CT224-CS224</f>
        <v>-491.88643136752398</v>
      </c>
      <c r="CX224" s="722"/>
      <c r="CY224" s="723"/>
      <c r="CZ224" s="556"/>
      <c r="DA224" s="556"/>
      <c r="DB224" s="556"/>
      <c r="DC224" s="556"/>
      <c r="DD224" s="556"/>
    </row>
    <row r="225" spans="1:108">
      <c r="A225" s="998"/>
      <c r="B225" s="1029"/>
      <c r="C225" s="998" t="s">
        <v>166</v>
      </c>
      <c r="D225" s="1024"/>
      <c r="E225" s="944">
        <v>0.23</v>
      </c>
      <c r="F225" s="959">
        <v>0.21</v>
      </c>
      <c r="G225" s="960">
        <v>0.22528429256817356</v>
      </c>
      <c r="H225" s="982">
        <v>0.22</v>
      </c>
      <c r="I225" s="1102">
        <f>E225</f>
        <v>0.23</v>
      </c>
      <c r="J225" s="1126">
        <v>0.215</v>
      </c>
      <c r="K225" s="1127">
        <v>0.24779999999999999</v>
      </c>
      <c r="L225" s="1163"/>
      <c r="M225" s="1102">
        <f>I225</f>
        <v>0.23</v>
      </c>
      <c r="N225" s="1126">
        <v>0.24199999999999999</v>
      </c>
      <c r="O225" s="1127">
        <v>0.24841834323234804</v>
      </c>
      <c r="P225" s="1163"/>
      <c r="Q225" s="1152">
        <f>Q226/Q48</f>
        <v>0.22999999999999998</v>
      </c>
      <c r="R225" s="1153">
        <v>0.22999972202918692</v>
      </c>
      <c r="S225" s="1175">
        <f>S226/S48</f>
        <v>0.22694999567170096</v>
      </c>
      <c r="T225" s="1173">
        <f>T226/T48</f>
        <v>0.24002681716907326</v>
      </c>
      <c r="U225" s="760"/>
      <c r="V225" s="761">
        <f t="shared" si="320"/>
        <v>1.0027095139886338E-2</v>
      </c>
      <c r="W225" s="762"/>
      <c r="X225" s="1102">
        <v>0.24399999999999999</v>
      </c>
      <c r="Y225" s="1126">
        <v>0.24</v>
      </c>
      <c r="Z225" s="1127">
        <v>0.24167803011484942</v>
      </c>
      <c r="AA225" s="1163">
        <v>0.22</v>
      </c>
      <c r="AB225" s="1102">
        <f>X225</f>
        <v>0.24399999999999999</v>
      </c>
      <c r="AC225" s="1126">
        <v>0.23499999999999999</v>
      </c>
      <c r="AD225" s="1127">
        <v>0.24621988092333144</v>
      </c>
      <c r="AE225" s="1163">
        <v>0.22</v>
      </c>
      <c r="AF225" s="1102">
        <f>X225</f>
        <v>0.24399999999999999</v>
      </c>
      <c r="AG225" s="1126">
        <v>0.24</v>
      </c>
      <c r="AH225" s="1127">
        <v>0.2515286894627487</v>
      </c>
      <c r="AI225" s="1163"/>
      <c r="AJ225" s="1155">
        <f>AJ226/AJ48</f>
        <v>0.24399999999999999</v>
      </c>
      <c r="AK225" s="1153">
        <v>0.24281817082022744</v>
      </c>
      <c r="AL225" s="1135">
        <f>AL226/AL48</f>
        <v>0.23827694153219178</v>
      </c>
      <c r="AM225" s="1173">
        <f>AM226/AM48</f>
        <v>0.24672224371890386</v>
      </c>
      <c r="AN225" s="696"/>
      <c r="AO225" s="761">
        <f t="shared" si="321"/>
        <v>3.9040728986764195E-3</v>
      </c>
      <c r="AP225" s="762"/>
      <c r="AQ225" s="1155">
        <f>AQ226/AQ48</f>
        <v>0.23746033936081298</v>
      </c>
      <c r="AR225" s="1156">
        <f>AR226/AR48</f>
        <v>0.23535705329153603</v>
      </c>
      <c r="AS225" s="1154">
        <f>AS226/AS48</f>
        <v>0.23262595973824515</v>
      </c>
      <c r="AT225" s="1173">
        <f>AT226/AT48</f>
        <v>0.24329757871454893</v>
      </c>
      <c r="AU225" s="1162"/>
      <c r="AV225" s="761"/>
      <c r="AW225" s="1083"/>
      <c r="AX225" s="722"/>
      <c r="AY225" s="723"/>
      <c r="AZ225" s="723"/>
      <c r="BA225" s="556"/>
      <c r="BB225" s="556"/>
      <c r="BC225" s="556"/>
      <c r="BD225" s="556"/>
      <c r="BE225" s="1102">
        <f>BE226/BE48</f>
        <v>0.24993395145895828</v>
      </c>
      <c r="BF225" s="1126">
        <f>BF175</f>
        <v>0.25</v>
      </c>
      <c r="BG225" s="1127">
        <v>0.25365914490111474</v>
      </c>
      <c r="BH225" s="1163"/>
      <c r="BI225" s="1102">
        <f>BI226/BI48</f>
        <v>0.24974813732651571</v>
      </c>
      <c r="BJ225" s="1126">
        <v>0.24</v>
      </c>
      <c r="BK225" s="1127">
        <v>0.2602826808588391</v>
      </c>
      <c r="BL225" s="1163"/>
      <c r="BM225" s="1102">
        <f>BM226/BM48</f>
        <v>0.24964628495675778</v>
      </c>
      <c r="BN225" s="1126">
        <v>0.25</v>
      </c>
      <c r="BO225" s="1127">
        <v>0.2500840333096776</v>
      </c>
      <c r="BP225" s="1163"/>
      <c r="BQ225" s="1152">
        <f>BQ226/BQ48</f>
        <v>0.24979747229088592</v>
      </c>
      <c r="BR225" s="1154"/>
      <c r="BS225" s="1173">
        <f>BS226/BS48</f>
        <v>0.24779218315203644</v>
      </c>
      <c r="BT225" s="1173">
        <f>BT226/BT48</f>
        <v>0.25403867925860796</v>
      </c>
      <c r="BU225" s="760"/>
      <c r="BV225" s="761"/>
      <c r="BW225" s="762"/>
      <c r="BX225" s="1102">
        <v>0.24959999999999999</v>
      </c>
      <c r="BY225" s="1126">
        <v>0.246</v>
      </c>
      <c r="BZ225" s="1127">
        <v>0.23748575843990105</v>
      </c>
      <c r="CA225" s="1163"/>
      <c r="CB225" s="1102">
        <v>0.24979999999999999</v>
      </c>
      <c r="CC225" s="1126">
        <v>0.245</v>
      </c>
      <c r="CD225" s="1279">
        <v>0.245</v>
      </c>
      <c r="CE225" s="1163"/>
      <c r="CF225" s="1102">
        <v>0.25002000000000002</v>
      </c>
      <c r="CG225" s="1126">
        <v>0.245</v>
      </c>
      <c r="CH225" s="1279">
        <v>0.24</v>
      </c>
      <c r="CI225" s="1163"/>
      <c r="CJ225" s="1155">
        <f>CJ226/CJ48</f>
        <v>0.24980034611531104</v>
      </c>
      <c r="CK225" s="1154"/>
      <c r="CL225" s="1135">
        <f>CL226/CL48</f>
        <v>0.24536868528396605</v>
      </c>
      <c r="CM225" s="1173">
        <f>CM226/CM48</f>
        <v>0.24051702898558491</v>
      </c>
      <c r="CN225" s="696"/>
      <c r="CO225" s="696"/>
      <c r="CP225" s="762"/>
      <c r="CQ225" s="1155">
        <f>CQ226/CQ48</f>
        <v>0.24979881377551025</v>
      </c>
      <c r="CR225" s="1154"/>
      <c r="CS225" s="1154">
        <f>CS226/CS48</f>
        <v>0.24653665623603038</v>
      </c>
      <c r="CT225" s="1173">
        <f>CT226/CT48</f>
        <v>0.24715304047067202</v>
      </c>
      <c r="CU225" s="1162"/>
      <c r="CV225" s="1162"/>
      <c r="CW225" s="1083">
        <f>CT226/CS226</f>
        <v>0.81166751928347836</v>
      </c>
      <c r="CX225" s="722"/>
      <c r="CY225" s="723"/>
      <c r="CZ225" s="556"/>
      <c r="DA225" s="556"/>
      <c r="DB225" s="556"/>
      <c r="DC225" s="556"/>
      <c r="DD225" s="556"/>
    </row>
    <row r="226" spans="1:108">
      <c r="A226" s="998"/>
      <c r="B226" s="1029"/>
      <c r="C226" s="1023" t="s">
        <v>406</v>
      </c>
      <c r="D226" s="1000"/>
      <c r="E226" s="767">
        <f t="shared" ref="E226:K226" si="329">E225*E48</f>
        <v>0</v>
      </c>
      <c r="F226" s="800">
        <f t="shared" si="329"/>
        <v>38876.923076923078</v>
      </c>
      <c r="G226" s="801">
        <f t="shared" si="329"/>
        <v>44561.052649999998</v>
      </c>
      <c r="H226" s="867">
        <f t="shared" si="329"/>
        <v>2787.6186837606856</v>
      </c>
      <c r="I226" s="767">
        <f t="shared" si="329"/>
        <v>34608.119658119656</v>
      </c>
      <c r="J226" s="800">
        <f t="shared" si="329"/>
        <v>35729.784188034188</v>
      </c>
      <c r="K226" s="801">
        <f t="shared" si="329"/>
        <v>52367.552820512821</v>
      </c>
      <c r="L226" s="867">
        <f>K226-J226</f>
        <v>16637.768632478634</v>
      </c>
      <c r="M226" s="767">
        <f>M225*M48</f>
        <v>34608.119658119656</v>
      </c>
      <c r="N226" s="800">
        <f>N225*N48</f>
        <v>37230.769230769227</v>
      </c>
      <c r="O226" s="801">
        <f>O225*O48</f>
        <v>37695.690090000033</v>
      </c>
      <c r="P226" s="867">
        <f>O226-N226</f>
        <v>464.92085923080595</v>
      </c>
      <c r="Q226" s="841">
        <f>E226+I226+M226</f>
        <v>69216.239316239313</v>
      </c>
      <c r="R226" s="842">
        <v>113152</v>
      </c>
      <c r="S226" s="952">
        <f>G226+J226+N226</f>
        <v>117521.6060688034</v>
      </c>
      <c r="T226" s="571">
        <f>G226+K226+O226</f>
        <v>134624.29556051287</v>
      </c>
      <c r="U226" s="760">
        <f>T226-Q226</f>
        <v>65408.056244273554</v>
      </c>
      <c r="V226" s="761">
        <f t="shared" si="320"/>
        <v>21472.295560512866</v>
      </c>
      <c r="W226" s="762">
        <f>T226-S226</f>
        <v>17102.689491709461</v>
      </c>
      <c r="X226" s="767">
        <f t="shared" ref="X226:AH226" si="330">X225*X48</f>
        <v>30864.957264957266</v>
      </c>
      <c r="Y226" s="800">
        <f t="shared" si="330"/>
        <v>36923.076923076922</v>
      </c>
      <c r="Z226" s="801">
        <f t="shared" si="330"/>
        <v>39134.757960000024</v>
      </c>
      <c r="AA226" s="867">
        <f t="shared" si="330"/>
        <v>1778.2955384615395</v>
      </c>
      <c r="AB226" s="767">
        <f t="shared" si="330"/>
        <v>29196.581196581199</v>
      </c>
      <c r="AC226" s="800">
        <f t="shared" si="330"/>
        <v>42121.239316239313</v>
      </c>
      <c r="AD226" s="801">
        <f t="shared" si="330"/>
        <v>45430.635467093409</v>
      </c>
      <c r="AE226" s="889">
        <f t="shared" si="330"/>
        <v>1160.0912136752165</v>
      </c>
      <c r="AF226" s="767">
        <f t="shared" si="330"/>
        <v>23705.538461538461</v>
      </c>
      <c r="AG226" s="800">
        <f t="shared" si="330"/>
        <v>44888.205128205125</v>
      </c>
      <c r="AH226" s="801">
        <f t="shared" si="330"/>
        <v>47595.440589999998</v>
      </c>
      <c r="AI226" s="889">
        <f>AH226-AG226</f>
        <v>2707.2354617948731</v>
      </c>
      <c r="AJ226" s="841">
        <f>X226+AB226+AF226</f>
        <v>83767.076923076937</v>
      </c>
      <c r="AK226" s="842">
        <v>85775</v>
      </c>
      <c r="AL226" s="761">
        <f>Y226+AC226+AG226</f>
        <v>123932.52136752136</v>
      </c>
      <c r="AM226" s="571">
        <f>Z226+AD226+AH226</f>
        <v>132160.83401709341</v>
      </c>
      <c r="AN226" s="696">
        <f>AM226-AJ226</f>
        <v>48393.757094016473</v>
      </c>
      <c r="AO226" s="699">
        <f t="shared" si="321"/>
        <v>46385.83401709341</v>
      </c>
      <c r="AP226" s="762">
        <f>AM226-AL226</f>
        <v>8228.3126495720498</v>
      </c>
      <c r="AQ226" s="771">
        <f>SUM(Q226,AJ226)</f>
        <v>152983.31623931625</v>
      </c>
      <c r="AR226" s="772">
        <f>SUM(R226,AK226)</f>
        <v>198927</v>
      </c>
      <c r="AS226" s="988">
        <f>S226+AL226</f>
        <v>241454.12743632478</v>
      </c>
      <c r="AT226" s="571">
        <f>SUM(T226,AM226)</f>
        <v>266785.12957760628</v>
      </c>
      <c r="AU226" s="761">
        <f>AT226-AQ226</f>
        <v>113801.81333829003</v>
      </c>
      <c r="AV226" s="761">
        <f t="shared" si="322"/>
        <v>67858.129577606276</v>
      </c>
      <c r="AW226" s="762">
        <f>AT226-AS226</f>
        <v>25331.002141281497</v>
      </c>
      <c r="AX226" s="722"/>
      <c r="AY226" s="723"/>
      <c r="AZ226" s="723"/>
      <c r="BA226" s="556"/>
      <c r="BB226" s="556"/>
      <c r="BC226" s="556"/>
      <c r="BD226" s="556"/>
      <c r="BE226" s="767">
        <v>47000.4</v>
      </c>
      <c r="BF226" s="800">
        <f>BF225*BF48</f>
        <v>47012.820512820515</v>
      </c>
      <c r="BG226" s="801">
        <v>33990.968950000002</v>
      </c>
      <c r="BH226" s="889">
        <f>BG226-BF226</f>
        <v>-13021.851562820513</v>
      </c>
      <c r="BI226" s="767">
        <v>26300.400000000001</v>
      </c>
      <c r="BJ226" s="800">
        <f>BJ225*BJ48</f>
        <v>21483.076923076922</v>
      </c>
      <c r="BK226" s="801">
        <f>BK225*BK48</f>
        <v>21511.013440000032</v>
      </c>
      <c r="BL226" s="889">
        <f>BK226-BJ226</f>
        <v>27.936516923109593</v>
      </c>
      <c r="BM226" s="767">
        <v>33800.400000000001</v>
      </c>
      <c r="BN226" s="800">
        <f>BN225*BN48</f>
        <v>31967.948717948719</v>
      </c>
      <c r="BO226" s="801">
        <f>BO225*BO48</f>
        <v>29416.805370000024</v>
      </c>
      <c r="BP226" s="889">
        <f>BO226-BN226</f>
        <v>-2551.143347948695</v>
      </c>
      <c r="BQ226" s="841">
        <f>BE226+BI226+BM226</f>
        <v>107101.20000000001</v>
      </c>
      <c r="BR226" s="843"/>
      <c r="BS226" s="699">
        <f>BF226+BJ226+BN226</f>
        <v>100463.84615384616</v>
      </c>
      <c r="BT226" s="571">
        <f>BG226+BK226+BO226</f>
        <v>84918.787760000065</v>
      </c>
      <c r="BU226" s="760">
        <f>BT226-BQ226</f>
        <v>-22182.412239999947</v>
      </c>
      <c r="BV226" s="761"/>
      <c r="BW226" s="762">
        <f>BT226-BS226</f>
        <v>-15545.058393846091</v>
      </c>
      <c r="BX226" s="767">
        <f>BX225*BX12</f>
        <v>33770.666666666672</v>
      </c>
      <c r="BY226" s="800">
        <f>BY225*BY48</f>
        <v>39528.205128205125</v>
      </c>
      <c r="BZ226" s="801">
        <f>BZ225*BZ48</f>
        <v>36311.753319999996</v>
      </c>
      <c r="CA226" s="889">
        <f>BZ226-BY226</f>
        <v>-3216.4518082051291</v>
      </c>
      <c r="CB226" s="767">
        <v>31827</v>
      </c>
      <c r="CC226" s="800">
        <f>CC225*CC48</f>
        <v>39786.324786324789</v>
      </c>
      <c r="CD226" s="803">
        <f>CD225*CD48</f>
        <v>27624.273504273508</v>
      </c>
      <c r="CE226" s="889">
        <f>CD226-CC226</f>
        <v>-12162.051282051281</v>
      </c>
      <c r="CF226" s="767">
        <v>28165</v>
      </c>
      <c r="CG226" s="800">
        <f>CG225*CG48</f>
        <v>27624.273504273508</v>
      </c>
      <c r="CH226" s="803">
        <f>CH225*CH48</f>
        <v>19487.179487179488</v>
      </c>
      <c r="CI226" s="889">
        <f>CH226-CG226</f>
        <v>-8137.0940170940194</v>
      </c>
      <c r="CJ226" s="841">
        <f>BX226+CB226+CF226</f>
        <v>93762.666666666672</v>
      </c>
      <c r="CK226" s="843"/>
      <c r="CL226" s="761">
        <f>BY226+CC226+CG226</f>
        <v>106938.80341880341</v>
      </c>
      <c r="CM226" s="571">
        <f>BZ226+CD226+CH226</f>
        <v>83423.206311452988</v>
      </c>
      <c r="CN226" s="696">
        <f>CM226-CJ226</f>
        <v>-10339.460355213683</v>
      </c>
      <c r="CO226" s="696"/>
      <c r="CP226" s="762">
        <f>CM226-CL226</f>
        <v>-23515.597107350419</v>
      </c>
      <c r="CQ226" s="771">
        <f>SUM(BQ226,CJ226)</f>
        <v>200863.8666666667</v>
      </c>
      <c r="CR226" s="843"/>
      <c r="CS226" s="988">
        <f>BS226+CL226</f>
        <v>207402.64957264956</v>
      </c>
      <c r="CT226" s="571">
        <f>SUM(BT226,CM226)</f>
        <v>168341.99407145305</v>
      </c>
      <c r="CU226" s="761">
        <f>CT226-CQ226</f>
        <v>-32521.872595213645</v>
      </c>
      <c r="CV226" s="761"/>
      <c r="CW226" s="762">
        <f>CT226-CS226</f>
        <v>-39060.65550119651</v>
      </c>
      <c r="CX226" s="722"/>
      <c r="CY226" s="723"/>
      <c r="CZ226" s="556"/>
      <c r="DA226" s="556"/>
      <c r="DB226" s="556"/>
      <c r="DC226" s="556"/>
      <c r="DD226" s="556"/>
    </row>
    <row r="227" spans="1:108">
      <c r="A227" s="1038" t="str">
        <f>A215</f>
        <v>%=粗利率</v>
      </c>
      <c r="B227" s="1039"/>
      <c r="C227" s="1039"/>
      <c r="D227" s="1040"/>
      <c r="E227" s="953">
        <f>E228/E50</f>
        <v>0.21838816666666666</v>
      </c>
      <c r="F227" s="961">
        <f>F228/F50</f>
        <v>0.2117</v>
      </c>
      <c r="G227" s="962">
        <f>G228/G50</f>
        <v>0.21529366205070974</v>
      </c>
      <c r="H227" s="812">
        <f>G228/F228</f>
        <v>1.0962830879546492</v>
      </c>
      <c r="I227" s="1113">
        <f>I228/I50</f>
        <v>0.21860889999999999</v>
      </c>
      <c r="J227" s="1138">
        <f>J228/J50</f>
        <v>0.22732345971563986</v>
      </c>
      <c r="K227" s="1139">
        <f>K228/K50</f>
        <v>0.2375169903816719</v>
      </c>
      <c r="L227" s="1093">
        <f>K228/J228</f>
        <v>1.3392333004063453</v>
      </c>
      <c r="M227" s="1113">
        <f>M228/M50</f>
        <v>0.21860889999999999</v>
      </c>
      <c r="N227" s="1138">
        <f>N228/N50</f>
        <v>0.23932500000000001</v>
      </c>
      <c r="O227" s="1139">
        <f>O228/O50</f>
        <v>0.23370910440778958</v>
      </c>
      <c r="P227" s="1093">
        <f>O228/N228</f>
        <v>1.0253898239022976</v>
      </c>
      <c r="Q227" s="1113">
        <f>Q228/Q50</f>
        <v>0.21854039655172414</v>
      </c>
      <c r="R227" s="1140">
        <v>0.22218798742138363</v>
      </c>
      <c r="S227" s="1176">
        <f>S228/S50</f>
        <v>0.22606229539281347</v>
      </c>
      <c r="T227" s="1141">
        <f>T228/T50</f>
        <v>0.22858399452175954</v>
      </c>
      <c r="U227" s="1119">
        <f>T228/Q228</f>
        <v>1.3140700091519779</v>
      </c>
      <c r="V227" s="1120">
        <f>T228/R228</f>
        <v>1.1786925352755613</v>
      </c>
      <c r="W227" s="1079">
        <f>T228/S228</f>
        <v>1.1168451524252212</v>
      </c>
      <c r="X227" s="1113">
        <f t="shared" ref="X227:AH227" si="331">X228/X50</f>
        <v>0.2294845445539857</v>
      </c>
      <c r="Y227" s="1138">
        <f t="shared" si="331"/>
        <v>0.23519999999999999</v>
      </c>
      <c r="Z227" s="1139">
        <f t="shared" si="331"/>
        <v>0.22538581036693092</v>
      </c>
      <c r="AA227" s="1093">
        <f t="shared" si="331"/>
        <v>0.18414679169276357</v>
      </c>
      <c r="AB227" s="1113">
        <f t="shared" si="331"/>
        <v>0.22928841832994343</v>
      </c>
      <c r="AC227" s="1138">
        <f t="shared" si="331"/>
        <v>0.22579999999999997</v>
      </c>
      <c r="AD227" s="1139">
        <f t="shared" si="331"/>
        <v>0.23625309113554119</v>
      </c>
      <c r="AE227" s="1095">
        <f t="shared" si="331"/>
        <v>0.23844479033956192</v>
      </c>
      <c r="AF227" s="1113">
        <f t="shared" si="331"/>
        <v>0.22816216840793443</v>
      </c>
      <c r="AG227" s="1138">
        <f t="shared" si="331"/>
        <v>0.23619999999999999</v>
      </c>
      <c r="AH227" s="1139">
        <f t="shared" si="331"/>
        <v>0.23964217931872256</v>
      </c>
      <c r="AI227" s="1095">
        <f>AH228/AG228</f>
        <v>1.0154550287838695</v>
      </c>
      <c r="AJ227" s="1113">
        <f>AJ228/AJ50</f>
        <v>0.2290426117391304</v>
      </c>
      <c r="AK227" s="1140">
        <v>0.2244604270833333</v>
      </c>
      <c r="AL227" s="1120">
        <f>AL228/AL50</f>
        <v>0.23228787878787877</v>
      </c>
      <c r="AM227" s="1141">
        <f>AM228/AM50</f>
        <v>0.23397649571601414</v>
      </c>
      <c r="AN227" s="1123">
        <f>AM228/AJ228</f>
        <v>1.5453976065070238</v>
      </c>
      <c r="AO227" s="1100">
        <f>AM228/AK228</f>
        <v>1.5112396234478607</v>
      </c>
      <c r="AP227" s="1080">
        <f>AM228/AL228</f>
        <v>1.0620473278070188</v>
      </c>
      <c r="AQ227" s="1151">
        <f>AQ228/AQ50</f>
        <v>0.2231856071153846</v>
      </c>
      <c r="AR227" s="1119">
        <f>AR228/AR50</f>
        <v>0.22316538082437276</v>
      </c>
      <c r="AS227" s="1123">
        <f>AS228/AS50</f>
        <v>0.22917575656115449</v>
      </c>
      <c r="AT227" s="1119">
        <f>AT228/AT50</f>
        <v>0.23121820276789765</v>
      </c>
      <c r="AU227" s="1123">
        <f>AT228/AQ228</f>
        <v>1.4190730902075439</v>
      </c>
      <c r="AV227" s="1119">
        <f>AT228/AR228</f>
        <v>1.3225535611176644</v>
      </c>
      <c r="AW227" s="1080">
        <f>AT228/AS228</f>
        <v>1.0890682002663354</v>
      </c>
      <c r="AX227" s="956"/>
      <c r="AY227" s="957"/>
      <c r="AZ227" s="957"/>
      <c r="BA227" s="983">
        <f>AT227/ AQ227</f>
        <v>1.0359906526067351</v>
      </c>
      <c r="BB227" s="609"/>
      <c r="BC227" s="609"/>
      <c r="BD227" s="609"/>
      <c r="BE227" s="1113">
        <f>BE228/BE50</f>
        <v>0.23369608719999999</v>
      </c>
      <c r="BF227" s="1138">
        <f>BF228/BF50</f>
        <v>0.2356588</v>
      </c>
      <c r="BG227" s="1139">
        <f>BG228/BG50</f>
        <v>0.23709886997066337</v>
      </c>
      <c r="BH227" s="1093">
        <f>BG228/BF228</f>
        <v>0.73653983395485401</v>
      </c>
      <c r="BI227" s="1113">
        <f>BI228/BI50</f>
        <v>0.23277062499999995</v>
      </c>
      <c r="BJ227" s="1138">
        <f>BJ228/BJ50</f>
        <v>0.22191999999999998</v>
      </c>
      <c r="BK227" s="1139">
        <f>BK228/BK50</f>
        <v>0.23145129601279946</v>
      </c>
      <c r="BL227" s="1093">
        <f>BK228/BJ228</f>
        <v>1.0452158455073921</v>
      </c>
      <c r="BM227" s="1113">
        <f>BM228/BM50</f>
        <v>0.23234000000000005</v>
      </c>
      <c r="BN227" s="1138">
        <f>BN228/BN50</f>
        <v>0.23412000000000005</v>
      </c>
      <c r="BO227" s="1139">
        <f>BO228/BO50</f>
        <v>0.22855253184753091</v>
      </c>
      <c r="BP227" s="1095">
        <f>BO228/BN228</f>
        <v>0.93930510683812252</v>
      </c>
      <c r="BQ227" s="1113">
        <f>BQ228/BQ50</f>
        <v>0.23304054263157892</v>
      </c>
      <c r="BR227" s="1123"/>
      <c r="BS227" s="1119">
        <f>BS228/BS50</f>
        <v>0.23212129629629633</v>
      </c>
      <c r="BT227" s="1141">
        <f>BT228/BT50</f>
        <v>0.23264963619181619</v>
      </c>
      <c r="BU227" s="1119">
        <f>BT228/BQ228</f>
        <v>0.81765953499290789</v>
      </c>
      <c r="BV227" s="1120"/>
      <c r="BW227" s="1079">
        <f>BT228/BS228</f>
        <v>0.86650305261776528</v>
      </c>
      <c r="BX227" s="1113">
        <f>BX228/BX50</f>
        <v>0.23561304444444442</v>
      </c>
      <c r="BY227" s="1138">
        <f>BY228/BY50</f>
        <v>0.23036000000000004</v>
      </c>
      <c r="BZ227" s="1139">
        <f>BZ228/BZ50</f>
        <v>0.223557719721829</v>
      </c>
      <c r="CA227" s="1095">
        <f>BZ228/BY228</f>
        <v>0.89737160954842843</v>
      </c>
      <c r="CB227" s="1113">
        <f>CB228/CB50</f>
        <v>0.235485</v>
      </c>
      <c r="CC227" s="1138">
        <f>CC228/CC50</f>
        <v>0.22939999999999999</v>
      </c>
      <c r="CD227" s="1280">
        <f>CD228/CD50</f>
        <v>0.22939999999999997</v>
      </c>
      <c r="CE227" s="1095">
        <f>CD228/CC228</f>
        <v>0.68181818181818188</v>
      </c>
      <c r="CF227" s="1113">
        <f>CF228/CF50</f>
        <v>0.23557619999999996</v>
      </c>
      <c r="CG227" s="1138">
        <f>CG228/CG50</f>
        <v>0.22939999999999997</v>
      </c>
      <c r="CH227" s="1280">
        <f>CH228/CH50</f>
        <v>0.23050000000000004</v>
      </c>
      <c r="CI227" s="1095">
        <f>CH228/CG228</f>
        <v>0.66986341179889575</v>
      </c>
      <c r="CJ227" s="1113">
        <f>CJ228/CJ50</f>
        <v>0.23555995510204078</v>
      </c>
      <c r="CK227" s="1123"/>
      <c r="CL227" s="1120">
        <f>CL228/CL50</f>
        <v>0.22975488926746165</v>
      </c>
      <c r="CM227" s="1141">
        <f>CM228/CM50</f>
        <v>0.22704280458697743</v>
      </c>
      <c r="CN227" s="1123">
        <f>CM228/CJ228</f>
        <v>0.88644982520676874</v>
      </c>
      <c r="CO227" s="1123"/>
      <c r="CP227" s="1080">
        <f>CM228/CL228</f>
        <v>0.75866288510932178</v>
      </c>
      <c r="CQ227" s="1151">
        <f>CQ228/CQ50</f>
        <v>0.23420517669811317</v>
      </c>
      <c r="CR227" s="1123"/>
      <c r="CS227" s="1123">
        <f>CS228/CS50</f>
        <v>0.2308887488908607</v>
      </c>
      <c r="CT227" s="1119">
        <f>CT228/CT50</f>
        <v>0.22989570171127979</v>
      </c>
      <c r="CU227" s="1123">
        <f>CT228/CQ228</f>
        <v>0.84964276557632001</v>
      </c>
      <c r="CV227" s="1123"/>
      <c r="CW227" s="1080">
        <f>CT228/CS228</f>
        <v>0.81061014140951937</v>
      </c>
      <c r="CX227" s="956"/>
      <c r="CY227" s="957"/>
      <c r="CZ227" s="1391">
        <f>CT227/ CQ227</f>
        <v>0.98159957415293075</v>
      </c>
      <c r="DA227" s="1390"/>
      <c r="DB227" s="1390"/>
      <c r="DC227" s="609"/>
      <c r="DD227" s="609"/>
    </row>
    <row r="228" spans="1:108">
      <c r="A228" s="1011" t="s">
        <v>407</v>
      </c>
      <c r="B228" s="997"/>
      <c r="C228" s="997"/>
      <c r="D228" s="995"/>
      <c r="E228" s="971">
        <f>E218+E220+E222</f>
        <v>33598.179487179485</v>
      </c>
      <c r="F228" s="844">
        <f>F218+F220+F222</f>
        <v>43425.641025641031</v>
      </c>
      <c r="G228" s="845">
        <f>G218+G220+G222</f>
        <v>47606.795839999846</v>
      </c>
      <c r="H228" s="825">
        <f>G228-F228</f>
        <v>4181.1548143588152</v>
      </c>
      <c r="I228" s="971">
        <f>I218+I220+I222</f>
        <v>37369.042735042734</v>
      </c>
      <c r="J228" s="844">
        <f>J218+J220+J222</f>
        <v>40995.940170940179</v>
      </c>
      <c r="K228" s="845">
        <f>K218+K220+K222</f>
        <v>54903.12825838929</v>
      </c>
      <c r="L228" s="825">
        <f>K228-J228</f>
        <v>13907.188087449111</v>
      </c>
      <c r="M228" s="971">
        <f>M218+M220+M222</f>
        <v>37369.042735042734</v>
      </c>
      <c r="N228" s="844">
        <f>N218+N220+N222</f>
        <v>38864.743589743593</v>
      </c>
      <c r="O228" s="845">
        <f>O218+O220+O222</f>
        <v>39851.512585495133</v>
      </c>
      <c r="P228" s="825">
        <f>O228-N228</f>
        <v>986.76899575153948</v>
      </c>
      <c r="Q228" s="827">
        <f>E228+I228+M228</f>
        <v>108336.26495726495</v>
      </c>
      <c r="R228" s="828">
        <v>120779.11111111111</v>
      </c>
      <c r="S228" s="940">
        <f>G228+J228+N228</f>
        <v>127467.47960068361</v>
      </c>
      <c r="T228" s="520">
        <f>G228+K228+O228</f>
        <v>142361.43668388427</v>
      </c>
      <c r="U228" s="712">
        <f>T228-Q228</f>
        <v>34025.171726619315</v>
      </c>
      <c r="V228" s="711">
        <f t="shared" si="320"/>
        <v>21582.325572773159</v>
      </c>
      <c r="W228" s="716">
        <f>T228-S228</f>
        <v>14893.957083200658</v>
      </c>
      <c r="X228" s="971">
        <f>X218+X220+X222</f>
        <v>33343.908183057756</v>
      </c>
      <c r="Y228" s="844">
        <f t="shared" ref="Y228:AE228" si="332">Y218+Y220+Y222</f>
        <v>38194.871794871797</v>
      </c>
      <c r="Z228" s="845">
        <f t="shared" si="332"/>
        <v>42514.106423071833</v>
      </c>
      <c r="AA228" s="825">
        <f t="shared" si="332"/>
        <v>4831.087145299145</v>
      </c>
      <c r="AB228" s="971">
        <f t="shared" si="332"/>
        <v>31355.681139137563</v>
      </c>
      <c r="AC228" s="844">
        <f t="shared" si="332"/>
        <v>44388.034188034188</v>
      </c>
      <c r="AD228" s="845">
        <f t="shared" si="332"/>
        <v>47450.304820000005</v>
      </c>
      <c r="AE228" s="825">
        <f t="shared" si="332"/>
        <v>1016.7349323076899</v>
      </c>
      <c r="AF228" s="971">
        <f>AF218+AF220+AF222</f>
        <v>25351.35204532605</v>
      </c>
      <c r="AG228" s="844">
        <f>AG218+AG220+AG222</f>
        <v>48451.282051282054</v>
      </c>
      <c r="AH228" s="845">
        <f>AH218+AH220+AH222</f>
        <v>49200.098010000002</v>
      </c>
      <c r="AI228" s="825">
        <f>AH228-AG228</f>
        <v>748.81595871794707</v>
      </c>
      <c r="AJ228" s="827">
        <f>X228+AB228+AF228</f>
        <v>90050.941367521358</v>
      </c>
      <c r="AK228" s="828">
        <v>92086.329059829062</v>
      </c>
      <c r="AL228" s="711">
        <f>Y228+AC228+AG228</f>
        <v>131034.18803418803</v>
      </c>
      <c r="AM228" s="520">
        <f>Z228+AD228+AH228</f>
        <v>139164.50925307185</v>
      </c>
      <c r="AN228" s="739">
        <f>AM228-AJ228</f>
        <v>49113.567885550496</v>
      </c>
      <c r="AO228" s="711">
        <f t="shared" si="321"/>
        <v>47078.180193242792</v>
      </c>
      <c r="AP228" s="716">
        <f>AM228-AL228</f>
        <v>8130.3212188838224</v>
      </c>
      <c r="AQ228" s="713">
        <f>SUM(Q228,AJ228)</f>
        <v>198387.2063247863</v>
      </c>
      <c r="AR228" s="715">
        <f>SUM(R228,AK228)</f>
        <v>212865.44017094019</v>
      </c>
      <c r="AS228" s="714">
        <f>S228+AL228</f>
        <v>258501.66763487164</v>
      </c>
      <c r="AT228" s="715">
        <f>SUM(T228,AM228)</f>
        <v>281525.94593695609</v>
      </c>
      <c r="AU228" s="711">
        <f>AT228-AQ228</f>
        <v>83138.739612169797</v>
      </c>
      <c r="AV228" s="711">
        <f t="shared" si="322"/>
        <v>68660.505766015907</v>
      </c>
      <c r="AW228" s="716">
        <f>AT228-AS228</f>
        <v>23024.278302084451</v>
      </c>
      <c r="AX228" s="708">
        <f>AQ228/6</f>
        <v>33064.53438746438</v>
      </c>
      <c r="AY228" s="709">
        <f>AR228/6</f>
        <v>35477.573361823364</v>
      </c>
      <c r="AZ228" s="709">
        <f>AT228/6</f>
        <v>46920.990989492682</v>
      </c>
      <c r="BA228" s="829">
        <f>AZ228/AX228</f>
        <v>1.4190730902075441</v>
      </c>
      <c r="BB228" s="516">
        <f>AZ228-AX228</f>
        <v>13856.456602028302</v>
      </c>
      <c r="BC228" s="516">
        <f>AZ228-AY228</f>
        <v>11443.417627669318</v>
      </c>
      <c r="BD228" s="516">
        <f>AW228/6</f>
        <v>3837.3797170140751</v>
      </c>
      <c r="BE228" s="971">
        <f>BE218+BE220+BE222</f>
        <v>49935.061367521368</v>
      </c>
      <c r="BF228" s="844">
        <f>BF218+BF220+BF222</f>
        <v>50354.444444444445</v>
      </c>
      <c r="BG228" s="845">
        <f>BG218+BG220+BG222</f>
        <v>37088.054150000033</v>
      </c>
      <c r="BH228" s="825">
        <f>BG228-BF228</f>
        <v>-13266.390294444413</v>
      </c>
      <c r="BI228" s="971">
        <f>BI218+BI220+BI222</f>
        <v>27852.895299145297</v>
      </c>
      <c r="BJ228" s="844">
        <f>BJ218+BJ220+BJ222</f>
        <v>22761.025641025641</v>
      </c>
      <c r="BK228" s="845">
        <f>BK218+BK220</f>
        <v>23790.184660000046</v>
      </c>
      <c r="BL228" s="825">
        <f>BK228-BJ228</f>
        <v>1029.1590189744056</v>
      </c>
      <c r="BM228" s="971">
        <f>BM218+BM220+BM222</f>
        <v>35744.61538461539</v>
      </c>
      <c r="BN228" s="844">
        <f>BN218+BN220+BN222</f>
        <v>34017.435897435906</v>
      </c>
      <c r="BO228" s="845">
        <f>BO218+BO220+BO222</f>
        <v>31952.751260000019</v>
      </c>
      <c r="BP228" s="825">
        <f>BO228-BN228</f>
        <v>-2064.6846374358865</v>
      </c>
      <c r="BQ228" s="827">
        <f>BE228+BI228+BM228</f>
        <v>113532.57205128206</v>
      </c>
      <c r="BR228" s="714"/>
      <c r="BS228" s="712">
        <f>BF228+BJ228+BN228</f>
        <v>107132.905982906</v>
      </c>
      <c r="BT228" s="520">
        <f>BG228+BK228+BO228</f>
        <v>92830.990070000102</v>
      </c>
      <c r="BU228" s="712">
        <f>BT228-BQ228</f>
        <v>-20701.581981281954</v>
      </c>
      <c r="BV228" s="711"/>
      <c r="BW228" s="716">
        <f>BT228-BS228</f>
        <v>-14301.915912905897</v>
      </c>
      <c r="BX228" s="971">
        <f>BX218+BX220+BX222</f>
        <v>36248.160683760681</v>
      </c>
      <c r="BY228" s="844">
        <f>BY218+BY220+BY222</f>
        <v>42724.888888888898</v>
      </c>
      <c r="BZ228" s="845">
        <f>BZ218+BZ220+BZ222</f>
        <v>38340.102309999995</v>
      </c>
      <c r="CA228" s="825">
        <f>BZ228-BY228</f>
        <v>-4384.786578888903</v>
      </c>
      <c r="CB228" s="971">
        <f>CB218+CB220+CB222</f>
        <v>32203.076923076922</v>
      </c>
      <c r="CC228" s="844">
        <f>CC218+CC220+CC222</f>
        <v>43135.042735042734</v>
      </c>
      <c r="CD228" s="846">
        <f>CD218+CD220+CD222</f>
        <v>29410.25641025641</v>
      </c>
      <c r="CE228" s="825">
        <f>CD228-CC228</f>
        <v>-13724.786324786324</v>
      </c>
      <c r="CF228" s="971">
        <f>CF218+CF220+CF222</f>
        <v>30202.076923076922</v>
      </c>
      <c r="CG228" s="844">
        <f>CG218+CG220+CG222</f>
        <v>29410.25641025641</v>
      </c>
      <c r="CH228" s="846">
        <f>CH218+CH220+CH222</f>
        <v>19700.854700854703</v>
      </c>
      <c r="CI228" s="825">
        <f>CH228-CG228</f>
        <v>-9709.4017094017072</v>
      </c>
      <c r="CJ228" s="827">
        <f>BX228+CB228+CF228</f>
        <v>98653.314529914525</v>
      </c>
      <c r="CK228" s="714"/>
      <c r="CL228" s="711">
        <f>BY228+CC228+CG228</f>
        <v>115270.18803418803</v>
      </c>
      <c r="CM228" s="520">
        <f>BZ228+CD228+CH228</f>
        <v>87451.213421111112</v>
      </c>
      <c r="CN228" s="739">
        <f>CM228-CJ228</f>
        <v>-11202.101108803414</v>
      </c>
      <c r="CO228" s="739"/>
      <c r="CP228" s="716">
        <f>CM228-CL228</f>
        <v>-27818.97461307692</v>
      </c>
      <c r="CQ228" s="713">
        <f>SUM(BQ228,CJ228)</f>
        <v>212185.88658119657</v>
      </c>
      <c r="CR228" s="714"/>
      <c r="CS228" s="714">
        <f>BS228+CL228</f>
        <v>222403.09401709403</v>
      </c>
      <c r="CT228" s="715">
        <f>SUM(BT228,CM228)</f>
        <v>180282.20349111123</v>
      </c>
      <c r="CU228" s="711">
        <f>CT228-CQ228</f>
        <v>-31903.683090085338</v>
      </c>
      <c r="CV228" s="711"/>
      <c r="CW228" s="716">
        <f>CT228-CS228</f>
        <v>-42120.890525982803</v>
      </c>
      <c r="CX228" s="708">
        <f t="shared" ref="CX228:CX250" si="333">CQ228/6</f>
        <v>35364.314430199425</v>
      </c>
      <c r="CY228" s="709">
        <f>CT228/6</f>
        <v>30047.033915185206</v>
      </c>
      <c r="CZ228" s="829">
        <f>CY228/CX228</f>
        <v>0.84964276557632012</v>
      </c>
      <c r="DA228" s="555">
        <f>CY228-CX228</f>
        <v>-5317.2805150142194</v>
      </c>
      <c r="DB228" s="555">
        <f>CW228/6</f>
        <v>-7020.1484209971341</v>
      </c>
      <c r="DC228" s="516"/>
      <c r="DD228" s="516"/>
    </row>
    <row r="229" spans="1:108">
      <c r="A229" s="998"/>
      <c r="B229" s="1020"/>
      <c r="C229" s="998" t="s">
        <v>166</v>
      </c>
      <c r="D229" s="1024"/>
      <c r="E229" s="949">
        <f>E230/E51</f>
        <v>0.10334566987416727</v>
      </c>
      <c r="F229" s="959">
        <f>F230/F51</f>
        <v>0.1027</v>
      </c>
      <c r="G229" s="960">
        <f>G230/G51</f>
        <v>0.10766413651010469</v>
      </c>
      <c r="H229" s="894"/>
      <c r="I229" s="1128">
        <f>I230/I51</f>
        <v>0.10334566987416727</v>
      </c>
      <c r="J229" s="1126">
        <f>J230/J51</f>
        <v>0.10764</v>
      </c>
      <c r="K229" s="1127">
        <f>K230/K51</f>
        <v>0.10725558881599898</v>
      </c>
      <c r="L229" s="1099"/>
      <c r="M229" s="1128">
        <f>M230/M51</f>
        <v>0.10334566987416727</v>
      </c>
      <c r="N229" s="1126">
        <f>N230/N51</f>
        <v>0.1084909090909091</v>
      </c>
      <c r="O229" s="1127">
        <f>O230/O51</f>
        <v>0.12986759618592725</v>
      </c>
      <c r="P229" s="1099"/>
      <c r="Q229" s="1102">
        <f>Q230/Q51</f>
        <v>0.10334566987416728</v>
      </c>
      <c r="R229" s="1106">
        <f>R230/R51</f>
        <v>0.10783325482807347</v>
      </c>
      <c r="S229" s="1107">
        <f>S230/S51</f>
        <v>0.10792691380474588</v>
      </c>
      <c r="T229" s="1108">
        <f>T230/T51</f>
        <v>0.11509788626172353</v>
      </c>
      <c r="U229" s="1143"/>
      <c r="V229" s="1146"/>
      <c r="W229" s="1082"/>
      <c r="X229" s="1128">
        <f>X230/X51</f>
        <v>0.11229459659511472</v>
      </c>
      <c r="Y229" s="1126">
        <f>Y230/Y51</f>
        <v>0.12636</v>
      </c>
      <c r="Z229" s="1127">
        <f>Z230/Z51</f>
        <v>0.12644441560151412</v>
      </c>
      <c r="AA229" s="1099"/>
      <c r="AB229" s="1128">
        <f>AB230/AB51</f>
        <v>0.11229459659511472</v>
      </c>
      <c r="AC229" s="1126">
        <f>AC230/AC51</f>
        <v>0.12869999999999998</v>
      </c>
      <c r="AD229" s="1127">
        <f>AD230/AD51</f>
        <v>0.11010352504543175</v>
      </c>
      <c r="AE229" s="1099"/>
      <c r="AF229" s="1128">
        <f>AF230/AF51</f>
        <v>0.11229459659511472</v>
      </c>
      <c r="AG229" s="1126">
        <f>AG230/AG51</f>
        <v>0.12599999999999997</v>
      </c>
      <c r="AH229" s="1127">
        <f>AH230/AH51</f>
        <v>0.15346350119055813</v>
      </c>
      <c r="AI229" s="1099"/>
      <c r="AJ229" s="1102">
        <f>AJ230/AJ51</f>
        <v>0.11229459659511472</v>
      </c>
      <c r="AK229" s="1106">
        <f>AK230/AK51</f>
        <v>0.10783325482807347</v>
      </c>
      <c r="AL229" s="1109">
        <f>AL230/AL51</f>
        <v>0.12702857142857141</v>
      </c>
      <c r="AM229" s="1108">
        <f>AM230/AM51</f>
        <v>0.1296843533760953</v>
      </c>
      <c r="AN229" s="1145"/>
      <c r="AO229" s="1146"/>
      <c r="AP229" s="1082"/>
      <c r="AQ229" s="1102">
        <f>AQ230/AQ51</f>
        <v>0.107820133234641</v>
      </c>
      <c r="AR229" s="1108">
        <f>AR230/AR51</f>
        <v>0.10783325482807347</v>
      </c>
      <c r="AS229" s="1109">
        <f>AS230/AS51</f>
        <v>0.1176597986477993</v>
      </c>
      <c r="AT229" s="1108">
        <f>AT230/AT51</f>
        <v>0.12249155824460835</v>
      </c>
      <c r="AU229" s="1146"/>
      <c r="AV229" s="1146"/>
      <c r="AW229" s="1083"/>
      <c r="AX229" s="722"/>
      <c r="AY229" s="723"/>
      <c r="AZ229" s="723"/>
      <c r="BA229" s="723"/>
      <c r="BB229" s="723"/>
      <c r="BC229" s="723"/>
      <c r="BD229" s="723"/>
      <c r="BE229" s="1128">
        <f>BE230/BE51</f>
        <v>0.12589681903234429</v>
      </c>
      <c r="BF229" s="1126">
        <f>BF230/BF51</f>
        <v>0.12535714285714283</v>
      </c>
      <c r="BG229" s="1127">
        <f>BG230/BG51</f>
        <v>0.12289864855803737</v>
      </c>
      <c r="BH229" s="1099"/>
      <c r="BI229" s="1128">
        <f>BI230/BI51</f>
        <v>0.12589681903234429</v>
      </c>
      <c r="BJ229" s="1126">
        <f>BJ230/BJ51</f>
        <v>0.12617647058823528</v>
      </c>
      <c r="BK229" s="1127">
        <f>BK230/BK51</f>
        <v>0.11541890757666773</v>
      </c>
      <c r="BL229" s="1099"/>
      <c r="BM229" s="1128">
        <f>BM230/BM51</f>
        <v>0.12589681903234429</v>
      </c>
      <c r="BN229" s="1126">
        <f>BN230/BN51</f>
        <v>0.10313804347826086</v>
      </c>
      <c r="BO229" s="1127">
        <f>BO230/BO51</f>
        <v>9.1160237858549154E-2</v>
      </c>
      <c r="BP229" s="1099"/>
      <c r="BQ229" s="1102">
        <f>BQ230/BQ51</f>
        <v>0.12589681903234429</v>
      </c>
      <c r="BR229" s="1111"/>
      <c r="BS229" s="1108">
        <f>BS230/BS51</f>
        <v>0.11894999999999999</v>
      </c>
      <c r="BT229" s="1108">
        <f>BT230/BT51</f>
        <v>0.11081685611510506</v>
      </c>
      <c r="BU229" s="1143"/>
      <c r="BV229" s="1146"/>
      <c r="BW229" s="1082"/>
      <c r="BX229" s="1128">
        <f>BX230/BX51</f>
        <v>0.12580026631158456</v>
      </c>
      <c r="BY229" s="1126">
        <f>BY230/BY51</f>
        <v>0.10935918367346938</v>
      </c>
      <c r="BZ229" s="1127">
        <f>BZ230/BZ51</f>
        <v>9.9473668901022494E-2</v>
      </c>
      <c r="CA229" s="1099"/>
      <c r="CB229" s="1128">
        <f>CB230/CB51</f>
        <v>0.12580026631158456</v>
      </c>
      <c r="CC229" s="1126">
        <f>CC230/CC51</f>
        <v>0.11965360824742267</v>
      </c>
      <c r="CD229" s="1279">
        <f>CD230/CD51</f>
        <v>0.11972093023255813</v>
      </c>
      <c r="CE229" s="1099"/>
      <c r="CF229" s="1128">
        <f>CF230/CF51</f>
        <v>0.12580026631158456</v>
      </c>
      <c r="CG229" s="1126">
        <f>CG230/CG51</f>
        <v>0.11852608695652173</v>
      </c>
      <c r="CH229" s="1279">
        <f>CH230/CH51</f>
        <v>0.11849999999999999</v>
      </c>
      <c r="CI229" s="1099"/>
      <c r="CJ229" s="1102">
        <f>CJ230/CJ51</f>
        <v>0.12580026631158456</v>
      </c>
      <c r="CK229" s="1111"/>
      <c r="CL229" s="1109">
        <f>CL230/CL51</f>
        <v>0.11577700348432055</v>
      </c>
      <c r="CM229" s="1108">
        <f>CM230/CM51</f>
        <v>0.11281456584447547</v>
      </c>
      <c r="CN229" s="1145"/>
      <c r="CO229" s="1145"/>
      <c r="CP229" s="1082"/>
      <c r="CQ229" s="1102">
        <f>CQ230/CQ51</f>
        <v>0.12584845250800425</v>
      </c>
      <c r="CR229" s="1111"/>
      <c r="CS229" s="1109">
        <f>CS230/CS51</f>
        <v>0.11741433389544688</v>
      </c>
      <c r="CT229" s="1108">
        <f>CT230/CT51</f>
        <v>0.11170850379164587</v>
      </c>
      <c r="CU229" s="1146"/>
      <c r="CV229" s="1146"/>
      <c r="CW229" s="1083">
        <f>CT230/CS230</f>
        <v>0.86903461798017134</v>
      </c>
      <c r="CX229" s="722"/>
      <c r="CY229" s="723"/>
      <c r="CZ229" s="723"/>
      <c r="DA229" s="723"/>
      <c r="DB229" s="723"/>
      <c r="DC229" s="723"/>
      <c r="DD229" s="723"/>
    </row>
    <row r="230" spans="1:108">
      <c r="A230" s="998"/>
      <c r="B230" s="1020"/>
      <c r="C230" s="1023" t="s">
        <v>408</v>
      </c>
      <c r="D230" s="1024"/>
      <c r="E230" s="695">
        <v>3938</v>
      </c>
      <c r="F230" s="800">
        <v>3950</v>
      </c>
      <c r="G230" s="801">
        <v>5839</v>
      </c>
      <c r="H230" s="867">
        <f>G230-F230</f>
        <v>1889</v>
      </c>
      <c r="I230" s="695">
        <v>3938</v>
      </c>
      <c r="J230" s="800">
        <v>4600</v>
      </c>
      <c r="K230" s="801">
        <v>4318</v>
      </c>
      <c r="L230" s="867">
        <f>K230-J230</f>
        <v>-282</v>
      </c>
      <c r="M230" s="695">
        <v>3938</v>
      </c>
      <c r="N230" s="800">
        <v>5100</v>
      </c>
      <c r="O230" s="801">
        <v>6321</v>
      </c>
      <c r="P230" s="867">
        <f>O230-N230</f>
        <v>1221</v>
      </c>
      <c r="Q230" s="869">
        <f>E230+I230+M230</f>
        <v>11814</v>
      </c>
      <c r="R230" s="870">
        <f>4109*3</f>
        <v>12327</v>
      </c>
      <c r="S230" s="952">
        <f>G230+J230+N230</f>
        <v>15539</v>
      </c>
      <c r="T230" s="526">
        <f>G230+K230+O230</f>
        <v>16478</v>
      </c>
      <c r="U230" s="699">
        <f>T230-Q230</f>
        <v>4664</v>
      </c>
      <c r="V230" s="717">
        <f t="shared" si="320"/>
        <v>4151</v>
      </c>
      <c r="W230" s="688">
        <f>T230-S230</f>
        <v>939</v>
      </c>
      <c r="X230" s="695">
        <v>4279</v>
      </c>
      <c r="Y230" s="800">
        <v>5400</v>
      </c>
      <c r="Z230" s="801">
        <v>5677</v>
      </c>
      <c r="AA230" s="867">
        <f>Z230-Y230</f>
        <v>277</v>
      </c>
      <c r="AB230" s="695">
        <v>4279</v>
      </c>
      <c r="AC230" s="800">
        <v>6600</v>
      </c>
      <c r="AD230" s="801">
        <v>5805.6726799999997</v>
      </c>
      <c r="AE230" s="867">
        <f>AD230-AC230</f>
        <v>-794.32732000000033</v>
      </c>
      <c r="AF230" s="695">
        <v>4279</v>
      </c>
      <c r="AG230" s="800">
        <v>7000</v>
      </c>
      <c r="AH230" s="801">
        <v>7602.1100500000002</v>
      </c>
      <c r="AI230" s="867">
        <f>AH230-AG230</f>
        <v>602.11005000000023</v>
      </c>
      <c r="AJ230" s="869">
        <f>X230+AB230+AF230</f>
        <v>12837</v>
      </c>
      <c r="AK230" s="870">
        <f>4109*3</f>
        <v>12327</v>
      </c>
      <c r="AL230" s="717">
        <f>Y230+AC230+AG230</f>
        <v>19000</v>
      </c>
      <c r="AM230" s="526">
        <f>Z230+AD230+AH230</f>
        <v>19084.782729999999</v>
      </c>
      <c r="AN230" s="721">
        <f>AM230-AJ230</f>
        <v>6247.782729999999</v>
      </c>
      <c r="AO230" s="717">
        <f t="shared" si="321"/>
        <v>6757.782729999999</v>
      </c>
      <c r="AP230" s="688">
        <f>AM230-AL230</f>
        <v>84.782729999998992</v>
      </c>
      <c r="AQ230" s="869">
        <f>SUM(Q230,AJ230)</f>
        <v>24651</v>
      </c>
      <c r="AR230" s="720">
        <f>R230+AK230</f>
        <v>24654</v>
      </c>
      <c r="AS230" s="579">
        <f>S230+AL230</f>
        <v>34539</v>
      </c>
      <c r="AT230" s="526">
        <f>SUM(T230,AM230)</f>
        <v>35562.782729999999</v>
      </c>
      <c r="AU230" s="523">
        <f>AT230-AQ230</f>
        <v>10911.782729999999</v>
      </c>
      <c r="AV230" s="717">
        <f t="shared" si="322"/>
        <v>10908.782729999999</v>
      </c>
      <c r="AW230" s="508">
        <f>AT230-AS230</f>
        <v>1023.782729999999</v>
      </c>
      <c r="AX230" s="722"/>
      <c r="AY230" s="723"/>
      <c r="AZ230" s="723"/>
      <c r="BA230" s="723"/>
      <c r="BB230" s="723"/>
      <c r="BC230" s="723"/>
      <c r="BD230" s="723"/>
      <c r="BE230" s="695">
        <v>6038.2051282051279</v>
      </c>
      <c r="BF230" s="800">
        <v>6000</v>
      </c>
      <c r="BG230" s="801">
        <v>6025.9334479999998</v>
      </c>
      <c r="BH230" s="867">
        <f>BG230-BF230</f>
        <v>25.933447999999771</v>
      </c>
      <c r="BI230" s="695">
        <v>6038.2051282051279</v>
      </c>
      <c r="BJ230" s="800">
        <v>5500</v>
      </c>
      <c r="BK230" s="801">
        <v>4581.9648500000003</v>
      </c>
      <c r="BL230" s="867">
        <f>BK230-BJ230</f>
        <v>-918.0351499999997</v>
      </c>
      <c r="BM230" s="695">
        <v>6038.2051282051279</v>
      </c>
      <c r="BN230" s="800">
        <v>4055</v>
      </c>
      <c r="BO230" s="801">
        <v>3594.5667600000002</v>
      </c>
      <c r="BP230" s="867">
        <f>BO230-BN230</f>
        <v>-460.43323999999984</v>
      </c>
      <c r="BQ230" s="869">
        <f>BE230+BI230+BM230</f>
        <v>18114.615384615383</v>
      </c>
      <c r="BR230" s="719"/>
      <c r="BS230" s="699">
        <f>BF230+BJ230+BN230</f>
        <v>15555</v>
      </c>
      <c r="BT230" s="526">
        <f>BG230+BK230+BO230</f>
        <v>14202.465058</v>
      </c>
      <c r="BU230" s="699">
        <f>BT230-BQ230</f>
        <v>-3912.1503266153832</v>
      </c>
      <c r="BV230" s="717"/>
      <c r="BW230" s="688">
        <f>BT230-BS230</f>
        <v>-1352.5349420000002</v>
      </c>
      <c r="BX230" s="695">
        <v>6056.1538461538457</v>
      </c>
      <c r="BY230" s="800">
        <v>4580</v>
      </c>
      <c r="BZ230" s="801">
        <v>3305.66</v>
      </c>
      <c r="CA230" s="867">
        <f>BZ230-BY230</f>
        <v>-1274.3400000000001</v>
      </c>
      <c r="CB230" s="695">
        <v>6056.1538461538457</v>
      </c>
      <c r="CC230" s="800">
        <v>4960</v>
      </c>
      <c r="CD230" s="803">
        <v>4400</v>
      </c>
      <c r="CE230" s="867">
        <f>CD230-CC230</f>
        <v>-560</v>
      </c>
      <c r="CF230" s="695">
        <v>6056.1538461538457</v>
      </c>
      <c r="CG230" s="800">
        <v>4660</v>
      </c>
      <c r="CH230" s="803">
        <v>3950</v>
      </c>
      <c r="CI230" s="867">
        <f>CH230-CG230</f>
        <v>-710</v>
      </c>
      <c r="CJ230" s="869">
        <f>BX230+CB230+CF230</f>
        <v>18168.461538461539</v>
      </c>
      <c r="CK230" s="719"/>
      <c r="CL230" s="717">
        <f>BY230+CC230+CG230</f>
        <v>14200</v>
      </c>
      <c r="CM230" s="526">
        <f>BZ230+CD230+CH230</f>
        <v>11655.66</v>
      </c>
      <c r="CN230" s="721">
        <f>CM230-CJ230</f>
        <v>-6512.8015384615392</v>
      </c>
      <c r="CO230" s="721"/>
      <c r="CP230" s="688">
        <f>CM230-CL230</f>
        <v>-2544.34</v>
      </c>
      <c r="CQ230" s="869">
        <f>SUM(BQ230,CJ230)</f>
        <v>36283.076923076922</v>
      </c>
      <c r="CR230" s="719"/>
      <c r="CS230" s="579">
        <f>BS230+CL230</f>
        <v>29755</v>
      </c>
      <c r="CT230" s="526">
        <f>SUM(BT230,CM230)</f>
        <v>25858.125057999998</v>
      </c>
      <c r="CU230" s="523">
        <f>CT230-CQ230</f>
        <v>-10424.951865076924</v>
      </c>
      <c r="CV230" s="523"/>
      <c r="CW230" s="508">
        <f>CT230-CS230</f>
        <v>-3896.8749420000022</v>
      </c>
      <c r="CX230" s="722"/>
      <c r="CY230" s="723"/>
      <c r="CZ230" s="723"/>
      <c r="DA230" s="723"/>
      <c r="DB230" s="723"/>
      <c r="DC230" s="723"/>
      <c r="DD230" s="723"/>
    </row>
    <row r="231" spans="1:108">
      <c r="A231" s="998"/>
      <c r="B231" s="1020"/>
      <c r="C231" s="1021" t="s">
        <v>166</v>
      </c>
      <c r="D231" s="1022"/>
      <c r="E231" s="963">
        <f>E232/E52</f>
        <v>0.13540194174757281</v>
      </c>
      <c r="F231" s="964">
        <f>F232/F52</f>
        <v>0.12480000000000001</v>
      </c>
      <c r="G231" s="965">
        <f>G232/G52</f>
        <v>0.15438072773362152</v>
      </c>
      <c r="H231" s="923"/>
      <c r="I231" s="963">
        <f>I232/I52</f>
        <v>0.13540194174757281</v>
      </c>
      <c r="J231" s="964">
        <f>J232/J52</f>
        <v>0.13805999999999999</v>
      </c>
      <c r="K231" s="965">
        <f>K232/K52</f>
        <v>0.15205187311928883</v>
      </c>
      <c r="L231" s="1101"/>
      <c r="M231" s="963">
        <f>M232/M52</f>
        <v>0.13540194174757281</v>
      </c>
      <c r="N231" s="964">
        <f>N232/N52</f>
        <v>0.13499999999999998</v>
      </c>
      <c r="O231" s="965">
        <f>O232/O52</f>
        <v>0.18380846135788584</v>
      </c>
      <c r="P231" s="1101"/>
      <c r="Q231" s="1102">
        <f>Q232/Q52</f>
        <v>0.13540194174757281</v>
      </c>
      <c r="R231" s="1106">
        <f>R232/R52</f>
        <v>0.13013700369490966</v>
      </c>
      <c r="S231" s="1111">
        <f>S232/S52</f>
        <v>0.14373115218032306</v>
      </c>
      <c r="T231" s="1108">
        <f>T232/T52</f>
        <v>0.16230822679912202</v>
      </c>
      <c r="U231" s="1143"/>
      <c r="V231" s="1146"/>
      <c r="W231" s="1082"/>
      <c r="X231" s="963">
        <f>X232/X52</f>
        <v>0.13144732030392914</v>
      </c>
      <c r="Y231" s="964">
        <f>Y232/Y52</f>
        <v>0.15209999999999999</v>
      </c>
      <c r="Z231" s="965">
        <f>Z232/Z52</f>
        <v>0.16667874404051172</v>
      </c>
      <c r="AA231" s="1101"/>
      <c r="AB231" s="963">
        <f>AB232/AB52</f>
        <v>0.13144732030392914</v>
      </c>
      <c r="AC231" s="964">
        <f>AC232/AC52</f>
        <v>0.1404</v>
      </c>
      <c r="AD231" s="965">
        <f>AD232/AD52</f>
        <v>0.16689637775963365</v>
      </c>
      <c r="AE231" s="1101"/>
      <c r="AF231" s="963">
        <f>AF232/AF52</f>
        <v>0.13144732030392914</v>
      </c>
      <c r="AG231" s="964">
        <f>AG232/AG52</f>
        <v>0.15829411764705881</v>
      </c>
      <c r="AH231" s="965">
        <f>AH232/AH52</f>
        <v>0.15912376652086088</v>
      </c>
      <c r="AI231" s="1101"/>
      <c r="AJ231" s="1102">
        <f>AJ232/AJ52</f>
        <v>0.13144732030392914</v>
      </c>
      <c r="AK231" s="1106">
        <f>AK232/AK52</f>
        <v>0.13013700369490966</v>
      </c>
      <c r="AL231" s="1109">
        <f>AL232/AL52</f>
        <v>0.15079999999999999</v>
      </c>
      <c r="AM231" s="1108">
        <f>AM232/AM52</f>
        <v>0.16404643657804949</v>
      </c>
      <c r="AN231" s="1145"/>
      <c r="AO231" s="1146"/>
      <c r="AP231" s="1082"/>
      <c r="AQ231" s="1102">
        <f>AQ232/AQ52</f>
        <v>0.13307229540504095</v>
      </c>
      <c r="AR231" s="1108">
        <f>AR232/AR52</f>
        <v>0.13013700369490966</v>
      </c>
      <c r="AS231" s="1109">
        <f>AS232/AS52</f>
        <v>0.1475187831345128</v>
      </c>
      <c r="AT231" s="1108">
        <f>AT232/AT52</f>
        <v>0.16319467984015498</v>
      </c>
      <c r="AU231" s="1146"/>
      <c r="AV231" s="1146"/>
      <c r="AW231" s="1082"/>
      <c r="AX231" s="722"/>
      <c r="AY231" s="723"/>
      <c r="AZ231" s="723"/>
      <c r="BA231" s="723"/>
      <c r="BB231" s="723"/>
      <c r="BC231" s="723"/>
      <c r="BD231" s="723"/>
      <c r="BE231" s="963">
        <f>BE232/BE52</f>
        <v>0.16953703703703704</v>
      </c>
      <c r="BF231" s="964">
        <f>BF232/BF52</f>
        <v>0.16137931034482758</v>
      </c>
      <c r="BG231" s="965">
        <f>BG232/BG52</f>
        <v>0.15853882794464721</v>
      </c>
      <c r="BH231" s="1101"/>
      <c r="BI231" s="963">
        <f>BI232/BI52</f>
        <v>0.16953703703703704</v>
      </c>
      <c r="BJ231" s="964">
        <f>BJ232/BJ52</f>
        <v>0.16058823529411764</v>
      </c>
      <c r="BK231" s="965">
        <f>BK232/BK52</f>
        <v>0.1380306630305641</v>
      </c>
      <c r="BL231" s="1101"/>
      <c r="BM231" s="963">
        <f>BM232/BM52</f>
        <v>0.16953703703703704</v>
      </c>
      <c r="BN231" s="964">
        <f>BN232/BN52</f>
        <v>0.15769565217391301</v>
      </c>
      <c r="BO231" s="965">
        <f>BO232/BO52</f>
        <v>0.19121560515953395</v>
      </c>
      <c r="BP231" s="1101"/>
      <c r="BQ231" s="1102">
        <f>BQ232/BQ52</f>
        <v>0.16953703703703704</v>
      </c>
      <c r="BR231" s="1111"/>
      <c r="BS231" s="1109">
        <f>BS232/BS52</f>
        <v>0.15988612099644128</v>
      </c>
      <c r="BT231" s="1108">
        <f>BT232/BT52</f>
        <v>0.16031528223906721</v>
      </c>
      <c r="BU231" s="1143"/>
      <c r="BV231" s="1146"/>
      <c r="BW231" s="1082"/>
      <c r="BX231" s="963">
        <f>BX232/BX52</f>
        <v>0.15196698113207546</v>
      </c>
      <c r="BY231" s="964">
        <f>BY232/BY52</f>
        <v>0.14552238805970147</v>
      </c>
      <c r="BZ231" s="965">
        <f>BZ232/BZ52</f>
        <v>0.12548362995332143</v>
      </c>
      <c r="CA231" s="1101"/>
      <c r="CB231" s="963">
        <f>CB232/CB52</f>
        <v>0.15196698113207546</v>
      </c>
      <c r="CC231" s="964">
        <f>CC232/CC52</f>
        <v>0.15079999999999999</v>
      </c>
      <c r="CD231" s="966">
        <f>CD232/CD52</f>
        <v>0.1369431818181818</v>
      </c>
      <c r="CE231" s="1101"/>
      <c r="CF231" s="963">
        <f>CF232/CF52</f>
        <v>0.15196698113207546</v>
      </c>
      <c r="CG231" s="964">
        <f>CG232/CG52</f>
        <v>0.15051891891891891</v>
      </c>
      <c r="CH231" s="966">
        <f>CH232/CH52</f>
        <v>0.15103636363636364</v>
      </c>
      <c r="CI231" s="1101"/>
      <c r="CJ231" s="1102">
        <f>CJ232/CJ52</f>
        <v>0.15196698113207546</v>
      </c>
      <c r="CK231" s="1111"/>
      <c r="CL231" s="1109">
        <f>CL232/CL52</f>
        <v>0.14910365853658536</v>
      </c>
      <c r="CM231" s="1108">
        <f>CM232/CM52</f>
        <v>0.13428291539055978</v>
      </c>
      <c r="CN231" s="1145"/>
      <c r="CO231" s="1145"/>
      <c r="CP231" s="1082"/>
      <c r="CQ231" s="1102">
        <f>CQ232/CQ52</f>
        <v>0.16037155511811024</v>
      </c>
      <c r="CR231" s="1111"/>
      <c r="CS231" s="1109">
        <f>CS232/CS52</f>
        <v>0.15407881773399013</v>
      </c>
      <c r="CT231" s="1108">
        <f>CT232/CT52</f>
        <v>0.1467370050366755</v>
      </c>
      <c r="CU231" s="1146"/>
      <c r="CV231" s="1146"/>
      <c r="CW231" s="1082">
        <f>CT232/CS232</f>
        <v>0.8224502644638404</v>
      </c>
      <c r="CX231" s="722"/>
      <c r="CY231" s="723"/>
      <c r="CZ231" s="723"/>
      <c r="DA231" s="723"/>
      <c r="DB231" s="723"/>
      <c r="DC231" s="723"/>
      <c r="DD231" s="723"/>
    </row>
    <row r="232" spans="1:108">
      <c r="A232" s="998"/>
      <c r="B232" s="1020"/>
      <c r="C232" s="1023" t="s">
        <v>164</v>
      </c>
      <c r="D232" s="1000"/>
      <c r="E232" s="767">
        <v>5960</v>
      </c>
      <c r="F232" s="865">
        <v>4800</v>
      </c>
      <c r="G232" s="866">
        <v>10545</v>
      </c>
      <c r="H232" s="867">
        <f>G232-F232</f>
        <v>5745</v>
      </c>
      <c r="I232" s="767">
        <v>5960</v>
      </c>
      <c r="J232" s="865">
        <v>5900</v>
      </c>
      <c r="K232" s="866">
        <v>9415</v>
      </c>
      <c r="L232" s="867">
        <f>K232-J232</f>
        <v>3515</v>
      </c>
      <c r="M232" s="767">
        <v>5960</v>
      </c>
      <c r="N232" s="865">
        <v>7500</v>
      </c>
      <c r="O232" s="866">
        <f>O236-O230</f>
        <v>10058.56457</v>
      </c>
      <c r="P232" s="867">
        <f>O232-N232</f>
        <v>2558.5645700000005</v>
      </c>
      <c r="Q232" s="869">
        <f>E232+I232+M232</f>
        <v>17880</v>
      </c>
      <c r="R232" s="870">
        <f>8760*3</f>
        <v>26280</v>
      </c>
      <c r="S232" s="952">
        <f>G232+J232+N232</f>
        <v>23945</v>
      </c>
      <c r="T232" s="526">
        <f>G232+K232+O232</f>
        <v>30018.564570000002</v>
      </c>
      <c r="U232" s="699">
        <f>T232-Q232</f>
        <v>12138.564570000002</v>
      </c>
      <c r="V232" s="717">
        <f t="shared" si="320"/>
        <v>3738.5645700000023</v>
      </c>
      <c r="W232" s="688">
        <f>T232-S232</f>
        <v>6073.5645700000023</v>
      </c>
      <c r="X232" s="767">
        <v>8295</v>
      </c>
      <c r="Y232" s="865">
        <v>9100</v>
      </c>
      <c r="Z232" s="866">
        <v>9104</v>
      </c>
      <c r="AA232" s="867">
        <f>Z232-Y232</f>
        <v>4</v>
      </c>
      <c r="AB232" s="767">
        <v>8295</v>
      </c>
      <c r="AC232" s="865">
        <v>8400</v>
      </c>
      <c r="AD232" s="866">
        <v>11484.946</v>
      </c>
      <c r="AE232" s="867">
        <f>AD232-AC232</f>
        <v>3084.9459999999999</v>
      </c>
      <c r="AF232" s="767">
        <v>8295</v>
      </c>
      <c r="AG232" s="865">
        <v>11500</v>
      </c>
      <c r="AH232" s="866">
        <v>10986.998180000001</v>
      </c>
      <c r="AI232" s="867">
        <f>AH232-AG232</f>
        <v>-513.0018199999995</v>
      </c>
      <c r="AJ232" s="869">
        <f>X232+AB232+AF232</f>
        <v>24885</v>
      </c>
      <c r="AK232" s="870">
        <f>8760*3</f>
        <v>26280</v>
      </c>
      <c r="AL232" s="717">
        <f>Y232+AC232+AG232</f>
        <v>29000</v>
      </c>
      <c r="AM232" s="526">
        <f>Z232+AD232+AH232</f>
        <v>31575.944179999999</v>
      </c>
      <c r="AN232" s="721">
        <f>AM232-AJ232</f>
        <v>6690.9441799999986</v>
      </c>
      <c r="AO232" s="717">
        <f t="shared" si="321"/>
        <v>5295.9441799999986</v>
      </c>
      <c r="AP232" s="688">
        <f>AM232-AL232</f>
        <v>2575.9441799999986</v>
      </c>
      <c r="AQ232" s="869">
        <f>SUM(Q232,AJ232)</f>
        <v>42765</v>
      </c>
      <c r="AR232" s="720">
        <f>R232+AK232</f>
        <v>52560</v>
      </c>
      <c r="AS232" s="876">
        <f>S232+AL232</f>
        <v>52945</v>
      </c>
      <c r="AT232" s="720">
        <f>SUM(T232,AM232)</f>
        <v>61594.508750000001</v>
      </c>
      <c r="AU232" s="717">
        <f>AT232-AQ232</f>
        <v>18829.508750000001</v>
      </c>
      <c r="AV232" s="717">
        <f t="shared" si="322"/>
        <v>9034.5087500000009</v>
      </c>
      <c r="AW232" s="688">
        <f>AT232-AS232</f>
        <v>8649.5087500000009</v>
      </c>
      <c r="AX232" s="722"/>
      <c r="AY232" s="723"/>
      <c r="AZ232" s="723"/>
      <c r="BA232" s="723"/>
      <c r="BB232" s="723"/>
      <c r="BC232" s="723"/>
      <c r="BD232" s="723"/>
      <c r="BE232" s="767">
        <v>14084.615384615385</v>
      </c>
      <c r="BF232" s="865">
        <v>12000</v>
      </c>
      <c r="BG232" s="866">
        <v>11675</v>
      </c>
      <c r="BH232" s="867">
        <f>BG232-BF232</f>
        <v>-325</v>
      </c>
      <c r="BI232" s="767">
        <v>14084.615384615385</v>
      </c>
      <c r="BJ232" s="865">
        <v>14000</v>
      </c>
      <c r="BK232" s="866">
        <v>11000.953</v>
      </c>
      <c r="BL232" s="867">
        <f>BK232-BJ232</f>
        <v>-2999.0470000000005</v>
      </c>
      <c r="BM232" s="767">
        <v>14084.615384615385</v>
      </c>
      <c r="BN232" s="865">
        <v>12400</v>
      </c>
      <c r="BO232" s="866">
        <v>11800.10621</v>
      </c>
      <c r="BP232" s="867">
        <f>BO232-BN232</f>
        <v>-599.89379000000008</v>
      </c>
      <c r="BQ232" s="869">
        <f>BE232+BI232+BM232</f>
        <v>42253.846153846156</v>
      </c>
      <c r="BR232" s="719"/>
      <c r="BS232" s="699">
        <f>BF232+BJ232+BN232</f>
        <v>38400</v>
      </c>
      <c r="BT232" s="526">
        <f>BG232+BK232+BO232</f>
        <v>34476.059209999999</v>
      </c>
      <c r="BU232" s="699">
        <f>BT232-BQ232</f>
        <v>-7777.7869438461566</v>
      </c>
      <c r="BV232" s="717"/>
      <c r="BW232" s="688">
        <f>BT232-BS232</f>
        <v>-3923.9407900000006</v>
      </c>
      <c r="BX232" s="767">
        <v>13767.948717948719</v>
      </c>
      <c r="BY232" s="865">
        <f>12900-400</f>
        <v>12500</v>
      </c>
      <c r="BZ232" s="866">
        <v>14084.451999999999</v>
      </c>
      <c r="CA232" s="867">
        <f>BZ232-BY232</f>
        <v>1584.4519999999993</v>
      </c>
      <c r="CB232" s="767">
        <v>13767.948717948719</v>
      </c>
      <c r="CC232" s="865">
        <v>17400</v>
      </c>
      <c r="CD232" s="868">
        <v>10300</v>
      </c>
      <c r="CE232" s="867">
        <f>CD232-CC232</f>
        <v>-7100</v>
      </c>
      <c r="CF232" s="767">
        <v>13767.948717948719</v>
      </c>
      <c r="CG232" s="865">
        <v>11900</v>
      </c>
      <c r="CH232" s="868">
        <v>7100</v>
      </c>
      <c r="CI232" s="867">
        <f>CH232-CG232</f>
        <v>-4800</v>
      </c>
      <c r="CJ232" s="869">
        <f>BX232+CB232+CF232</f>
        <v>41303.846153846156</v>
      </c>
      <c r="CK232" s="719"/>
      <c r="CL232" s="717">
        <f>BY232+CC232+CG232</f>
        <v>41800</v>
      </c>
      <c r="CM232" s="526">
        <f>BZ232+CD232+CH232</f>
        <v>31484.451999999997</v>
      </c>
      <c r="CN232" s="721">
        <f>CM232-CJ232</f>
        <v>-9819.3941538461586</v>
      </c>
      <c r="CO232" s="721"/>
      <c r="CP232" s="688">
        <f>CM232-CL232</f>
        <v>-10315.548000000003</v>
      </c>
      <c r="CQ232" s="869">
        <f>SUM(BQ232,CJ232)</f>
        <v>83557.692307692312</v>
      </c>
      <c r="CR232" s="719"/>
      <c r="CS232" s="876">
        <f>BS232+CL232</f>
        <v>80200</v>
      </c>
      <c r="CT232" s="720">
        <f>SUM(BT232,CM232)</f>
        <v>65960.511209999997</v>
      </c>
      <c r="CU232" s="717">
        <f>CT232-CQ232</f>
        <v>-17597.181097692315</v>
      </c>
      <c r="CV232" s="717"/>
      <c r="CW232" s="688">
        <f>CT232-CS232</f>
        <v>-14239.488790000003</v>
      </c>
      <c r="CX232" s="722"/>
      <c r="CY232" s="723"/>
      <c r="CZ232" s="723"/>
      <c r="DA232" s="723"/>
      <c r="DB232" s="723"/>
      <c r="DC232" s="723"/>
      <c r="DD232" s="723"/>
    </row>
    <row r="233" spans="1:108">
      <c r="A233" s="998"/>
      <c r="B233" s="1020"/>
      <c r="C233" s="1021" t="s">
        <v>166</v>
      </c>
      <c r="D233" s="1022"/>
      <c r="E233" s="963"/>
      <c r="F233" s="964"/>
      <c r="G233" s="965"/>
      <c r="H233" s="923"/>
      <c r="I233" s="963"/>
      <c r="J233" s="964"/>
      <c r="K233" s="965"/>
      <c r="L233" s="1101"/>
      <c r="M233" s="963"/>
      <c r="N233" s="964"/>
      <c r="O233" s="965"/>
      <c r="P233" s="1101"/>
      <c r="Q233" s="1102" t="e">
        <f>Q234/Q53</f>
        <v>#DIV/0!</v>
      </c>
      <c r="R233" s="1106"/>
      <c r="S233" s="1111" t="e">
        <f>S234/S53</f>
        <v>#DIV/0!</v>
      </c>
      <c r="T233" s="1108" t="e">
        <f>T234/T53</f>
        <v>#DIV/0!</v>
      </c>
      <c r="U233" s="1143"/>
      <c r="V233" s="1146" t="e">
        <f t="shared" si="320"/>
        <v>#DIV/0!</v>
      </c>
      <c r="W233" s="1082"/>
      <c r="X233" s="963"/>
      <c r="Y233" s="964"/>
      <c r="Z233" s="965"/>
      <c r="AA233" s="1101"/>
      <c r="AB233" s="963"/>
      <c r="AC233" s="964"/>
      <c r="AD233" s="965"/>
      <c r="AE233" s="1101"/>
      <c r="AF233" s="963"/>
      <c r="AG233" s="964"/>
      <c r="AH233" s="965"/>
      <c r="AI233" s="1101"/>
      <c r="AJ233" s="1102" t="e">
        <f>AJ234/AJ53</f>
        <v>#DIV/0!</v>
      </c>
      <c r="AK233" s="1106"/>
      <c r="AL233" s="1109" t="e">
        <f>AL234/AL53</f>
        <v>#DIV/0!</v>
      </c>
      <c r="AM233" s="1108" t="e">
        <f>AM234/AM53</f>
        <v>#DIV/0!</v>
      </c>
      <c r="AN233" s="1145"/>
      <c r="AO233" s="1146" t="e">
        <f t="shared" si="321"/>
        <v>#DIV/0!</v>
      </c>
      <c r="AP233" s="1082"/>
      <c r="AQ233" s="1102" t="e">
        <f>AQ234/AQ53</f>
        <v>#DIV/0!</v>
      </c>
      <c r="AR233" s="1108"/>
      <c r="AS233" s="1109" t="e">
        <f>AS234/AS53</f>
        <v>#DIV/0!</v>
      </c>
      <c r="AT233" s="1108" t="e">
        <f>AT234/AT53</f>
        <v>#DIV/0!</v>
      </c>
      <c r="AU233" s="1146" t="e">
        <f>AT234/AQ234</f>
        <v>#DIV/0!</v>
      </c>
      <c r="AV233" s="1146" t="e">
        <f t="shared" si="322"/>
        <v>#DIV/0!</v>
      </c>
      <c r="AW233" s="1083"/>
      <c r="AX233" s="722"/>
      <c r="AY233" s="723"/>
      <c r="AZ233" s="723"/>
      <c r="BA233" s="723"/>
      <c r="BB233" s="723"/>
      <c r="BC233" s="723"/>
      <c r="BD233" s="723"/>
      <c r="BE233" s="963"/>
      <c r="BF233" s="964"/>
      <c r="BG233" s="965"/>
      <c r="BH233" s="1101"/>
      <c r="BI233" s="963"/>
      <c r="BJ233" s="964"/>
      <c r="BK233" s="965"/>
      <c r="BL233" s="1101"/>
      <c r="BM233" s="963"/>
      <c r="BN233" s="964"/>
      <c r="BO233" s="965"/>
      <c r="BP233" s="1101"/>
      <c r="BQ233" s="1102" t="e">
        <f>BQ234/BQ53</f>
        <v>#DIV/0!</v>
      </c>
      <c r="BR233" s="1111"/>
      <c r="BS233" s="1109">
        <f>BS234/BS53</f>
        <v>0</v>
      </c>
      <c r="BT233" s="1108">
        <f>BT234/BT53</f>
        <v>0</v>
      </c>
      <c r="BU233" s="1143"/>
      <c r="BV233" s="1146"/>
      <c r="BW233" s="1082"/>
      <c r="BX233" s="963"/>
      <c r="BY233" s="964"/>
      <c r="BZ233" s="965"/>
      <c r="CA233" s="1101"/>
      <c r="CB233" s="963"/>
      <c r="CC233" s="964"/>
      <c r="CD233" s="966"/>
      <c r="CE233" s="1101"/>
      <c r="CF233" s="963"/>
      <c r="CG233" s="964"/>
      <c r="CH233" s="966"/>
      <c r="CI233" s="1101"/>
      <c r="CJ233" s="1102" t="e">
        <f>CJ234/CJ53</f>
        <v>#DIV/0!</v>
      </c>
      <c r="CK233" s="1111"/>
      <c r="CL233" s="1109">
        <f>CL234/CL53</f>
        <v>0</v>
      </c>
      <c r="CM233" s="1108">
        <f>CM234/CM53</f>
        <v>0</v>
      </c>
      <c r="CN233" s="1145"/>
      <c r="CO233" s="1145"/>
      <c r="CP233" s="1082"/>
      <c r="CQ233" s="1102" t="e">
        <f>CQ234/CQ53</f>
        <v>#DIV/0!</v>
      </c>
      <c r="CR233" s="1111"/>
      <c r="CS233" s="1109">
        <f>CS234/CS53</f>
        <v>0</v>
      </c>
      <c r="CT233" s="1108">
        <f>CT234/CT53</f>
        <v>0</v>
      </c>
      <c r="CU233" s="1146" t="e">
        <f>CT234/CQ234</f>
        <v>#DIV/0!</v>
      </c>
      <c r="CV233" s="1146"/>
      <c r="CW233" s="1083"/>
      <c r="CX233" s="722"/>
      <c r="CY233" s="723"/>
      <c r="CZ233" s="723"/>
      <c r="DA233" s="723"/>
      <c r="DB233" s="723"/>
      <c r="DC233" s="723"/>
      <c r="DD233" s="723"/>
    </row>
    <row r="234" spans="1:108">
      <c r="A234" s="998"/>
      <c r="B234" s="1020"/>
      <c r="C234" s="1023" t="s">
        <v>409</v>
      </c>
      <c r="D234" s="1000"/>
      <c r="E234" s="767">
        <f t="shared" ref="E234:P234" si="334">E233*E53</f>
        <v>0</v>
      </c>
      <c r="F234" s="865">
        <f t="shared" si="334"/>
        <v>0</v>
      </c>
      <c r="G234" s="866">
        <f t="shared" si="334"/>
        <v>0</v>
      </c>
      <c r="H234" s="867">
        <f t="shared" si="334"/>
        <v>0</v>
      </c>
      <c r="I234" s="767">
        <f t="shared" si="334"/>
        <v>0</v>
      </c>
      <c r="J234" s="865">
        <f t="shared" si="334"/>
        <v>0</v>
      </c>
      <c r="K234" s="866">
        <f t="shared" si="334"/>
        <v>0</v>
      </c>
      <c r="L234" s="867">
        <f t="shared" si="334"/>
        <v>0</v>
      </c>
      <c r="M234" s="767">
        <f t="shared" si="334"/>
        <v>0</v>
      </c>
      <c r="N234" s="865">
        <f t="shared" si="334"/>
        <v>0</v>
      </c>
      <c r="O234" s="866">
        <f t="shared" si="334"/>
        <v>0</v>
      </c>
      <c r="P234" s="867">
        <f t="shared" si="334"/>
        <v>0</v>
      </c>
      <c r="Q234" s="869">
        <f>E234+I234+M234</f>
        <v>0</v>
      </c>
      <c r="R234" s="870">
        <f>R233*R53</f>
        <v>0</v>
      </c>
      <c r="S234" s="952">
        <f>G234+J234+N234</f>
        <v>0</v>
      </c>
      <c r="T234" s="526">
        <f>G234+K234+O234</f>
        <v>0</v>
      </c>
      <c r="U234" s="699">
        <f>T234-Q234</f>
        <v>0</v>
      </c>
      <c r="V234" s="717">
        <f t="shared" si="320"/>
        <v>0</v>
      </c>
      <c r="W234" s="688">
        <f>T234-S234</f>
        <v>0</v>
      </c>
      <c r="X234" s="767">
        <f t="shared" ref="X234:AI234" si="335">X233*X53</f>
        <v>0</v>
      </c>
      <c r="Y234" s="865">
        <f t="shared" si="335"/>
        <v>0</v>
      </c>
      <c r="Z234" s="866">
        <f t="shared" si="335"/>
        <v>0</v>
      </c>
      <c r="AA234" s="867">
        <f t="shared" si="335"/>
        <v>0</v>
      </c>
      <c r="AB234" s="767">
        <f t="shared" si="335"/>
        <v>0</v>
      </c>
      <c r="AC234" s="865">
        <f t="shared" si="335"/>
        <v>0</v>
      </c>
      <c r="AD234" s="866">
        <f t="shared" si="335"/>
        <v>0</v>
      </c>
      <c r="AE234" s="867">
        <f t="shared" si="335"/>
        <v>0</v>
      </c>
      <c r="AF234" s="767">
        <f t="shared" si="335"/>
        <v>0</v>
      </c>
      <c r="AG234" s="865">
        <f t="shared" si="335"/>
        <v>0</v>
      </c>
      <c r="AH234" s="866">
        <f t="shared" si="335"/>
        <v>0</v>
      </c>
      <c r="AI234" s="867">
        <f t="shared" si="335"/>
        <v>0</v>
      </c>
      <c r="AJ234" s="869">
        <f>X234+AB234+AF234</f>
        <v>0</v>
      </c>
      <c r="AK234" s="870">
        <f>AK233*AK53</f>
        <v>0</v>
      </c>
      <c r="AL234" s="717">
        <f>Y234+AC234+AG234</f>
        <v>0</v>
      </c>
      <c r="AM234" s="526">
        <f>Z234+AD234+AH234</f>
        <v>0</v>
      </c>
      <c r="AN234" s="721">
        <f>AM234-AJ234</f>
        <v>0</v>
      </c>
      <c r="AO234" s="717">
        <f t="shared" si="321"/>
        <v>0</v>
      </c>
      <c r="AP234" s="688">
        <f>AM234-AL234</f>
        <v>0</v>
      </c>
      <c r="AQ234" s="869">
        <f>SUM(Q234,AJ234)</f>
        <v>0</v>
      </c>
      <c r="AR234" s="720">
        <f>AR233*AR53</f>
        <v>0</v>
      </c>
      <c r="AS234" s="876">
        <f>S234+AL234</f>
        <v>0</v>
      </c>
      <c r="AT234" s="720">
        <f>SUM(T234,AM234)</f>
        <v>0</v>
      </c>
      <c r="AU234" s="523">
        <f>AT234-AQ234</f>
        <v>0</v>
      </c>
      <c r="AV234" s="717">
        <f t="shared" si="322"/>
        <v>0</v>
      </c>
      <c r="AW234" s="508">
        <f>AT234-AS234</f>
        <v>0</v>
      </c>
      <c r="AX234" s="722"/>
      <c r="AY234" s="723"/>
      <c r="AZ234" s="723"/>
      <c r="BA234" s="723"/>
      <c r="BB234" s="723"/>
      <c r="BC234" s="723"/>
      <c r="BD234" s="723"/>
      <c r="BE234" s="767">
        <f>BE233*BE53</f>
        <v>0</v>
      </c>
      <c r="BF234" s="865">
        <f>BF233*BF53</f>
        <v>0</v>
      </c>
      <c r="BG234" s="866">
        <f>BG233*BG53</f>
        <v>0</v>
      </c>
      <c r="BH234" s="867">
        <f>BH233*BH53</f>
        <v>0</v>
      </c>
      <c r="BI234" s="767">
        <f t="shared" ref="BI234:BP234" si="336">BI233*BI53</f>
        <v>0</v>
      </c>
      <c r="BJ234" s="865">
        <f t="shared" si="336"/>
        <v>0</v>
      </c>
      <c r="BK234" s="866">
        <f t="shared" si="336"/>
        <v>0</v>
      </c>
      <c r="BL234" s="867">
        <f t="shared" si="336"/>
        <v>0</v>
      </c>
      <c r="BM234" s="767">
        <f t="shared" si="336"/>
        <v>0</v>
      </c>
      <c r="BN234" s="865">
        <f t="shared" si="336"/>
        <v>0</v>
      </c>
      <c r="BO234" s="866">
        <f t="shared" si="336"/>
        <v>0</v>
      </c>
      <c r="BP234" s="867">
        <f t="shared" si="336"/>
        <v>0</v>
      </c>
      <c r="BQ234" s="869">
        <f>BE234+BI234+BM234</f>
        <v>0</v>
      </c>
      <c r="BR234" s="719"/>
      <c r="BS234" s="699">
        <f>BF234+BJ234+BN234</f>
        <v>0</v>
      </c>
      <c r="BT234" s="526">
        <f>BG234+BK234+BO234</f>
        <v>0</v>
      </c>
      <c r="BU234" s="699">
        <f>BT234-BQ234</f>
        <v>0</v>
      </c>
      <c r="BV234" s="717"/>
      <c r="BW234" s="688">
        <f>BT234-BS234</f>
        <v>0</v>
      </c>
      <c r="BX234" s="767">
        <f t="shared" ref="BX234:CI234" si="337">BX233*BX53</f>
        <v>0</v>
      </c>
      <c r="BY234" s="865">
        <f t="shared" si="337"/>
        <v>0</v>
      </c>
      <c r="BZ234" s="866">
        <f t="shared" si="337"/>
        <v>0</v>
      </c>
      <c r="CA234" s="867">
        <f t="shared" si="337"/>
        <v>0</v>
      </c>
      <c r="CB234" s="767">
        <f t="shared" si="337"/>
        <v>0</v>
      </c>
      <c r="CC234" s="865">
        <f t="shared" si="337"/>
        <v>0</v>
      </c>
      <c r="CD234" s="868">
        <f t="shared" si="337"/>
        <v>0</v>
      </c>
      <c r="CE234" s="867">
        <f t="shared" si="337"/>
        <v>0</v>
      </c>
      <c r="CF234" s="767">
        <f t="shared" si="337"/>
        <v>0</v>
      </c>
      <c r="CG234" s="865">
        <f t="shared" si="337"/>
        <v>0</v>
      </c>
      <c r="CH234" s="868">
        <f t="shared" si="337"/>
        <v>0</v>
      </c>
      <c r="CI234" s="867">
        <f t="shared" si="337"/>
        <v>0</v>
      </c>
      <c r="CJ234" s="869">
        <f>BX234+CB234+CF234</f>
        <v>0</v>
      </c>
      <c r="CK234" s="719"/>
      <c r="CL234" s="717">
        <f>BY234+CC234+CG234</f>
        <v>0</v>
      </c>
      <c r="CM234" s="526">
        <f>BZ234+CD234+CH234</f>
        <v>0</v>
      </c>
      <c r="CN234" s="721">
        <f>CM234-CJ234</f>
        <v>0</v>
      </c>
      <c r="CO234" s="721"/>
      <c r="CP234" s="688">
        <f>CM234-CL234</f>
        <v>0</v>
      </c>
      <c r="CQ234" s="869">
        <f>SUM(BQ234,CJ234)</f>
        <v>0</v>
      </c>
      <c r="CR234" s="719"/>
      <c r="CS234" s="876">
        <f>BS234+CL234</f>
        <v>0</v>
      </c>
      <c r="CT234" s="720">
        <f>SUM(BT234,CM234)</f>
        <v>0</v>
      </c>
      <c r="CU234" s="523">
        <f>CT234-CQ234</f>
        <v>0</v>
      </c>
      <c r="CV234" s="523"/>
      <c r="CW234" s="508">
        <f>CT234-CS234</f>
        <v>0</v>
      </c>
      <c r="CX234" s="722"/>
      <c r="CY234" s="723"/>
      <c r="CZ234" s="723"/>
      <c r="DA234" s="723"/>
      <c r="DB234" s="723"/>
      <c r="DC234" s="723"/>
      <c r="DD234" s="723"/>
    </row>
    <row r="235" spans="1:108">
      <c r="A235" s="1012" t="str">
        <f>A215</f>
        <v>%=粗利率</v>
      </c>
      <c r="B235" s="1013"/>
      <c r="C235" s="662"/>
      <c r="D235" s="619"/>
      <c r="E235" s="953">
        <f>E236/E55</f>
        <v>0.12052766878636177</v>
      </c>
      <c r="F235" s="954">
        <f>F236/F55</f>
        <v>0.11375</v>
      </c>
      <c r="G235" s="955">
        <f>G236/G55</f>
        <v>0.13370477470310679</v>
      </c>
      <c r="H235" s="812">
        <f>G236/F236</f>
        <v>1.8724571428571428</v>
      </c>
      <c r="I235" s="1113">
        <f>I236/I55</f>
        <v>0.12052766878636177</v>
      </c>
      <c r="J235" s="1114">
        <f>J236/J55</f>
        <v>0.12285</v>
      </c>
      <c r="K235" s="1115">
        <f>K236/K55</f>
        <v>0.13440187705459686</v>
      </c>
      <c r="L235" s="1093">
        <f>K236/J236</f>
        <v>1.3079047619047619</v>
      </c>
      <c r="M235" s="1113">
        <f>M236/M55</f>
        <v>0.12052766878636177</v>
      </c>
      <c r="N235" s="1114">
        <f>N236/N55</f>
        <v>0.12285</v>
      </c>
      <c r="O235" s="1115">
        <f>O236/O55</f>
        <v>0.1584162626941549</v>
      </c>
      <c r="P235" s="1093">
        <f>O236/N236</f>
        <v>1.2999654420634921</v>
      </c>
      <c r="Q235" s="1113">
        <f>Q236/Q55</f>
        <v>0.12052766878636179</v>
      </c>
      <c r="R235" s="1140">
        <f>R236/R55</f>
        <v>0.12207499594616507</v>
      </c>
      <c r="S235" s="1123">
        <f>S236/S55</f>
        <v>0.1271328256303853</v>
      </c>
      <c r="T235" s="1119">
        <f>T236/T55</f>
        <v>0.14170900282529453</v>
      </c>
      <c r="U235" s="1119">
        <f>T236/Q236</f>
        <v>1.5658572294066142</v>
      </c>
      <c r="V235" s="1120">
        <f>T236/R236</f>
        <v>1.2043558051648666</v>
      </c>
      <c r="W235" s="1079">
        <f>T236/S236</f>
        <v>1.1776052216087529</v>
      </c>
      <c r="X235" s="1113">
        <f>X236/X55</f>
        <v>0.12423642075395215</v>
      </c>
      <c r="Y235" s="1114">
        <f>Y236/Y55</f>
        <v>0.141375</v>
      </c>
      <c r="Z235" s="1115">
        <f>Z236/Z55</f>
        <v>0.1485270286519029</v>
      </c>
      <c r="AA235" s="1093">
        <f>Z236/Y236</f>
        <v>1.0193793103448276</v>
      </c>
      <c r="AB235" s="1113">
        <f>AB236/AB55</f>
        <v>0.12423642075395215</v>
      </c>
      <c r="AC235" s="1114">
        <f>AC236/AC55</f>
        <v>0.13499999999999998</v>
      </c>
      <c r="AD235" s="1115">
        <f>AD236/AD55</f>
        <v>0.1422580452947422</v>
      </c>
      <c r="AE235" s="1095">
        <f>AD236/AC236</f>
        <v>1.1527079119999999</v>
      </c>
      <c r="AF235" s="1113">
        <f>AF236/AF55</f>
        <v>0.12423642075395215</v>
      </c>
      <c r="AG235" s="1114">
        <f>AG236/AG55</f>
        <v>0.14429999999999998</v>
      </c>
      <c r="AH235" s="1115">
        <f>AH236/AH55</f>
        <v>0.15675926014831645</v>
      </c>
      <c r="AI235" s="1095">
        <f>AH236/AG236</f>
        <v>1.0048166610810811</v>
      </c>
      <c r="AJ235" s="1113">
        <f>AJ236/AJ55</f>
        <v>0.12423642075395216</v>
      </c>
      <c r="AK235" s="1140">
        <f>AK236/AK55</f>
        <v>0.12207499594616507</v>
      </c>
      <c r="AL235" s="1120">
        <f>AL236/AL55</f>
        <v>0.1404</v>
      </c>
      <c r="AM235" s="1119">
        <f>AM236/AM55</f>
        <v>0.14915783905230059</v>
      </c>
      <c r="AN235" s="1123">
        <f>AM236/AJ236</f>
        <v>1.343002144902179</v>
      </c>
      <c r="AO235" s="1100">
        <f>AM236/AK236</f>
        <v>1.3122160983759421</v>
      </c>
      <c r="AP235" s="1080">
        <f>AM236/AL236</f>
        <v>1.055431810625</v>
      </c>
      <c r="AQ235" s="1151">
        <f>AQ236/AQ55</f>
        <v>0.12257511690031186</v>
      </c>
      <c r="AR235" s="1119">
        <f>AR236/AR55</f>
        <v>0.12207499594616507</v>
      </c>
      <c r="AS235" s="1123">
        <f>AS236/AS55</f>
        <v>0.13408472100556695</v>
      </c>
      <c r="AT235" s="1119">
        <f>AT236/AT55</f>
        <v>0.1454977411564144</v>
      </c>
      <c r="AU235" s="1123">
        <f>AT236/AQ236</f>
        <v>1.4411607256437642</v>
      </c>
      <c r="AV235" s="1119">
        <f>AT236/AR236</f>
        <v>1.2582859517704044</v>
      </c>
      <c r="AW235" s="1080">
        <f>AT236/AS236</f>
        <v>1.1105721215307942</v>
      </c>
      <c r="AX235" s="708"/>
      <c r="AY235" s="709"/>
      <c r="AZ235" s="970"/>
      <c r="BA235" s="983">
        <f>AT235/ AQ235</f>
        <v>1.1870087896774766</v>
      </c>
      <c r="BB235" s="516"/>
      <c r="BC235" s="516"/>
      <c r="BD235" s="516"/>
      <c r="BE235" s="1113">
        <f>BE236/BE55</f>
        <v>0.15356423050582133</v>
      </c>
      <c r="BF235" s="1114">
        <f>BF236/BF55</f>
        <v>0.14727272727272725</v>
      </c>
      <c r="BG235" s="1115">
        <f>BG236/BG55</f>
        <v>0.14429364174822051</v>
      </c>
      <c r="BH235" s="1093">
        <f>BG236/BF236</f>
        <v>0.98338519155555559</v>
      </c>
      <c r="BI235" s="1113">
        <f>BI236/BI55</f>
        <v>0.15356423050582133</v>
      </c>
      <c r="BJ235" s="1114">
        <f>BJ236/BJ55</f>
        <v>0.14911764705882352</v>
      </c>
      <c r="BK235" s="1115">
        <f>BK236/BK55</f>
        <v>0.13051248916107003</v>
      </c>
      <c r="BL235" s="1093">
        <f>BK236/BJ236</f>
        <v>0.79912399230769227</v>
      </c>
      <c r="BM235" s="1113">
        <f>BM236/BM55</f>
        <v>0.15356423050582135</v>
      </c>
      <c r="BN235" s="1114">
        <f>BN236/BN55</f>
        <v>0.13950978260869562</v>
      </c>
      <c r="BO235" s="1115">
        <f>BO236/BO55</f>
        <v>0.152208055860244</v>
      </c>
      <c r="BP235" s="1095">
        <f>BO236/BN236</f>
        <v>0.93556201580066845</v>
      </c>
      <c r="BQ235" s="1113">
        <f>BQ236/BQ55</f>
        <v>0.15356423050582135</v>
      </c>
      <c r="BR235" s="1123"/>
      <c r="BS235" s="1120">
        <f>BS236/BS55</f>
        <v>0.14545472350230412</v>
      </c>
      <c r="BT235" s="1119">
        <f>BT236/BT55</f>
        <v>0.14183173557976619</v>
      </c>
      <c r="BU235" s="1119">
        <f>BT236/BQ236</f>
        <v>0.80635687952700719</v>
      </c>
      <c r="BV235" s="1120"/>
      <c r="BW235" s="1079">
        <f>BT236/BS236</f>
        <v>0.90220599143730884</v>
      </c>
      <c r="BX235" s="1113">
        <f>BX236/BX55</f>
        <v>0.14288741721854303</v>
      </c>
      <c r="BY235" s="1114">
        <f>BY236/BY55</f>
        <v>0.13366956521739129</v>
      </c>
      <c r="BZ235" s="1115">
        <f>BZ236/BZ55</f>
        <v>0.11954197020164907</v>
      </c>
      <c r="CA235" s="1095">
        <f>BZ236/BY236</f>
        <v>1.0181564402810306</v>
      </c>
      <c r="CB235" s="1113">
        <f>CB236/CB55</f>
        <v>0.14288741721854303</v>
      </c>
      <c r="CC235" s="1114">
        <f>CC236/CC55</f>
        <v>0.14256784741144413</v>
      </c>
      <c r="CD235" s="1278">
        <f>CD236/CD55</f>
        <v>0.13129007633587786</v>
      </c>
      <c r="CE235" s="1095">
        <f>CD236/CC236</f>
        <v>0.65742397137745978</v>
      </c>
      <c r="CF235" s="1113">
        <f>CF236/CF55</f>
        <v>0.14288741721854303</v>
      </c>
      <c r="CG235" s="1114">
        <f>CG236/CG55</f>
        <v>0.13989314079422382</v>
      </c>
      <c r="CH235" s="1278">
        <f>CH236/CH55</f>
        <v>0.13753723404255319</v>
      </c>
      <c r="CI235" s="1095">
        <f>CH236/CG236</f>
        <v>0.66727053140096615</v>
      </c>
      <c r="CJ235" s="1113">
        <f>CJ236/CJ55</f>
        <v>0.14288741721854303</v>
      </c>
      <c r="CK235" s="1123"/>
      <c r="CL235" s="1120">
        <f>CL236/CL55</f>
        <v>0.13896076352067868</v>
      </c>
      <c r="CM235" s="1119">
        <f>CM236/CM55</f>
        <v>0.12771638870482435</v>
      </c>
      <c r="CN235" s="1123">
        <f>CM236/CJ236</f>
        <v>0.72538150399668877</v>
      </c>
      <c r="CO235" s="1123"/>
      <c r="CP235" s="1080">
        <f>CM236/CL236</f>
        <v>0.77035914285714291</v>
      </c>
      <c r="CQ235" s="1151">
        <f>CQ236/CQ55</f>
        <v>0.14807343809403117</v>
      </c>
      <c r="CR235" s="1123"/>
      <c r="CS235" s="1123">
        <f>CS236/CS55</f>
        <v>0.14207327443401435</v>
      </c>
      <c r="CT235" s="1119">
        <f>CT236/CT55</f>
        <v>0.13483036499732409</v>
      </c>
      <c r="CU235" s="1123">
        <f>CT236/CQ236</f>
        <v>0.76617195347929623</v>
      </c>
      <c r="CV235" s="1123"/>
      <c r="CW235" s="1080">
        <f>CT236/CS236</f>
        <v>0.83505648918193809</v>
      </c>
      <c r="CX235" s="708"/>
      <c r="CY235" s="709"/>
      <c r="CZ235" s="1391">
        <f>CT235/ CQ235</f>
        <v>0.91056415473856067</v>
      </c>
      <c r="DA235" s="555"/>
      <c r="DB235" s="555"/>
      <c r="DC235" s="516"/>
      <c r="DD235" s="516"/>
    </row>
    <row r="236" spans="1:108">
      <c r="A236" s="647" t="s">
        <v>396</v>
      </c>
      <c r="B236" s="661"/>
      <c r="C236" s="997"/>
      <c r="D236" s="995"/>
      <c r="E236" s="822">
        <f>E230+E232+E234</f>
        <v>9898</v>
      </c>
      <c r="F236" s="887">
        <f>F230+F232+F234</f>
        <v>8750</v>
      </c>
      <c r="G236" s="824">
        <f>G230+G232+G234</f>
        <v>16384</v>
      </c>
      <c r="H236" s="825">
        <f>G236-F236</f>
        <v>7634</v>
      </c>
      <c r="I236" s="822">
        <f>I230+I232+I234</f>
        <v>9898</v>
      </c>
      <c r="J236" s="887">
        <f>J230+J232+J234</f>
        <v>10500</v>
      </c>
      <c r="K236" s="824">
        <f>K230+K232+K234</f>
        <v>13733</v>
      </c>
      <c r="L236" s="825">
        <f>K236-J236</f>
        <v>3233</v>
      </c>
      <c r="M236" s="822">
        <f>M230+M232+M234</f>
        <v>9898</v>
      </c>
      <c r="N236" s="887">
        <f>N230+N232+N234</f>
        <v>12600</v>
      </c>
      <c r="O236" s="824">
        <v>16379.56457</v>
      </c>
      <c r="P236" s="825">
        <f>O236-N236</f>
        <v>3779.5645700000005</v>
      </c>
      <c r="Q236" s="827">
        <f>Q232+Q230+Q234</f>
        <v>29694</v>
      </c>
      <c r="R236" s="828">
        <f>R230+R232+R234</f>
        <v>38607</v>
      </c>
      <c r="S236" s="739">
        <f>G236+J236+N236</f>
        <v>39484</v>
      </c>
      <c r="T236" s="520">
        <f>G236+K236+O236</f>
        <v>46496.564570000002</v>
      </c>
      <c r="U236" s="712">
        <f>T236-Q236</f>
        <v>16802.564570000002</v>
      </c>
      <c r="V236" s="711">
        <f t="shared" si="320"/>
        <v>7889.5645700000023</v>
      </c>
      <c r="W236" s="716">
        <f>T236-S236</f>
        <v>7012.5645700000023</v>
      </c>
      <c r="X236" s="822">
        <f t="shared" ref="X236:AF236" si="338">X230+X232+X234</f>
        <v>12574</v>
      </c>
      <c r="Y236" s="887">
        <f>Y230+Y232+Y234</f>
        <v>14500</v>
      </c>
      <c r="Z236" s="824">
        <f>Z230+Z232+Z234</f>
        <v>14781</v>
      </c>
      <c r="AA236" s="825">
        <f t="shared" si="338"/>
        <v>281</v>
      </c>
      <c r="AB236" s="822">
        <f t="shared" si="338"/>
        <v>12574</v>
      </c>
      <c r="AC236" s="887">
        <f t="shared" si="338"/>
        <v>15000</v>
      </c>
      <c r="AD236" s="824">
        <f t="shared" si="338"/>
        <v>17290.61868</v>
      </c>
      <c r="AE236" s="825">
        <f t="shared" si="338"/>
        <v>2290.6186799999996</v>
      </c>
      <c r="AF236" s="822">
        <f t="shared" si="338"/>
        <v>12574</v>
      </c>
      <c r="AG236" s="887">
        <f>AG230+AG232+AG234</f>
        <v>18500</v>
      </c>
      <c r="AH236" s="824">
        <f>AH230+AH232+AH234</f>
        <v>18589.108230000002</v>
      </c>
      <c r="AI236" s="825">
        <f>AI230+AI232+AI234</f>
        <v>89.108230000000731</v>
      </c>
      <c r="AJ236" s="827">
        <f>AJ232+AJ230+AJ234</f>
        <v>37722</v>
      </c>
      <c r="AK236" s="828">
        <f>AK230+AK232+AK234</f>
        <v>38607</v>
      </c>
      <c r="AL236" s="711">
        <f>Y236+AC236+AG236</f>
        <v>48000</v>
      </c>
      <c r="AM236" s="520">
        <f>Z236+AD236+AH236</f>
        <v>50660.726909999998</v>
      </c>
      <c r="AN236" s="739">
        <f>AM236-AJ236</f>
        <v>12938.726909999998</v>
      </c>
      <c r="AO236" s="711">
        <f t="shared" si="321"/>
        <v>12053.726909999998</v>
      </c>
      <c r="AP236" s="716">
        <f>AM236-AL236</f>
        <v>2660.7269099999976</v>
      </c>
      <c r="AQ236" s="713">
        <f>AQ232+AQ230+AQ234</f>
        <v>67416</v>
      </c>
      <c r="AR236" s="715">
        <f>AR230+AR232+AR234</f>
        <v>77214</v>
      </c>
      <c r="AS236" s="608">
        <f>S236+AL236</f>
        <v>87484</v>
      </c>
      <c r="AT236" s="520">
        <f>AT230+AT232+AT234</f>
        <v>97157.29148</v>
      </c>
      <c r="AU236" s="517">
        <f>AT236-AQ236</f>
        <v>29741.29148</v>
      </c>
      <c r="AV236" s="711">
        <f t="shared" si="322"/>
        <v>19943.29148</v>
      </c>
      <c r="AW236" s="716">
        <f>AT236-AS236</f>
        <v>9673.2914799999999</v>
      </c>
      <c r="AX236" s="708">
        <f>AQ236/6</f>
        <v>11236</v>
      </c>
      <c r="AY236" s="709">
        <f>AR236/6</f>
        <v>12869</v>
      </c>
      <c r="AZ236" s="709">
        <f>AT236/6</f>
        <v>16192.881913333333</v>
      </c>
      <c r="BA236" s="829">
        <f>AZ236/AX236</f>
        <v>1.441160725643764</v>
      </c>
      <c r="BB236" s="516">
        <f>AZ236-AX236</f>
        <v>4956.8819133333327</v>
      </c>
      <c r="BC236" s="516">
        <f>AZ236-AY236</f>
        <v>3323.8819133333327</v>
      </c>
      <c r="BD236" s="516">
        <f>AW236/6</f>
        <v>1612.2152466666666</v>
      </c>
      <c r="BE236" s="822">
        <f>BE230+BE232+BE234</f>
        <v>20122.820512820512</v>
      </c>
      <c r="BF236" s="887">
        <f>BF230+BF232+BF234</f>
        <v>18000</v>
      </c>
      <c r="BG236" s="824">
        <f>BG230+BG232+BG234</f>
        <v>17700.933448</v>
      </c>
      <c r="BH236" s="586">
        <f>BG236-BF236</f>
        <v>-299.06655200000023</v>
      </c>
      <c r="BI236" s="822">
        <f>BI230+BI232+BI234</f>
        <v>20122.820512820512</v>
      </c>
      <c r="BJ236" s="887">
        <f>BJ230+BJ232+BJ234</f>
        <v>19500</v>
      </c>
      <c r="BK236" s="824">
        <f>BK230+BK232+BK234</f>
        <v>15582.91785</v>
      </c>
      <c r="BL236" s="825">
        <f>BK236-BJ236</f>
        <v>-3917.0821500000002</v>
      </c>
      <c r="BM236" s="822">
        <f>BM230+BM232+BM234</f>
        <v>20122.820512820512</v>
      </c>
      <c r="BN236" s="887">
        <f>BN230+BN232+BN234</f>
        <v>16455</v>
      </c>
      <c r="BO236" s="824">
        <f>BO230+BO232+BO234</f>
        <v>15394.67297</v>
      </c>
      <c r="BP236" s="586">
        <f>BO236-BN236</f>
        <v>-1060.3270300000004</v>
      </c>
      <c r="BQ236" s="827">
        <f>BQ232+BQ230+BQ234</f>
        <v>60368.461538461539</v>
      </c>
      <c r="BR236" s="714"/>
      <c r="BS236" s="711">
        <f>BF236+BJ236+BN236</f>
        <v>53955</v>
      </c>
      <c r="BT236" s="520">
        <f>BG236+BK236+BO236</f>
        <v>48678.524268000001</v>
      </c>
      <c r="BU236" s="712">
        <f>BT236-BQ236</f>
        <v>-11689.937270461538</v>
      </c>
      <c r="BV236" s="711"/>
      <c r="BW236" s="716">
        <f>BT236-BS236</f>
        <v>-5276.475731999999</v>
      </c>
      <c r="BX236" s="822">
        <f t="shared" ref="BX236:CF236" si="339">BX230+BX232+BX234</f>
        <v>19824.102564102563</v>
      </c>
      <c r="BY236" s="887">
        <f t="shared" si="339"/>
        <v>17080</v>
      </c>
      <c r="BZ236" s="824">
        <f t="shared" si="339"/>
        <v>17390.112000000001</v>
      </c>
      <c r="CA236" s="825">
        <f t="shared" si="339"/>
        <v>310.11199999999917</v>
      </c>
      <c r="CB236" s="822">
        <f t="shared" si="339"/>
        <v>19824.102564102563</v>
      </c>
      <c r="CC236" s="887">
        <f t="shared" si="339"/>
        <v>22360</v>
      </c>
      <c r="CD236" s="826">
        <f t="shared" si="339"/>
        <v>14700</v>
      </c>
      <c r="CE236" s="825">
        <f t="shared" si="339"/>
        <v>-7660</v>
      </c>
      <c r="CF236" s="822">
        <f t="shared" si="339"/>
        <v>19824.102564102563</v>
      </c>
      <c r="CG236" s="887">
        <f>CG230+CG232+CG234</f>
        <v>16560</v>
      </c>
      <c r="CH236" s="826">
        <f>CH230+CH232+CH234</f>
        <v>11050</v>
      </c>
      <c r="CI236" s="825">
        <f>CI230+CI232+CI234</f>
        <v>-5510</v>
      </c>
      <c r="CJ236" s="827">
        <f>CJ232+CJ230+CJ234</f>
        <v>59472.307692307695</v>
      </c>
      <c r="CK236" s="714"/>
      <c r="CL236" s="711">
        <f>BY236+CC236+CG236</f>
        <v>56000</v>
      </c>
      <c r="CM236" s="520">
        <f>BZ236+CD236+CH236</f>
        <v>43140.112000000001</v>
      </c>
      <c r="CN236" s="739">
        <f>CM236-CJ236</f>
        <v>-16332.195692307694</v>
      </c>
      <c r="CO236" s="739"/>
      <c r="CP236" s="716">
        <f>CM236-CL236</f>
        <v>-12859.887999999999</v>
      </c>
      <c r="CQ236" s="713">
        <f>CQ232+CQ230+CQ234</f>
        <v>119840.76923076923</v>
      </c>
      <c r="CR236" s="1340"/>
      <c r="CS236" s="608">
        <f>BS236+CL236</f>
        <v>109955</v>
      </c>
      <c r="CT236" s="520">
        <f>CT230+CT232+CT234</f>
        <v>91818.636268000002</v>
      </c>
      <c r="CU236" s="517">
        <f>CT236-CQ236</f>
        <v>-28022.132962769232</v>
      </c>
      <c r="CV236" s="517"/>
      <c r="CW236" s="716">
        <f>CT236-CS236</f>
        <v>-18136.363731999998</v>
      </c>
      <c r="CX236" s="708">
        <f t="shared" si="333"/>
        <v>19973.461538461539</v>
      </c>
      <c r="CY236" s="709">
        <f>CT236/6</f>
        <v>15303.106044666667</v>
      </c>
      <c r="CZ236" s="829">
        <f>CY236/CX236</f>
        <v>0.76617195347929623</v>
      </c>
      <c r="DA236" s="555">
        <f>CY236-CX236</f>
        <v>-4670.355493794872</v>
      </c>
      <c r="DB236" s="555">
        <f>CW236/6</f>
        <v>-3022.7272886666665</v>
      </c>
      <c r="DC236" s="516"/>
      <c r="DD236" s="516"/>
    </row>
    <row r="237" spans="1:108">
      <c r="A237" s="1012"/>
      <c r="B237" s="662"/>
      <c r="C237" s="1021" t="s">
        <v>166</v>
      </c>
      <c r="D237" s="1024"/>
      <c r="E237" s="949">
        <f>E238/E56</f>
        <v>0.20347826086956522</v>
      </c>
      <c r="F237" s="959" t="e">
        <f>F238/F56</f>
        <v>#DIV/0!</v>
      </c>
      <c r="G237" s="960" t="e">
        <f>G238/G56</f>
        <v>#DIV/0!</v>
      </c>
      <c r="H237" s="894"/>
      <c r="I237" s="1128">
        <f>I238/I56</f>
        <v>0.20347826086956522</v>
      </c>
      <c r="J237" s="1126" t="e">
        <f>J238/J56</f>
        <v>#DIV/0!</v>
      </c>
      <c r="K237" s="1127" t="e">
        <f>K238/K56</f>
        <v>#DIV/0!</v>
      </c>
      <c r="L237" s="1099"/>
      <c r="M237" s="1128">
        <f>M238/M56</f>
        <v>0.20347826086956522</v>
      </c>
      <c r="N237" s="1126" t="e">
        <f>N238/N56</f>
        <v>#DIV/0!</v>
      </c>
      <c r="O237" s="1127" t="e">
        <f>O238/O56</f>
        <v>#DIV/0!</v>
      </c>
      <c r="P237" s="1099"/>
      <c r="Q237" s="1152">
        <f>Q238/Q56</f>
        <v>0.20347826086956519</v>
      </c>
      <c r="R237" s="1153">
        <f>R238/R56</f>
        <v>0.20347826086956519</v>
      </c>
      <c r="S237" s="1154" t="e">
        <f>S238/S56</f>
        <v>#DIV/0!</v>
      </c>
      <c r="T237" s="1134" t="e">
        <f>T238/T56</f>
        <v>#DIV/0!</v>
      </c>
      <c r="U237" s="1147"/>
      <c r="V237" s="1112"/>
      <c r="W237" s="1085"/>
      <c r="X237" s="1128">
        <f>X238/X56</f>
        <v>6.5783132530120483E-2</v>
      </c>
      <c r="Y237" s="1126" t="e">
        <f>Y238/Y56</f>
        <v>#DIV/0!</v>
      </c>
      <c r="Z237" s="1127" t="e">
        <f>Z238/Z56</f>
        <v>#DIV/0!</v>
      </c>
      <c r="AA237" s="1099" t="e">
        <f>Z238/Y238</f>
        <v>#DIV/0!</v>
      </c>
      <c r="AB237" s="1128">
        <f>AB238/AB56</f>
        <v>6.5783132530120483E-2</v>
      </c>
      <c r="AC237" s="1126" t="e">
        <f>AC238/AC56</f>
        <v>#DIV/0!</v>
      </c>
      <c r="AD237" s="1127" t="e">
        <f>AD238/AD56</f>
        <v>#DIV/0!</v>
      </c>
      <c r="AE237" s="1098" t="e">
        <f>AD238/AC238</f>
        <v>#DIV/0!</v>
      </c>
      <c r="AF237" s="1128">
        <f>AF238/AF56</f>
        <v>6.5783132530120483E-2</v>
      </c>
      <c r="AG237" s="1126" t="e">
        <f>AG238/AG56</f>
        <v>#DIV/0!</v>
      </c>
      <c r="AH237" s="1127" t="e">
        <f>AH238/AH56</f>
        <v>#DIV/0!</v>
      </c>
      <c r="AI237" s="1098" t="e">
        <f>AH238/AG238</f>
        <v>#DIV/0!</v>
      </c>
      <c r="AJ237" s="1155">
        <f>AJ238/AJ56</f>
        <v>6.5783132530120483E-2</v>
      </c>
      <c r="AK237" s="1153">
        <v>6.5783132530120483E-2</v>
      </c>
      <c r="AL237" s="1154" t="e">
        <f>AL238/AL56</f>
        <v>#DIV/0!</v>
      </c>
      <c r="AM237" s="1094" t="e">
        <f>AM238/AM56</f>
        <v>#DIV/0!</v>
      </c>
      <c r="AN237" s="1144"/>
      <c r="AO237" s="1112"/>
      <c r="AP237" s="1085" t="e">
        <f>AM238/AL238</f>
        <v>#DIV/0!</v>
      </c>
      <c r="AQ237" s="1155">
        <f>AQ238/AQ56</f>
        <v>9.5660377358490548E-2</v>
      </c>
      <c r="AR237" s="1156">
        <v>9.5660377358490548E-2</v>
      </c>
      <c r="AS237" s="1130" t="e">
        <f>AS238/AS56</f>
        <v>#DIV/0!</v>
      </c>
      <c r="AT237" s="1134" t="e">
        <f>AT238/AT56</f>
        <v>#DIV/0!</v>
      </c>
      <c r="AU237" s="1112"/>
      <c r="AV237" s="1112"/>
      <c r="AW237" s="1085"/>
      <c r="AX237" s="722"/>
      <c r="AY237" s="723"/>
      <c r="AZ237" s="723"/>
      <c r="BA237" s="556"/>
      <c r="BB237" s="556"/>
      <c r="BC237" s="556"/>
      <c r="BD237" s="556"/>
      <c r="BE237" s="1128" t="e">
        <f>BE238/BE56</f>
        <v>#DIV/0!</v>
      </c>
      <c r="BF237" s="1126" t="e">
        <f>BF238/BF56</f>
        <v>#DIV/0!</v>
      </c>
      <c r="BG237" s="1127" t="e">
        <f>BG238/BG56</f>
        <v>#DIV/0!</v>
      </c>
      <c r="BH237" s="1273"/>
      <c r="BI237" s="1128" t="e">
        <f>BI238/BI56</f>
        <v>#DIV/0!</v>
      </c>
      <c r="BJ237" s="1126" t="e">
        <f>BJ238/BJ56</f>
        <v>#DIV/0!</v>
      </c>
      <c r="BK237" s="1127" t="e">
        <f>BK238/BK56</f>
        <v>#DIV/0!</v>
      </c>
      <c r="BL237" s="1099"/>
      <c r="BM237" s="1128" t="e">
        <f>BM238/BM56</f>
        <v>#DIV/0!</v>
      </c>
      <c r="BN237" s="1126" t="e">
        <f>BN238/BN56</f>
        <v>#DIV/0!</v>
      </c>
      <c r="BO237" s="1127" t="e">
        <f>BO238/BO56</f>
        <v>#DIV/0!</v>
      </c>
      <c r="BP237" s="1282"/>
      <c r="BQ237" s="1155" t="e">
        <f>BQ238/BQ56</f>
        <v>#DIV/0!</v>
      </c>
      <c r="BR237" s="1154"/>
      <c r="BS237" s="1154" t="e">
        <f>BS238/BS56</f>
        <v>#DIV/0!</v>
      </c>
      <c r="BT237" s="1134" t="e">
        <f>BT238/BT56</f>
        <v>#DIV/0!</v>
      </c>
      <c r="BU237" s="1147"/>
      <c r="BV237" s="1112"/>
      <c r="BW237" s="1085"/>
      <c r="BX237" s="1128" t="e">
        <f>BX238/BX56</f>
        <v>#DIV/0!</v>
      </c>
      <c r="BY237" s="1126" t="e">
        <f>BY238/BY56</f>
        <v>#DIV/0!</v>
      </c>
      <c r="BZ237" s="1127" t="e">
        <f>BZ238/BZ56</f>
        <v>#DIV/0!</v>
      </c>
      <c r="CA237" s="1098" t="e">
        <f>BZ238/BY238</f>
        <v>#DIV/0!</v>
      </c>
      <c r="CB237" s="1128" t="e">
        <f>CB238/CB56</f>
        <v>#DIV/0!</v>
      </c>
      <c r="CC237" s="1126" t="e">
        <f>CC238/CC56</f>
        <v>#DIV/0!</v>
      </c>
      <c r="CD237" s="1279" t="e">
        <f>CD238/CD56</f>
        <v>#DIV/0!</v>
      </c>
      <c r="CE237" s="1098" t="e">
        <f>CD238/CC238</f>
        <v>#DIV/0!</v>
      </c>
      <c r="CF237" s="1128" t="e">
        <f>CF238/CF56</f>
        <v>#DIV/0!</v>
      </c>
      <c r="CG237" s="1126" t="e">
        <f>CG238/CG56</f>
        <v>#DIV/0!</v>
      </c>
      <c r="CH237" s="1279" t="e">
        <f>CH238/CH56</f>
        <v>#DIV/0!</v>
      </c>
      <c r="CI237" s="1098" t="e">
        <f>CH238/CG238</f>
        <v>#DIV/0!</v>
      </c>
      <c r="CJ237" s="1155" t="e">
        <f>CJ238/CJ56</f>
        <v>#DIV/0!</v>
      </c>
      <c r="CK237" s="1154"/>
      <c r="CL237" s="1154" t="e">
        <f>CL238/CL56</f>
        <v>#DIV/0!</v>
      </c>
      <c r="CM237" s="1094" t="e">
        <f>CM238/CM56</f>
        <v>#DIV/0!</v>
      </c>
      <c r="CN237" s="1144"/>
      <c r="CO237" s="1144"/>
      <c r="CP237" s="1085" t="e">
        <f>CM238/CL238</f>
        <v>#DIV/0!</v>
      </c>
      <c r="CQ237" s="1155" t="e">
        <f>CQ238/CQ56</f>
        <v>#DIV/0!</v>
      </c>
      <c r="CR237" s="1172"/>
      <c r="CS237" s="1130" t="e">
        <f>CS238/CS56</f>
        <v>#DIV/0!</v>
      </c>
      <c r="CT237" s="1134" t="e">
        <f>CT238/CT56</f>
        <v>#DIV/0!</v>
      </c>
      <c r="CU237" s="1112"/>
      <c r="CV237" s="1112"/>
      <c r="CW237" s="1085" t="e">
        <f>CT238/CS238</f>
        <v>#DIV/0!</v>
      </c>
      <c r="CX237" s="722" t="e">
        <f t="shared" si="333"/>
        <v>#DIV/0!</v>
      </c>
      <c r="CY237" s="723"/>
      <c r="CZ237" s="556"/>
      <c r="DA237" s="556"/>
      <c r="DB237" s="556"/>
      <c r="DC237" s="556"/>
      <c r="DD237" s="556"/>
    </row>
    <row r="238" spans="1:108">
      <c r="A238" s="1012"/>
      <c r="B238" s="662"/>
      <c r="C238" s="1023" t="s">
        <v>397</v>
      </c>
      <c r="D238" s="1000"/>
      <c r="E238" s="767">
        <v>84</v>
      </c>
      <c r="F238" s="865">
        <v>0</v>
      </c>
      <c r="G238" s="866"/>
      <c r="H238" s="867">
        <f>G238-F238</f>
        <v>0</v>
      </c>
      <c r="I238" s="767">
        <v>84</v>
      </c>
      <c r="J238" s="865"/>
      <c r="K238" s="866"/>
      <c r="L238" s="867">
        <f>K238-J238</f>
        <v>0</v>
      </c>
      <c r="M238" s="767">
        <v>84</v>
      </c>
      <c r="N238" s="865"/>
      <c r="O238" s="866"/>
      <c r="P238" s="867">
        <f>O238-N238</f>
        <v>0</v>
      </c>
      <c r="Q238" s="869">
        <f>E238+I238+M238</f>
        <v>252</v>
      </c>
      <c r="R238" s="870">
        <v>252</v>
      </c>
      <c r="S238" s="952">
        <f>G238+J238+N238</f>
        <v>0</v>
      </c>
      <c r="T238" s="526">
        <f>G238+K238+O238</f>
        <v>0</v>
      </c>
      <c r="U238" s="699">
        <f>T238-Q238</f>
        <v>-252</v>
      </c>
      <c r="V238" s="717">
        <f t="shared" si="320"/>
        <v>-252</v>
      </c>
      <c r="W238" s="688">
        <f>T238-S238</f>
        <v>0</v>
      </c>
      <c r="X238" s="767">
        <v>98</v>
      </c>
      <c r="Y238" s="865"/>
      <c r="Z238" s="866"/>
      <c r="AA238" s="867">
        <f>Z238-Y238</f>
        <v>0</v>
      </c>
      <c r="AB238" s="767">
        <v>98</v>
      </c>
      <c r="AC238" s="865"/>
      <c r="AD238" s="866"/>
      <c r="AE238" s="825">
        <f>AD238-AC238</f>
        <v>0</v>
      </c>
      <c r="AF238" s="767">
        <v>98</v>
      </c>
      <c r="AG238" s="865"/>
      <c r="AH238" s="866"/>
      <c r="AI238" s="825">
        <f>AH238-AG238</f>
        <v>0</v>
      </c>
      <c r="AJ238" s="718">
        <f>X238+AB238+AF238</f>
        <v>294</v>
      </c>
      <c r="AK238" s="870">
        <v>294</v>
      </c>
      <c r="AL238" s="719">
        <f>Y238+AC238+AG238</f>
        <v>0</v>
      </c>
      <c r="AM238" s="520">
        <f>Z238+AD238+AH238</f>
        <v>0</v>
      </c>
      <c r="AN238" s="721">
        <f>AM238-AJ238</f>
        <v>-294</v>
      </c>
      <c r="AO238" s="717">
        <f t="shared" si="321"/>
        <v>-294</v>
      </c>
      <c r="AP238" s="688">
        <f>AM238-AL238</f>
        <v>0</v>
      </c>
      <c r="AQ238" s="718">
        <f>SUM(Q238,AJ238)</f>
        <v>546</v>
      </c>
      <c r="AR238" s="720">
        <v>546</v>
      </c>
      <c r="AS238" s="613">
        <f>S238+AL238</f>
        <v>0</v>
      </c>
      <c r="AT238" s="720">
        <f>SUM(T238,AM238)</f>
        <v>0</v>
      </c>
      <c r="AU238" s="717">
        <f>AT238-AQ238</f>
        <v>-546</v>
      </c>
      <c r="AV238" s="717">
        <f t="shared" si="322"/>
        <v>-546</v>
      </c>
      <c r="AW238" s="688">
        <f>AT238-AS238</f>
        <v>0</v>
      </c>
      <c r="AX238" s="722"/>
      <c r="AY238" s="723"/>
      <c r="AZ238" s="723"/>
      <c r="BA238" s="556"/>
      <c r="BB238" s="556"/>
      <c r="BC238" s="556"/>
      <c r="BD238" s="556"/>
      <c r="BE238" s="767"/>
      <c r="BF238" s="865"/>
      <c r="BG238" s="866"/>
      <c r="BH238" s="867">
        <f>BG238-BF238</f>
        <v>0</v>
      </c>
      <c r="BI238" s="767"/>
      <c r="BJ238" s="865"/>
      <c r="BK238" s="866"/>
      <c r="BL238" s="867">
        <f>BK238-BJ238</f>
        <v>0</v>
      </c>
      <c r="BM238" s="767"/>
      <c r="BN238" s="865"/>
      <c r="BO238" s="866"/>
      <c r="BP238" s="825">
        <f>BO238-BN238</f>
        <v>0</v>
      </c>
      <c r="BQ238" s="718">
        <f>BE238+BI238+BM238</f>
        <v>0</v>
      </c>
      <c r="BR238" s="937"/>
      <c r="BS238" s="699">
        <f>BF238+BJ238+BN238</f>
        <v>0</v>
      </c>
      <c r="BT238" s="526">
        <f>BG238+BK238+BO238</f>
        <v>0</v>
      </c>
      <c r="BU238" s="699">
        <f>BT238-BQ238</f>
        <v>0</v>
      </c>
      <c r="BV238" s="717"/>
      <c r="BW238" s="688">
        <f>BT238-BS238</f>
        <v>0</v>
      </c>
      <c r="BX238" s="767"/>
      <c r="BY238" s="865"/>
      <c r="BZ238" s="866"/>
      <c r="CA238" s="825">
        <f>BZ238-BY238</f>
        <v>0</v>
      </c>
      <c r="CB238" s="767"/>
      <c r="CC238" s="865"/>
      <c r="CD238" s="868"/>
      <c r="CE238" s="825">
        <f>CD238-CC238</f>
        <v>0</v>
      </c>
      <c r="CF238" s="767"/>
      <c r="CG238" s="865"/>
      <c r="CH238" s="868"/>
      <c r="CI238" s="825">
        <f>CH238-CG238</f>
        <v>0</v>
      </c>
      <c r="CJ238" s="718">
        <f>BX238+CB238+CF238</f>
        <v>0</v>
      </c>
      <c r="CK238" s="719"/>
      <c r="CL238" s="719">
        <f>BY238+CC238+CG238</f>
        <v>0</v>
      </c>
      <c r="CM238" s="520">
        <f>BZ238+CD238+CH238</f>
        <v>0</v>
      </c>
      <c r="CN238" s="721">
        <f>CM238-CJ238</f>
        <v>0</v>
      </c>
      <c r="CO238" s="721"/>
      <c r="CP238" s="688">
        <f>CM238-CL238</f>
        <v>0</v>
      </c>
      <c r="CQ238" s="718">
        <f>SUM(BQ238,CJ238)</f>
        <v>0</v>
      </c>
      <c r="CR238" s="937"/>
      <c r="CS238" s="613">
        <f>BS238+CL238</f>
        <v>0</v>
      </c>
      <c r="CT238" s="720">
        <f>SUM(BT238,CM238)</f>
        <v>0</v>
      </c>
      <c r="CU238" s="717">
        <f>CT238-CQ238</f>
        <v>0</v>
      </c>
      <c r="CV238" s="717"/>
      <c r="CW238" s="688">
        <f>CT238-CS238</f>
        <v>0</v>
      </c>
      <c r="CX238" s="722">
        <f t="shared" si="333"/>
        <v>0</v>
      </c>
      <c r="CY238" s="723"/>
      <c r="CZ238" s="556"/>
      <c r="DA238" s="556"/>
      <c r="DB238" s="556"/>
      <c r="DC238" s="556"/>
      <c r="DD238" s="556"/>
    </row>
    <row r="239" spans="1:108">
      <c r="A239" s="1012"/>
      <c r="B239" s="662"/>
      <c r="C239" s="998" t="s">
        <v>166</v>
      </c>
      <c r="D239" s="1024"/>
      <c r="E239" s="949">
        <f>E240/E57</f>
        <v>7.2192513368983954E-2</v>
      </c>
      <c r="F239" s="959">
        <f>F240/F57</f>
        <v>0.32350230414746545</v>
      </c>
      <c r="G239" s="960" t="e">
        <f>G240/G57</f>
        <v>#DIV/0!</v>
      </c>
      <c r="H239" s="894"/>
      <c r="I239" s="1128">
        <f>I240/I57</f>
        <v>7.2192513368983954E-2</v>
      </c>
      <c r="J239" s="1126" t="e">
        <f>J240/J57</f>
        <v>#DIV/0!</v>
      </c>
      <c r="K239" s="1127" t="e">
        <f>K240/K57</f>
        <v>#DIV/0!</v>
      </c>
      <c r="L239" s="1099"/>
      <c r="M239" s="1128">
        <f>M240/M57</f>
        <v>7.2192513368983954E-2</v>
      </c>
      <c r="N239" s="1126" t="e">
        <f>N240/N57</f>
        <v>#DIV/0!</v>
      </c>
      <c r="O239" s="1127" t="e">
        <f>O240/O57</f>
        <v>#DIV/0!</v>
      </c>
      <c r="P239" s="1099"/>
      <c r="Q239" s="1152">
        <f>Q240/Q57</f>
        <v>7.2192513368983954E-2</v>
      </c>
      <c r="R239" s="1153">
        <f>R240/R57</f>
        <v>7.2192513368983954E-2</v>
      </c>
      <c r="S239" s="1154" t="e">
        <f>S240/S57</f>
        <v>#DIV/0!</v>
      </c>
      <c r="T239" s="1134" t="e">
        <f>T240/T57</f>
        <v>#DIV/0!</v>
      </c>
      <c r="U239" s="1147"/>
      <c r="V239" s="1112"/>
      <c r="W239" s="1085"/>
      <c r="X239" s="1128" t="e">
        <f>X240/X57</f>
        <v>#DIV/0!</v>
      </c>
      <c r="Y239" s="1126" t="e">
        <f>Y240/Y57</f>
        <v>#DIV/0!</v>
      </c>
      <c r="Z239" s="1127" t="e">
        <f>Z240/Z57</f>
        <v>#DIV/0!</v>
      </c>
      <c r="AA239" s="1099" t="e">
        <f>Z240/Y240</f>
        <v>#DIV/0!</v>
      </c>
      <c r="AB239" s="1128" t="e">
        <f>AB240/AB57</f>
        <v>#DIV/0!</v>
      </c>
      <c r="AC239" s="1126" t="e">
        <f>AC240/AC57</f>
        <v>#DIV/0!</v>
      </c>
      <c r="AD239" s="1127" t="e">
        <f>AD240/AD57</f>
        <v>#DIV/0!</v>
      </c>
      <c r="AE239" s="1098" t="e">
        <f>AD240/AC240</f>
        <v>#DIV/0!</v>
      </c>
      <c r="AF239" s="1128" t="e">
        <f>AF240/AF57</f>
        <v>#DIV/0!</v>
      </c>
      <c r="AG239" s="1126" t="e">
        <f>AG240/AG57</f>
        <v>#DIV/0!</v>
      </c>
      <c r="AH239" s="1127" t="e">
        <f>AH240/AH57</f>
        <v>#DIV/0!</v>
      </c>
      <c r="AI239" s="1098" t="e">
        <f>AH240/AG240</f>
        <v>#DIV/0!</v>
      </c>
      <c r="AJ239" s="1155" t="e">
        <f>AJ240/AJ57</f>
        <v>#DIV/0!</v>
      </c>
      <c r="AK239" s="1153" t="e">
        <v>#DIV/0!</v>
      </c>
      <c r="AL239" s="1154" t="e">
        <f>AL240/AL57</f>
        <v>#DIV/0!</v>
      </c>
      <c r="AM239" s="1094" t="e">
        <f>AM240/AM57</f>
        <v>#DIV/0!</v>
      </c>
      <c r="AN239" s="1144"/>
      <c r="AO239" s="1112"/>
      <c r="AP239" s="1085" t="e">
        <f>AM240/AL240</f>
        <v>#DIV/0!</v>
      </c>
      <c r="AQ239" s="1155">
        <f>AQ240/AQ57</f>
        <v>7.2192513368983954E-2</v>
      </c>
      <c r="AR239" s="1156">
        <v>7.2192513368983954E-2</v>
      </c>
      <c r="AS239" s="1130" t="e">
        <f>AS240/AS57</f>
        <v>#DIV/0!</v>
      </c>
      <c r="AT239" s="1134" t="e">
        <f>AT240/AT57</f>
        <v>#DIV/0!</v>
      </c>
      <c r="AU239" s="1112"/>
      <c r="AV239" s="1112"/>
      <c r="AW239" s="1085"/>
      <c r="AX239" s="722"/>
      <c r="AY239" s="723"/>
      <c r="AZ239" s="723"/>
      <c r="BA239" s="556"/>
      <c r="BB239" s="556"/>
      <c r="BC239" s="556"/>
      <c r="BD239" s="556"/>
      <c r="BE239" s="1128" t="e">
        <f>BE240/BE57</f>
        <v>#DIV/0!</v>
      </c>
      <c r="BF239" s="1126" t="e">
        <f>BF240/BF57</f>
        <v>#DIV/0!</v>
      </c>
      <c r="BG239" s="1127" t="e">
        <f>BG240/BG57</f>
        <v>#DIV/0!</v>
      </c>
      <c r="BH239" s="1273"/>
      <c r="BI239" s="1128" t="e">
        <f>BI240/BI57</f>
        <v>#DIV/0!</v>
      </c>
      <c r="BJ239" s="1126" t="e">
        <f>BJ240/BJ57</f>
        <v>#DIV/0!</v>
      </c>
      <c r="BK239" s="1127" t="e">
        <f>BK240/BK57</f>
        <v>#DIV/0!</v>
      </c>
      <c r="BL239" s="1099"/>
      <c r="BM239" s="1128" t="e">
        <f>BM240/BM57</f>
        <v>#DIV/0!</v>
      </c>
      <c r="BN239" s="1126" t="e">
        <f>BN240/BN57</f>
        <v>#DIV/0!</v>
      </c>
      <c r="BO239" s="1127" t="e">
        <f>BO240/BO57</f>
        <v>#DIV/0!</v>
      </c>
      <c r="BP239" s="1282"/>
      <c r="BQ239" s="1155" t="e">
        <f>BQ240/BQ57</f>
        <v>#DIV/0!</v>
      </c>
      <c r="BR239" s="1154"/>
      <c r="BS239" s="1154" t="e">
        <f>BS240/BS57</f>
        <v>#DIV/0!</v>
      </c>
      <c r="BT239" s="1134" t="e">
        <f>BT240/BT57</f>
        <v>#DIV/0!</v>
      </c>
      <c r="BU239" s="1147"/>
      <c r="BV239" s="1112"/>
      <c r="BW239" s="1085"/>
      <c r="BX239" s="1128" t="e">
        <f>BX240/BX57</f>
        <v>#DIV/0!</v>
      </c>
      <c r="BY239" s="1126" t="e">
        <f>BY240/BY57</f>
        <v>#DIV/0!</v>
      </c>
      <c r="BZ239" s="1127" t="e">
        <f>BZ240/BZ57</f>
        <v>#DIV/0!</v>
      </c>
      <c r="CA239" s="1098" t="e">
        <f>BZ240/BY240</f>
        <v>#DIV/0!</v>
      </c>
      <c r="CB239" s="1128" t="e">
        <f>CB240/CB57</f>
        <v>#DIV/0!</v>
      </c>
      <c r="CC239" s="1126" t="e">
        <f>CC240/CC57</f>
        <v>#DIV/0!</v>
      </c>
      <c r="CD239" s="1279" t="e">
        <f>CD240/CD57</f>
        <v>#DIV/0!</v>
      </c>
      <c r="CE239" s="1098" t="e">
        <f>CD240/CC240</f>
        <v>#DIV/0!</v>
      </c>
      <c r="CF239" s="1128" t="e">
        <f>CF240/CF57</f>
        <v>#DIV/0!</v>
      </c>
      <c r="CG239" s="1126" t="e">
        <f>CG240/CG57</f>
        <v>#DIV/0!</v>
      </c>
      <c r="CH239" s="1279" t="e">
        <f>CH240/CH57</f>
        <v>#DIV/0!</v>
      </c>
      <c r="CI239" s="1098" t="e">
        <f>CH240/CG240</f>
        <v>#DIV/0!</v>
      </c>
      <c r="CJ239" s="1155" t="e">
        <f>CJ240/CJ57</f>
        <v>#DIV/0!</v>
      </c>
      <c r="CK239" s="1154"/>
      <c r="CL239" s="1154" t="e">
        <f>CL240/CL57</f>
        <v>#DIV/0!</v>
      </c>
      <c r="CM239" s="1094" t="e">
        <f>CM240/CM57</f>
        <v>#DIV/0!</v>
      </c>
      <c r="CN239" s="1144"/>
      <c r="CO239" s="1144"/>
      <c r="CP239" s="1085" t="e">
        <f>CM240/CL240</f>
        <v>#DIV/0!</v>
      </c>
      <c r="CQ239" s="1155" t="e">
        <f>CQ240/CQ57</f>
        <v>#DIV/0!</v>
      </c>
      <c r="CR239" s="1172"/>
      <c r="CS239" s="1130" t="e">
        <f>CS240/CS57</f>
        <v>#DIV/0!</v>
      </c>
      <c r="CT239" s="1134" t="e">
        <f>CT240/CT57</f>
        <v>#DIV/0!</v>
      </c>
      <c r="CU239" s="1112"/>
      <c r="CV239" s="1112"/>
      <c r="CW239" s="1085" t="e">
        <f>CT240/CS240</f>
        <v>#DIV/0!</v>
      </c>
      <c r="CX239" s="722" t="e">
        <f t="shared" si="333"/>
        <v>#DIV/0!</v>
      </c>
      <c r="CY239" s="723"/>
      <c r="CZ239" s="556"/>
      <c r="DA239" s="556"/>
      <c r="DB239" s="556"/>
      <c r="DC239" s="556"/>
      <c r="DD239" s="556"/>
    </row>
    <row r="240" spans="1:108">
      <c r="A240" s="1012"/>
      <c r="B240" s="662"/>
      <c r="C240" s="1023" t="s">
        <v>398</v>
      </c>
      <c r="D240" s="1024"/>
      <c r="E240" s="695">
        <v>150</v>
      </c>
      <c r="F240" s="800">
        <v>60</v>
      </c>
      <c r="G240" s="801"/>
      <c r="H240" s="889">
        <f>G240-F240</f>
        <v>-60</v>
      </c>
      <c r="I240" s="695">
        <v>150</v>
      </c>
      <c r="J240" s="800"/>
      <c r="K240" s="801"/>
      <c r="L240" s="889">
        <f>K240-J240</f>
        <v>0</v>
      </c>
      <c r="M240" s="695">
        <v>150</v>
      </c>
      <c r="N240" s="800"/>
      <c r="O240" s="801"/>
      <c r="P240" s="889">
        <f>O240-N240</f>
        <v>0</v>
      </c>
      <c r="Q240" s="841">
        <f>E240+I240+M240</f>
        <v>450</v>
      </c>
      <c r="R240" s="842">
        <v>450</v>
      </c>
      <c r="S240" s="952">
        <f>G240+J240+N240</f>
        <v>0</v>
      </c>
      <c r="T240" s="571">
        <f>G240+K240+O240</f>
        <v>0</v>
      </c>
      <c r="U240" s="760">
        <f>T240-Q240</f>
        <v>-450</v>
      </c>
      <c r="V240" s="761">
        <f t="shared" si="320"/>
        <v>-450</v>
      </c>
      <c r="W240" s="762">
        <f>T240-S240</f>
        <v>0</v>
      </c>
      <c r="X240" s="695">
        <v>0</v>
      </c>
      <c r="Y240" s="800"/>
      <c r="Z240" s="801"/>
      <c r="AA240" s="889">
        <f>Z240-Y240</f>
        <v>0</v>
      </c>
      <c r="AB240" s="695">
        <v>0</v>
      </c>
      <c r="AC240" s="800"/>
      <c r="AD240" s="801"/>
      <c r="AE240" s="972">
        <f>AD240-AC240</f>
        <v>0</v>
      </c>
      <c r="AF240" s="695">
        <v>0</v>
      </c>
      <c r="AG240" s="800"/>
      <c r="AH240" s="801"/>
      <c r="AI240" s="972">
        <f>AH240-AG240</f>
        <v>0</v>
      </c>
      <c r="AJ240" s="771">
        <f>X240+AB240+AF240</f>
        <v>0</v>
      </c>
      <c r="AK240" s="842">
        <v>0</v>
      </c>
      <c r="AL240" s="843">
        <f>Y240+AC240+AG240</f>
        <v>0</v>
      </c>
      <c r="AM240" s="532">
        <f>Z240+AD240+AH240</f>
        <v>0</v>
      </c>
      <c r="AN240" s="696">
        <f>AM240-AJ240</f>
        <v>0</v>
      </c>
      <c r="AO240" s="699">
        <f t="shared" si="321"/>
        <v>0</v>
      </c>
      <c r="AP240" s="762">
        <f>AM240-AL240</f>
        <v>0</v>
      </c>
      <c r="AQ240" s="771">
        <f>SUM(Q240,AJ240)</f>
        <v>450</v>
      </c>
      <c r="AR240" s="772">
        <v>450</v>
      </c>
      <c r="AS240" s="595">
        <f>S240+AL240</f>
        <v>0</v>
      </c>
      <c r="AT240" s="772">
        <f>SUM(T240,AM240)</f>
        <v>0</v>
      </c>
      <c r="AU240" s="761">
        <f>AT240-AQ240</f>
        <v>-450</v>
      </c>
      <c r="AV240" s="761">
        <f t="shared" si="322"/>
        <v>-450</v>
      </c>
      <c r="AW240" s="762">
        <f>AT240-AS240</f>
        <v>0</v>
      </c>
      <c r="AX240" s="722"/>
      <c r="AY240" s="723"/>
      <c r="AZ240" s="723"/>
      <c r="BA240" s="556"/>
      <c r="BB240" s="556"/>
      <c r="BC240" s="556"/>
      <c r="BD240" s="556"/>
      <c r="BE240" s="695"/>
      <c r="BF240" s="800"/>
      <c r="BG240" s="801"/>
      <c r="BH240" s="889">
        <f>BG240-BF240</f>
        <v>0</v>
      </c>
      <c r="BI240" s="695"/>
      <c r="BJ240" s="800"/>
      <c r="BK240" s="801"/>
      <c r="BL240" s="889">
        <f>BK240-BJ240</f>
        <v>0</v>
      </c>
      <c r="BM240" s="695"/>
      <c r="BN240" s="800"/>
      <c r="BO240" s="801"/>
      <c r="BP240" s="972">
        <f>BO240-BN240</f>
        <v>0</v>
      </c>
      <c r="BQ240" s="771">
        <f>BE240+BI240+BM240</f>
        <v>0</v>
      </c>
      <c r="BR240" s="938"/>
      <c r="BS240" s="699">
        <f>BF240+BJ240+BN240</f>
        <v>0</v>
      </c>
      <c r="BT240" s="571">
        <f>BG240+BK240+BO240</f>
        <v>0</v>
      </c>
      <c r="BU240" s="760">
        <f>BT240-BQ240</f>
        <v>0</v>
      </c>
      <c r="BV240" s="761"/>
      <c r="BW240" s="762">
        <f>BT240-BS240</f>
        <v>0</v>
      </c>
      <c r="BX240" s="695"/>
      <c r="BY240" s="800"/>
      <c r="BZ240" s="801"/>
      <c r="CA240" s="972">
        <f>BZ240-BY240</f>
        <v>0</v>
      </c>
      <c r="CB240" s="695"/>
      <c r="CC240" s="800"/>
      <c r="CD240" s="803"/>
      <c r="CE240" s="972">
        <f>CD240-CC240</f>
        <v>0</v>
      </c>
      <c r="CF240" s="695"/>
      <c r="CG240" s="800"/>
      <c r="CH240" s="803"/>
      <c r="CI240" s="972">
        <f>CH240-CG240</f>
        <v>0</v>
      </c>
      <c r="CJ240" s="771">
        <f>BX240+CB240+CF240</f>
        <v>0</v>
      </c>
      <c r="CK240" s="843"/>
      <c r="CL240" s="843">
        <f>BY240+CC240+CG240</f>
        <v>0</v>
      </c>
      <c r="CM240" s="532">
        <f>BZ240+CD240+CH240</f>
        <v>0</v>
      </c>
      <c r="CN240" s="696">
        <f>CM240-CJ240</f>
        <v>0</v>
      </c>
      <c r="CO240" s="696"/>
      <c r="CP240" s="762">
        <f>CM240-CL240</f>
        <v>0</v>
      </c>
      <c r="CQ240" s="771">
        <f>SUM(BQ240,CJ240)</f>
        <v>0</v>
      </c>
      <c r="CR240" s="938"/>
      <c r="CS240" s="595">
        <f>BS240+CL240</f>
        <v>0</v>
      </c>
      <c r="CT240" s="772">
        <f>SUM(BT240,CM240)</f>
        <v>0</v>
      </c>
      <c r="CU240" s="761">
        <f>CT240-CQ240</f>
        <v>0</v>
      </c>
      <c r="CV240" s="761"/>
      <c r="CW240" s="762">
        <f>CT240-CS240</f>
        <v>0</v>
      </c>
      <c r="CX240" s="722">
        <f t="shared" si="333"/>
        <v>0</v>
      </c>
      <c r="CY240" s="723"/>
      <c r="CZ240" s="556"/>
      <c r="DA240" s="556"/>
      <c r="DB240" s="556"/>
      <c r="DC240" s="556"/>
      <c r="DD240" s="556"/>
    </row>
    <row r="241" spans="1:108">
      <c r="A241" s="1012" t="str">
        <f>A215</f>
        <v>%=粗利率</v>
      </c>
      <c r="B241" s="662"/>
      <c r="C241" s="662"/>
      <c r="D241" s="672"/>
      <c r="E241" s="953">
        <f>E242/E59</f>
        <v>9.3953328757721347E-2</v>
      </c>
      <c r="F241" s="954">
        <f>F242/F59</f>
        <v>0.32350230414746545</v>
      </c>
      <c r="G241" s="955">
        <f>G242/G59</f>
        <v>0.1702697014418898</v>
      </c>
      <c r="H241" s="812">
        <f>G242/F242</f>
        <v>4.0741998333333331</v>
      </c>
      <c r="I241" s="1113">
        <f>I242/I59</f>
        <v>9.3953328757721347E-2</v>
      </c>
      <c r="J241" s="1114" t="e">
        <f>J242/J59</f>
        <v>#DIV/0!</v>
      </c>
      <c r="K241" s="1115">
        <f>K242/K59</f>
        <v>0.16981630135612047</v>
      </c>
      <c r="L241" s="1093" t="e">
        <f>K242/J242</f>
        <v>#DIV/0!</v>
      </c>
      <c r="M241" s="1113">
        <f>M242/M59</f>
        <v>9.3953328757721347E-2</v>
      </c>
      <c r="N241" s="1114">
        <v>0.18860128956623681</v>
      </c>
      <c r="O241" s="1115">
        <f>O242/O59</f>
        <v>0.23129617526377488</v>
      </c>
      <c r="P241" s="1093">
        <f>O242/N242</f>
        <v>1.2263764250802942</v>
      </c>
      <c r="Q241" s="1113">
        <f>Q242/Q59</f>
        <v>9.3953328757721347E-2</v>
      </c>
      <c r="R241" s="1140">
        <f>R242/R59</f>
        <v>9.3953328757721347E-2</v>
      </c>
      <c r="S241" s="1123">
        <f>S242/S59</f>
        <v>0.17556552460904093</v>
      </c>
      <c r="T241" s="1119">
        <f>T242/T59</f>
        <v>0.17941582313196527</v>
      </c>
      <c r="U241" s="1119">
        <f>T242/Q242</f>
        <v>0.97201565527065537</v>
      </c>
      <c r="V241" s="1120"/>
      <c r="W241" s="1079">
        <f>T242/S242</f>
        <v>1.9250914320625359</v>
      </c>
      <c r="X241" s="1113">
        <f>X242/X59</f>
        <v>6.5783132530120483E-2</v>
      </c>
      <c r="Y241" s="1114">
        <f>Y242/Y59</f>
        <v>0.14967984248657121</v>
      </c>
      <c r="Z241" s="1115">
        <f>Z242/Z59</f>
        <v>5.269966307443804E-2</v>
      </c>
      <c r="AA241" s="1093">
        <f>Z242/Y242</f>
        <v>0.43666772257817721</v>
      </c>
      <c r="AB241" s="1113">
        <f>AB242/AB59</f>
        <v>6.5783132530120483E-2</v>
      </c>
      <c r="AC241" s="1114">
        <f>AC242/AC59</f>
        <v>-3.7700763010905219E-2</v>
      </c>
      <c r="AD241" s="1115">
        <f>AD242/AD59</f>
        <v>-4.0647284541106395E-2</v>
      </c>
      <c r="AE241" s="1095">
        <f>AD242/AC242</f>
        <v>1.0592287403375176</v>
      </c>
      <c r="AF241" s="1113">
        <f>AF242/AF59</f>
        <v>6.5783132530120483E-2</v>
      </c>
      <c r="AG241" s="1114">
        <f>AG242/AG59</f>
        <v>2.9647335423197488E-2</v>
      </c>
      <c r="AH241" s="1115" t="e">
        <f>AH242/AH59</f>
        <v>#DIV/0!</v>
      </c>
      <c r="AI241" s="1095">
        <f>AH242/AG242</f>
        <v>0</v>
      </c>
      <c r="AJ241" s="1113">
        <f>AJ242/AJ59</f>
        <v>6.5783132530120483E-2</v>
      </c>
      <c r="AK241" s="1140">
        <v>6.5783132530120483E-2</v>
      </c>
      <c r="AL241" s="1120">
        <f>AL242/AL59</f>
        <v>4.5117292469417536E-2</v>
      </c>
      <c r="AM241" s="1119">
        <f>AM242/AM59</f>
        <v>9.7030031807578253E-3</v>
      </c>
      <c r="AN241" s="1123">
        <f>AM242/AJ242</f>
        <v>0.33930272108843529</v>
      </c>
      <c r="AO241" s="1100">
        <f>AM242/AK242</f>
        <v>0.33930272108843529</v>
      </c>
      <c r="AP241" s="1080">
        <f>AM242/AL242</f>
        <v>0.16129133964701353</v>
      </c>
      <c r="AQ241" s="1151">
        <f>AQ242/AQ59</f>
        <v>8.3409920549710123E-2</v>
      </c>
      <c r="AR241" s="1119">
        <v>8.3409920549710123E-2</v>
      </c>
      <c r="AS241" s="1123">
        <f>AS242/AS59</f>
        <v>6.1863194376965268E-2</v>
      </c>
      <c r="AT241" s="1119">
        <f>AT242/AT59</f>
        <v>5.5531644080675784E-2</v>
      </c>
      <c r="AU241" s="1123">
        <f>AT242/AQ242</f>
        <v>0.7852509939759037</v>
      </c>
      <c r="AV241" s="1119">
        <f>AT242/AR242</f>
        <v>0.7852509939759037</v>
      </c>
      <c r="AW241" s="1080">
        <f>AT242/AS242</f>
        <v>0.80387045026630199</v>
      </c>
      <c r="AX241" s="708"/>
      <c r="AY241" s="709"/>
      <c r="AZ241" s="970"/>
      <c r="BA241" s="983">
        <f>AT241/ AQ241</f>
        <v>0.66576785728479837</v>
      </c>
      <c r="BB241" s="516"/>
      <c r="BC241" s="516"/>
      <c r="BD241" s="516"/>
      <c r="BE241" s="1113" t="e">
        <f>BE242/BE59</f>
        <v>#DIV/0!</v>
      </c>
      <c r="BF241" s="1114">
        <f>BF242/BF59</f>
        <v>2.9647335423197488E-2</v>
      </c>
      <c r="BG241" s="1115" t="e">
        <f>BG242/BG59</f>
        <v>#DIV/0!</v>
      </c>
      <c r="BH241" s="1093">
        <f>BG242/BF242</f>
        <v>0</v>
      </c>
      <c r="BI241" s="1113" t="e">
        <f>BI242/BI59</f>
        <v>#DIV/0!</v>
      </c>
      <c r="BJ241" s="1114">
        <f>BJ242/BJ59</f>
        <v>9.9993636363636354E-2</v>
      </c>
      <c r="BK241" s="1115">
        <f>BK242/BK59</f>
        <v>0.51163243902439015</v>
      </c>
      <c r="BL241" s="1093">
        <f>BK242/BJ242</f>
        <v>12.714099988181065</v>
      </c>
      <c r="BM241" s="1113">
        <f>BM242/BM59</f>
        <v>-1.8280288284496814E-2</v>
      </c>
      <c r="BN241" s="1114" t="e">
        <f>BN242/BN59</f>
        <v>#DIV/0!</v>
      </c>
      <c r="BO241" s="1115" t="e">
        <f>BO242/BO59</f>
        <v>#DIV/0!</v>
      </c>
      <c r="BP241" s="1283" t="e">
        <f>BO242/BN242</f>
        <v>#DIV/0!</v>
      </c>
      <c r="BQ241" s="1113">
        <f>BQ242/BQ59</f>
        <v>-1.8280288284496814E-2</v>
      </c>
      <c r="BR241" s="1123"/>
      <c r="BS241" s="1120">
        <f>BS242/BS59</f>
        <v>3.0969634313055362E-2</v>
      </c>
      <c r="BT241" s="1119">
        <f>BT242/BT59</f>
        <v>0.20065499999999994</v>
      </c>
      <c r="BU241" s="1119">
        <f>BT242/BQ242</f>
        <v>-0.14205050505050504</v>
      </c>
      <c r="BV241" s="1120"/>
      <c r="BW241" s="1079">
        <f>BT242/BS242</f>
        <v>0.30262317894570723</v>
      </c>
      <c r="BX241" s="1113" t="e">
        <f>BX242/BX59</f>
        <v>#DIV/0!</v>
      </c>
      <c r="BY241" s="1114">
        <f>BY242/BY59</f>
        <v>-0.23799982146900528</v>
      </c>
      <c r="BZ241" s="1115">
        <f>BZ242/BZ59</f>
        <v>-1.0536174960044258</v>
      </c>
      <c r="CA241" s="1095">
        <f>BZ242/BY242</f>
        <v>1.8815749590606972</v>
      </c>
      <c r="CB241" s="1113">
        <f>CB242/CB59</f>
        <v>0.1171034025629695</v>
      </c>
      <c r="CC241" s="1114" t="e">
        <f>CC242/CC59</f>
        <v>#DIV/0!</v>
      </c>
      <c r="CD241" s="1278">
        <f>CD242/CD59</f>
        <v>0.11403216477696411</v>
      </c>
      <c r="CE241" s="1095" t="e">
        <f>CD242/CC242</f>
        <v>#DIV/0!</v>
      </c>
      <c r="CF241" s="1113" t="e">
        <f>CF242/CF59</f>
        <v>#DIV/0!</v>
      </c>
      <c r="CG241" s="1114">
        <f>CG242/CG59</f>
        <v>9.9815218427323257E-2</v>
      </c>
      <c r="CH241" s="1278">
        <f>CH242/CH59</f>
        <v>7.6888222055513885E-4</v>
      </c>
      <c r="CI241" s="1095">
        <f>CH242/CG242</f>
        <v>8.1558170713540903E-3</v>
      </c>
      <c r="CJ241" s="1113">
        <f>CJ242/CJ59</f>
        <v>0.1171034025629695</v>
      </c>
      <c r="CK241" s="1123"/>
      <c r="CL241" s="1120">
        <f>CL242/CL59</f>
        <v>8.4145366844263922E-2</v>
      </c>
      <c r="CM241" s="1119">
        <f>CM242/CM59</f>
        <v>2.701247291776751E-2</v>
      </c>
      <c r="CN241" s="1123">
        <f>CM242/CJ242</f>
        <v>0.79670103752759402</v>
      </c>
      <c r="CO241" s="1123"/>
      <c r="CP241" s="1080">
        <f>CM242/CL242</f>
        <v>0.50679802395352547</v>
      </c>
      <c r="CQ241" s="1151">
        <f>CQ242/CQ59</f>
        <v>7.7552581261950276E-3</v>
      </c>
      <c r="CR241" s="1123"/>
      <c r="CS241" s="1123">
        <f>CS242/CS59</f>
        <v>6.5681838618768071E-2</v>
      </c>
      <c r="CT241" s="1119">
        <f>CT242/CT59</f>
        <v>2.9702736669937439E-2</v>
      </c>
      <c r="CU241" s="1123">
        <f>CT242/CQ242</f>
        <v>2.583939551282052</v>
      </c>
      <c r="CV241" s="1123"/>
      <c r="CW241" s="1080">
        <f>CT242/CS242</f>
        <v>0.47337126852526024</v>
      </c>
      <c r="CX241" s="708"/>
      <c r="CY241" s="709"/>
      <c r="CZ241" s="1391">
        <f>CT241/ CQ241</f>
        <v>3.8300126425979495</v>
      </c>
      <c r="DA241" s="555"/>
      <c r="DB241" s="555"/>
      <c r="DC241" s="516"/>
      <c r="DD241" s="516"/>
    </row>
    <row r="242" spans="1:108">
      <c r="A242" s="1011" t="s">
        <v>399</v>
      </c>
      <c r="B242" s="997"/>
      <c r="C242" s="997"/>
      <c r="D242" s="995"/>
      <c r="E242" s="822">
        <f>E238+E240</f>
        <v>234</v>
      </c>
      <c r="F242" s="887">
        <f>F238+F240</f>
        <v>60</v>
      </c>
      <c r="G242" s="824">
        <v>244.45199</v>
      </c>
      <c r="H242" s="825">
        <f>G242-F242</f>
        <v>184.45199</v>
      </c>
      <c r="I242" s="822">
        <f>I238+I240</f>
        <v>234</v>
      </c>
      <c r="J242" s="887">
        <f>J238+J240</f>
        <v>0</v>
      </c>
      <c r="K242" s="824">
        <v>303</v>
      </c>
      <c r="L242" s="825">
        <f>K242-J242</f>
        <v>303</v>
      </c>
      <c r="M242" s="822">
        <f>M238+M240</f>
        <v>234</v>
      </c>
      <c r="N242" s="887">
        <f>N241*N59</f>
        <v>110.00129914529916</v>
      </c>
      <c r="O242" s="824">
        <v>134.90299999999999</v>
      </c>
      <c r="P242" s="825">
        <f>O242-N242</f>
        <v>24.901700854700834</v>
      </c>
      <c r="Q242" s="827">
        <f>E242+I242+M242</f>
        <v>702</v>
      </c>
      <c r="R242" s="828">
        <f>R238+R240</f>
        <v>702</v>
      </c>
      <c r="S242" s="739">
        <f>G242+J242+N242</f>
        <v>354.45328914529915</v>
      </c>
      <c r="T242" s="520">
        <f>G242+K242+O242</f>
        <v>682.35499000000004</v>
      </c>
      <c r="U242" s="712">
        <f>T242-Q242</f>
        <v>-19.645009999999957</v>
      </c>
      <c r="V242" s="711">
        <f t="shared" si="320"/>
        <v>-19.645009999999957</v>
      </c>
      <c r="W242" s="716">
        <f>T242-S242</f>
        <v>327.90170085470089</v>
      </c>
      <c r="X242" s="822">
        <f>X238+X240</f>
        <v>98</v>
      </c>
      <c r="Y242" s="887">
        <v>669.24800000000005</v>
      </c>
      <c r="Z242" s="824">
        <v>292.23899999999998</v>
      </c>
      <c r="AA242" s="825">
        <f>Z242-Y242</f>
        <v>-377.00900000000007</v>
      </c>
      <c r="AB242" s="822">
        <f>AB238+AB240</f>
        <v>98</v>
      </c>
      <c r="AC242" s="887">
        <v>-181.7209</v>
      </c>
      <c r="AD242" s="824">
        <v>-192.48400000000001</v>
      </c>
      <c r="AE242" s="825">
        <f>AD242-AC242</f>
        <v>-10.763100000000009</v>
      </c>
      <c r="AF242" s="822">
        <f>AF238+AF240</f>
        <v>98</v>
      </c>
      <c r="AG242" s="887">
        <v>130.94999999999999</v>
      </c>
      <c r="AH242" s="824">
        <v>0</v>
      </c>
      <c r="AI242" s="825">
        <f>AH242-AG242</f>
        <v>-130.94999999999999</v>
      </c>
      <c r="AJ242" s="827">
        <f>X242+AB242+AF242</f>
        <v>294</v>
      </c>
      <c r="AK242" s="828">
        <v>294</v>
      </c>
      <c r="AL242" s="711">
        <f>Y242+AC242+AG242</f>
        <v>618.47710000000006</v>
      </c>
      <c r="AM242" s="520">
        <f>Z242+AD242+AH242</f>
        <v>99.754999999999967</v>
      </c>
      <c r="AN242" s="739">
        <f>AM242-AJ242</f>
        <v>-194.24500000000003</v>
      </c>
      <c r="AO242" s="711">
        <f t="shared" si="321"/>
        <v>-194.24500000000003</v>
      </c>
      <c r="AP242" s="716">
        <f>AM242-AL242</f>
        <v>-518.72210000000007</v>
      </c>
      <c r="AQ242" s="713">
        <f>SUM(Q242,AJ242)</f>
        <v>996</v>
      </c>
      <c r="AR242" s="715">
        <v>996</v>
      </c>
      <c r="AS242" s="608">
        <f>S242+AL242</f>
        <v>972.93038914529916</v>
      </c>
      <c r="AT242" s="715">
        <f>SUM(T242,AM242)</f>
        <v>782.10999000000004</v>
      </c>
      <c r="AU242" s="711">
        <f>AT242-AQ242</f>
        <v>-213.89000999999996</v>
      </c>
      <c r="AV242" s="711">
        <f t="shared" si="322"/>
        <v>-213.89000999999996</v>
      </c>
      <c r="AW242" s="716">
        <f>AT242-AS242</f>
        <v>-190.82039914529912</v>
      </c>
      <c r="AX242" s="708">
        <f>AQ242/6</f>
        <v>166</v>
      </c>
      <c r="AY242" s="709">
        <f>AR242/6</f>
        <v>166</v>
      </c>
      <c r="AZ242" s="709">
        <f>AT242/6</f>
        <v>130.351665</v>
      </c>
      <c r="BA242" s="829">
        <f>AZ242/AX242</f>
        <v>0.78525099397590359</v>
      </c>
      <c r="BB242" s="516">
        <f>AZ242-AX242</f>
        <v>-35.648335000000003</v>
      </c>
      <c r="BC242" s="516">
        <f>AZ242-AY242</f>
        <v>-35.648335000000003</v>
      </c>
      <c r="BD242" s="516">
        <f>AW242/6</f>
        <v>-31.803399857549852</v>
      </c>
      <c r="BE242" s="822">
        <f>BE238+BE240</f>
        <v>0</v>
      </c>
      <c r="BF242" s="887">
        <v>130.94999999999999</v>
      </c>
      <c r="BG242" s="824">
        <v>0</v>
      </c>
      <c r="BH242" s="825">
        <f>BG242-BF242</f>
        <v>-130.94999999999999</v>
      </c>
      <c r="BI242" s="822">
        <f>BI238+BI240</f>
        <v>0</v>
      </c>
      <c r="BJ242" s="887">
        <v>8.4610000000000003</v>
      </c>
      <c r="BK242" s="824">
        <v>107.574</v>
      </c>
      <c r="BL242" s="825">
        <f>BK242-BJ242</f>
        <v>99.113</v>
      </c>
      <c r="BM242" s="822">
        <v>-297</v>
      </c>
      <c r="BN242" s="887">
        <v>0</v>
      </c>
      <c r="BO242" s="824">
        <v>-65.385000000000005</v>
      </c>
      <c r="BP242" s="825">
        <f>BO242-BN242</f>
        <v>-65.385000000000005</v>
      </c>
      <c r="BQ242" s="827">
        <f>BE242+BI242+BM242</f>
        <v>-297</v>
      </c>
      <c r="BR242" s="714"/>
      <c r="BS242" s="711">
        <f>BF242+BJ242+BN242</f>
        <v>139.411</v>
      </c>
      <c r="BT242" s="520">
        <f>BG242+BK242+BO242</f>
        <v>42.188999999999993</v>
      </c>
      <c r="BU242" s="712">
        <f>BT242-BQ242</f>
        <v>339.18899999999996</v>
      </c>
      <c r="BV242" s="711"/>
      <c r="BW242" s="716">
        <f>BT242-BS242</f>
        <v>-97.222000000000008</v>
      </c>
      <c r="BX242" s="822">
        <f>BX238+BX240</f>
        <v>0</v>
      </c>
      <c r="BY242" s="887">
        <v>-93.430999999999997</v>
      </c>
      <c r="BZ242" s="824">
        <v>-175.79742999999999</v>
      </c>
      <c r="CA242" s="825">
        <f>BZ242-BY242</f>
        <v>-82.366429999999994</v>
      </c>
      <c r="CB242" s="822">
        <v>453</v>
      </c>
      <c r="CC242" s="887">
        <v>0</v>
      </c>
      <c r="CD242" s="826">
        <v>530.13300000000004</v>
      </c>
      <c r="CE242" s="825">
        <f>CD242-CC242</f>
        <v>530.13300000000004</v>
      </c>
      <c r="CF242" s="822">
        <f>CF238+CF240</f>
        <v>0</v>
      </c>
      <c r="CG242" s="887">
        <v>805.56</v>
      </c>
      <c r="CH242" s="826">
        <v>6.57</v>
      </c>
      <c r="CI242" s="825">
        <f>CH242-CG242</f>
        <v>-798.9899999999999</v>
      </c>
      <c r="CJ242" s="827">
        <f>BX242+CB242+CF242</f>
        <v>453</v>
      </c>
      <c r="CK242" s="714"/>
      <c r="CL242" s="711">
        <f>BY242+CC242+CG242</f>
        <v>712.12899999999991</v>
      </c>
      <c r="CM242" s="520">
        <f>BZ242+CD242+CH242</f>
        <v>360.90557000000007</v>
      </c>
      <c r="CN242" s="739">
        <f>CM242-CJ242</f>
        <v>-92.094429999999932</v>
      </c>
      <c r="CO242" s="739"/>
      <c r="CP242" s="716">
        <f>CM242-CL242</f>
        <v>-351.22342999999984</v>
      </c>
      <c r="CQ242" s="713">
        <f>SUM(BQ242,CJ242)</f>
        <v>156</v>
      </c>
      <c r="CR242" s="1340"/>
      <c r="CS242" s="608">
        <f>BS242+CL242</f>
        <v>851.54</v>
      </c>
      <c r="CT242" s="715">
        <f>SUM(BT242,CM242)</f>
        <v>403.09457000000009</v>
      </c>
      <c r="CU242" s="711">
        <f>CT242-CQ242</f>
        <v>247.09457000000009</v>
      </c>
      <c r="CV242" s="711"/>
      <c r="CW242" s="716">
        <f>CT242-CS242</f>
        <v>-448.44542999999987</v>
      </c>
      <c r="CX242" s="708">
        <f t="shared" si="333"/>
        <v>26</v>
      </c>
      <c r="CY242" s="709">
        <f>CT242/6</f>
        <v>67.182428333333348</v>
      </c>
      <c r="CZ242" s="829">
        <f>CY242/CX242</f>
        <v>2.583939551282052</v>
      </c>
      <c r="DA242" s="555">
        <f>CY242-CX242</f>
        <v>41.182428333333348</v>
      </c>
      <c r="DB242" s="555">
        <f>CW242/6</f>
        <v>-74.740904999999984</v>
      </c>
      <c r="DC242" s="516"/>
      <c r="DD242" s="516"/>
    </row>
    <row r="243" spans="1:108">
      <c r="A243" s="644" t="str">
        <f>A215</f>
        <v>%=粗利率</v>
      </c>
      <c r="B243" s="662"/>
      <c r="C243" s="662"/>
      <c r="D243" s="619"/>
      <c r="E243" s="953">
        <f>E244/E61</f>
        <v>0.60275229357798166</v>
      </c>
      <c r="F243" s="954">
        <f>F244/F61</f>
        <v>0.60275229357798166</v>
      </c>
      <c r="G243" s="955">
        <f>G244/G61</f>
        <v>0.54735018815159053</v>
      </c>
      <c r="H243" s="812">
        <f>G244/F244</f>
        <v>1.093898095890411</v>
      </c>
      <c r="I243" s="1113">
        <f>I244/I61</f>
        <v>0.60275229357798166</v>
      </c>
      <c r="J243" s="1114">
        <f>J244/J61</f>
        <v>0.55002717391304345</v>
      </c>
      <c r="K243" s="1115">
        <f>K244/K61</f>
        <v>0.56338833885856288</v>
      </c>
      <c r="L243" s="1093">
        <f>K244/J244</f>
        <v>1.4516473988439307</v>
      </c>
      <c r="M243" s="1113">
        <f>M244/M61</f>
        <v>0.56839116719242899</v>
      </c>
      <c r="N243" s="1114">
        <f>N244/N61</f>
        <v>0.55002952029520291</v>
      </c>
      <c r="O243" s="1115">
        <f>O244/O61</f>
        <v>0.58549491135915954</v>
      </c>
      <c r="P243" s="1093">
        <f>O244/N244</f>
        <v>1.3662601883830454</v>
      </c>
      <c r="Q243" s="1113">
        <f>Q244/Q61</f>
        <v>0.59042769857433808</v>
      </c>
      <c r="R243" s="1140">
        <f>R244/R61</f>
        <v>0.59042769857433808</v>
      </c>
      <c r="S243" s="1123">
        <f>S244/S61</f>
        <v>0.54902003922365139</v>
      </c>
      <c r="T243" s="1119">
        <f>T244/T61</f>
        <v>0.56538937710786985</v>
      </c>
      <c r="U243" s="1119">
        <f>T244/Q244</f>
        <v>1.1988310986547086</v>
      </c>
      <c r="V243" s="1120">
        <f>T244/R244</f>
        <v>1.1988310986547086</v>
      </c>
      <c r="W243" s="1079">
        <f>T244/S244</f>
        <v>1.2565621801170224</v>
      </c>
      <c r="X243" s="1113">
        <f>X244/X61</f>
        <v>0.58818897637795275</v>
      </c>
      <c r="Y243" s="1114">
        <f>Y244/Y61</f>
        <v>0.5502303120356612</v>
      </c>
      <c r="Z243" s="1115">
        <f>Z244/Z61</f>
        <v>0.65175974841321416</v>
      </c>
      <c r="AA243" s="1093">
        <f>Z244/Y244</f>
        <v>1.5227630331753554</v>
      </c>
      <c r="AB243" s="1113">
        <f>AB244/AB61</f>
        <v>0.5924954240390482</v>
      </c>
      <c r="AC243" s="1114">
        <f>AC244/AC61</f>
        <v>0.59028492008339117</v>
      </c>
      <c r="AD243" s="1115">
        <f>AD244/AD61</f>
        <v>0.53765075212557223</v>
      </c>
      <c r="AE243" s="1095">
        <f>AD244/AC244</f>
        <v>1.1323250688705233</v>
      </c>
      <c r="AF243" s="1113">
        <f>AF244/AF61</f>
        <v>0.58988439306358376</v>
      </c>
      <c r="AG243" s="1114">
        <f>AG244/AG61</f>
        <v>0.55038043478260867</v>
      </c>
      <c r="AH243" s="1115">
        <f>AH244/AH61</f>
        <v>0.57831514087999936</v>
      </c>
      <c r="AI243" s="1095">
        <f>AH244/AG244</f>
        <v>1.8335314505776636</v>
      </c>
      <c r="AJ243" s="1113">
        <f>AJ244/AJ61</f>
        <v>0.59018980812873945</v>
      </c>
      <c r="AK243" s="1140">
        <f>AK244/AK61</f>
        <v>0.59018980812873945</v>
      </c>
      <c r="AL243" s="1120">
        <f>AL244/AL61</f>
        <v>0.5632650303985588</v>
      </c>
      <c r="AM243" s="1119">
        <f>AM244/AM61</f>
        <v>0.58679379962137601</v>
      </c>
      <c r="AN243" s="1123">
        <f>AM244/AJ244</f>
        <v>1.3146413087934559</v>
      </c>
      <c r="AO243" s="1100">
        <f>AM244/AK244</f>
        <v>1.3146413087934559</v>
      </c>
      <c r="AP243" s="1080">
        <f>AM244/AL244</f>
        <v>1.5034134705332085</v>
      </c>
      <c r="AQ243" s="1151">
        <f>AQ244/AQ61</f>
        <v>0.59030325922728255</v>
      </c>
      <c r="AR243" s="1119">
        <f>AR244/AR61</f>
        <v>0.59030325922728255</v>
      </c>
      <c r="AS243" s="1123">
        <f>AS244/AS61</f>
        <v>0.55606877143946931</v>
      </c>
      <c r="AT243" s="1119">
        <f>AT244/AT61</f>
        <v>0.57687732807140335</v>
      </c>
      <c r="AU243" s="1123">
        <f>AT244/AQ244</f>
        <v>1.259399219251337</v>
      </c>
      <c r="AV243" s="1119">
        <f>AT244/AR244</f>
        <v>1.259399219251337</v>
      </c>
      <c r="AW243" s="1080">
        <f>AT244/AS244</f>
        <v>1.3802903282049304</v>
      </c>
      <c r="AX243" s="708"/>
      <c r="AY243" s="709"/>
      <c r="AZ243" s="709"/>
      <c r="BA243" s="555"/>
      <c r="BB243" s="555"/>
      <c r="BC243" s="555"/>
      <c r="BD243" s="555"/>
      <c r="BE243" s="1113">
        <f>BE244/BE61</f>
        <v>0.58316805845511477</v>
      </c>
      <c r="BF243" s="1114">
        <f>BF244/BF61</f>
        <v>0.57986605080831399</v>
      </c>
      <c r="BG243" s="1115">
        <f>BG244/BG61</f>
        <v>0.67781653352193272</v>
      </c>
      <c r="BH243" s="1093">
        <f>BG244/BF244</f>
        <v>1.5327036346691518</v>
      </c>
      <c r="BI243" s="1113">
        <f>BI244/BI61</f>
        <v>0.6007737397420867</v>
      </c>
      <c r="BJ243" s="1114">
        <f>BJ244/BJ61</f>
        <v>0.6007737397420867</v>
      </c>
      <c r="BK243" s="1115">
        <f>BK244/BK61</f>
        <v>0.476969040247678</v>
      </c>
      <c r="BL243" s="1093">
        <f>BK244/BJ244</f>
        <v>1.0552123287671233</v>
      </c>
      <c r="BM243" s="1113">
        <f>BM244/BM61</f>
        <v>0.58848025959978367</v>
      </c>
      <c r="BN243" s="1114">
        <f>BN244/BN61</f>
        <v>0.58008403361344529</v>
      </c>
      <c r="BO243" s="1115">
        <f>BO244/BO61</f>
        <v>0.59100473606987447</v>
      </c>
      <c r="BP243" s="1095">
        <f>BO244/BN244</f>
        <v>1.0725423728813559</v>
      </c>
      <c r="BQ243" s="1113">
        <f>BQ244/BQ61</f>
        <v>0.59045329921403755</v>
      </c>
      <c r="BR243" s="1123"/>
      <c r="BS243" s="1120">
        <f>BS244/BS61</f>
        <v>0.58565509518477044</v>
      </c>
      <c r="BT243" s="1119">
        <f>BT244/BT61</f>
        <v>0.58941089759896825</v>
      </c>
      <c r="BU243" s="1119">
        <f>BT244/BQ244</f>
        <v>1.3888290474465772</v>
      </c>
      <c r="BV243" s="1120"/>
      <c r="BW243" s="1079">
        <f>BT244/BS244</f>
        <v>1.2254896132949824</v>
      </c>
      <c r="BX243" s="1113">
        <f>BX244/BX61</f>
        <v>0.57956656346749225</v>
      </c>
      <c r="BY243" s="1114">
        <f>BY244/BY61</f>
        <v>0.54557142857142849</v>
      </c>
      <c r="BZ243" s="1115">
        <f>BZ244/BZ61</f>
        <v>0.571947392669376</v>
      </c>
      <c r="CA243" s="1095">
        <f>BZ244/BY244</f>
        <v>1.1565836606441475</v>
      </c>
      <c r="CB243" s="1113">
        <f>CB244/CB61</f>
        <v>0.56732294617563739</v>
      </c>
      <c r="CC243" s="1114">
        <f>CC244/CC61</f>
        <v>0.56732294617563739</v>
      </c>
      <c r="CD243" s="1278">
        <f>CD244/CD61</f>
        <v>0.5667625899280575</v>
      </c>
      <c r="CE243" s="1095">
        <f>CD244/CC244</f>
        <v>1.1801363193768257</v>
      </c>
      <c r="CF243" s="1113">
        <f>CF244/CF61</f>
        <v>0.59808306709265169</v>
      </c>
      <c r="CG243" s="1114">
        <f>CG244/CG61</f>
        <v>0.57968181818181819</v>
      </c>
      <c r="CH243" s="1278">
        <f>CH244/CH61</f>
        <v>0.57968181818181819</v>
      </c>
      <c r="CI243" s="1095">
        <f>CH244/CG244</f>
        <v>1</v>
      </c>
      <c r="CJ243" s="1113">
        <f>CJ244/CJ61</f>
        <v>0.58010852161537085</v>
      </c>
      <c r="CK243" s="1123"/>
      <c r="CL243" s="1120">
        <f>CL244/CL61</f>
        <v>0.5596250840618695</v>
      </c>
      <c r="CM243" s="1119">
        <f>CM244/CM61</f>
        <v>0.57127236987247354</v>
      </c>
      <c r="CN243" s="1123">
        <f>CM244/CJ244</f>
        <v>1.1587122353785433</v>
      </c>
      <c r="CO243" s="1123"/>
      <c r="CP243" s="1080">
        <f>CM244/CL244</f>
        <v>1.1350899824253076</v>
      </c>
      <c r="CQ243" s="1151">
        <f>CQ244/CQ61</f>
        <v>0.5852109628561124</v>
      </c>
      <c r="CR243" s="1123"/>
      <c r="CS243" s="1123">
        <f>CS244/CS61</f>
        <v>0.57296335765226658</v>
      </c>
      <c r="CT243" s="1119">
        <f>CT244/CT61</f>
        <v>0.58097780035094071</v>
      </c>
      <c r="CU243" s="1123">
        <f>CT244/CQ244</f>
        <v>1.2732314347512617</v>
      </c>
      <c r="CV243" s="1123"/>
      <c r="CW243" s="1080">
        <f>CT244/CS244</f>
        <v>1.1824385671242048</v>
      </c>
      <c r="CX243" s="708"/>
      <c r="CY243" s="709"/>
      <c r="CZ243" s="555"/>
      <c r="DA243" s="555"/>
      <c r="DB243" s="555"/>
      <c r="DC243" s="555"/>
      <c r="DD243" s="555"/>
    </row>
    <row r="244" spans="1:108">
      <c r="A244" s="647" t="s">
        <v>400</v>
      </c>
      <c r="B244" s="661"/>
      <c r="C244" s="997"/>
      <c r="D244" s="995"/>
      <c r="E244" s="822">
        <v>730</v>
      </c>
      <c r="F244" s="887">
        <v>730</v>
      </c>
      <c r="G244" s="824">
        <v>798.54561000000001</v>
      </c>
      <c r="H244" s="825">
        <f>G244-F244</f>
        <v>68.545610000000011</v>
      </c>
      <c r="I244" s="822">
        <v>730</v>
      </c>
      <c r="J244" s="887">
        <v>692</v>
      </c>
      <c r="K244" s="824">
        <v>1004.54</v>
      </c>
      <c r="L244" s="825">
        <f>K244-J244</f>
        <v>312.53999999999996</v>
      </c>
      <c r="M244" s="822">
        <v>770</v>
      </c>
      <c r="N244" s="887">
        <v>637</v>
      </c>
      <c r="O244" s="824">
        <v>870.30773999999997</v>
      </c>
      <c r="P244" s="825">
        <f>O244-N244</f>
        <v>233.30773999999997</v>
      </c>
      <c r="Q244" s="827">
        <f>E244+I244+M244</f>
        <v>2230</v>
      </c>
      <c r="R244" s="828">
        <v>2230</v>
      </c>
      <c r="S244" s="739">
        <f>G244+J244+N244</f>
        <v>2127.5456100000001</v>
      </c>
      <c r="T244" s="520">
        <f>G244+K244+O244</f>
        <v>2673.3933500000003</v>
      </c>
      <c r="U244" s="712">
        <f>T244-Q244</f>
        <v>443.39335000000028</v>
      </c>
      <c r="V244" s="711">
        <f t="shared" si="320"/>
        <v>443.39335000000028</v>
      </c>
      <c r="W244" s="716">
        <f>T244-S244</f>
        <v>545.84774000000016</v>
      </c>
      <c r="X244" s="822">
        <v>830</v>
      </c>
      <c r="Y244" s="887">
        <v>633</v>
      </c>
      <c r="Z244" s="824">
        <v>963.90899999999999</v>
      </c>
      <c r="AA244" s="825">
        <f>Z244-Y244</f>
        <v>330.90899999999999</v>
      </c>
      <c r="AB244" s="822">
        <v>830</v>
      </c>
      <c r="AC244" s="887">
        <v>726</v>
      </c>
      <c r="AD244" s="824">
        <v>822.06799999999998</v>
      </c>
      <c r="AE244" s="825">
        <f>AD244-AC244</f>
        <v>96.067999999999984</v>
      </c>
      <c r="AF244" s="822">
        <v>785</v>
      </c>
      <c r="AG244" s="887">
        <v>779</v>
      </c>
      <c r="AH244" s="824">
        <v>1428.3209999999999</v>
      </c>
      <c r="AI244" s="825">
        <f>AH244-AG244</f>
        <v>649.32099999999991</v>
      </c>
      <c r="AJ244" s="713">
        <f>X244+AB244+AF244</f>
        <v>2445</v>
      </c>
      <c r="AK244" s="828">
        <v>2445</v>
      </c>
      <c r="AL244" s="711">
        <f>Y244+AC244+AG244</f>
        <v>2138</v>
      </c>
      <c r="AM244" s="520">
        <f>Z244+AD244+AH244</f>
        <v>3214.2979999999998</v>
      </c>
      <c r="AN244" s="739">
        <f>AM244-AJ244</f>
        <v>769.29799999999977</v>
      </c>
      <c r="AO244" s="711">
        <f t="shared" si="321"/>
        <v>769.29799999999977</v>
      </c>
      <c r="AP244" s="716">
        <f>AM244-AL244</f>
        <v>1076.2979999999998</v>
      </c>
      <c r="AQ244" s="713">
        <f>SUM(Q244,AJ244)</f>
        <v>4675</v>
      </c>
      <c r="AR244" s="715">
        <f>R244+AK244</f>
        <v>4675</v>
      </c>
      <c r="AS244" s="608">
        <f>S244+AL244</f>
        <v>4265.5456100000001</v>
      </c>
      <c r="AT244" s="520">
        <f>SUM(T244,AM244)</f>
        <v>5887.6913500000001</v>
      </c>
      <c r="AU244" s="517">
        <f>AT244-AQ244</f>
        <v>1212.6913500000001</v>
      </c>
      <c r="AV244" s="711">
        <f t="shared" si="322"/>
        <v>1212.6913500000001</v>
      </c>
      <c r="AW244" s="716">
        <f>AT244-AS244</f>
        <v>1622.1457399999999</v>
      </c>
      <c r="AX244" s="708">
        <f>AQ244/6</f>
        <v>779.16666666666663</v>
      </c>
      <c r="AY244" s="709">
        <f>AR244/6</f>
        <v>779.16666666666663</v>
      </c>
      <c r="AZ244" s="709">
        <f>AT244/6</f>
        <v>981.28189166666664</v>
      </c>
      <c r="BA244" s="829">
        <f>AZ244/AX244</f>
        <v>1.259399219251337</v>
      </c>
      <c r="BB244" s="516">
        <f>AZ244-AX244</f>
        <v>202.11522500000001</v>
      </c>
      <c r="BC244" s="516">
        <f>AZ244-AY244</f>
        <v>202.11522500000001</v>
      </c>
      <c r="BD244" s="516">
        <f>AW244/6</f>
        <v>270.35762333333332</v>
      </c>
      <c r="BE244" s="822">
        <v>955</v>
      </c>
      <c r="BF244" s="887">
        <v>1073</v>
      </c>
      <c r="BG244" s="824">
        <v>1644.5909999999999</v>
      </c>
      <c r="BH244" s="825">
        <f>BG244-BF244</f>
        <v>571.59099999999989</v>
      </c>
      <c r="BI244" s="822">
        <v>876</v>
      </c>
      <c r="BJ244" s="887">
        <v>876</v>
      </c>
      <c r="BK244" s="824">
        <v>924.36599999999999</v>
      </c>
      <c r="BL244" s="825">
        <f>BK244-BJ244</f>
        <v>48.365999999999985</v>
      </c>
      <c r="BM244" s="822">
        <v>930</v>
      </c>
      <c r="BN244" s="887">
        <v>1180</v>
      </c>
      <c r="BO244" s="824">
        <v>1265.5999999999999</v>
      </c>
      <c r="BP244" s="825">
        <f>BO244-BN244</f>
        <v>85.599999999999909</v>
      </c>
      <c r="BQ244" s="827">
        <f>BE244+BI244+BM244</f>
        <v>2761</v>
      </c>
      <c r="BR244" s="714"/>
      <c r="BS244" s="711">
        <f>BF244+BJ244+BN244</f>
        <v>3129</v>
      </c>
      <c r="BT244" s="520">
        <f>BG244+BK244+BO244</f>
        <v>3834.5569999999998</v>
      </c>
      <c r="BU244" s="712">
        <f>BT244-BQ244</f>
        <v>1073.5569999999998</v>
      </c>
      <c r="BV244" s="711"/>
      <c r="BW244" s="716">
        <f>BT244-BS244</f>
        <v>705.55699999999979</v>
      </c>
      <c r="BX244" s="822">
        <v>960</v>
      </c>
      <c r="BY244" s="887">
        <v>1273</v>
      </c>
      <c r="BZ244" s="824">
        <v>1472.3309999999999</v>
      </c>
      <c r="CA244" s="825">
        <f>BZ244-BY244</f>
        <v>199.3309999999999</v>
      </c>
      <c r="CB244" s="822">
        <v>1027</v>
      </c>
      <c r="CC244" s="887">
        <v>1027</v>
      </c>
      <c r="CD244" s="826">
        <v>1212</v>
      </c>
      <c r="CE244" s="825">
        <f>CD244-CC244</f>
        <v>185</v>
      </c>
      <c r="CF244" s="822">
        <v>800</v>
      </c>
      <c r="CG244" s="887">
        <v>545</v>
      </c>
      <c r="CH244" s="826">
        <v>545</v>
      </c>
      <c r="CI244" s="825">
        <f>CH244-CG244</f>
        <v>0</v>
      </c>
      <c r="CJ244" s="827">
        <f>BX244+CB244+CF244</f>
        <v>2787</v>
      </c>
      <c r="CK244" s="714"/>
      <c r="CL244" s="711">
        <f>BY244+CC244+CG244</f>
        <v>2845</v>
      </c>
      <c r="CM244" s="520">
        <f>BZ244+CD244+CH244</f>
        <v>3229.3310000000001</v>
      </c>
      <c r="CN244" s="739">
        <f>CM244-CJ244</f>
        <v>442.33100000000013</v>
      </c>
      <c r="CO244" s="739"/>
      <c r="CP244" s="716">
        <f>CM244-CL244</f>
        <v>384.33100000000013</v>
      </c>
      <c r="CQ244" s="713">
        <f>SUM(BQ244,CJ244)</f>
        <v>5548</v>
      </c>
      <c r="CR244" s="1340"/>
      <c r="CS244" s="608">
        <f>BS244+CL244</f>
        <v>5974</v>
      </c>
      <c r="CT244" s="520">
        <f>SUM(BT244,CM244)</f>
        <v>7063.8879999999999</v>
      </c>
      <c r="CU244" s="517">
        <f>CT244-CQ244</f>
        <v>1515.8879999999999</v>
      </c>
      <c r="CV244" s="517"/>
      <c r="CW244" s="716">
        <f>CT244-CS244</f>
        <v>1089.8879999999999</v>
      </c>
      <c r="CX244" s="708">
        <f t="shared" si="333"/>
        <v>924.66666666666663</v>
      </c>
      <c r="CY244" s="709">
        <f>CT244/6</f>
        <v>1177.3146666666667</v>
      </c>
      <c r="CZ244" s="829">
        <f>CY244/CX244</f>
        <v>1.2732314347512617</v>
      </c>
      <c r="DA244" s="555">
        <f>CY244-CX244</f>
        <v>252.64800000000002</v>
      </c>
      <c r="DB244" s="555">
        <f>CW244/6</f>
        <v>181.648</v>
      </c>
      <c r="DC244" s="516"/>
      <c r="DD244" s="516"/>
    </row>
    <row r="245" spans="1:108">
      <c r="A245" s="644" t="str">
        <f>A243</f>
        <v>%=粗利率</v>
      </c>
      <c r="B245" s="662"/>
      <c r="C245" s="662"/>
      <c r="D245" s="619"/>
      <c r="E245" s="953" t="e">
        <f>E246/E63</f>
        <v>#DIV/0!</v>
      </c>
      <c r="F245" s="954" t="e">
        <f>F246/F63</f>
        <v>#DIV/0!</v>
      </c>
      <c r="G245" s="955">
        <f>G246/G63</f>
        <v>0.22732606928571428</v>
      </c>
      <c r="H245" s="812" t="e">
        <f>G246/F246</f>
        <v>#DIV/0!</v>
      </c>
      <c r="I245" s="1113" t="e">
        <f>I246/I63</f>
        <v>#DIV/0!</v>
      </c>
      <c r="J245" s="1114" t="e">
        <f>J246/J63</f>
        <v>#DIV/0!</v>
      </c>
      <c r="K245" s="1115" t="e">
        <f>K246/K63</f>
        <v>#DIV/0!</v>
      </c>
      <c r="L245" s="1093" t="e">
        <f>K246/J246</f>
        <v>#DIV/0!</v>
      </c>
      <c r="M245" s="1113" t="e">
        <f>M246/M63</f>
        <v>#DIV/0!</v>
      </c>
      <c r="N245" s="1114" t="e">
        <f>N246/N63</f>
        <v>#DIV/0!</v>
      </c>
      <c r="O245" s="1115">
        <f>O246/O63</f>
        <v>-1.7459059800000001</v>
      </c>
      <c r="P245" s="1093" t="e">
        <f>O246/N246</f>
        <v>#DIV/0!</v>
      </c>
      <c r="Q245" s="1113" t="e">
        <f>Q246/Q63</f>
        <v>#DIV/0!</v>
      </c>
      <c r="R245" s="1140" t="e">
        <f>R246/R63</f>
        <v>#DIV/0!</v>
      </c>
      <c r="S245" s="1123">
        <f>S246/S63</f>
        <v>0.22732606928571428</v>
      </c>
      <c r="T245" s="1119">
        <f>T246/T63</f>
        <v>3.6368129032258049E-2</v>
      </c>
      <c r="U245" s="1119" t="e">
        <f>T246/Q246</f>
        <v>#DIV/0!</v>
      </c>
      <c r="V245" s="1120" t="e">
        <f>T246/R246</f>
        <v>#DIV/0!</v>
      </c>
      <c r="W245" s="1079">
        <f>T246/S246</f>
        <v>0.17712317118855228</v>
      </c>
      <c r="X245" s="1113" t="e">
        <f>X246/X63</f>
        <v>#DIV/0!</v>
      </c>
      <c r="Y245" s="1114" t="e">
        <f>Y246/Y63</f>
        <v>#DIV/0!</v>
      </c>
      <c r="Z245" s="1115" t="e">
        <f>Z246/Z63</f>
        <v>#DIV/0!</v>
      </c>
      <c r="AA245" s="1093" t="e">
        <f>Z246/Y246</f>
        <v>#DIV/0!</v>
      </c>
      <c r="AB245" s="1113" t="e">
        <f>AB246/AB63</f>
        <v>#DIV/0!</v>
      </c>
      <c r="AC245" s="1114">
        <f>AC246/AC63</f>
        <v>-2.6058116871428569</v>
      </c>
      <c r="AD245" s="1115">
        <f>AD246/AD63</f>
        <v>-2.6058128571428569</v>
      </c>
      <c r="AE245" s="1095">
        <f>AD246/AC246</f>
        <v>1.0000004489963743</v>
      </c>
      <c r="AF245" s="1113" t="e">
        <f>AF246/AF63</f>
        <v>#DIV/0!</v>
      </c>
      <c r="AG245" s="1114" t="e">
        <f>AG246/AG63</f>
        <v>#DIV/0!</v>
      </c>
      <c r="AH245" s="1115" t="e">
        <f>AH246/AH63</f>
        <v>#DIV/0!</v>
      </c>
      <c r="AI245" s="1095" t="e">
        <f>AH246/AG246</f>
        <v>#DIV/0!</v>
      </c>
      <c r="AJ245" s="1113" t="e">
        <f>AJ246/AJ63</f>
        <v>#DIV/0!</v>
      </c>
      <c r="AK245" s="1140" t="e">
        <f>AK246/AK63</f>
        <v>#DIV/0!</v>
      </c>
      <c r="AL245" s="1120">
        <f>AL246/AL63</f>
        <v>-2.6058116871428569</v>
      </c>
      <c r="AM245" s="1119">
        <f>AM246/AM63</f>
        <v>-2.6058128571428569</v>
      </c>
      <c r="AN245" s="1123" t="e">
        <f>AM246/AJ246</f>
        <v>#DIV/0!</v>
      </c>
      <c r="AO245" s="1100" t="e">
        <f>AM246/AK246</f>
        <v>#DIV/0!</v>
      </c>
      <c r="AP245" s="1080">
        <f>AM246/AL246</f>
        <v>1.0000004489963743</v>
      </c>
      <c r="AQ245" s="1151" t="e">
        <f>AQ246/AQ63</f>
        <v>#DIV/0!</v>
      </c>
      <c r="AR245" s="1119" t="e">
        <f>AR246/AR63</f>
        <v>#DIV/0!</v>
      </c>
      <c r="AS245" s="1123">
        <f>AS246/AS63</f>
        <v>-1.4725565845714284</v>
      </c>
      <c r="AT245" s="1119">
        <f>AT246/AT63</f>
        <v>-1.4837907945205477</v>
      </c>
      <c r="AU245" s="1123" t="e">
        <f>AT246/AQ246</f>
        <v>#DIV/0!</v>
      </c>
      <c r="AV245" s="1119" t="e">
        <f>AT246/AR246</f>
        <v>#DIV/0!</v>
      </c>
      <c r="AW245" s="1080">
        <f>AT246/AS246</f>
        <v>1.0508131536566909</v>
      </c>
      <c r="AX245" s="708"/>
      <c r="AY245" s="709"/>
      <c r="AZ245" s="709"/>
      <c r="BA245" s="555"/>
      <c r="BB245" s="555"/>
      <c r="BC245" s="555"/>
      <c r="BD245" s="555"/>
      <c r="BE245" s="1113" t="e">
        <f>BE246/BE63</f>
        <v>#DIV/0!</v>
      </c>
      <c r="BF245" s="1114" t="e">
        <f>BF246/BF63</f>
        <v>#DIV/0!</v>
      </c>
      <c r="BG245" s="1115">
        <f>BG246/BG63</f>
        <v>0.19747271268057784</v>
      </c>
      <c r="BH245" s="1093" t="e">
        <f>BG246/BF246</f>
        <v>#DIV/0!</v>
      </c>
      <c r="BI245" s="1113" t="e">
        <f>BI246/BI63</f>
        <v>#DIV/0!</v>
      </c>
      <c r="BJ245" s="1114">
        <f>BJ246/BJ63</f>
        <v>-5.9647058823529407E-2</v>
      </c>
      <c r="BK245" s="1115">
        <f>BK246/BK63</f>
        <v>-0.88346699999999989</v>
      </c>
      <c r="BL245" s="1093">
        <f>BK246/BJ246</f>
        <v>5.227615384615385</v>
      </c>
      <c r="BM245" s="1113" t="e">
        <f>BM246/BM63</f>
        <v>#DIV/0!</v>
      </c>
      <c r="BN245" s="1114" t="e">
        <f>BN246/BN63</f>
        <v>#DIV/0!</v>
      </c>
      <c r="BO245" s="1115" t="e">
        <f>BO246/BO63</f>
        <v>#DIV/0!</v>
      </c>
      <c r="BP245" s="1095" t="e">
        <f>BO246/BN246</f>
        <v>#DIV/0!</v>
      </c>
      <c r="BQ245" s="1113" t="e">
        <f>BQ246/BQ63</f>
        <v>#DIV/0!</v>
      </c>
      <c r="BR245" s="1123"/>
      <c r="BS245" s="1120">
        <f>BS246/BS63</f>
        <v>-5.9647058823529407E-2</v>
      </c>
      <c r="BT245" s="1119">
        <f>BT246/BT63</f>
        <v>-0.56626236457842671</v>
      </c>
      <c r="BU245" s="1119" t="e">
        <f>BT246/BQ246</f>
        <v>#DIV/0!</v>
      </c>
      <c r="BV245" s="1120"/>
      <c r="BW245" s="1079">
        <f>BT246/BS246</f>
        <v>4.7423076923076923</v>
      </c>
      <c r="BX245" s="1113" t="e">
        <f>BX246/BX63</f>
        <v>#DIV/0!</v>
      </c>
      <c r="BY245" s="1114" t="e">
        <f>BY246/BY63</f>
        <v>#DIV/0!</v>
      </c>
      <c r="BZ245" s="1115">
        <f>BZ246/BZ63</f>
        <v>-0.82728209394179542</v>
      </c>
      <c r="CA245" s="1095" t="e">
        <f>BZ246/BY246</f>
        <v>#DIV/0!</v>
      </c>
      <c r="CB245" s="1113" t="e">
        <f>CB246/CB63</f>
        <v>#DIV/0!</v>
      </c>
      <c r="CC245" s="1114" t="e">
        <f>CC246/CC63</f>
        <v>#DIV/0!</v>
      </c>
      <c r="CD245" s="1278">
        <f>CD246/CD63</f>
        <v>9.3599999999999989E-2</v>
      </c>
      <c r="CE245" s="1095" t="e">
        <f>CD246/CC246</f>
        <v>#DIV/0!</v>
      </c>
      <c r="CF245" s="1113" t="e">
        <f>CF246/CF63</f>
        <v>#DIV/0!</v>
      </c>
      <c r="CG245" s="1114" t="e">
        <f>CG246/CG63</f>
        <v>#DIV/0!</v>
      </c>
      <c r="CH245" s="1278" t="e">
        <f>CH246/CH63</f>
        <v>#DIV/0!</v>
      </c>
      <c r="CI245" s="1095" t="e">
        <f>CH246/CG246</f>
        <v>#DIV/0!</v>
      </c>
      <c r="CJ245" s="1113" t="e">
        <f>CJ246/CJ63</f>
        <v>#DIV/0!</v>
      </c>
      <c r="CK245" s="1123"/>
      <c r="CL245" s="1120" t="e">
        <f>CL246/CL63</f>
        <v>#DIV/0!</v>
      </c>
      <c r="CM245" s="1119">
        <f>CM246/CM63</f>
        <v>-0.46282025100032048</v>
      </c>
      <c r="CN245" s="1123" t="e">
        <f>CM246/CJ246</f>
        <v>#DIV/0!</v>
      </c>
      <c r="CO245" s="1123"/>
      <c r="CP245" s="1080" t="e">
        <f>CM246/CL246</f>
        <v>#DIV/0!</v>
      </c>
      <c r="CQ245" s="1151" t="e">
        <f>CQ246/CQ63</f>
        <v>#DIV/0!</v>
      </c>
      <c r="CR245" s="1123"/>
      <c r="CS245" s="1123">
        <f>CS246/CS63</f>
        <v>-5.9647058823529407E-2</v>
      </c>
      <c r="CT245" s="1119">
        <f>CT246/CT63</f>
        <v>-0.49749066567732042</v>
      </c>
      <c r="CU245" s="1123" t="e">
        <f>CT246/CQ246</f>
        <v>#DIV/0!</v>
      </c>
      <c r="CV245" s="1123"/>
      <c r="CW245" s="1080">
        <f>CT246/CS246</f>
        <v>12.430692307692308</v>
      </c>
      <c r="CX245" s="708" t="e">
        <f t="shared" si="333"/>
        <v>#DIV/0!</v>
      </c>
      <c r="CY245" s="709"/>
      <c r="CZ245" s="555"/>
      <c r="DA245" s="555"/>
      <c r="DB245" s="555"/>
      <c r="DC245" s="555"/>
      <c r="DD245" s="555"/>
    </row>
    <row r="246" spans="1:108">
      <c r="A246" s="647" t="s">
        <v>410</v>
      </c>
      <c r="B246" s="661"/>
      <c r="C246" s="997"/>
      <c r="D246" s="995"/>
      <c r="E246" s="822"/>
      <c r="F246" s="887"/>
      <c r="G246" s="824">
        <v>27.201409999999999</v>
      </c>
      <c r="H246" s="825">
        <f>G246-F246</f>
        <v>27.201409999999999</v>
      </c>
      <c r="I246" s="822"/>
      <c r="J246" s="887"/>
      <c r="K246" s="824">
        <v>0</v>
      </c>
      <c r="L246" s="825">
        <f>K246-J246</f>
        <v>0</v>
      </c>
      <c r="M246" s="822"/>
      <c r="N246" s="887"/>
      <c r="O246" s="824">
        <v>-22.383410000000001</v>
      </c>
      <c r="P246" s="825">
        <f>O246-N246</f>
        <v>-22.383410000000001</v>
      </c>
      <c r="Q246" s="827">
        <f>E246+I246+M246</f>
        <v>0</v>
      </c>
      <c r="R246" s="828">
        <v>0</v>
      </c>
      <c r="S246" s="739">
        <f>G246+J246+N246</f>
        <v>27.201409999999999</v>
      </c>
      <c r="T246" s="520">
        <f>G246+K246+O246</f>
        <v>4.8179999999999978</v>
      </c>
      <c r="U246" s="712">
        <f>T246-Q246</f>
        <v>4.8179999999999978</v>
      </c>
      <c r="V246" s="711">
        <f t="shared" si="320"/>
        <v>4.8179999999999978</v>
      </c>
      <c r="W246" s="716">
        <f>T246-S246</f>
        <v>-22.383410000000001</v>
      </c>
      <c r="X246" s="822"/>
      <c r="Y246" s="887">
        <v>0</v>
      </c>
      <c r="Z246" s="824">
        <v>0</v>
      </c>
      <c r="AA246" s="825">
        <f>Z246-Y246</f>
        <v>0</v>
      </c>
      <c r="AB246" s="822"/>
      <c r="AC246" s="887">
        <v>-467.70979</v>
      </c>
      <c r="AD246" s="824">
        <v>-467.71</v>
      </c>
      <c r="AE246" s="825">
        <f>AD246-AC246</f>
        <v>-2.0999999998139174E-4</v>
      </c>
      <c r="AF246" s="822"/>
      <c r="AG246" s="887">
        <v>0</v>
      </c>
      <c r="AH246" s="824">
        <v>0</v>
      </c>
      <c r="AI246" s="825">
        <f>AH246-AG246</f>
        <v>0</v>
      </c>
      <c r="AJ246" s="827">
        <f>X246+AB246+AF246</f>
        <v>0</v>
      </c>
      <c r="AK246" s="828"/>
      <c r="AL246" s="711">
        <f>Y246+AC246+AG246</f>
        <v>-467.70979</v>
      </c>
      <c r="AM246" s="520">
        <f>Z246+AD246+AH246</f>
        <v>-467.71</v>
      </c>
      <c r="AN246" s="739">
        <f>AM246-AJ246</f>
        <v>-467.71</v>
      </c>
      <c r="AO246" s="711">
        <f t="shared" si="321"/>
        <v>-467.71</v>
      </c>
      <c r="AP246" s="716">
        <f>AM246-AL246</f>
        <v>-2.0999999998139174E-4</v>
      </c>
      <c r="AQ246" s="713">
        <f>SUM(Q246,AJ246)</f>
        <v>0</v>
      </c>
      <c r="AR246" s="715">
        <f>R246+AK246</f>
        <v>0</v>
      </c>
      <c r="AS246" s="608">
        <f>S246+AL246</f>
        <v>-440.50837999999999</v>
      </c>
      <c r="AT246" s="520">
        <f>SUM(T246,AM246)</f>
        <v>-462.892</v>
      </c>
      <c r="AU246" s="517">
        <f>AT246-AQ246</f>
        <v>-462.892</v>
      </c>
      <c r="AV246" s="711">
        <f t="shared" si="322"/>
        <v>-462.892</v>
      </c>
      <c r="AW246" s="716">
        <f>AT246-AS246</f>
        <v>-22.383620000000008</v>
      </c>
      <c r="AX246" s="708">
        <f>AQ246/6</f>
        <v>0</v>
      </c>
      <c r="AY246" s="709">
        <f>AR246/6</f>
        <v>0</v>
      </c>
      <c r="AZ246" s="709">
        <f>AT246/6</f>
        <v>-77.148666666666671</v>
      </c>
      <c r="BA246" s="829" t="e">
        <f>AZ246/AX246</f>
        <v>#DIV/0!</v>
      </c>
      <c r="BB246" s="516">
        <f>AZ246-AX246</f>
        <v>-77.148666666666671</v>
      </c>
      <c r="BC246" s="516">
        <f>AZ246-AY246</f>
        <v>-77.148666666666671</v>
      </c>
      <c r="BD246" s="516">
        <f>AW246/6</f>
        <v>-3.7306033333333346</v>
      </c>
      <c r="BE246" s="822"/>
      <c r="BF246" s="887"/>
      <c r="BG246" s="824">
        <v>6.3090000000000002</v>
      </c>
      <c r="BH246" s="825">
        <f>BG246-BF246</f>
        <v>6.3090000000000002</v>
      </c>
      <c r="BI246" s="822"/>
      <c r="BJ246" s="887">
        <v>-13</v>
      </c>
      <c r="BK246" s="824">
        <v>-67.959000000000003</v>
      </c>
      <c r="BL246" s="825">
        <f>BK246-BJ246</f>
        <v>-54.959000000000003</v>
      </c>
      <c r="BM246" s="822"/>
      <c r="BN246" s="887">
        <v>0</v>
      </c>
      <c r="BO246" s="824">
        <v>0</v>
      </c>
      <c r="BP246" s="825">
        <f>BO246-BN246</f>
        <v>0</v>
      </c>
      <c r="BQ246" s="827">
        <f>BE246+BI246+BM246</f>
        <v>0</v>
      </c>
      <c r="BR246" s="714"/>
      <c r="BS246" s="711">
        <f>BF246+BJ246+BN246</f>
        <v>-13</v>
      </c>
      <c r="BT246" s="520">
        <f>BG246+BK246+BO246</f>
        <v>-61.650000000000006</v>
      </c>
      <c r="BU246" s="712">
        <f>BT246-BQ246</f>
        <v>-61.650000000000006</v>
      </c>
      <c r="BV246" s="711"/>
      <c r="BW246" s="716">
        <f>BT246-BS246</f>
        <v>-48.650000000000006</v>
      </c>
      <c r="BX246" s="822"/>
      <c r="BY246" s="887">
        <v>0</v>
      </c>
      <c r="BZ246" s="824">
        <v>-107.949</v>
      </c>
      <c r="CA246" s="825">
        <f>BZ246-BY246</f>
        <v>-107.949</v>
      </c>
      <c r="CB246" s="822"/>
      <c r="CC246" s="887">
        <v>0</v>
      </c>
      <c r="CD246" s="826">
        <v>8</v>
      </c>
      <c r="CE246" s="825">
        <f>CD246-CC246</f>
        <v>8</v>
      </c>
      <c r="CF246" s="822"/>
      <c r="CG246" s="887">
        <v>0</v>
      </c>
      <c r="CH246" s="826"/>
      <c r="CI246" s="825">
        <f>CH246-CG246</f>
        <v>0</v>
      </c>
      <c r="CJ246" s="827">
        <f>BX246+CB246+CF246</f>
        <v>0</v>
      </c>
      <c r="CK246" s="714"/>
      <c r="CL246" s="711">
        <f>BY246+CC246+CG246</f>
        <v>0</v>
      </c>
      <c r="CM246" s="520">
        <f>BZ246+CD246+CH246</f>
        <v>-99.948999999999998</v>
      </c>
      <c r="CN246" s="739">
        <f>CM246-CJ246</f>
        <v>-99.948999999999998</v>
      </c>
      <c r="CO246" s="739"/>
      <c r="CP246" s="716">
        <f>CM246-CL246</f>
        <v>-99.948999999999998</v>
      </c>
      <c r="CQ246" s="713">
        <f>SUM(BQ246,CJ246)</f>
        <v>0</v>
      </c>
      <c r="CR246" s="1340"/>
      <c r="CS246" s="608">
        <f>BS246+CL246</f>
        <v>-13</v>
      </c>
      <c r="CT246" s="520">
        <f>SUM(BT246,CM246)</f>
        <v>-161.59899999999999</v>
      </c>
      <c r="CU246" s="517">
        <f>CT246-CQ246</f>
        <v>-161.59899999999999</v>
      </c>
      <c r="CV246" s="517"/>
      <c r="CW246" s="716">
        <f>CT246-CS246</f>
        <v>-148.59899999999999</v>
      </c>
      <c r="CX246" s="708">
        <f t="shared" si="333"/>
        <v>0</v>
      </c>
      <c r="CY246" s="709">
        <f>CT246/6</f>
        <v>-26.933166666666665</v>
      </c>
      <c r="CZ246" s="829" t="e">
        <f>CY246/CX246</f>
        <v>#DIV/0!</v>
      </c>
      <c r="DA246" s="555">
        <f>CY246-CX246</f>
        <v>-26.933166666666665</v>
      </c>
      <c r="DB246" s="555">
        <f>CW246/6</f>
        <v>-24.766499999999997</v>
      </c>
      <c r="DC246" s="516"/>
      <c r="DD246" s="516"/>
    </row>
    <row r="247" spans="1:108">
      <c r="A247" s="644" t="str">
        <f>A245</f>
        <v>%=粗利率</v>
      </c>
      <c r="B247" s="662"/>
      <c r="C247" s="662"/>
      <c r="D247" s="619"/>
      <c r="E247" s="953"/>
      <c r="F247" s="954"/>
      <c r="G247" s="955"/>
      <c r="H247" s="812" t="e">
        <f>G248/F248</f>
        <v>#DIV/0!</v>
      </c>
      <c r="I247" s="1113"/>
      <c r="J247" s="1114"/>
      <c r="K247" s="1115"/>
      <c r="L247" s="1093" t="e">
        <f>K248/J248</f>
        <v>#DIV/0!</v>
      </c>
      <c r="M247" s="1113"/>
      <c r="N247" s="1114">
        <v>0.22700000000000001</v>
      </c>
      <c r="O247" s="1115">
        <f>O248/O65</f>
        <v>0.24063689189189186</v>
      </c>
      <c r="P247" s="1093">
        <f>O248/N248</f>
        <v>0.59520909683059364</v>
      </c>
      <c r="Q247" s="1113" t="e">
        <f>Q248/Q65</f>
        <v>#DIV/0!</v>
      </c>
      <c r="R247" s="1140"/>
      <c r="S247" s="1123">
        <f>S248/S65</f>
        <v>0.22699999999999998</v>
      </c>
      <c r="T247" s="1119">
        <f>T248/T65</f>
        <v>0.24063689189189186</v>
      </c>
      <c r="U247" s="1119" t="e">
        <f>T248/Q248</f>
        <v>#DIV/0!</v>
      </c>
      <c r="V247" s="1120" t="e">
        <f>T248/R248</f>
        <v>#DIV/0!</v>
      </c>
      <c r="W247" s="1079">
        <f>T248/S248</f>
        <v>0.59520909683059364</v>
      </c>
      <c r="X247" s="1113">
        <v>0.2</v>
      </c>
      <c r="Y247" s="1114">
        <v>0.2</v>
      </c>
      <c r="Z247" s="1115">
        <v>0.19634702651197458</v>
      </c>
      <c r="AA247" s="1093">
        <f>Z248/Y248</f>
        <v>0.20665641692549117</v>
      </c>
      <c r="AB247" s="1113">
        <v>0.2</v>
      </c>
      <c r="AC247" s="1114">
        <v>0.2</v>
      </c>
      <c r="AD247" s="1115">
        <v>0.27861180000000002</v>
      </c>
      <c r="AE247" s="1095">
        <f>AD248/AC248</f>
        <v>11.822427379999999</v>
      </c>
      <c r="AF247" s="1113">
        <v>0.2</v>
      </c>
      <c r="AG247" s="1114">
        <v>0.18</v>
      </c>
      <c r="AH247" s="1115">
        <v>0.1777</v>
      </c>
      <c r="AI247" s="1095">
        <f>AH248/AG248</f>
        <v>0.58180296296296297</v>
      </c>
      <c r="AJ247" s="1113">
        <f>AJ248/AJ65</f>
        <v>0.2</v>
      </c>
      <c r="AK247" s="1140">
        <v>0.2</v>
      </c>
      <c r="AL247" s="1120">
        <f>AL248/AL65</f>
        <v>0.1879421221864952</v>
      </c>
      <c r="AM247" s="1119">
        <f>AM248/AM65</f>
        <v>0.23416269687010899</v>
      </c>
      <c r="AN247" s="1123">
        <f>AM248/AJ248</f>
        <v>1.3756174140904136</v>
      </c>
      <c r="AO247" s="1120">
        <f t="shared" si="321"/>
        <v>3.4162696870108977E-2</v>
      </c>
      <c r="AP247" s="1080">
        <f>AM248/AL248</f>
        <v>1.1685099163317201</v>
      </c>
      <c r="AQ247" s="1113">
        <f>AQ248/AQ65</f>
        <v>0.2</v>
      </c>
      <c r="AR247" s="1119">
        <v>0.2</v>
      </c>
      <c r="AS247" s="1120">
        <f>AS248/AS65</f>
        <v>0.19462958027981345</v>
      </c>
      <c r="AT247" s="1119">
        <f>AT248/AT65</f>
        <v>0.23487530277525259</v>
      </c>
      <c r="AU247" s="1123">
        <f>AT248/AQ248</f>
        <v>1.5504608355405647</v>
      </c>
      <c r="AV247" s="1119">
        <f>AT248/AR248</f>
        <v>1.5504608355405647</v>
      </c>
      <c r="AW247" s="1080">
        <f>AT248/AS248</f>
        <v>1.0540240157539944</v>
      </c>
      <c r="AX247" s="708"/>
      <c r="AY247" s="709"/>
      <c r="AZ247" s="709"/>
      <c r="BA247" s="555"/>
      <c r="BB247" s="555"/>
      <c r="BC247" s="555"/>
      <c r="BD247" s="555"/>
      <c r="BE247" s="1113">
        <v>0.157</v>
      </c>
      <c r="BF247" s="1114">
        <v>0.15</v>
      </c>
      <c r="BG247" s="1115">
        <v>0.26637</v>
      </c>
      <c r="BH247" s="1093">
        <f>BG248/BF248</f>
        <v>0.21615772413793105</v>
      </c>
      <c r="BI247" s="1113">
        <v>0.157</v>
      </c>
      <c r="BJ247" s="1114">
        <v>0.15</v>
      </c>
      <c r="BK247" s="1115">
        <f>BK248/BK65</f>
        <v>0.19691736401673637</v>
      </c>
      <c r="BL247" s="1093">
        <f>BK248/BJ248</f>
        <v>0.16513421052631577</v>
      </c>
      <c r="BM247" s="1113">
        <v>0.157</v>
      </c>
      <c r="BN247" s="1114">
        <v>0.222</v>
      </c>
      <c r="BO247" s="1115">
        <f>BO248/BO65</f>
        <v>0.22601346886022058</v>
      </c>
      <c r="BP247" s="1095">
        <f>BO248/BN248</f>
        <v>3.4595160176150586</v>
      </c>
      <c r="BQ247" s="1113">
        <f>BQ248/BQ65</f>
        <v>0.15700000000000003</v>
      </c>
      <c r="BR247" s="1123"/>
      <c r="BS247" s="1120">
        <f>BS248/BS65</f>
        <v>0.16014818663618413</v>
      </c>
      <c r="BT247" s="1119">
        <f>BT248/BT65</f>
        <v>0.22358786677542455</v>
      </c>
      <c r="BU247" s="1119">
        <f>BT248/BQ248</f>
        <v>0.55023308175551866</v>
      </c>
      <c r="BV247" s="1120"/>
      <c r="BW247" s="1079">
        <f>BT248/BS248</f>
        <v>0.81840202426049857</v>
      </c>
      <c r="BX247" s="1113">
        <v>0.154</v>
      </c>
      <c r="BY247" s="1114">
        <v>0.15</v>
      </c>
      <c r="BZ247" s="1115">
        <v>0.145978</v>
      </c>
      <c r="CA247" s="1095">
        <f>BZ248/BY248</f>
        <v>0.63797990600012211</v>
      </c>
      <c r="CB247" s="1113">
        <v>0.154</v>
      </c>
      <c r="CC247" s="1114">
        <v>0.15</v>
      </c>
      <c r="CD247" s="1278">
        <v>0.21099999999999999</v>
      </c>
      <c r="CE247" s="1095">
        <f>CD248/CC248</f>
        <v>0.43264844569598587</v>
      </c>
      <c r="CF247" s="1113">
        <v>0.154</v>
      </c>
      <c r="CG247" s="1114">
        <v>0.15</v>
      </c>
      <c r="CH247" s="1278">
        <v>0.20499999999999999</v>
      </c>
      <c r="CI247" s="1095">
        <f>CH248/CG248</f>
        <v>0.3058782139053704</v>
      </c>
      <c r="CJ247" s="1113">
        <f>CJ248/CJ65</f>
        <v>0.154</v>
      </c>
      <c r="CK247" s="1123"/>
      <c r="CL247" s="1120">
        <f>CL248/CL65</f>
        <v>0.15</v>
      </c>
      <c r="CM247" s="1119">
        <f>CM248/CM65</f>
        <v>0.19748697440849827</v>
      </c>
      <c r="CN247" s="1123">
        <f>CM248/CJ248</f>
        <v>0.55654130153166192</v>
      </c>
      <c r="CO247" s="1123"/>
      <c r="CP247" s="1080">
        <f>CM248/CL248</f>
        <v>0.38565200795828497</v>
      </c>
      <c r="CQ247" s="1113">
        <f>CQ248/CQ65</f>
        <v>0.15543575174825178</v>
      </c>
      <c r="CR247" s="1123"/>
      <c r="CS247" s="1120">
        <f>CS248/CS65</f>
        <v>0.15294230247762902</v>
      </c>
      <c r="CT247" s="1119">
        <f>CT248/CT65</f>
        <v>0.20922408100385137</v>
      </c>
      <c r="CU247" s="1123">
        <f>CT248/CQ248</f>
        <v>0.55349190677572901</v>
      </c>
      <c r="CV247" s="1123"/>
      <c r="CW247" s="1080">
        <f>CT248/CS248</f>
        <v>0.51703234331572301</v>
      </c>
      <c r="CX247" s="708"/>
      <c r="CY247" s="709"/>
      <c r="CZ247" s="555"/>
      <c r="DA247" s="555"/>
      <c r="DB247" s="555"/>
      <c r="DC247" s="555"/>
      <c r="DD247" s="555"/>
    </row>
    <row r="248" spans="1:108">
      <c r="A248" s="647" t="s">
        <v>411</v>
      </c>
      <c r="B248" s="661"/>
      <c r="C248" s="997"/>
      <c r="D248" s="995"/>
      <c r="E248" s="822">
        <f>E247*E65</f>
        <v>0</v>
      </c>
      <c r="F248" s="887">
        <f>F247*F65</f>
        <v>0</v>
      </c>
      <c r="G248" s="824">
        <f>G247*G65</f>
        <v>0</v>
      </c>
      <c r="H248" s="825">
        <f>G248-F248</f>
        <v>0</v>
      </c>
      <c r="I248" s="822">
        <f>I247*I65</f>
        <v>0</v>
      </c>
      <c r="J248" s="887">
        <f>J247*J65</f>
        <v>0</v>
      </c>
      <c r="K248" s="824">
        <f>K247*K65</f>
        <v>0</v>
      </c>
      <c r="L248" s="825">
        <f>K248-J248</f>
        <v>0</v>
      </c>
      <c r="M248" s="822">
        <f>M247*M65</f>
        <v>0</v>
      </c>
      <c r="N248" s="887">
        <f>N247*N65</f>
        <v>99.724786324786322</v>
      </c>
      <c r="O248" s="824">
        <v>59.357100000000003</v>
      </c>
      <c r="P248" s="825">
        <f>O248-N248</f>
        <v>-40.36768632478632</v>
      </c>
      <c r="Q248" s="827">
        <f>E248+I248+M248</f>
        <v>0</v>
      </c>
      <c r="R248" s="828">
        <f>R247*R65</f>
        <v>0</v>
      </c>
      <c r="S248" s="739">
        <f>G248+J248+N248</f>
        <v>99.724786324786322</v>
      </c>
      <c r="T248" s="520">
        <f>G248+K248+O248</f>
        <v>59.357100000000003</v>
      </c>
      <c r="U248" s="712">
        <f>T248-Q248</f>
        <v>59.357100000000003</v>
      </c>
      <c r="V248" s="711">
        <f t="shared" si="320"/>
        <v>59.357100000000003</v>
      </c>
      <c r="W248" s="716">
        <f>T248-S248</f>
        <v>-40.36768632478632</v>
      </c>
      <c r="X248" s="822">
        <f>X247*X65</f>
        <v>113.16239316239317</v>
      </c>
      <c r="Y248" s="887">
        <f>Y247*Y65</f>
        <v>143.24786324786325</v>
      </c>
      <c r="Z248" s="824">
        <f>Z247*Z65</f>
        <v>29.60309015103617</v>
      </c>
      <c r="AA248" s="825">
        <f>Z248-Y248</f>
        <v>-113.64477309682708</v>
      </c>
      <c r="AB248" s="822">
        <f>AB247*AB65</f>
        <v>113.16239316239317</v>
      </c>
      <c r="AC248" s="887">
        <f>AC247*AC65</f>
        <v>25.641025641025642</v>
      </c>
      <c r="AD248" s="824">
        <f>AD247*AD65</f>
        <v>303.13916358974359</v>
      </c>
      <c r="AE248" s="825">
        <f>AD248-AC248</f>
        <v>277.49813794871795</v>
      </c>
      <c r="AF248" s="822">
        <f>AF247*AF65</f>
        <v>113.16239316239317</v>
      </c>
      <c r="AG248" s="887">
        <f>AG247*AG65</f>
        <v>230.7692307692308</v>
      </c>
      <c r="AH248" s="824">
        <f>AH247*AH65</f>
        <v>134.26222222222225</v>
      </c>
      <c r="AI248" s="825">
        <f>AH248-AG248</f>
        <v>-96.507008547008553</v>
      </c>
      <c r="AJ248" s="827">
        <f>X248+AB248+AF248</f>
        <v>339.4871794871795</v>
      </c>
      <c r="AK248" s="828">
        <v>339.4871794871795</v>
      </c>
      <c r="AL248" s="711">
        <f>Y248+AC248+AG248</f>
        <v>399.65811965811969</v>
      </c>
      <c r="AM248" s="520">
        <f>Z248+AD248+AH248</f>
        <v>467.00447596300199</v>
      </c>
      <c r="AN248" s="739">
        <f>AM248-AJ248</f>
        <v>127.51729647582249</v>
      </c>
      <c r="AO248" s="711">
        <f t="shared" si="321"/>
        <v>127.51729647582249</v>
      </c>
      <c r="AP248" s="716">
        <f>AM248-AL248</f>
        <v>67.346356304882306</v>
      </c>
      <c r="AQ248" s="713">
        <f>SUM(Q248,AJ248)</f>
        <v>339.4871794871795</v>
      </c>
      <c r="AR248" s="715">
        <f>AR247*AR65</f>
        <v>339.4871794871795</v>
      </c>
      <c r="AS248" s="608">
        <f>S248+AL248</f>
        <v>499.38290598290598</v>
      </c>
      <c r="AT248" s="520">
        <f>SUM(T248,AM248)</f>
        <v>526.361575963002</v>
      </c>
      <c r="AU248" s="517">
        <f>AT248-AQ248</f>
        <v>186.87439647582249</v>
      </c>
      <c r="AV248" s="711">
        <f t="shared" si="322"/>
        <v>186.87439647582249</v>
      </c>
      <c r="AW248" s="716">
        <f>AT248-AS248</f>
        <v>26.978669980096015</v>
      </c>
      <c r="AX248" s="708">
        <f>AQ248/6</f>
        <v>56.581196581196586</v>
      </c>
      <c r="AY248" s="709">
        <f>AR248/6</f>
        <v>56.581196581196586</v>
      </c>
      <c r="AZ248" s="709">
        <f>AT248/6</f>
        <v>87.726929327166999</v>
      </c>
      <c r="BA248" s="829">
        <f>AZ248/AX248</f>
        <v>1.5504608355405647</v>
      </c>
      <c r="BB248" s="516">
        <f>AZ248-AX248</f>
        <v>31.145732745970413</v>
      </c>
      <c r="BC248" s="516">
        <f>AZ248-AY248</f>
        <v>31.145732745970413</v>
      </c>
      <c r="BD248" s="516">
        <f>AW248/6</f>
        <v>4.4964449966826692</v>
      </c>
      <c r="BE248" s="822">
        <f>BE247*BE65</f>
        <v>778.29059829059838</v>
      </c>
      <c r="BF248" s="887">
        <f>BF247*BF65</f>
        <v>743.58974358974365</v>
      </c>
      <c r="BG248" s="824">
        <f>BG247*BG65</f>
        <v>160.73266666666669</v>
      </c>
      <c r="BH248" s="825">
        <f>BG248-BF248</f>
        <v>-582.85707692307699</v>
      </c>
      <c r="BI248" s="822">
        <f>BI247*BI65</f>
        <v>2549.5726495726499</v>
      </c>
      <c r="BJ248" s="887">
        <f>BJ247*BJ65</f>
        <v>2435.897435897436</v>
      </c>
      <c r="BK248" s="824">
        <v>402.25</v>
      </c>
      <c r="BL248" s="825">
        <f>BK248-BJ248</f>
        <v>-2033.647435897436</v>
      </c>
      <c r="BM248" s="822">
        <f>BM247*BM65</f>
        <v>2549.5726495726499</v>
      </c>
      <c r="BN248" s="887">
        <f>BN247*BN65</f>
        <v>772.06666666666672</v>
      </c>
      <c r="BO248" s="824">
        <v>2670.9769999999999</v>
      </c>
      <c r="BP248" s="825">
        <f>BO248-BN248</f>
        <v>1898.9103333333333</v>
      </c>
      <c r="BQ248" s="827">
        <f>BE248+BI248+BM248</f>
        <v>5877.4358974358984</v>
      </c>
      <c r="BR248" s="714"/>
      <c r="BS248" s="711">
        <f>BF248+BJ248+BN248</f>
        <v>3951.5538461538463</v>
      </c>
      <c r="BT248" s="520">
        <f>BG248+BK248+BO248</f>
        <v>3233.9596666666666</v>
      </c>
      <c r="BU248" s="712">
        <f>BT248-BQ248</f>
        <v>-2643.4762307692317</v>
      </c>
      <c r="BV248" s="711"/>
      <c r="BW248" s="716">
        <f>BT248-BS248</f>
        <v>-717.59417948717964</v>
      </c>
      <c r="BX248" s="822">
        <f>BX247*BX65</f>
        <v>2500.8547008547012</v>
      </c>
      <c r="BY248" s="887">
        <f>BY247*BY65</f>
        <v>700.1282051282052</v>
      </c>
      <c r="BZ248" s="824">
        <f>BZ247*BZ65</f>
        <v>446.66772649572653</v>
      </c>
      <c r="CA248" s="825">
        <f>BZ248-BY248</f>
        <v>-253.46047863247867</v>
      </c>
      <c r="CB248" s="822">
        <f>CB247*CB65</f>
        <v>2353.4358974358975</v>
      </c>
      <c r="CC248" s="887">
        <f>CC247*CC65</f>
        <v>3869.8717948717949</v>
      </c>
      <c r="CD248" s="826">
        <f>CD247*CD65</f>
        <v>1674.2940170940171</v>
      </c>
      <c r="CE248" s="825">
        <f>CD248-CC248</f>
        <v>-2195.5777777777776</v>
      </c>
      <c r="CF248" s="822">
        <f>CF247*CF65</f>
        <v>1426.8034188034189</v>
      </c>
      <c r="CG248" s="887">
        <f>CG247*CG65</f>
        <v>4494.3589743589746</v>
      </c>
      <c r="CH248" s="826">
        <f>CH247*CH65</f>
        <v>1374.7264957264956</v>
      </c>
      <c r="CI248" s="825">
        <f>CH248-CG248</f>
        <v>-3119.632478632479</v>
      </c>
      <c r="CJ248" s="827">
        <f>BX248+CB248+CF248</f>
        <v>6281.0940170940175</v>
      </c>
      <c r="CK248" s="714"/>
      <c r="CL248" s="711">
        <f>BY248+CC248+CG248</f>
        <v>9064.3589743589746</v>
      </c>
      <c r="CM248" s="520">
        <f>BZ248+CD248+CH248</f>
        <v>3495.6882393162391</v>
      </c>
      <c r="CN248" s="739">
        <f>CM248-CJ248</f>
        <v>-2785.4057777777784</v>
      </c>
      <c r="CO248" s="739"/>
      <c r="CP248" s="716">
        <f>CM248-CL248</f>
        <v>-5568.670735042735</v>
      </c>
      <c r="CQ248" s="713">
        <f>SUM(BQ248,CJ248)</f>
        <v>12158.529914529916</v>
      </c>
      <c r="CR248" s="1340"/>
      <c r="CS248" s="608">
        <f>BS248+CL248</f>
        <v>13015.912820512822</v>
      </c>
      <c r="CT248" s="520">
        <f>SUM(BT248,CM248)</f>
        <v>6729.6479059829053</v>
      </c>
      <c r="CU248" s="517">
        <f>CT248-CQ248</f>
        <v>-5428.8820085470106</v>
      </c>
      <c r="CV248" s="517"/>
      <c r="CW248" s="716">
        <f>CT248-CS248</f>
        <v>-6286.2649145299165</v>
      </c>
      <c r="CX248" s="708">
        <f t="shared" si="333"/>
        <v>2026.4216524216527</v>
      </c>
      <c r="CY248" s="709">
        <f>CT248/6</f>
        <v>1121.6079843304842</v>
      </c>
      <c r="CZ248" s="829">
        <f>CY248/CX248</f>
        <v>0.55349190677572901</v>
      </c>
      <c r="DA248" s="555">
        <f>CY248-CX248</f>
        <v>-904.81366809116844</v>
      </c>
      <c r="DB248" s="555">
        <f>CW248/6</f>
        <v>-1047.7108190883193</v>
      </c>
      <c r="DC248" s="516"/>
      <c r="DD248" s="516"/>
    </row>
    <row r="249" spans="1:108">
      <c r="A249" s="662"/>
      <c r="B249" s="662"/>
      <c r="C249" s="662"/>
      <c r="D249" s="619"/>
      <c r="E249" s="953">
        <f>E250/E67</f>
        <v>0.17423454076432027</v>
      </c>
      <c r="F249" s="954">
        <f>F250/F67</f>
        <v>0.17458667340878559</v>
      </c>
      <c r="G249" s="955">
        <f>G250/G67</f>
        <v>0.17504920868215323</v>
      </c>
      <c r="H249" s="812">
        <f>G250/F250</f>
        <v>1.2121484816466972</v>
      </c>
      <c r="I249" s="1113">
        <f>I250/I67</f>
        <v>0.17576275210095113</v>
      </c>
      <c r="J249" s="1114">
        <f>J250/J67</f>
        <v>0.178079195571369</v>
      </c>
      <c r="K249" s="1115">
        <f>K250/K67</f>
        <v>0.19028500484976943</v>
      </c>
      <c r="L249" s="1093">
        <f>K250/J250</f>
        <v>1.2903324563465992</v>
      </c>
      <c r="M249" s="1113">
        <f>M250/M67</f>
        <v>0.17557652730918832</v>
      </c>
      <c r="N249" s="1114">
        <f>N250/N67</f>
        <v>0.17802280233200521</v>
      </c>
      <c r="O249" s="1115">
        <f>O250/O67</f>
        <v>0.18644752636944689</v>
      </c>
      <c r="P249" s="1093">
        <f>O250/N250</f>
        <v>1.080529323380085</v>
      </c>
      <c r="Q249" s="1113">
        <f>Q250/Q67</f>
        <v>0.17521561545874573</v>
      </c>
      <c r="R249" s="1140">
        <f>R250/R67</f>
        <v>0.17644623381137811</v>
      </c>
      <c r="S249" s="1123">
        <f>S250/S67</f>
        <v>0.17692188855605406</v>
      </c>
      <c r="T249" s="1120">
        <f>T250/T67</f>
        <v>0.18379513234642239</v>
      </c>
      <c r="U249" s="1119">
        <f>T250/Q250</f>
        <v>1.3162085400798149</v>
      </c>
      <c r="V249" s="1120">
        <f>T250/R250</f>
        <v>1.146491393221055</v>
      </c>
      <c r="W249" s="1079">
        <f>T250/S250</f>
        <v>1.1160994200266867</v>
      </c>
      <c r="X249" s="1113">
        <f>X250/X67</f>
        <v>0.17642928904079247</v>
      </c>
      <c r="Y249" s="1114">
        <f>Y250/Y67</f>
        <v>0.1830604026321318</v>
      </c>
      <c r="Z249" s="1115">
        <f>Z250/Z67</f>
        <v>0.18109851411569924</v>
      </c>
      <c r="AA249" s="1093">
        <f>Z250/Y250</f>
        <v>1.0809399164852957</v>
      </c>
      <c r="AB249" s="1113">
        <f>AB250/AB67</f>
        <v>0.17428796328271617</v>
      </c>
      <c r="AC249" s="1114">
        <f>AC250/AC67</f>
        <v>0.17669102429505837</v>
      </c>
      <c r="AD249" s="1115">
        <f>AD250/AD67</f>
        <v>0.18270739830943158</v>
      </c>
      <c r="AE249" s="1095">
        <f>AD250/AC250</f>
        <v>1.0777335880417955</v>
      </c>
      <c r="AF249" s="1113">
        <f>AF250/AF67</f>
        <v>0.16856884889318802</v>
      </c>
      <c r="AG249" s="1114">
        <f>AG250/AG67</f>
        <v>0.18571204152909934</v>
      </c>
      <c r="AH249" s="1115">
        <f>AH250/AH67</f>
        <v>0.1940615837521685</v>
      </c>
      <c r="AI249" s="1095">
        <f>AH250/AG250</f>
        <v>1.0123877461997994</v>
      </c>
      <c r="AJ249" s="1113">
        <f>AJ250/AJ67</f>
        <v>0.17320257721803337</v>
      </c>
      <c r="AK249" s="1140">
        <f>AK250/AK67</f>
        <v>0.17069142705979573</v>
      </c>
      <c r="AL249" s="1120">
        <f>AL250/AL67</f>
        <v>0.18186780244839637</v>
      </c>
      <c r="AM249" s="1119">
        <f>AM250/AM67</f>
        <v>0.18608050319967559</v>
      </c>
      <c r="AN249" s="1123">
        <f>AM250/AJ250</f>
        <v>1.3740077451209256</v>
      </c>
      <c r="AO249" s="1100">
        <f>AM250/AK250</f>
        <v>1.3398581019969245</v>
      </c>
      <c r="AP249" s="1080">
        <f>AM250/AL250</f>
        <v>1.054432732938716</v>
      </c>
      <c r="AQ249" s="1151">
        <f>AQ250/AQ67</f>
        <v>0.17422013976653977</v>
      </c>
      <c r="AR249" s="1119">
        <f>AR250/AR67</f>
        <v>0.17373154956276191</v>
      </c>
      <c r="AS249" s="1123">
        <f>AS250/AS67</f>
        <v>0.17944274281061606</v>
      </c>
      <c r="AT249" s="1119">
        <f>AT250/AT67</f>
        <v>0.18493617160325126</v>
      </c>
      <c r="AU249" s="1123">
        <f>AT250/AQ250</f>
        <v>1.3446241179278637</v>
      </c>
      <c r="AV249" s="1119">
        <f>AT250/AR250</f>
        <v>1.2361110548733265</v>
      </c>
      <c r="AW249" s="1080">
        <f>AT250/AS250</f>
        <v>1.0842441182284646</v>
      </c>
      <c r="AX249" s="708"/>
      <c r="AY249" s="709"/>
      <c r="AZ249" s="709"/>
      <c r="BA249" s="983">
        <f>AT249/ AQ249</f>
        <v>1.0615085710014427</v>
      </c>
      <c r="BB249" s="555"/>
      <c r="BC249" s="555"/>
      <c r="BD249" s="555"/>
      <c r="BE249" s="1113">
        <f>BE250/BE67</f>
        <v>0.19119941245616404</v>
      </c>
      <c r="BF249" s="1114">
        <f>BF250/BF67</f>
        <v>0.18962681560428238</v>
      </c>
      <c r="BG249" s="1115">
        <f>BG250/BG67</f>
        <v>0.18436816445427195</v>
      </c>
      <c r="BH249" s="1093">
        <f>BG250/BF250</f>
        <v>0.82637415515139589</v>
      </c>
      <c r="BI249" s="1113">
        <f>BI250/BI67</f>
        <v>0.18376234410807041</v>
      </c>
      <c r="BJ249" s="1114">
        <f>BJ250/BJ67</f>
        <v>0.17184002302597806</v>
      </c>
      <c r="BK249" s="1115">
        <f>BK250/BK67</f>
        <v>0.1684193953793432</v>
      </c>
      <c r="BL249" s="1093">
        <f>BK250/BJ250</f>
        <v>0.90726182035605429</v>
      </c>
      <c r="BM249" s="1113">
        <f>BM250/BM67</f>
        <v>0.18038152657783454</v>
      </c>
      <c r="BN249" s="1114">
        <f>BN250/BN67</f>
        <v>0.18259970803205289</v>
      </c>
      <c r="BO249" s="1115">
        <f>BO250/BO67</f>
        <v>0.18664798963496518</v>
      </c>
      <c r="BP249" s="1095">
        <f>BO250/BN250</f>
        <v>0.98250674623500567</v>
      </c>
      <c r="BQ249" s="1113">
        <f>BQ250/BQ67</f>
        <v>0.18536484582005439</v>
      </c>
      <c r="BR249" s="1123"/>
      <c r="BS249" s="1120">
        <f>BS250/BS67</f>
        <v>0.18211421788449758</v>
      </c>
      <c r="BT249" s="1120">
        <f>BT250/BT67</f>
        <v>0.18026769173675611</v>
      </c>
      <c r="BU249" s="1119">
        <f>BT250/BQ250</f>
        <v>0.82931818054950246</v>
      </c>
      <c r="BV249" s="1120"/>
      <c r="BW249" s="1079">
        <f>BT250/BS250</f>
        <v>0.89822453019391857</v>
      </c>
      <c r="BX249" s="1113">
        <f>BX250/BX67</f>
        <v>0.18537187091232965</v>
      </c>
      <c r="BY249" s="1114">
        <f>BY250/BY67</f>
        <v>0.18242334066568147</v>
      </c>
      <c r="BZ249" s="1115">
        <f>BZ250/BZ67</f>
        <v>0.17027470171854192</v>
      </c>
      <c r="CA249" s="1095">
        <f>BZ250/BY250</f>
        <v>0.93903719320037782</v>
      </c>
      <c r="CB249" s="1113">
        <f>CB250/CB67</f>
        <v>0.18252728080714975</v>
      </c>
      <c r="CC249" s="1114">
        <f>CC250/CC67</f>
        <v>0.18220123276820102</v>
      </c>
      <c r="CD249" s="1278">
        <f>CD250/CD67</f>
        <v>0.17769886558040224</v>
      </c>
      <c r="CE249" s="1095">
        <f>CD250/CC250</f>
        <v>0.71433203942422385</v>
      </c>
      <c r="CF249" s="1113">
        <f>CF250/CF67</f>
        <v>0.18494852096888842</v>
      </c>
      <c r="CG249" s="1114">
        <f>CG250/CG67</f>
        <v>0.17783494527940855</v>
      </c>
      <c r="CH249" s="1278">
        <f>CH250/CH67</f>
        <v>0.17450914570256368</v>
      </c>
      <c r="CI249" s="1095">
        <f>CH250/CG250</f>
        <v>0.66468139649888236</v>
      </c>
      <c r="CJ249" s="1113">
        <f>CJ250/CJ67</f>
        <v>0.18427794389017235</v>
      </c>
      <c r="CK249" s="1123"/>
      <c r="CL249" s="1120">
        <f>CL250/CL67</f>
        <v>0.18107102526988139</v>
      </c>
      <c r="CM249" s="1119">
        <f>CM250/CM67</f>
        <v>0.17378524685148983</v>
      </c>
      <c r="CN249" s="1123">
        <f>CM250/CJ250</f>
        <v>0.83357196938866018</v>
      </c>
      <c r="CO249" s="1123"/>
      <c r="CP249" s="1080">
        <f>CM250/CL250</f>
        <v>0.7790360449726047</v>
      </c>
      <c r="CQ249" s="1151">
        <f>CQ250/CQ67</f>
        <v>0.18485046315247175</v>
      </c>
      <c r="CR249" s="1123"/>
      <c r="CS249" s="1123">
        <f>CS250/CS67</f>
        <v>0.18158212225406603</v>
      </c>
      <c r="CT249" s="1119">
        <f>CT250/CT67</f>
        <v>0.17714184207106934</v>
      </c>
      <c r="CU249" s="1123">
        <f>CT250/CQ250</f>
        <v>0.83132507581664306</v>
      </c>
      <c r="CV249" s="1123"/>
      <c r="CW249" s="1080">
        <f>CT250/CS250</f>
        <v>0.83760181803090938</v>
      </c>
      <c r="CX249" s="708"/>
      <c r="CY249" s="709"/>
      <c r="CZ249" s="1391">
        <f>CT249/ CQ249</f>
        <v>0.95829806996456346</v>
      </c>
      <c r="DA249" s="555"/>
      <c r="DB249" s="555"/>
      <c r="DC249" s="555"/>
      <c r="DD249" s="555"/>
    </row>
    <row r="250" spans="1:108" ht="16.5" thickBot="1">
      <c r="A250" s="661" t="s">
        <v>403</v>
      </c>
      <c r="B250" s="661"/>
      <c r="C250" s="997"/>
      <c r="D250" s="995"/>
      <c r="E250" s="902">
        <f>E216+E228+E244+E236+E242+E246+E248</f>
        <v>52302.230769230766</v>
      </c>
      <c r="F250" s="903">
        <f>F216+F228+F244+F236+F242+F246+F248</f>
        <v>60200.170940170945</v>
      </c>
      <c r="G250" s="904">
        <f>G216+G228+G244+G236+G242+G246+G248</f>
        <v>72971.545799999833</v>
      </c>
      <c r="H250" s="905">
        <f>G250-F250</f>
        <v>12771.374859828888</v>
      </c>
      <c r="I250" s="902">
        <f>I216+I228+I244+I236+I242+I246+I248</f>
        <v>56952.239316239313</v>
      </c>
      <c r="J250" s="903">
        <f>J216+J228+J244+J236+J242+J246+J248</f>
        <v>61258.025641025655</v>
      </c>
      <c r="K250" s="904">
        <f>K216+K228+K244+K236+K242+K246+K248</f>
        <v>79043.218696327589</v>
      </c>
      <c r="L250" s="905">
        <f>K250-J250</f>
        <v>17785.193055301934</v>
      </c>
      <c r="M250" s="902">
        <f>M216+M228+M244+M236+M242+M246+M248</f>
        <v>57022.153846153844</v>
      </c>
      <c r="N250" s="903">
        <f>N216+N228+N244+N236+N242+N246+N248</f>
        <v>61859.332923076923</v>
      </c>
      <c r="O250" s="904">
        <f>O216+O228+O244+O236+O242+O246+O248+0.87521</f>
        <v>66840.823148115727</v>
      </c>
      <c r="P250" s="905">
        <f>O250-N250</f>
        <v>4981.4902250388041</v>
      </c>
      <c r="Q250" s="902">
        <f t="shared" ref="Q250:AZ250" si="340">Q216+Q228+Q244+Q236+Q242+Q246+Q248</f>
        <v>166276.62393162394</v>
      </c>
      <c r="R250" s="907">
        <f>R216+R228+R244+R236+R242+R246+R248</f>
        <v>190890.84639316238</v>
      </c>
      <c r="S250" s="747">
        <f t="shared" si="340"/>
        <v>196088.90436410243</v>
      </c>
      <c r="T250" s="746">
        <f t="shared" si="340"/>
        <v>218854.71243444315</v>
      </c>
      <c r="U250" s="746">
        <f t="shared" si="340"/>
        <v>52578.088502819228</v>
      </c>
      <c r="V250" s="745">
        <f t="shared" si="320"/>
        <v>27963.866041280766</v>
      </c>
      <c r="W250" s="748">
        <f t="shared" si="340"/>
        <v>22765.808070340743</v>
      </c>
      <c r="X250" s="902">
        <f t="shared" si="340"/>
        <v>56076.16459331417</v>
      </c>
      <c r="Y250" s="903">
        <f t="shared" si="340"/>
        <v>62806.171008547004</v>
      </c>
      <c r="Z250" s="904">
        <f t="shared" si="340"/>
        <v>67889.697244740004</v>
      </c>
      <c r="AA250" s="905">
        <f t="shared" si="340"/>
        <v>5595.3787532920933</v>
      </c>
      <c r="AB250" s="902">
        <f t="shared" si="340"/>
        <v>54961.783703240129</v>
      </c>
      <c r="AC250" s="903">
        <f t="shared" si="340"/>
        <v>68930.415463846162</v>
      </c>
      <c r="AD250" s="904">
        <f t="shared" si="340"/>
        <v>74288.623983062585</v>
      </c>
      <c r="AE250" s="905">
        <f t="shared" si="340"/>
        <v>3312.6728195583091</v>
      </c>
      <c r="AF250" s="902">
        <f t="shared" si="340"/>
        <v>49760.659737633745</v>
      </c>
      <c r="AG250" s="903">
        <f t="shared" si="340"/>
        <v>77796.488461538465</v>
      </c>
      <c r="AH250" s="904">
        <f t="shared" si="340"/>
        <v>78760.211615835637</v>
      </c>
      <c r="AI250" s="905">
        <f t="shared" si="340"/>
        <v>963.72315429716946</v>
      </c>
      <c r="AJ250" s="902">
        <f t="shared" si="340"/>
        <v>160798.60803418804</v>
      </c>
      <c r="AK250" s="907">
        <f>AK216+AK228+AK244+AK236+AK242+AK246+AK248</f>
        <v>164896.96372649574</v>
      </c>
      <c r="AL250" s="745">
        <f t="shared" si="340"/>
        <v>209533.07493393161</v>
      </c>
      <c r="AM250" s="746">
        <f t="shared" si="340"/>
        <v>220938.53284363827</v>
      </c>
      <c r="AN250" s="747">
        <f t="shared" si="340"/>
        <v>60139.924809450204</v>
      </c>
      <c r="AO250" s="745">
        <f t="shared" si="321"/>
        <v>56041.569117142528</v>
      </c>
      <c r="AP250" s="748">
        <f t="shared" si="340"/>
        <v>11405.457909706609</v>
      </c>
      <c r="AQ250" s="744">
        <f t="shared" si="340"/>
        <v>327075.23196581198</v>
      </c>
      <c r="AR250" s="746">
        <f>AR216+AR228+AR244+AR236+AR242+AR246+AR248</f>
        <v>355787.81011965813</v>
      </c>
      <c r="AS250" s="747">
        <f t="shared" si="340"/>
        <v>405621.97929803398</v>
      </c>
      <c r="AT250" s="541">
        <f t="shared" si="340"/>
        <v>439793.24527808139</v>
      </c>
      <c r="AU250" s="540">
        <f t="shared" si="340"/>
        <v>112718.0133122694</v>
      </c>
      <c r="AV250" s="745">
        <f t="shared" si="322"/>
        <v>84005.435158423265</v>
      </c>
      <c r="AW250" s="748">
        <f t="shared" si="340"/>
        <v>34171.265980047319</v>
      </c>
      <c r="AX250" s="708">
        <f t="shared" si="340"/>
        <v>54512.538660968654</v>
      </c>
      <c r="AY250" s="709">
        <f>AR250/6</f>
        <v>59297.968353276352</v>
      </c>
      <c r="AZ250" s="709">
        <f t="shared" si="340"/>
        <v>73298.874213013565</v>
      </c>
      <c r="BA250" s="829">
        <f>AZ250/AX250</f>
        <v>1.3446241179278642</v>
      </c>
      <c r="BB250" s="516">
        <f>AZ250-AX250</f>
        <v>18786.335552044911</v>
      </c>
      <c r="BC250" s="516">
        <f>AZ250-AY250</f>
        <v>14000.905859737213</v>
      </c>
      <c r="BD250" s="516">
        <f>AW250/6</f>
        <v>5695.2109966745529</v>
      </c>
      <c r="BE250" s="902">
        <f>BE216+BE228+BE244+BE236+BE242+BE246+BE248</f>
        <v>83552.672478632478</v>
      </c>
      <c r="BF250" s="903">
        <f>BF216+BF228+BF244+BF236+BF242+BF246+BF248</f>
        <v>82063.484188034185</v>
      </c>
      <c r="BG250" s="904">
        <f>BG216+BG228+BG244+BG236+BG242+BG246+BG248</f>
        <v>67815.142414666683</v>
      </c>
      <c r="BH250" s="905">
        <f>BG250-BF250</f>
        <v>-14248.341773367501</v>
      </c>
      <c r="BI250" s="902">
        <f>BI216+BI228+BI244+BI236+BI242+BI246+BI248</f>
        <v>64492.886752136743</v>
      </c>
      <c r="BJ250" s="903">
        <f>BJ216+BJ228+BJ244+BJ236+BJ242+BJ246+BJ248</f>
        <v>57215.384076923081</v>
      </c>
      <c r="BK250" s="904">
        <f>BK216+BK228+BK244+BK236+BK242+BK246+BK248</f>
        <v>51909.33351000004</v>
      </c>
      <c r="BL250" s="905">
        <f>BK250-BJ250</f>
        <v>-5306.0505669230406</v>
      </c>
      <c r="BM250" s="902">
        <f>BM216+BM228+BM244+BM236+BM242+BM246+BM248</f>
        <v>71932.606837606843</v>
      </c>
      <c r="BN250" s="903">
        <f>BN216+BN228+BN244+BN236+BN242+BN246+BN248</f>
        <v>63823.904273504282</v>
      </c>
      <c r="BO250" s="904">
        <f>BO216+BO228+BO244+BO236+BO242+BO246+BO248</f>
        <v>62707.416519775164</v>
      </c>
      <c r="BP250" s="905">
        <f>BO250-BN250</f>
        <v>-1116.4877537291177</v>
      </c>
      <c r="BQ250" s="902">
        <f t="shared" ref="BQ250:CW250" si="341">BQ216+BQ228+BQ244+BQ236+BQ242+BQ246+BQ248</f>
        <v>219978.16606837607</v>
      </c>
      <c r="BR250" s="747"/>
      <c r="BS250" s="745">
        <f t="shared" si="341"/>
        <v>203102.77253846155</v>
      </c>
      <c r="BT250" s="746">
        <f t="shared" si="341"/>
        <v>182431.89244444194</v>
      </c>
      <c r="BU250" s="746">
        <f t="shared" si="341"/>
        <v>-37546.273623934161</v>
      </c>
      <c r="BV250" s="745"/>
      <c r="BW250" s="748">
        <f t="shared" si="341"/>
        <v>-20670.880094019649</v>
      </c>
      <c r="BX250" s="902">
        <f t="shared" si="341"/>
        <v>72311.348717948713</v>
      </c>
      <c r="BY250" s="903">
        <f t="shared" si="341"/>
        <v>73148.688658119674</v>
      </c>
      <c r="BZ250" s="904">
        <f t="shared" si="341"/>
        <v>68689.339283809008</v>
      </c>
      <c r="CA250" s="905">
        <f t="shared" si="341"/>
        <v>-4459.3493743106574</v>
      </c>
      <c r="CB250" s="902">
        <f t="shared" si="341"/>
        <v>66349.290598290594</v>
      </c>
      <c r="CC250" s="903">
        <f t="shared" si="341"/>
        <v>80013.282051282047</v>
      </c>
      <c r="CD250" s="906">
        <f t="shared" si="341"/>
        <v>57156.050948717952</v>
      </c>
      <c r="CE250" s="905">
        <f t="shared" si="341"/>
        <v>-22857.231102564099</v>
      </c>
      <c r="CF250" s="902">
        <f t="shared" si="341"/>
        <v>57820.914529914531</v>
      </c>
      <c r="CG250" s="903">
        <f t="shared" si="341"/>
        <v>57074.14974358974</v>
      </c>
      <c r="CH250" s="906">
        <f t="shared" si="341"/>
        <v>37936.125555555554</v>
      </c>
      <c r="CI250" s="905">
        <f t="shared" si="341"/>
        <v>-19138.024188034185</v>
      </c>
      <c r="CJ250" s="902">
        <f t="shared" si="341"/>
        <v>196481.55384615387</v>
      </c>
      <c r="CK250" s="747"/>
      <c r="CL250" s="745">
        <f t="shared" si="341"/>
        <v>210236.12045299142</v>
      </c>
      <c r="CM250" s="746">
        <f t="shared" si="341"/>
        <v>163781.51578808256</v>
      </c>
      <c r="CN250" s="747">
        <f t="shared" si="341"/>
        <v>-32700.038058071328</v>
      </c>
      <c r="CO250" s="747"/>
      <c r="CP250" s="748">
        <f t="shared" si="341"/>
        <v>-46454.604664908926</v>
      </c>
      <c r="CQ250" s="744">
        <f t="shared" si="341"/>
        <v>416459.71991452994</v>
      </c>
      <c r="CR250" s="747"/>
      <c r="CS250" s="747">
        <f t="shared" si="341"/>
        <v>413338.892991453</v>
      </c>
      <c r="CT250" s="541">
        <f t="shared" si="341"/>
        <v>346213.40823252453</v>
      </c>
      <c r="CU250" s="540">
        <f t="shared" si="341"/>
        <v>-70246.311682005457</v>
      </c>
      <c r="CV250" s="540"/>
      <c r="CW250" s="748">
        <f t="shared" si="341"/>
        <v>-67125.484758928564</v>
      </c>
      <c r="CX250" s="708">
        <f t="shared" si="333"/>
        <v>69409.953319088323</v>
      </c>
      <c r="CY250" s="709">
        <f t="shared" ref="CY250" si="342">CY216+CY228+CY244+CY236+CY242+CY246+CY248</f>
        <v>57702.234705420735</v>
      </c>
      <c r="CZ250" s="829">
        <f>CY250/CX250</f>
        <v>0.83132507581664272</v>
      </c>
      <c r="DA250" s="555">
        <f>CY250-CX250</f>
        <v>-11707.718613667588</v>
      </c>
      <c r="DB250" s="555">
        <f>CW250/6</f>
        <v>-11187.580793154761</v>
      </c>
      <c r="DC250" s="516"/>
      <c r="DD250" s="516"/>
    </row>
    <row r="251" spans="1:108" ht="15.75" hidden="1" customHeight="1">
      <c r="I251" s="696"/>
      <c r="J251" s="981"/>
      <c r="K251" s="981"/>
      <c r="L251" s="981"/>
      <c r="M251" s="696"/>
      <c r="N251" s="981"/>
      <c r="O251" s="981"/>
      <c r="P251" s="981"/>
      <c r="Q251" s="696"/>
      <c r="R251" s="696"/>
      <c r="S251" s="696"/>
      <c r="T251" s="981"/>
      <c r="U251" s="696"/>
      <c r="V251" s="696"/>
      <c r="W251" s="696"/>
      <c r="X251" s="696"/>
      <c r="Y251" s="981"/>
      <c r="Z251" s="981"/>
      <c r="AA251" s="981"/>
      <c r="AB251" s="696"/>
      <c r="AC251" s="696"/>
      <c r="AD251" s="981"/>
      <c r="AE251" s="696"/>
      <c r="AF251" s="696"/>
      <c r="AG251" s="696"/>
      <c r="AH251" s="981"/>
      <c r="AI251" s="696"/>
      <c r="AJ251" s="696"/>
      <c r="AK251" s="696"/>
      <c r="AL251" s="696"/>
      <c r="AM251" s="981"/>
      <c r="AN251" s="696"/>
      <c r="AO251" s="696"/>
      <c r="AP251" s="696"/>
      <c r="AQ251" s="657"/>
      <c r="AR251" s="696"/>
      <c r="AS251" s="657"/>
      <c r="AT251" s="612"/>
      <c r="AU251" s="657"/>
      <c r="AV251" s="696"/>
      <c r="AW251" s="696"/>
      <c r="AX251" s="544"/>
      <c r="AY251" s="544"/>
      <c r="AZ251" s="544"/>
      <c r="BE251" s="696"/>
      <c r="BF251" s="981"/>
      <c r="BG251" s="981"/>
      <c r="BH251" s="981"/>
      <c r="BI251" s="696"/>
      <c r="BJ251" s="981"/>
      <c r="BK251" s="981"/>
      <c r="BL251" s="981"/>
      <c r="BM251" s="696"/>
      <c r="BN251" s="696"/>
      <c r="BO251" s="981"/>
      <c r="BP251" s="696"/>
      <c r="BV251" s="696"/>
      <c r="BW251" s="696"/>
      <c r="BX251" s="981"/>
      <c r="BY251" s="696"/>
      <c r="BZ251" s="696"/>
      <c r="CA251" s="696"/>
      <c r="CB251" s="981"/>
      <c r="CC251" s="696"/>
      <c r="CD251" s="696"/>
      <c r="CE251" s="696"/>
      <c r="CF251" s="981"/>
      <c r="CG251" s="696"/>
      <c r="CX251" s="544"/>
      <c r="CY251" s="544"/>
    </row>
    <row r="252" spans="1:108" ht="15.75" hidden="1" customHeight="1">
      <c r="L252" s="697"/>
      <c r="P252" s="697"/>
      <c r="Q252" s="544"/>
      <c r="R252" s="544"/>
      <c r="S252" s="544"/>
      <c r="T252" s="544"/>
      <c r="U252" s="1177"/>
      <c r="V252" s="544"/>
      <c r="W252" s="697">
        <f t="shared" ref="W252:W264" si="343">T252-S252</f>
        <v>0</v>
      </c>
      <c r="AA252" s="697"/>
      <c r="AJ252" s="544"/>
      <c r="AK252" s="544"/>
      <c r="AL252" s="544"/>
      <c r="AM252" s="544"/>
      <c r="AN252" s="1177"/>
      <c r="AO252" s="544"/>
      <c r="AP252" s="697">
        <f t="shared" ref="AP252:AP264" si="344">AM252-AL252</f>
        <v>0</v>
      </c>
      <c r="AR252" s="723"/>
      <c r="AV252" s="544"/>
      <c r="AW252" s="697">
        <f t="shared" ref="AW252:AW264" si="345">AT252-AS252</f>
        <v>0</v>
      </c>
      <c r="BL252" s="697"/>
    </row>
    <row r="253" spans="1:108" ht="15.75" hidden="1" customHeight="1">
      <c r="I253" s="1178"/>
      <c r="J253" s="1179" t="e">
        <f>#REF!+J77-#REF!</f>
        <v>#REF!</v>
      </c>
      <c r="K253" s="1179" t="e">
        <f>#REF!+K77-#REF!</f>
        <v>#REF!</v>
      </c>
      <c r="L253" s="1080"/>
      <c r="M253" s="1178"/>
      <c r="N253" s="1179" t="e">
        <f>#REF!+N77-#REF!</f>
        <v>#REF!</v>
      </c>
      <c r="O253" s="1179" t="e">
        <f>#REF!+O77-#REF!</f>
        <v>#REF!</v>
      </c>
      <c r="P253" s="1080"/>
      <c r="Q253" s="1178"/>
      <c r="R253" s="933"/>
      <c r="S253" s="933"/>
      <c r="T253" s="1180"/>
      <c r="U253" s="1082"/>
      <c r="V253" s="1145"/>
      <c r="W253" s="883">
        <f t="shared" si="343"/>
        <v>0</v>
      </c>
      <c r="X253" s="1178"/>
      <c r="Y253" s="1179" t="e">
        <f>#REF!+Y77-#REF!</f>
        <v>#REF!</v>
      </c>
      <c r="Z253" s="1179" t="e">
        <f>#REF!+Z77-#REF!</f>
        <v>#REF!</v>
      </c>
      <c r="AA253" s="1080"/>
      <c r="AB253" s="1178"/>
      <c r="AC253" s="880" t="e">
        <f>E254+AC77-#REF!</f>
        <v>#REF!</v>
      </c>
      <c r="AD253" s="1179" t="e">
        <f>F254+AD77-#REF!</f>
        <v>#REF!</v>
      </c>
      <c r="AE253" s="1082"/>
      <c r="AF253" s="1178"/>
      <c r="AG253" s="880" t="e">
        <f>I254+AG77-#REF!</f>
        <v>#REF!</v>
      </c>
      <c r="AH253" s="1179" t="e">
        <f>J254+AH77-#REF!</f>
        <v>#REF!</v>
      </c>
      <c r="AI253" s="1082"/>
      <c r="AJ253" s="1178"/>
      <c r="AK253" s="933"/>
      <c r="AL253" s="933"/>
      <c r="AM253" s="1180"/>
      <c r="AN253" s="1082"/>
      <c r="AO253" s="1145"/>
      <c r="AP253" s="883">
        <f t="shared" si="344"/>
        <v>0</v>
      </c>
      <c r="AQ253" s="1178">
        <f>SUM(Q253,AJ253)</f>
        <v>0</v>
      </c>
      <c r="AR253" s="933"/>
      <c r="AS253" s="933"/>
      <c r="AT253" s="1180"/>
      <c r="AU253" s="1181"/>
      <c r="AV253" s="1145"/>
      <c r="AW253" s="883">
        <f t="shared" si="345"/>
        <v>0</v>
      </c>
      <c r="AX253" s="821"/>
      <c r="AY253" s="821"/>
      <c r="AZ253" s="821"/>
      <c r="BA253" s="570"/>
      <c r="BB253" s="570"/>
      <c r="BC253" s="570"/>
      <c r="BD253" s="570"/>
      <c r="BE253" s="1178"/>
      <c r="BF253" s="1179" t="e">
        <f>#REF!+BF77-#REF!</f>
        <v>#REF!</v>
      </c>
      <c r="BG253" s="1179" t="e">
        <f>#REF!+BG77-#REF!</f>
        <v>#REF!</v>
      </c>
      <c r="BH253" s="1080"/>
      <c r="BI253" s="1178"/>
      <c r="BJ253" s="1179" t="e">
        <f>#REF!+BJ77-#REF!</f>
        <v>#REF!</v>
      </c>
      <c r="BK253" s="1179" t="e">
        <f>#REF!+BK77-#REF!</f>
        <v>#REF!</v>
      </c>
      <c r="BL253" s="1080"/>
      <c r="BM253" s="1178"/>
      <c r="BN253" s="880" t="e">
        <f>#REF!+BN77-#REF!</f>
        <v>#REF!</v>
      </c>
      <c r="BO253" s="1179" t="e">
        <f>#REF!+BO77-#REF!</f>
        <v>#REF!</v>
      </c>
      <c r="BP253" s="1082"/>
      <c r="BV253" s="1178"/>
      <c r="BW253" s="880" t="e">
        <f>#REF!+BW77-#REF!</f>
        <v>#REF!</v>
      </c>
      <c r="BX253" s="1179" t="e">
        <f>#REF!+BX77-#REF!</f>
        <v>#REF!</v>
      </c>
      <c r="BY253" s="1082"/>
      <c r="BZ253" s="1178"/>
      <c r="CA253" s="880" t="e">
        <f>BC254+CA77-#REF!</f>
        <v>#REF!</v>
      </c>
      <c r="CB253" s="1179" t="e">
        <f>BD254+CB77-#REF!</f>
        <v>#REF!</v>
      </c>
      <c r="CC253" s="1082"/>
      <c r="CD253" s="1178"/>
      <c r="CE253" s="880" t="e">
        <f>BG254+CE77-#REF!</f>
        <v>#REF!</v>
      </c>
      <c r="CF253" s="1179" t="e">
        <f>BH254+CF77-#REF!</f>
        <v>#REF!</v>
      </c>
      <c r="CG253" s="1082"/>
      <c r="CX253" s="821"/>
      <c r="CY253" s="821"/>
      <c r="CZ253" s="570"/>
      <c r="DA253" s="570"/>
      <c r="DB253" s="570"/>
    </row>
    <row r="254" spans="1:108" ht="15.75" hidden="1" customHeight="1">
      <c r="I254" s="702"/>
      <c r="J254" s="711">
        <v>0</v>
      </c>
      <c r="K254" s="711">
        <v>0</v>
      </c>
      <c r="L254" s="716"/>
      <c r="M254" s="702"/>
      <c r="N254" s="711">
        <v>0</v>
      </c>
      <c r="O254" s="711">
        <v>0</v>
      </c>
      <c r="P254" s="716"/>
      <c r="Q254" s="718"/>
      <c r="R254" s="937"/>
      <c r="S254" s="937"/>
      <c r="T254" s="715"/>
      <c r="U254" s="688"/>
      <c r="V254" s="721"/>
      <c r="W254" s="721">
        <f t="shared" si="343"/>
        <v>0</v>
      </c>
      <c r="X254" s="702"/>
      <c r="Y254" s="711">
        <v>0</v>
      </c>
      <c r="Z254" s="711">
        <v>0</v>
      </c>
      <c r="AA254" s="716"/>
      <c r="AB254" s="702"/>
      <c r="AC254" s="699">
        <v>0</v>
      </c>
      <c r="AD254" s="711">
        <v>0</v>
      </c>
      <c r="AE254" s="688"/>
      <c r="AF254" s="702"/>
      <c r="AG254" s="699">
        <v>0</v>
      </c>
      <c r="AH254" s="711">
        <v>0</v>
      </c>
      <c r="AI254" s="688"/>
      <c r="AJ254" s="718"/>
      <c r="AK254" s="937"/>
      <c r="AL254" s="937"/>
      <c r="AM254" s="715"/>
      <c r="AN254" s="688"/>
      <c r="AO254" s="721"/>
      <c r="AP254" s="721">
        <f t="shared" si="344"/>
        <v>0</v>
      </c>
      <c r="AQ254" s="718">
        <f>SUM(Q254,AJ254)</f>
        <v>0</v>
      </c>
      <c r="AR254" s="937"/>
      <c r="AS254" s="937"/>
      <c r="AT254" s="715">
        <f>SUM(T254,AM254)</f>
        <v>0</v>
      </c>
      <c r="AU254" s="688"/>
      <c r="AV254" s="721"/>
      <c r="AW254" s="721">
        <f t="shared" si="345"/>
        <v>0</v>
      </c>
      <c r="AX254" s="723">
        <f>AQ254/6</f>
        <v>0</v>
      </c>
      <c r="AY254" s="723"/>
      <c r="AZ254" s="723">
        <f>AT254/6</f>
        <v>0</v>
      </c>
      <c r="BA254" s="556"/>
      <c r="BB254" s="556"/>
      <c r="BC254" s="556"/>
      <c r="BD254" s="556"/>
      <c r="BE254" s="702"/>
      <c r="BF254" s="711">
        <v>0</v>
      </c>
      <c r="BG254" s="711">
        <v>0</v>
      </c>
      <c r="BH254" s="716"/>
      <c r="BI254" s="702"/>
      <c r="BJ254" s="711">
        <v>0</v>
      </c>
      <c r="BK254" s="711">
        <v>0</v>
      </c>
      <c r="BL254" s="716"/>
      <c r="BM254" s="702"/>
      <c r="BN254" s="699">
        <v>0</v>
      </c>
      <c r="BO254" s="711">
        <v>0</v>
      </c>
      <c r="BP254" s="688"/>
      <c r="BV254" s="702"/>
      <c r="BW254" s="699">
        <v>0</v>
      </c>
      <c r="BX254" s="711">
        <v>0</v>
      </c>
      <c r="BY254" s="688"/>
      <c r="BZ254" s="702"/>
      <c r="CA254" s="699">
        <v>0</v>
      </c>
      <c r="CB254" s="711">
        <v>0</v>
      </c>
      <c r="CC254" s="688"/>
      <c r="CD254" s="702"/>
      <c r="CE254" s="699">
        <v>0</v>
      </c>
      <c r="CF254" s="711">
        <v>0</v>
      </c>
      <c r="CG254" s="688"/>
      <c r="CX254" s="723">
        <f>CQ254/6</f>
        <v>0</v>
      </c>
      <c r="CY254" s="723">
        <f>CT254/6</f>
        <v>0</v>
      </c>
      <c r="CZ254" s="556"/>
      <c r="DA254" s="556"/>
      <c r="DB254" s="556"/>
    </row>
    <row r="255" spans="1:108" ht="15.75" hidden="1" customHeight="1">
      <c r="I255" s="684"/>
      <c r="J255" s="1179" t="e">
        <f>#REF!+J81-#REF!</f>
        <v>#REF!</v>
      </c>
      <c r="K255" s="1179" t="e">
        <f>#REF!+K81-#REF!</f>
        <v>#REF!</v>
      </c>
      <c r="L255" s="1080"/>
      <c r="M255" s="684"/>
      <c r="N255" s="1179" t="e">
        <f>#REF!+N81-#REF!</f>
        <v>#REF!</v>
      </c>
      <c r="O255" s="1179" t="e">
        <f>#REF!+O81-#REF!</f>
        <v>#REF!</v>
      </c>
      <c r="P255" s="1080"/>
      <c r="Q255" s="943"/>
      <c r="R255" s="1182"/>
      <c r="S255" s="1182"/>
      <c r="T255" s="737"/>
      <c r="U255" s="1082"/>
      <c r="V255" s="1145"/>
      <c r="W255" s="899">
        <f t="shared" si="343"/>
        <v>0</v>
      </c>
      <c r="X255" s="684"/>
      <c r="Y255" s="1179" t="e">
        <f>#REF!+Y81-#REF!</f>
        <v>#REF!</v>
      </c>
      <c r="Z255" s="1179" t="e">
        <f>#REF!+Z81-#REF!</f>
        <v>#REF!</v>
      </c>
      <c r="AA255" s="1080"/>
      <c r="AB255" s="684"/>
      <c r="AC255" s="880" t="e">
        <f>E256+AC81-#REF!</f>
        <v>#REF!</v>
      </c>
      <c r="AD255" s="1179" t="e">
        <f>F256+AD81-#REF!</f>
        <v>#REF!</v>
      </c>
      <c r="AE255" s="1082"/>
      <c r="AF255" s="684"/>
      <c r="AG255" s="880" t="e">
        <f>I256+AG81-#REF!</f>
        <v>#REF!</v>
      </c>
      <c r="AH255" s="1179" t="e">
        <f>J256+AH81-#REF!</f>
        <v>#REF!</v>
      </c>
      <c r="AI255" s="1082"/>
      <c r="AJ255" s="943"/>
      <c r="AK255" s="1182"/>
      <c r="AL255" s="1182"/>
      <c r="AM255" s="737"/>
      <c r="AN255" s="1082"/>
      <c r="AO255" s="1145"/>
      <c r="AP255" s="899">
        <f t="shared" si="344"/>
        <v>0</v>
      </c>
      <c r="AQ255" s="771"/>
      <c r="AR255" s="1182"/>
      <c r="AS255" s="938"/>
      <c r="AT255" s="732"/>
      <c r="AU255" s="1181"/>
      <c r="AV255" s="1145"/>
      <c r="AW255" s="899">
        <f t="shared" si="345"/>
        <v>0</v>
      </c>
      <c r="AX255" s="723"/>
      <c r="AY255" s="723"/>
      <c r="AZ255" s="723"/>
      <c r="BE255" s="684"/>
      <c r="BF255" s="1179" t="e">
        <f>#REF!+BF81-#REF!</f>
        <v>#REF!</v>
      </c>
      <c r="BG255" s="1179" t="e">
        <f>#REF!+BG81-#REF!</f>
        <v>#REF!</v>
      </c>
      <c r="BH255" s="1080"/>
      <c r="BI255" s="684"/>
      <c r="BJ255" s="1179" t="e">
        <f>#REF!+BJ81-#REF!</f>
        <v>#REF!</v>
      </c>
      <c r="BK255" s="1179" t="e">
        <f>#REF!+BK81-#REF!</f>
        <v>#REF!</v>
      </c>
      <c r="BL255" s="1080"/>
      <c r="BM255" s="684"/>
      <c r="BN255" s="880" t="e">
        <f>#REF!+BN81-#REF!</f>
        <v>#REF!</v>
      </c>
      <c r="BO255" s="1179" t="e">
        <f>#REF!+BO81-#REF!</f>
        <v>#REF!</v>
      </c>
      <c r="BP255" s="1082"/>
      <c r="BV255" s="684"/>
      <c r="BW255" s="880" t="e">
        <f>#REF!+BW81-#REF!</f>
        <v>#REF!</v>
      </c>
      <c r="BX255" s="1179" t="e">
        <f>#REF!+BX81-#REF!</f>
        <v>#REF!</v>
      </c>
      <c r="BY255" s="1082"/>
      <c r="BZ255" s="684"/>
      <c r="CA255" s="880" t="e">
        <f>BC256+CA81-#REF!</f>
        <v>#REF!</v>
      </c>
      <c r="CB255" s="1179" t="e">
        <f>BD256+CB81-#REF!</f>
        <v>#REF!</v>
      </c>
      <c r="CC255" s="1082"/>
      <c r="CD255" s="684"/>
      <c r="CE255" s="880" t="e">
        <f>BG256+CE81-#REF!</f>
        <v>#REF!</v>
      </c>
      <c r="CF255" s="1179" t="e">
        <f>BH256+CF81-#REF!</f>
        <v>#REF!</v>
      </c>
      <c r="CG255" s="1082"/>
      <c r="CX255" s="723"/>
      <c r="CY255" s="723"/>
    </row>
    <row r="256" spans="1:108" ht="15.75" hidden="1" customHeight="1">
      <c r="I256" s="702"/>
      <c r="J256" s="711">
        <v>0</v>
      </c>
      <c r="K256" s="711">
        <v>0</v>
      </c>
      <c r="L256" s="716"/>
      <c r="M256" s="702"/>
      <c r="N256" s="711">
        <v>0</v>
      </c>
      <c r="O256" s="711">
        <v>0</v>
      </c>
      <c r="P256" s="716"/>
      <c r="Q256" s="718"/>
      <c r="R256" s="937"/>
      <c r="S256" s="937"/>
      <c r="T256" s="715"/>
      <c r="U256" s="688"/>
      <c r="V256" s="721"/>
      <c r="W256" s="721">
        <f t="shared" si="343"/>
        <v>0</v>
      </c>
      <c r="X256" s="702"/>
      <c r="Y256" s="711">
        <v>0</v>
      </c>
      <c r="Z256" s="711">
        <v>0</v>
      </c>
      <c r="AA256" s="716"/>
      <c r="AB256" s="702"/>
      <c r="AC256" s="699">
        <v>0</v>
      </c>
      <c r="AD256" s="711">
        <v>0</v>
      </c>
      <c r="AE256" s="688"/>
      <c r="AF256" s="702"/>
      <c r="AG256" s="699">
        <v>0</v>
      </c>
      <c r="AH256" s="711">
        <v>0</v>
      </c>
      <c r="AI256" s="688"/>
      <c r="AJ256" s="718"/>
      <c r="AK256" s="937"/>
      <c r="AL256" s="937"/>
      <c r="AM256" s="715"/>
      <c r="AN256" s="688"/>
      <c r="AO256" s="721"/>
      <c r="AP256" s="721">
        <f t="shared" si="344"/>
        <v>0</v>
      </c>
      <c r="AQ256" s="718">
        <f>SUM(Q256,AJ256)</f>
        <v>0</v>
      </c>
      <c r="AR256" s="937"/>
      <c r="AS256" s="937"/>
      <c r="AT256" s="715">
        <f>SUM(T256,AM256)</f>
        <v>0</v>
      </c>
      <c r="AU256" s="688"/>
      <c r="AV256" s="721"/>
      <c r="AW256" s="721">
        <f t="shared" si="345"/>
        <v>0</v>
      </c>
      <c r="AX256" s="723">
        <f>AQ256/6</f>
        <v>0</v>
      </c>
      <c r="AY256" s="723"/>
      <c r="AZ256" s="723">
        <f>AT256/6</f>
        <v>0</v>
      </c>
      <c r="BA256" s="556"/>
      <c r="BB256" s="556"/>
      <c r="BC256" s="556"/>
      <c r="BD256" s="556"/>
      <c r="BE256" s="702"/>
      <c r="BF256" s="711">
        <v>0</v>
      </c>
      <c r="BG256" s="711">
        <v>0</v>
      </c>
      <c r="BH256" s="716"/>
      <c r="BI256" s="702"/>
      <c r="BJ256" s="711">
        <v>0</v>
      </c>
      <c r="BK256" s="711">
        <v>0</v>
      </c>
      <c r="BL256" s="716"/>
      <c r="BM256" s="702"/>
      <c r="BN256" s="699">
        <v>0</v>
      </c>
      <c r="BO256" s="711">
        <v>0</v>
      </c>
      <c r="BP256" s="688"/>
      <c r="BV256" s="702"/>
      <c r="BW256" s="699">
        <v>0</v>
      </c>
      <c r="BX256" s="711">
        <v>0</v>
      </c>
      <c r="BY256" s="688"/>
      <c r="BZ256" s="702"/>
      <c r="CA256" s="699">
        <v>0</v>
      </c>
      <c r="CB256" s="711">
        <v>0</v>
      </c>
      <c r="CC256" s="688"/>
      <c r="CD256" s="702"/>
      <c r="CE256" s="699">
        <v>0</v>
      </c>
      <c r="CF256" s="711">
        <v>0</v>
      </c>
      <c r="CG256" s="688"/>
      <c r="CX256" s="723">
        <f>CQ256/6</f>
        <v>0</v>
      </c>
      <c r="CY256" s="723">
        <f>CT256/6</f>
        <v>0</v>
      </c>
      <c r="CZ256" s="556"/>
      <c r="DA256" s="556"/>
      <c r="DB256" s="556"/>
    </row>
    <row r="257" spans="3:106" ht="15.75" hidden="1" customHeight="1">
      <c r="I257" s="684"/>
      <c r="J257" s="1179" t="e">
        <f>#REF!+J102-#REF!</f>
        <v>#REF!</v>
      </c>
      <c r="K257" s="1179" t="e">
        <f>#REF!+K102-#REF!</f>
        <v>#REF!</v>
      </c>
      <c r="L257" s="1080"/>
      <c r="M257" s="684"/>
      <c r="N257" s="1179" t="e">
        <f>#REF!+N102-#REF!</f>
        <v>#REF!</v>
      </c>
      <c r="O257" s="1179" t="e">
        <f>#REF!+O102-#REF!</f>
        <v>#REF!</v>
      </c>
      <c r="P257" s="1080"/>
      <c r="Q257" s="684"/>
      <c r="R257" s="1183"/>
      <c r="S257" s="1183"/>
      <c r="T257" s="737"/>
      <c r="U257" s="1082"/>
      <c r="V257" s="1145"/>
      <c r="W257" s="899">
        <f t="shared" si="343"/>
        <v>0</v>
      </c>
      <c r="X257" s="684"/>
      <c r="Y257" s="1179" t="e">
        <f>#REF!+Y102-#REF!</f>
        <v>#REF!</v>
      </c>
      <c r="Z257" s="1179" t="e">
        <f>#REF!+Z102-#REF!</f>
        <v>#REF!</v>
      </c>
      <c r="AA257" s="1080"/>
      <c r="AB257" s="684"/>
      <c r="AC257" s="741" t="e">
        <f>E258+AC102-#REF!</f>
        <v>#REF!</v>
      </c>
      <c r="AD257" s="1179" t="e">
        <f>F258+AD102-#REF!</f>
        <v>#REF!</v>
      </c>
      <c r="AE257" s="1082"/>
      <c r="AF257" s="684"/>
      <c r="AG257" s="741" t="e">
        <f>I258+AG102-#REF!</f>
        <v>#REF!</v>
      </c>
      <c r="AH257" s="1179" t="e">
        <f>J258+AH102-#REF!</f>
        <v>#REF!</v>
      </c>
      <c r="AI257" s="1082"/>
      <c r="AJ257" s="684"/>
      <c r="AK257" s="1183"/>
      <c r="AL257" s="1183"/>
      <c r="AM257" s="737"/>
      <c r="AN257" s="1082"/>
      <c r="AO257" s="1145"/>
      <c r="AP257" s="899">
        <f t="shared" si="344"/>
        <v>0</v>
      </c>
      <c r="AQ257" s="684"/>
      <c r="AR257" s="1183"/>
      <c r="AS257" s="1184"/>
      <c r="AT257" s="732"/>
      <c r="AU257" s="1082"/>
      <c r="AV257" s="1145"/>
      <c r="AW257" s="899">
        <f t="shared" si="345"/>
        <v>0</v>
      </c>
      <c r="AX257" s="723"/>
      <c r="AY257" s="723"/>
      <c r="AZ257" s="723"/>
      <c r="BA257" s="556"/>
      <c r="BB257" s="556"/>
      <c r="BC257" s="556"/>
      <c r="BD257" s="556"/>
      <c r="BE257" s="684"/>
      <c r="BF257" s="1179" t="e">
        <f>#REF!+BF102-#REF!</f>
        <v>#REF!</v>
      </c>
      <c r="BG257" s="1179" t="e">
        <f>#REF!+BG102-#REF!</f>
        <v>#REF!</v>
      </c>
      <c r="BH257" s="1080"/>
      <c r="BI257" s="684"/>
      <c r="BJ257" s="1179" t="e">
        <f>#REF!+BJ102-#REF!</f>
        <v>#REF!</v>
      </c>
      <c r="BK257" s="1179" t="e">
        <f>#REF!+BK102-#REF!</f>
        <v>#REF!</v>
      </c>
      <c r="BL257" s="1080"/>
      <c r="BM257" s="684"/>
      <c r="BN257" s="741" t="e">
        <f>#REF!+BN102-#REF!</f>
        <v>#REF!</v>
      </c>
      <c r="BO257" s="1179" t="e">
        <f>#REF!+BO102-#REF!</f>
        <v>#REF!</v>
      </c>
      <c r="BP257" s="1082"/>
      <c r="BV257" s="684"/>
      <c r="BW257" s="741" t="e">
        <f>#REF!+BW102-#REF!</f>
        <v>#REF!</v>
      </c>
      <c r="BX257" s="1179" t="e">
        <f>#REF!+BX102-#REF!</f>
        <v>#REF!</v>
      </c>
      <c r="BY257" s="1082"/>
      <c r="BZ257" s="684"/>
      <c r="CA257" s="741" t="e">
        <f>BC258+CA102-#REF!</f>
        <v>#REF!</v>
      </c>
      <c r="CB257" s="1179" t="e">
        <f>BD258+CB102-#REF!</f>
        <v>#REF!</v>
      </c>
      <c r="CC257" s="1082"/>
      <c r="CD257" s="684"/>
      <c r="CE257" s="741" t="e">
        <f>BG258+CE102-#REF!</f>
        <v>#REF!</v>
      </c>
      <c r="CF257" s="1179" t="e">
        <f>BH258+CF102-#REF!</f>
        <v>#REF!</v>
      </c>
      <c r="CG257" s="1082"/>
      <c r="CX257" s="723"/>
      <c r="CY257" s="723"/>
      <c r="CZ257" s="556"/>
      <c r="DA257" s="556"/>
      <c r="DB257" s="556"/>
    </row>
    <row r="258" spans="3:106" ht="15.75" hidden="1" customHeight="1">
      <c r="I258" s="702"/>
      <c r="J258" s="711">
        <v>0</v>
      </c>
      <c r="K258" s="711">
        <v>0</v>
      </c>
      <c r="L258" s="716"/>
      <c r="M258" s="702"/>
      <c r="N258" s="711">
        <v>0</v>
      </c>
      <c r="O258" s="711">
        <v>0</v>
      </c>
      <c r="P258" s="716"/>
      <c r="Q258" s="718"/>
      <c r="R258" s="937"/>
      <c r="S258" s="937"/>
      <c r="T258" s="715"/>
      <c r="U258" s="688"/>
      <c r="V258" s="721"/>
      <c r="W258" s="721">
        <f t="shared" si="343"/>
        <v>0</v>
      </c>
      <c r="X258" s="702"/>
      <c r="Y258" s="711">
        <v>0</v>
      </c>
      <c r="Z258" s="711">
        <v>0</v>
      </c>
      <c r="AA258" s="716"/>
      <c r="AB258" s="702"/>
      <c r="AC258" s="699">
        <v>0</v>
      </c>
      <c r="AD258" s="711">
        <v>0</v>
      </c>
      <c r="AE258" s="688"/>
      <c r="AF258" s="702"/>
      <c r="AG258" s="699">
        <v>0</v>
      </c>
      <c r="AH258" s="711">
        <v>0</v>
      </c>
      <c r="AI258" s="688"/>
      <c r="AJ258" s="718"/>
      <c r="AK258" s="937"/>
      <c r="AL258" s="937"/>
      <c r="AM258" s="715"/>
      <c r="AN258" s="688"/>
      <c r="AO258" s="721"/>
      <c r="AP258" s="721">
        <f t="shared" si="344"/>
        <v>0</v>
      </c>
      <c r="AQ258" s="718">
        <f>SUM(Q258,AJ258)</f>
        <v>0</v>
      </c>
      <c r="AR258" s="937"/>
      <c r="AS258" s="937"/>
      <c r="AT258" s="715">
        <f>SUM(T258,AM258)</f>
        <v>0</v>
      </c>
      <c r="AU258" s="688"/>
      <c r="AV258" s="721"/>
      <c r="AW258" s="721">
        <f t="shared" si="345"/>
        <v>0</v>
      </c>
      <c r="AX258" s="723">
        <f>AQ258/6</f>
        <v>0</v>
      </c>
      <c r="AY258" s="723"/>
      <c r="AZ258" s="723">
        <f>AT258/6</f>
        <v>0</v>
      </c>
      <c r="BE258" s="702"/>
      <c r="BF258" s="711">
        <v>0</v>
      </c>
      <c r="BG258" s="711">
        <v>0</v>
      </c>
      <c r="BH258" s="716"/>
      <c r="BI258" s="702"/>
      <c r="BJ258" s="711">
        <v>0</v>
      </c>
      <c r="BK258" s="711">
        <v>0</v>
      </c>
      <c r="BL258" s="716"/>
      <c r="BM258" s="702"/>
      <c r="BN258" s="699">
        <v>0</v>
      </c>
      <c r="BO258" s="711">
        <v>0</v>
      </c>
      <c r="BP258" s="688"/>
      <c r="BV258" s="702"/>
      <c r="BW258" s="699">
        <v>0</v>
      </c>
      <c r="BX258" s="711">
        <v>0</v>
      </c>
      <c r="BY258" s="688"/>
      <c r="BZ258" s="702"/>
      <c r="CA258" s="699">
        <v>0</v>
      </c>
      <c r="CB258" s="711">
        <v>0</v>
      </c>
      <c r="CC258" s="688"/>
      <c r="CD258" s="702"/>
      <c r="CE258" s="699">
        <v>0</v>
      </c>
      <c r="CF258" s="711">
        <v>0</v>
      </c>
      <c r="CG258" s="688"/>
      <c r="CX258" s="723">
        <f>CQ258/6</f>
        <v>0</v>
      </c>
      <c r="CY258" s="723">
        <f>CT258/6</f>
        <v>0</v>
      </c>
    </row>
    <row r="259" spans="3:106" ht="15.75" hidden="1" customHeight="1">
      <c r="I259" s="684"/>
      <c r="J259" s="1179" t="e">
        <f>#REF!+J100-#REF!</f>
        <v>#REF!</v>
      </c>
      <c r="K259" s="1179" t="e">
        <f>#REF!+K100-#REF!</f>
        <v>#REF!</v>
      </c>
      <c r="L259" s="1080"/>
      <c r="M259" s="684"/>
      <c r="N259" s="1179" t="e">
        <f>#REF!+N100-#REF!</f>
        <v>#REF!</v>
      </c>
      <c r="O259" s="1179" t="e">
        <f>#REF!+O100-#REF!</f>
        <v>#REF!</v>
      </c>
      <c r="P259" s="1080"/>
      <c r="Q259" s="943"/>
      <c r="R259" s="1182"/>
      <c r="S259" s="1182"/>
      <c r="T259" s="737"/>
      <c r="U259" s="1082"/>
      <c r="V259" s="1145"/>
      <c r="W259" s="899">
        <f t="shared" si="343"/>
        <v>0</v>
      </c>
      <c r="X259" s="684"/>
      <c r="Y259" s="1179" t="e">
        <f>#REF!+Y100-#REF!</f>
        <v>#REF!</v>
      </c>
      <c r="Z259" s="1179" t="e">
        <f>#REF!+Z100-#REF!</f>
        <v>#REF!</v>
      </c>
      <c r="AA259" s="1080"/>
      <c r="AB259" s="684"/>
      <c r="AC259" s="741" t="e">
        <f>E260+AC100-#REF!</f>
        <v>#REF!</v>
      </c>
      <c r="AD259" s="1179" t="e">
        <f>F260+AD100-#REF!</f>
        <v>#REF!</v>
      </c>
      <c r="AE259" s="1082"/>
      <c r="AF259" s="684"/>
      <c r="AG259" s="741" t="e">
        <f>I260+AG100-#REF!</f>
        <v>#REF!</v>
      </c>
      <c r="AH259" s="1179" t="e">
        <f>J260+AH100-#REF!</f>
        <v>#REF!</v>
      </c>
      <c r="AI259" s="1082"/>
      <c r="AJ259" s="943"/>
      <c r="AK259" s="1182"/>
      <c r="AL259" s="1182"/>
      <c r="AM259" s="737"/>
      <c r="AN259" s="1082"/>
      <c r="AO259" s="1145"/>
      <c r="AP259" s="899">
        <f t="shared" si="344"/>
        <v>0</v>
      </c>
      <c r="AQ259" s="771"/>
      <c r="AR259" s="1182"/>
      <c r="AS259" s="938"/>
      <c r="AT259" s="732"/>
      <c r="AU259" s="1082"/>
      <c r="AV259" s="1145"/>
      <c r="AW259" s="899">
        <f t="shared" si="345"/>
        <v>0</v>
      </c>
      <c r="AX259" s="697"/>
      <c r="AY259" s="697"/>
      <c r="AZ259" s="697"/>
      <c r="BE259" s="684"/>
      <c r="BF259" s="1179" t="e">
        <f>#REF!+BF100-#REF!</f>
        <v>#REF!</v>
      </c>
      <c r="BG259" s="1179" t="e">
        <f>#REF!+BG100-#REF!</f>
        <v>#REF!</v>
      </c>
      <c r="BH259" s="1080"/>
      <c r="BI259" s="684"/>
      <c r="BJ259" s="1179" t="e">
        <f>#REF!+BJ100-#REF!</f>
        <v>#REF!</v>
      </c>
      <c r="BK259" s="1179" t="e">
        <f>#REF!+BK100-#REF!</f>
        <v>#REF!</v>
      </c>
      <c r="BL259" s="1080"/>
      <c r="BM259" s="684"/>
      <c r="BN259" s="741" t="e">
        <f>#REF!+BN100-#REF!</f>
        <v>#REF!</v>
      </c>
      <c r="BO259" s="1179" t="e">
        <f>#REF!+BO100-#REF!</f>
        <v>#REF!</v>
      </c>
      <c r="BP259" s="1082"/>
      <c r="BV259" s="684"/>
      <c r="BW259" s="741" t="e">
        <f>#REF!+BW100-#REF!</f>
        <v>#REF!</v>
      </c>
      <c r="BX259" s="1179" t="e">
        <f>#REF!+BX100-#REF!</f>
        <v>#REF!</v>
      </c>
      <c r="BY259" s="1082"/>
      <c r="BZ259" s="684"/>
      <c r="CA259" s="741" t="e">
        <f>BC260+CA100-#REF!</f>
        <v>#REF!</v>
      </c>
      <c r="CB259" s="1179" t="e">
        <f>BD260+CB100-#REF!</f>
        <v>#REF!</v>
      </c>
      <c r="CC259" s="1082"/>
      <c r="CD259" s="684"/>
      <c r="CE259" s="741" t="e">
        <f>BG260+CE100-#REF!</f>
        <v>#REF!</v>
      </c>
      <c r="CF259" s="1179" t="e">
        <f>BH260+CF100-#REF!</f>
        <v>#REF!</v>
      </c>
      <c r="CG259" s="1082"/>
      <c r="CX259" s="697"/>
      <c r="CY259" s="697"/>
    </row>
    <row r="260" spans="3:106" ht="15.75" hidden="1" customHeight="1">
      <c r="I260" s="702"/>
      <c r="J260" s="711">
        <v>0</v>
      </c>
      <c r="K260" s="711">
        <v>0</v>
      </c>
      <c r="L260" s="716"/>
      <c r="M260" s="702"/>
      <c r="N260" s="711">
        <v>0</v>
      </c>
      <c r="O260" s="711">
        <v>0</v>
      </c>
      <c r="P260" s="716"/>
      <c r="Q260" s="718"/>
      <c r="R260" s="937"/>
      <c r="S260" s="937"/>
      <c r="T260" s="715"/>
      <c r="U260" s="688"/>
      <c r="V260" s="721"/>
      <c r="W260" s="721">
        <f t="shared" si="343"/>
        <v>0</v>
      </c>
      <c r="X260" s="702"/>
      <c r="Y260" s="711">
        <v>0</v>
      </c>
      <c r="Z260" s="711">
        <v>0</v>
      </c>
      <c r="AA260" s="716"/>
      <c r="AB260" s="702"/>
      <c r="AC260" s="699">
        <v>0</v>
      </c>
      <c r="AD260" s="711">
        <v>0</v>
      </c>
      <c r="AE260" s="688"/>
      <c r="AF260" s="702"/>
      <c r="AG260" s="699">
        <v>0</v>
      </c>
      <c r="AH260" s="711">
        <v>0</v>
      </c>
      <c r="AI260" s="688"/>
      <c r="AJ260" s="718"/>
      <c r="AK260" s="937"/>
      <c r="AL260" s="937"/>
      <c r="AM260" s="715"/>
      <c r="AN260" s="688"/>
      <c r="AO260" s="721"/>
      <c r="AP260" s="721">
        <f t="shared" si="344"/>
        <v>0</v>
      </c>
      <c r="AQ260" s="718">
        <f>SUM(Q260,AJ260)</f>
        <v>0</v>
      </c>
      <c r="AR260" s="937"/>
      <c r="AS260" s="937"/>
      <c r="AT260" s="715">
        <f>SUM(T260,AM260)</f>
        <v>0</v>
      </c>
      <c r="AU260" s="688"/>
      <c r="AV260" s="721"/>
      <c r="AW260" s="721">
        <f t="shared" si="345"/>
        <v>0</v>
      </c>
      <c r="AX260" s="723">
        <f>AQ260/6</f>
        <v>0</v>
      </c>
      <c r="AY260" s="723"/>
      <c r="AZ260" s="723">
        <f>AT260/6</f>
        <v>0</v>
      </c>
      <c r="BA260" s="556"/>
      <c r="BB260" s="556"/>
      <c r="BC260" s="556"/>
      <c r="BD260" s="556"/>
      <c r="BE260" s="702"/>
      <c r="BF260" s="711">
        <v>0</v>
      </c>
      <c r="BG260" s="711">
        <v>0</v>
      </c>
      <c r="BH260" s="716"/>
      <c r="BI260" s="702"/>
      <c r="BJ260" s="711">
        <v>0</v>
      </c>
      <c r="BK260" s="711">
        <v>0</v>
      </c>
      <c r="BL260" s="716"/>
      <c r="BM260" s="702"/>
      <c r="BN260" s="699">
        <v>0</v>
      </c>
      <c r="BO260" s="711">
        <v>0</v>
      </c>
      <c r="BP260" s="688"/>
      <c r="BV260" s="702"/>
      <c r="BW260" s="699">
        <v>0</v>
      </c>
      <c r="BX260" s="711">
        <v>0</v>
      </c>
      <c r="BY260" s="688"/>
      <c r="BZ260" s="702"/>
      <c r="CA260" s="699">
        <v>0</v>
      </c>
      <c r="CB260" s="711">
        <v>0</v>
      </c>
      <c r="CC260" s="688"/>
      <c r="CD260" s="702"/>
      <c r="CE260" s="699">
        <v>0</v>
      </c>
      <c r="CF260" s="711">
        <v>0</v>
      </c>
      <c r="CG260" s="688"/>
      <c r="CX260" s="723">
        <f>CQ260/6</f>
        <v>0</v>
      </c>
      <c r="CY260" s="723">
        <f>CT260/6</f>
        <v>0</v>
      </c>
      <c r="CZ260" s="556"/>
      <c r="DA260" s="556"/>
      <c r="DB260" s="556"/>
    </row>
    <row r="261" spans="3:106" ht="15.75" hidden="1" customHeight="1">
      <c r="I261" s="684"/>
      <c r="J261" s="1179" t="e">
        <f>#REF!+J93-#REF!</f>
        <v>#REF!</v>
      </c>
      <c r="K261" s="1179" t="e">
        <f>#REF!+K93-#REF!</f>
        <v>#REF!</v>
      </c>
      <c r="L261" s="1080"/>
      <c r="M261" s="684"/>
      <c r="N261" s="1179" t="e">
        <f>#REF!+N93-#REF!</f>
        <v>#REF!</v>
      </c>
      <c r="O261" s="1179" t="e">
        <f>#REF!+O93-#REF!</f>
        <v>#REF!</v>
      </c>
      <c r="P261" s="1080"/>
      <c r="Q261" s="943"/>
      <c r="R261" s="1182"/>
      <c r="S261" s="1182"/>
      <c r="T261" s="737"/>
      <c r="U261" s="1082"/>
      <c r="V261" s="1145"/>
      <c r="W261" s="899">
        <f t="shared" si="343"/>
        <v>0</v>
      </c>
      <c r="X261" s="684"/>
      <c r="Y261" s="1179" t="e">
        <f>#REF!+Y93-#REF!</f>
        <v>#REF!</v>
      </c>
      <c r="Z261" s="1179" t="e">
        <f>#REF!+Z93-#REF!</f>
        <v>#REF!</v>
      </c>
      <c r="AA261" s="1080"/>
      <c r="AB261" s="684"/>
      <c r="AC261" s="741" t="e">
        <f>E262+AC93-#REF!</f>
        <v>#REF!</v>
      </c>
      <c r="AD261" s="1179" t="e">
        <f>F262+AD93-#REF!</f>
        <v>#REF!</v>
      </c>
      <c r="AE261" s="1082"/>
      <c r="AF261" s="684"/>
      <c r="AG261" s="741" t="e">
        <f>I262+AG93-#REF!</f>
        <v>#REF!</v>
      </c>
      <c r="AH261" s="1179" t="e">
        <f>J262+AH93-#REF!</f>
        <v>#REF!</v>
      </c>
      <c r="AI261" s="1082"/>
      <c r="AJ261" s="943"/>
      <c r="AK261" s="1182"/>
      <c r="AL261" s="1182"/>
      <c r="AM261" s="737"/>
      <c r="AN261" s="1082"/>
      <c r="AO261" s="1145"/>
      <c r="AP261" s="899">
        <f t="shared" si="344"/>
        <v>0</v>
      </c>
      <c r="AQ261" s="771"/>
      <c r="AR261" s="1182"/>
      <c r="AS261" s="938"/>
      <c r="AT261" s="732"/>
      <c r="AU261" s="1082"/>
      <c r="AV261" s="1145"/>
      <c r="AW261" s="899">
        <f t="shared" si="345"/>
        <v>0</v>
      </c>
      <c r="AX261" s="697"/>
      <c r="AY261" s="697"/>
      <c r="AZ261" s="697"/>
      <c r="BE261" s="684"/>
      <c r="BF261" s="1179" t="e">
        <f>#REF!+BF93-#REF!</f>
        <v>#REF!</v>
      </c>
      <c r="BG261" s="1179" t="e">
        <f>#REF!+BG93-#REF!</f>
        <v>#REF!</v>
      </c>
      <c r="BH261" s="1080"/>
      <c r="BI261" s="684"/>
      <c r="BJ261" s="1179" t="e">
        <f>#REF!+BJ93-#REF!</f>
        <v>#REF!</v>
      </c>
      <c r="BK261" s="1179" t="e">
        <f>#REF!+BK93-#REF!</f>
        <v>#REF!</v>
      </c>
      <c r="BL261" s="1080"/>
      <c r="BM261" s="684"/>
      <c r="BN261" s="741" t="e">
        <f>#REF!+BN93-#REF!</f>
        <v>#REF!</v>
      </c>
      <c r="BO261" s="1179" t="e">
        <f>#REF!+BO93-#REF!</f>
        <v>#REF!</v>
      </c>
      <c r="BP261" s="1082"/>
      <c r="BV261" s="684"/>
      <c r="BW261" s="741" t="e">
        <f>#REF!+BW93-#REF!</f>
        <v>#REF!</v>
      </c>
      <c r="BX261" s="1179" t="e">
        <f>#REF!+BX93-#REF!</f>
        <v>#REF!</v>
      </c>
      <c r="BY261" s="1082"/>
      <c r="BZ261" s="684"/>
      <c r="CA261" s="741" t="e">
        <f>BC262+CA93-#REF!</f>
        <v>#REF!</v>
      </c>
      <c r="CB261" s="1179" t="e">
        <f>BD262+CB93-#REF!</f>
        <v>#REF!</v>
      </c>
      <c r="CC261" s="1082"/>
      <c r="CD261" s="684"/>
      <c r="CE261" s="741" t="e">
        <f>BG262+CE93-#REF!</f>
        <v>#REF!</v>
      </c>
      <c r="CF261" s="1179" t="e">
        <f>BH262+CF93-#REF!</f>
        <v>#REF!</v>
      </c>
      <c r="CG261" s="1082"/>
      <c r="CX261" s="697"/>
      <c r="CY261" s="697"/>
    </row>
    <row r="262" spans="3:106" ht="15.75" hidden="1" customHeight="1">
      <c r="I262" s="702"/>
      <c r="J262" s="711">
        <v>0</v>
      </c>
      <c r="K262" s="711">
        <v>0</v>
      </c>
      <c r="L262" s="716"/>
      <c r="M262" s="702"/>
      <c r="N262" s="711">
        <v>0</v>
      </c>
      <c r="O262" s="711">
        <v>0</v>
      </c>
      <c r="P262" s="716"/>
      <c r="Q262" s="718"/>
      <c r="R262" s="937"/>
      <c r="S262" s="937"/>
      <c r="T262" s="715"/>
      <c r="U262" s="688"/>
      <c r="V262" s="721"/>
      <c r="W262" s="721">
        <f t="shared" si="343"/>
        <v>0</v>
      </c>
      <c r="X262" s="702"/>
      <c r="Y262" s="711">
        <v>0</v>
      </c>
      <c r="Z262" s="711">
        <v>0</v>
      </c>
      <c r="AA262" s="716"/>
      <c r="AB262" s="702"/>
      <c r="AC262" s="699">
        <v>0</v>
      </c>
      <c r="AD262" s="711">
        <v>0</v>
      </c>
      <c r="AE262" s="688"/>
      <c r="AF262" s="702"/>
      <c r="AG262" s="699">
        <v>0</v>
      </c>
      <c r="AH262" s="711">
        <v>0</v>
      </c>
      <c r="AI262" s="688"/>
      <c r="AJ262" s="718"/>
      <c r="AK262" s="937"/>
      <c r="AL262" s="937"/>
      <c r="AM262" s="715"/>
      <c r="AN262" s="688"/>
      <c r="AO262" s="721"/>
      <c r="AP262" s="721">
        <f t="shared" si="344"/>
        <v>0</v>
      </c>
      <c r="AQ262" s="718">
        <f>SUM(Q262,AJ262)</f>
        <v>0</v>
      </c>
      <c r="AR262" s="937"/>
      <c r="AS262" s="937"/>
      <c r="AT262" s="715">
        <f>SUM(T262,AM262)</f>
        <v>0</v>
      </c>
      <c r="AU262" s="688"/>
      <c r="AV262" s="721"/>
      <c r="AW262" s="721">
        <f t="shared" si="345"/>
        <v>0</v>
      </c>
      <c r="AX262" s="723">
        <f>AQ262/6</f>
        <v>0</v>
      </c>
      <c r="AY262" s="723"/>
      <c r="AZ262" s="723">
        <f>AT262/6</f>
        <v>0</v>
      </c>
      <c r="BA262" s="556"/>
      <c r="BB262" s="556"/>
      <c r="BC262" s="556"/>
      <c r="BD262" s="556"/>
      <c r="BE262" s="702"/>
      <c r="BF262" s="711">
        <v>0</v>
      </c>
      <c r="BG262" s="711">
        <v>0</v>
      </c>
      <c r="BH262" s="716"/>
      <c r="BI262" s="702"/>
      <c r="BJ262" s="711">
        <v>0</v>
      </c>
      <c r="BK262" s="711">
        <v>0</v>
      </c>
      <c r="BL262" s="716"/>
      <c r="BM262" s="702"/>
      <c r="BN262" s="699">
        <v>0</v>
      </c>
      <c r="BO262" s="711">
        <v>0</v>
      </c>
      <c r="BP262" s="688"/>
      <c r="BV262" s="702"/>
      <c r="BW262" s="699">
        <v>0</v>
      </c>
      <c r="BX262" s="711">
        <v>0</v>
      </c>
      <c r="BY262" s="688"/>
      <c r="BZ262" s="702"/>
      <c r="CA262" s="699">
        <v>0</v>
      </c>
      <c r="CB262" s="711">
        <v>0</v>
      </c>
      <c r="CC262" s="688"/>
      <c r="CD262" s="702"/>
      <c r="CE262" s="699">
        <v>0</v>
      </c>
      <c r="CF262" s="711">
        <v>0</v>
      </c>
      <c r="CG262" s="688"/>
      <c r="CX262" s="723">
        <f>CQ262/6</f>
        <v>0</v>
      </c>
      <c r="CY262" s="723">
        <f>CT262/6</f>
        <v>0</v>
      </c>
      <c r="CZ262" s="556"/>
      <c r="DA262" s="556"/>
      <c r="DB262" s="556"/>
    </row>
    <row r="263" spans="3:106" ht="15.75" hidden="1" customHeight="1">
      <c r="I263" s="700"/>
      <c r="J263" s="734"/>
      <c r="K263" s="734"/>
      <c r="L263" s="1080"/>
      <c r="M263" s="700"/>
      <c r="N263" s="734"/>
      <c r="O263" s="734"/>
      <c r="P263" s="1080"/>
      <c r="Q263" s="943"/>
      <c r="R263" s="1182"/>
      <c r="S263" s="1182"/>
      <c r="T263" s="737"/>
      <c r="U263" s="1082"/>
      <c r="V263" s="1144"/>
      <c r="W263" s="696">
        <f t="shared" si="343"/>
        <v>0</v>
      </c>
      <c r="X263" s="700"/>
      <c r="Y263" s="734"/>
      <c r="Z263" s="734"/>
      <c r="AA263" s="1080"/>
      <c r="AB263" s="700"/>
      <c r="AC263" s="741"/>
      <c r="AD263" s="734"/>
      <c r="AE263" s="1082"/>
      <c r="AF263" s="700"/>
      <c r="AG263" s="741"/>
      <c r="AH263" s="734"/>
      <c r="AI263" s="1082"/>
      <c r="AJ263" s="943"/>
      <c r="AK263" s="1182"/>
      <c r="AL263" s="1182"/>
      <c r="AM263" s="737"/>
      <c r="AN263" s="1082"/>
      <c r="AO263" s="1144"/>
      <c r="AP263" s="696">
        <f t="shared" si="344"/>
        <v>0</v>
      </c>
      <c r="AQ263" s="771"/>
      <c r="AR263" s="1182"/>
      <c r="AS263" s="938"/>
      <c r="AT263" s="732"/>
      <c r="AU263" s="1181"/>
      <c r="AV263" s="1144"/>
      <c r="AW263" s="696">
        <f t="shared" si="345"/>
        <v>0</v>
      </c>
      <c r="AX263" s="723"/>
      <c r="AY263" s="723"/>
      <c r="AZ263" s="723"/>
      <c r="BA263" s="556"/>
      <c r="BB263" s="556"/>
      <c r="BC263" s="556"/>
      <c r="BD263" s="556"/>
      <c r="BE263" s="700"/>
      <c r="BF263" s="734"/>
      <c r="BG263" s="734"/>
      <c r="BH263" s="1080"/>
      <c r="BI263" s="700"/>
      <c r="BJ263" s="734"/>
      <c r="BK263" s="734"/>
      <c r="BL263" s="1080"/>
      <c r="BM263" s="700"/>
      <c r="BN263" s="741"/>
      <c r="BO263" s="734"/>
      <c r="BP263" s="1082"/>
      <c r="BV263" s="700"/>
      <c r="BW263" s="741"/>
      <c r="BX263" s="734"/>
      <c r="BY263" s="1082"/>
      <c r="BZ263" s="700"/>
      <c r="CA263" s="741"/>
      <c r="CB263" s="734"/>
      <c r="CC263" s="1082"/>
      <c r="CD263" s="700"/>
      <c r="CE263" s="741"/>
      <c r="CF263" s="734"/>
      <c r="CG263" s="1082"/>
      <c r="CX263" s="723"/>
      <c r="CY263" s="723"/>
      <c r="CZ263" s="556"/>
      <c r="DA263" s="556"/>
      <c r="DB263" s="556"/>
    </row>
    <row r="264" spans="3:106" ht="15.75" hidden="1" customHeight="1">
      <c r="I264" s="1185"/>
      <c r="J264" s="745">
        <f>J254+J256+J258+J260+J262</f>
        <v>0</v>
      </c>
      <c r="K264" s="745">
        <f>K254+K256+K258+K260+K262</f>
        <v>0</v>
      </c>
      <c r="L264" s="748"/>
      <c r="M264" s="1185"/>
      <c r="N264" s="745">
        <f>N254+N256+N258+N260+N262</f>
        <v>0</v>
      </c>
      <c r="O264" s="745">
        <f>O254+O256+O258+O260+O262</f>
        <v>0</v>
      </c>
      <c r="P264" s="748"/>
      <c r="Q264" s="1185"/>
      <c r="R264" s="1187"/>
      <c r="S264" s="1187"/>
      <c r="T264" s="746"/>
      <c r="U264" s="909"/>
      <c r="V264" s="1188"/>
      <c r="W264" s="1188">
        <f t="shared" si="343"/>
        <v>0</v>
      </c>
      <c r="X264" s="1185"/>
      <c r="Y264" s="745">
        <f>Y254+Y256+Y258+Y260+Y262</f>
        <v>0</v>
      </c>
      <c r="Z264" s="745">
        <f>Z254+Z256+Z258+Z260+Z262</f>
        <v>0</v>
      </c>
      <c r="AA264" s="748"/>
      <c r="AB264" s="1185"/>
      <c r="AC264" s="1186">
        <f>AC254+AC256+AC258+AC260+AC262</f>
        <v>0</v>
      </c>
      <c r="AD264" s="745">
        <f>AD254+AD256+AD258+AD260+AD262</f>
        <v>0</v>
      </c>
      <c r="AE264" s="909"/>
      <c r="AF264" s="1185"/>
      <c r="AG264" s="1186">
        <f>AG254+AG256+AG258+AG260+AG262</f>
        <v>0</v>
      </c>
      <c r="AH264" s="745">
        <f>AH254+AH256+AH258+AH260+AH262</f>
        <v>0</v>
      </c>
      <c r="AI264" s="909"/>
      <c r="AJ264" s="1185"/>
      <c r="AK264" s="1187"/>
      <c r="AL264" s="1187"/>
      <c r="AM264" s="746"/>
      <c r="AN264" s="909"/>
      <c r="AO264" s="1188"/>
      <c r="AP264" s="1188">
        <f t="shared" si="344"/>
        <v>0</v>
      </c>
      <c r="AQ264" s="1185">
        <f>AQ254+AQ256+AQ258+AQ262+AQ260</f>
        <v>0</v>
      </c>
      <c r="AR264" s="1187"/>
      <c r="AS264" s="1187"/>
      <c r="AT264" s="746">
        <f>AT254+AT256+AT258+AT262+AT260</f>
        <v>0</v>
      </c>
      <c r="AU264" s="909"/>
      <c r="AV264" s="1188"/>
      <c r="AW264" s="1188">
        <f t="shared" si="345"/>
        <v>0</v>
      </c>
      <c r="AX264" s="723">
        <f>AX254+AX256+AX258+AX262+AX260</f>
        <v>0</v>
      </c>
      <c r="AY264" s="723"/>
      <c r="AZ264" s="723">
        <f>AZ254+AZ256+AZ258+AZ262+AZ260</f>
        <v>0</v>
      </c>
      <c r="BE264" s="1185"/>
      <c r="BF264" s="745">
        <f>BF254+BF256+BF258+BF260+BF262</f>
        <v>0</v>
      </c>
      <c r="BG264" s="745">
        <f>BG254+BG256+BG258+BG260+BG262</f>
        <v>0</v>
      </c>
      <c r="BH264" s="748"/>
      <c r="BI264" s="1185"/>
      <c r="BJ264" s="745">
        <f>BJ254+BJ256+BJ258+BJ260+BJ262</f>
        <v>0</v>
      </c>
      <c r="BK264" s="745">
        <f>BK254+BK256+BK258+BK260+BK262</f>
        <v>0</v>
      </c>
      <c r="BL264" s="748"/>
      <c r="BM264" s="1185"/>
      <c r="BN264" s="1186">
        <f>BN254+BN256+BN258+BN260+BN262</f>
        <v>0</v>
      </c>
      <c r="BO264" s="745">
        <f>BO254+BO256+BO258+BO260+BO262</f>
        <v>0</v>
      </c>
      <c r="BP264" s="909"/>
      <c r="BV264" s="1185"/>
      <c r="BW264" s="1186">
        <f>BW254+BW256+BW258+BW260+BW262</f>
        <v>0</v>
      </c>
      <c r="BX264" s="745">
        <f>BX254+BX256+BX258+BX260+BX262</f>
        <v>0</v>
      </c>
      <c r="BY264" s="909"/>
      <c r="BZ264" s="1185"/>
      <c r="CA264" s="1186">
        <f>CA254+CA256+CA258+CA260+CA262</f>
        <v>0</v>
      </c>
      <c r="CB264" s="745">
        <f>CB254+CB256+CB258+CB260+CB262</f>
        <v>0</v>
      </c>
      <c r="CC264" s="909"/>
      <c r="CD264" s="1185"/>
      <c r="CE264" s="1186">
        <f>CE254+CE256+CE258+CE260+CE262</f>
        <v>0</v>
      </c>
      <c r="CF264" s="745">
        <f>CF254+CF256+CF258+CF260+CF262</f>
        <v>0</v>
      </c>
      <c r="CG264" s="909"/>
      <c r="CX264" s="723">
        <f>CX254+CX256+CX258+CX262+CX260</f>
        <v>0</v>
      </c>
      <c r="CY264" s="723">
        <f>CY254+CY256+CY258+CY262+CY260</f>
        <v>0</v>
      </c>
    </row>
    <row r="265" spans="3:106">
      <c r="C265" t="s">
        <v>302</v>
      </c>
      <c r="D265" t="s">
        <v>303</v>
      </c>
      <c r="F265">
        <f>F43-F216</f>
        <v>54132.99145299146</v>
      </c>
      <c r="G265">
        <f>G43-G216</f>
        <v>62274.668571367532</v>
      </c>
      <c r="I265" s="696"/>
      <c r="J265" s="696">
        <f>J43-J216</f>
        <v>67852.991452991453</v>
      </c>
      <c r="K265" s="696">
        <f>K43-K216</f>
        <v>69393.812314198454</v>
      </c>
      <c r="L265" s="981"/>
      <c r="M265" s="696"/>
      <c r="N265" s="696">
        <f>N43-N216</f>
        <v>70794.017094017094</v>
      </c>
      <c r="O265" s="696">
        <f>O43-O216</f>
        <v>72687.518117464875</v>
      </c>
      <c r="P265" s="981"/>
      <c r="Q265" s="1189">
        <f>Q250/3</f>
        <v>55425.54131054131</v>
      </c>
      <c r="R265" s="1189"/>
      <c r="S265" s="1189"/>
      <c r="T265" s="1190"/>
      <c r="U265" s="1189"/>
      <c r="V265" s="1189"/>
      <c r="W265" s="1189"/>
      <c r="X265" s="696"/>
      <c r="Y265" s="696">
        <f>Y43-Y216</f>
        <v>63128.945367521374</v>
      </c>
      <c r="Z265" s="696">
        <f>Z43-Z216</f>
        <v>70247.87247361106</v>
      </c>
      <c r="AA265" s="981"/>
      <c r="AB265" s="696"/>
      <c r="AC265" s="696">
        <f>AC43-AC216</f>
        <v>66628.20512820514</v>
      </c>
      <c r="AD265" s="696">
        <f>AD43-AD216</f>
        <v>67594.932603604087</v>
      </c>
      <c r="AE265" s="696"/>
      <c r="AF265" s="696"/>
      <c r="AG265" s="696">
        <f>AG43-AG216</f>
        <v>68757.051282051281</v>
      </c>
      <c r="AH265" s="696">
        <f>AH43-AH216</f>
        <v>69327.562666899408</v>
      </c>
      <c r="AI265" s="696"/>
      <c r="AJ265" s="1189">
        <f>AJ250/3</f>
        <v>53599.536011396012</v>
      </c>
      <c r="AK265" s="1189"/>
      <c r="AL265" s="1189"/>
      <c r="AM265" s="1190"/>
      <c r="AN265" s="1189"/>
      <c r="AO265" s="1189"/>
      <c r="AP265" s="1189"/>
      <c r="AQ265" s="1189">
        <f>AQ250/6</f>
        <v>54512.538660968661</v>
      </c>
      <c r="AR265" s="696"/>
      <c r="AS265" s="1189"/>
      <c r="AT265" s="1190"/>
      <c r="AU265" s="1189"/>
      <c r="AV265" s="1189"/>
      <c r="AW265" s="1189"/>
      <c r="AX265" s="1250"/>
      <c r="AY265" s="1250"/>
      <c r="AZ265" s="1250"/>
      <c r="BA265" s="1191"/>
      <c r="BB265" s="1191"/>
      <c r="BC265" s="1191"/>
      <c r="BD265" s="1191"/>
      <c r="BE265" s="696"/>
      <c r="BF265" s="696">
        <f>BF43-BF216</f>
        <v>73879.525641025641</v>
      </c>
      <c r="BG265" s="696">
        <f>BG43-BG216</f>
        <v>74450.96132008548</v>
      </c>
      <c r="BH265" s="1190"/>
      <c r="BI265" s="696"/>
      <c r="BJ265" s="696">
        <f>BJ43-BJ216</f>
        <v>69976.931623931625</v>
      </c>
      <c r="BK265" s="696">
        <f>BK43-BK216</f>
        <v>70591.879196581212</v>
      </c>
      <c r="BL265" s="981"/>
      <c r="BM265" s="696"/>
      <c r="BN265" s="696">
        <f>BN43-BN216</f>
        <v>69369.829059829062</v>
      </c>
      <c r="BO265" s="696">
        <f>BO43-BO216</f>
        <v>69571.041812788972</v>
      </c>
      <c r="BP265" s="1189"/>
      <c r="BV265" s="696"/>
      <c r="BW265" s="696">
        <f>BW43-BW216</f>
        <v>1387.5960046693363</v>
      </c>
      <c r="BX265" s="1189">
        <f>BX43-BX216</f>
        <v>66828.606837606843</v>
      </c>
      <c r="BY265" s="696"/>
      <c r="BZ265" s="696">
        <f>BZ43-BZ216</f>
        <v>69175.150638926018</v>
      </c>
      <c r="CA265" s="696">
        <f>CA43-CA216</f>
        <v>297.37286114824383</v>
      </c>
      <c r="CB265" s="1189">
        <f>CB43-CB216</f>
        <v>56562.606837606843</v>
      </c>
      <c r="CC265" s="696"/>
      <c r="CD265" s="696"/>
      <c r="CE265" s="696">
        <f>CE43-CE216</f>
        <v>0</v>
      </c>
      <c r="CF265" s="1189">
        <f>CF43-CF216</f>
        <v>29517.538461538461</v>
      </c>
      <c r="CG265" s="696"/>
      <c r="CX265" s="1250"/>
      <c r="CY265" s="1250"/>
      <c r="CZ265" s="1191"/>
      <c r="DA265" s="1191"/>
      <c r="DB265" s="1191"/>
    </row>
    <row r="266" spans="3:106">
      <c r="D266" t="s">
        <v>304</v>
      </c>
      <c r="F266">
        <f>F50-F228</f>
        <v>161702.56410256412</v>
      </c>
      <c r="G266">
        <f>G50-G228</f>
        <v>173518.13364717964</v>
      </c>
      <c r="I266" s="696"/>
      <c r="J266" s="696">
        <f>J50-J228</f>
        <v>139345.94017094016</v>
      </c>
      <c r="K266" s="696">
        <f>K50-K228</f>
        <v>176251.40165614063</v>
      </c>
      <c r="L266" s="981"/>
      <c r="M266" s="696"/>
      <c r="N266" s="696">
        <f>N50-N228</f>
        <v>123528.41880341881</v>
      </c>
      <c r="O266" s="696">
        <f>O50-O228</f>
        <v>130666.07459399206</v>
      </c>
      <c r="P266" s="981"/>
      <c r="Q266" s="1189"/>
      <c r="R266" s="1189"/>
      <c r="S266" s="1189"/>
      <c r="T266" s="1190"/>
      <c r="U266" s="1189"/>
      <c r="V266" s="1189"/>
      <c r="W266" s="1189"/>
      <c r="X266" s="696"/>
      <c r="Y266" s="696">
        <f>Y50-Y228</f>
        <v>124198.29059829061</v>
      </c>
      <c r="Z266" s="696">
        <f>Z50-Z228</f>
        <v>146114.03460256918</v>
      </c>
      <c r="AA266" s="981"/>
      <c r="AB266" s="696"/>
      <c r="AC266" s="696">
        <f>AC50-AC228</f>
        <v>152193.16239316241</v>
      </c>
      <c r="AD266" s="696">
        <f>AD50-AD228</f>
        <v>153394.91837658116</v>
      </c>
      <c r="AE266" s="696"/>
      <c r="AF266" s="696"/>
      <c r="AG266" s="696">
        <f>AG50-AG228</f>
        <v>156676.92307692309</v>
      </c>
      <c r="AH266" s="696">
        <f>AH50-AH228</f>
        <v>156106.40583615383</v>
      </c>
      <c r="AI266" s="696"/>
      <c r="AJ266" s="1189"/>
      <c r="AK266" s="1189"/>
      <c r="AL266" s="1189"/>
      <c r="AM266" s="1190"/>
      <c r="AN266" s="1189"/>
      <c r="AO266" s="1189"/>
      <c r="AP266" s="1189"/>
      <c r="AQ266" s="1189"/>
      <c r="AR266" s="696"/>
      <c r="AS266" s="1189"/>
      <c r="AT266" s="1190"/>
      <c r="AU266" s="1189"/>
      <c r="AV266" s="1189"/>
      <c r="AW266" s="1189"/>
      <c r="AX266" s="1250"/>
      <c r="AY266" s="1250"/>
      <c r="AZ266" s="1250"/>
      <c r="BA266" s="1191"/>
      <c r="BB266" s="1191"/>
      <c r="BC266" s="1191"/>
      <c r="BD266" s="1191"/>
      <c r="BE266" s="696"/>
      <c r="BF266" s="696">
        <f>BF50-BF228</f>
        <v>163320.76923076925</v>
      </c>
      <c r="BG266" s="696">
        <f>BG50-BG228</f>
        <v>119336.36978162391</v>
      </c>
      <c r="BH266" s="1190"/>
      <c r="BI266" s="696"/>
      <c r="BJ266" s="696">
        <f>BJ50-BJ228</f>
        <v>79803.076923076937</v>
      </c>
      <c r="BK266" s="696">
        <f>BK50-BK228</f>
        <v>78996.816622051236</v>
      </c>
      <c r="BL266" s="981"/>
      <c r="BM266" s="696"/>
      <c r="BN266" s="696">
        <f>BN50-BN228</f>
        <v>111281.70940170941</v>
      </c>
      <c r="BO266" s="696">
        <f>BO50-BO228</f>
        <v>107852.09361179487</v>
      </c>
      <c r="BP266" s="1189"/>
      <c r="BV266" s="696"/>
      <c r="BW266" s="696">
        <f>BW50-BW228</f>
        <v>-48220.275540085495</v>
      </c>
      <c r="BX266" s="1189">
        <f>BX50-BX228</f>
        <v>117597.99316239316</v>
      </c>
      <c r="BY266" s="696"/>
      <c r="BZ266" s="696">
        <f>BZ50-BZ228</f>
        <v>133159.6891429915</v>
      </c>
      <c r="CA266" s="696">
        <f>CA50-CA228</f>
        <v>-9585.5074382050807</v>
      </c>
      <c r="CB266" s="1189">
        <f>CB50-CB228</f>
        <v>104549.05982905983</v>
      </c>
      <c r="CC266" s="696"/>
      <c r="CD266" s="696"/>
      <c r="CE266" s="696">
        <f>CE50-CE228</f>
        <v>-46104.273504273486</v>
      </c>
      <c r="CF266" s="1189">
        <f>CF50-CF228</f>
        <v>98003.051282051296</v>
      </c>
      <c r="CG266" s="696"/>
      <c r="CX266" s="1250"/>
      <c r="CY266" s="1250"/>
      <c r="CZ266" s="1191"/>
      <c r="DA266" s="1191"/>
      <c r="DB266" s="1191"/>
    </row>
    <row r="267" spans="3:106">
      <c r="D267" t="s">
        <v>305</v>
      </c>
      <c r="F267">
        <f>F55-F236</f>
        <v>68173.076923076922</v>
      </c>
      <c r="G267">
        <f>G55-G236</f>
        <v>106154.63062393162</v>
      </c>
      <c r="J267" s="697">
        <f>J55-J236</f>
        <v>74970.085470085469</v>
      </c>
      <c r="K267" s="697">
        <f>K55-K236</f>
        <v>88445.632478632484</v>
      </c>
      <c r="L267" s="697"/>
      <c r="N267" s="697">
        <f>N55-N236</f>
        <v>89964.102564102563</v>
      </c>
      <c r="O267" s="697">
        <f>O55-O236</f>
        <v>87016.161925726497</v>
      </c>
      <c r="P267" s="697"/>
      <c r="Q267" s="1191"/>
      <c r="R267" s="1191"/>
      <c r="S267" s="1191"/>
      <c r="T267" s="1191"/>
      <c r="U267" s="1191"/>
      <c r="V267" s="1191"/>
      <c r="W267" s="1191"/>
      <c r="Y267" s="697">
        <f>Y55-Y236</f>
        <v>88064.102564102563</v>
      </c>
      <c r="Z267" s="697">
        <f>Z55-Z236</f>
        <v>84736.240290598304</v>
      </c>
      <c r="AA267" s="697"/>
      <c r="AC267" s="697">
        <f>AC55-AC236</f>
        <v>96111.111111111124</v>
      </c>
      <c r="AD267" s="697">
        <f>AD55-AD236</f>
        <v>104253.42928000001</v>
      </c>
      <c r="AG267" s="697">
        <f>AG55-AG236</f>
        <v>109705.12820512822</v>
      </c>
      <c r="AH267" s="697">
        <f>AH55-AH236</f>
        <v>99994.688430000009</v>
      </c>
      <c r="AJ267" s="1191"/>
      <c r="AK267" s="1191"/>
      <c r="AL267" s="1191"/>
      <c r="AM267" s="1191"/>
      <c r="AN267" s="1191"/>
      <c r="AO267" s="1191"/>
      <c r="AP267" s="1191"/>
      <c r="AQ267" s="1191"/>
      <c r="AS267" s="1191"/>
      <c r="AT267" s="1191"/>
      <c r="AU267" s="1191"/>
      <c r="AV267" s="1191"/>
      <c r="AW267" s="1191"/>
      <c r="AX267" s="1191"/>
      <c r="AY267" s="1191"/>
      <c r="AZ267" s="1191"/>
      <c r="BA267" s="1191"/>
      <c r="BB267" s="1191"/>
      <c r="BC267" s="1191"/>
      <c r="BD267" s="1191"/>
      <c r="BF267" s="697">
        <f>BF55-BF236</f>
        <v>104222.22222222223</v>
      </c>
      <c r="BG267" s="697">
        <f>BG55-BG236</f>
        <v>104972.06332123079</v>
      </c>
      <c r="BH267" s="1191"/>
      <c r="BJ267" s="697">
        <f>BJ55-BJ236</f>
        <v>111269.23076923078</v>
      </c>
      <c r="BK267" s="697">
        <f>BK55-BK236</f>
        <v>103814.9876697436</v>
      </c>
      <c r="BL267" s="697"/>
      <c r="BN267" s="697">
        <f>BN55-BN236</f>
        <v>101493.71794871797</v>
      </c>
      <c r="BO267" s="697">
        <f>BO55-BO236</f>
        <v>85747.627829999998</v>
      </c>
      <c r="BP267" s="1191"/>
      <c r="BW267" s="697">
        <f>BW55-BW236</f>
        <v>-22450.49211919665</v>
      </c>
      <c r="BX267" s="1191">
        <f>BX55-BX236</f>
        <v>118915.21367521369</v>
      </c>
      <c r="BZ267" s="697">
        <f>BZ55-BZ236</f>
        <v>128082.74553000001</v>
      </c>
      <c r="CA267" s="697">
        <f>CA55-CA236</f>
        <v>17384.967752222226</v>
      </c>
      <c r="CB267" s="1191">
        <f>CB55-CB236</f>
        <v>118915.21367521369</v>
      </c>
      <c r="CE267" s="697">
        <f>CE55-CE236</f>
        <v>-37211.794871794875</v>
      </c>
      <c r="CF267" s="1191">
        <f>CF55-CF236</f>
        <v>118915.21367521369</v>
      </c>
      <c r="CX267" s="1191"/>
      <c r="CY267" s="1191"/>
      <c r="CZ267" s="1191"/>
      <c r="DA267" s="1191"/>
      <c r="DB267" s="1191"/>
    </row>
    <row r="268" spans="3:106">
      <c r="D268" t="s">
        <v>306</v>
      </c>
      <c r="F268">
        <f>F59-F242</f>
        <v>125.47008547008548</v>
      </c>
      <c r="G268">
        <f>G59-G242</f>
        <v>1191.2232236752138</v>
      </c>
      <c r="L268" s="697"/>
      <c r="P268" s="697"/>
      <c r="Q268" s="1191"/>
      <c r="R268" s="1191"/>
      <c r="S268" s="1191" t="s">
        <v>428</v>
      </c>
      <c r="T268" s="1191"/>
      <c r="U268" s="1191"/>
      <c r="V268" s="1191"/>
      <c r="W268" s="1191"/>
      <c r="AA268" s="697"/>
      <c r="AC268" s="697">
        <f>AC59-AC242</f>
        <v>5001.8063700854709</v>
      </c>
      <c r="AD268" s="697">
        <f>AD59-AD242</f>
        <v>4927.9540854700863</v>
      </c>
      <c r="AG268" s="697">
        <f>AG59-AG242</f>
        <v>4285.9730769230773</v>
      </c>
      <c r="AH268" s="697">
        <f>AH59-AH242</f>
        <v>0</v>
      </c>
      <c r="AJ268" s="1191"/>
      <c r="AK268" s="1191"/>
      <c r="AL268" s="1191"/>
      <c r="AM268" s="1191"/>
      <c r="AN268" s="1191"/>
      <c r="AO268" s="1191"/>
      <c r="AP268" s="1191"/>
      <c r="AQ268" s="1191"/>
      <c r="AS268" s="1191"/>
      <c r="AT268" s="1191"/>
      <c r="AU268" s="1191"/>
      <c r="AV268" s="1191"/>
      <c r="AW268" s="1191"/>
      <c r="AX268" s="1191"/>
      <c r="AY268" s="1191"/>
      <c r="AZ268" s="1191"/>
      <c r="BA268" s="1191"/>
      <c r="BB268" s="1191"/>
      <c r="BC268" s="1191"/>
      <c r="BD268" s="1191"/>
      <c r="BH268" s="1191"/>
      <c r="BL268" s="697"/>
      <c r="BP268" s="1191"/>
      <c r="BX268" s="1191"/>
      <c r="CB268" s="1191"/>
      <c r="CF268" s="1191"/>
      <c r="CX268" s="1191"/>
      <c r="CY268" s="1191"/>
      <c r="CZ268" s="1191"/>
      <c r="DA268" s="1191"/>
      <c r="DB268" s="1191"/>
    </row>
    <row r="269" spans="3:106">
      <c r="L269" s="697"/>
      <c r="P269" s="697"/>
      <c r="Q269" s="1191"/>
      <c r="R269" s="1191"/>
      <c r="S269" s="1191"/>
      <c r="T269" s="1191"/>
      <c r="U269" s="1191"/>
      <c r="V269" s="1191"/>
      <c r="W269" s="1191"/>
      <c r="Y269" s="697" t="s">
        <v>429</v>
      </c>
      <c r="Z269" s="697" t="s">
        <v>443</v>
      </c>
      <c r="AA269" s="697"/>
      <c r="AC269" s="697">
        <f>AC270-SUM(AC265:AC268)</f>
        <v>1253.675601965806</v>
      </c>
      <c r="AD269" s="697">
        <f>AD270-SUM(AD265:AD268)</f>
        <v>2139.0242039316799</v>
      </c>
      <c r="AG269" s="697">
        <f>AG270-SUM(AG265:AG268)</f>
        <v>1687.6666666667443</v>
      </c>
      <c r="AH269" s="697">
        <f>AH270-SUM(AH265:AH268)</f>
        <v>1662.7693333333591</v>
      </c>
      <c r="AJ269" s="1191"/>
      <c r="AK269" s="1191"/>
      <c r="AL269" s="1191"/>
      <c r="AM269" s="1191"/>
      <c r="AN269" s="1191"/>
      <c r="AO269" s="1191"/>
      <c r="AP269" s="1191"/>
      <c r="AQ269" s="1191"/>
      <c r="AS269" s="1191"/>
      <c r="AT269" s="1191"/>
      <c r="AU269" s="1191"/>
      <c r="AV269" s="1191"/>
      <c r="AW269" s="1191"/>
      <c r="AX269" s="1191"/>
      <c r="AY269" s="1191"/>
      <c r="AZ269" s="1191"/>
      <c r="BA269" s="1191"/>
      <c r="BB269" s="1191"/>
      <c r="BC269" s="1191"/>
      <c r="BD269" s="1191"/>
      <c r="BH269" s="1191"/>
      <c r="BL269" s="697"/>
      <c r="BP269" s="1191"/>
      <c r="BW269" s="697" t="s">
        <v>429</v>
      </c>
      <c r="BX269" s="1191" t="s">
        <v>475</v>
      </c>
      <c r="CB269" s="1191"/>
      <c r="CF269" s="1191"/>
      <c r="CX269" s="1191"/>
      <c r="CY269" s="1191"/>
      <c r="CZ269" s="1191"/>
      <c r="DA269" s="1191"/>
      <c r="DB269" s="1191"/>
    </row>
    <row r="270" spans="3:106">
      <c r="L270" s="697"/>
      <c r="P270" s="697"/>
      <c r="AA270" s="697"/>
      <c r="AC270" s="697">
        <f>AC67-AC250</f>
        <v>321187.96060452994</v>
      </c>
      <c r="AD270" s="697">
        <f>AD67-AD250</f>
        <v>332310.25854958699</v>
      </c>
      <c r="AG270" s="697">
        <f>AG67-AG250</f>
        <v>341112.74230769242</v>
      </c>
      <c r="AH270" s="697">
        <f>AH67-AH250</f>
        <v>327091.42626638664</v>
      </c>
      <c r="BA270" s="655"/>
      <c r="BB270" s="655"/>
      <c r="BC270" s="655"/>
      <c r="BD270" s="655"/>
      <c r="BL270" s="697"/>
      <c r="CZ270" s="655"/>
      <c r="DA270" s="655"/>
      <c r="DB270" s="655"/>
    </row>
    <row r="271" spans="3:106">
      <c r="J271" s="697">
        <f>J36+J40</f>
        <v>76495.7264957265</v>
      </c>
      <c r="K271" s="697">
        <f>K36+K40</f>
        <v>78374.396333333338</v>
      </c>
      <c r="L271" s="697"/>
      <c r="N271" s="697">
        <f>N36+N40</f>
        <v>80000.000000000015</v>
      </c>
      <c r="O271" s="697">
        <f>O36+O40</f>
        <v>81992.995418803432</v>
      </c>
      <c r="P271" s="697"/>
      <c r="Y271" s="697">
        <f>Y36+Y40</f>
        <v>71367.398290598299</v>
      </c>
      <c r="Z271" s="697">
        <f>Z36+Z40</f>
        <v>79350.847042735026</v>
      </c>
      <c r="AA271" s="697"/>
      <c r="AC271" s="697">
        <f>AC36+AC40</f>
        <v>75854.700854700859</v>
      </c>
      <c r="AD271" s="697">
        <f>AD36+AD40</f>
        <v>76420.763307692294</v>
      </c>
      <c r="AG271" s="697">
        <f>AG36+AG40</f>
        <v>78247.86324786325</v>
      </c>
      <c r="AH271" s="697">
        <f>AH36+AH40</f>
        <v>78411.671897435896</v>
      </c>
      <c r="BA271" s="655"/>
      <c r="BB271" s="655"/>
      <c r="BC271" s="655"/>
      <c r="BD271" s="655"/>
      <c r="BG271" s="697">
        <f>BG36+BG40</f>
        <v>85473.213282051278</v>
      </c>
      <c r="BJ271" s="697">
        <f>BJ36+BJ40</f>
        <v>81410.256410256421</v>
      </c>
      <c r="BK271" s="697">
        <f>BK36+BK40</f>
        <v>81684.420974358974</v>
      </c>
      <c r="BL271" s="697"/>
      <c r="BN271" s="697">
        <f>BN36+BN40</f>
        <v>80555.555555555562</v>
      </c>
      <c r="BO271" s="697">
        <f>BO36+BO40</f>
        <v>80616.618666666691</v>
      </c>
      <c r="BW271" s="697">
        <f>BW36+BW40</f>
        <v>381.09052991454155</v>
      </c>
      <c r="BX271" s="697">
        <f>BX36+BX40</f>
        <v>79401.709401709406</v>
      </c>
      <c r="CA271" s="697">
        <f>CA36+CA40</f>
        <v>-261.66300854700421</v>
      </c>
      <c r="CB271" s="697">
        <f>CB36+CB40</f>
        <v>66923.076923076922</v>
      </c>
      <c r="CE271" s="697">
        <f>CE36+CE40</f>
        <v>0</v>
      </c>
      <c r="CF271" s="697">
        <f>CF36+CF40</f>
        <v>34957.264957264961</v>
      </c>
      <c r="CZ271" s="655"/>
      <c r="DA271" s="655"/>
      <c r="DB271" s="655"/>
    </row>
    <row r="272" spans="3:106">
      <c r="J272" s="697">
        <f>J204+J212</f>
        <v>8988.8888888888905</v>
      </c>
      <c r="K272" s="697">
        <f>K204+K212</f>
        <v>9072.5069916158973</v>
      </c>
      <c r="L272" s="697"/>
      <c r="N272" s="697">
        <f>N204+N212</f>
        <v>9482.9059829059843</v>
      </c>
      <c r="O272" s="697">
        <f>O204+O212</f>
        <v>9536.3012636347121</v>
      </c>
      <c r="P272" s="697"/>
      <c r="Y272" s="697">
        <f>Y204+Y212</f>
        <v>8584.6067692307697</v>
      </c>
      <c r="Z272" s="697">
        <f>Z204+Z212</f>
        <v>9254.9927835068047</v>
      </c>
      <c r="AA272" s="697"/>
      <c r="AC272" s="697">
        <f>AC204+AC212</f>
        <v>9399.5726495726522</v>
      </c>
      <c r="AD272" s="697">
        <f>AD204+AD212</f>
        <v>9023.6747651282058</v>
      </c>
      <c r="AG272" s="697">
        <f>AG204+AG212</f>
        <v>9663.8888888888887</v>
      </c>
      <c r="AH272" s="697">
        <f>AH204+AH212</f>
        <v>9328.3923753217987</v>
      </c>
      <c r="BA272" s="655"/>
      <c r="BB272" s="655"/>
      <c r="BC272" s="655"/>
      <c r="BD272" s="655"/>
      <c r="BG272" s="697">
        <f>BG204+BG212</f>
        <v>11179.82181999999</v>
      </c>
      <c r="BJ272" s="697">
        <f>BJ204+BJ212</f>
        <v>11606</v>
      </c>
      <c r="BK272" s="697">
        <f>BK204+BK212</f>
        <v>11322.904839999992</v>
      </c>
      <c r="BL272" s="697"/>
      <c r="BN272" s="697">
        <f>BN204+BN212</f>
        <v>11358.80341880342</v>
      </c>
      <c r="BO272" s="697">
        <f>BO204+BO212</f>
        <v>11377.183468289999</v>
      </c>
      <c r="BW272" s="697">
        <f>BW204+BW212</f>
        <v>-805.89329051343623</v>
      </c>
      <c r="BX272" s="697">
        <f>BX204+BX212</f>
        <v>12739.23076923077</v>
      </c>
      <c r="CA272" s="697">
        <f>CA204+CA212</f>
        <v>-237.3985332681026</v>
      </c>
      <c r="CB272" s="697">
        <f>CB204+CB212</f>
        <v>10464.31623931624</v>
      </c>
      <c r="CE272" s="697">
        <f>CE204+CE212</f>
        <v>0</v>
      </c>
      <c r="CF272" s="697">
        <f>CF204+CF212</f>
        <v>5543.5726495726494</v>
      </c>
      <c r="CZ272" s="655"/>
      <c r="DA272" s="655"/>
      <c r="DB272" s="655"/>
    </row>
    <row r="273" spans="12:106">
      <c r="L273" s="697"/>
      <c r="P273" s="697"/>
      <c r="AA273" s="697"/>
      <c r="BA273" s="655"/>
      <c r="BB273" s="655"/>
      <c r="BC273" s="655"/>
      <c r="BD273" s="655"/>
      <c r="BL273" s="697"/>
      <c r="CZ273" s="655"/>
      <c r="DA273" s="655"/>
      <c r="DB273" s="655"/>
    </row>
    <row r="274" spans="12:106">
      <c r="L274" s="697"/>
      <c r="P274" s="697"/>
      <c r="AA274" s="697"/>
      <c r="BA274" s="655"/>
      <c r="BB274" s="655"/>
      <c r="BC274" s="655"/>
      <c r="BD274" s="655"/>
      <c r="BL274" s="697"/>
      <c r="CZ274" s="655"/>
      <c r="DA274" s="655"/>
      <c r="DB274" s="655"/>
    </row>
    <row r="275" spans="12:106">
      <c r="L275" s="697"/>
      <c r="P275" s="697"/>
      <c r="AA275" s="697"/>
      <c r="BA275" s="655"/>
      <c r="BB275" s="655"/>
      <c r="BC275" s="655"/>
      <c r="BD275" s="655"/>
      <c r="BL275" s="697"/>
      <c r="CZ275" s="655"/>
      <c r="DA275" s="655"/>
      <c r="DB275" s="655"/>
    </row>
    <row r="276" spans="12:106">
      <c r="L276" s="697"/>
      <c r="P276" s="697"/>
      <c r="AA276" s="697"/>
      <c r="BA276" s="655"/>
      <c r="BB276" s="655"/>
      <c r="BC276" s="655"/>
      <c r="BD276" s="655"/>
      <c r="BL276" s="697"/>
      <c r="CZ276" s="655"/>
      <c r="DA276" s="655"/>
      <c r="DB276" s="655"/>
    </row>
    <row r="277" spans="12:106">
      <c r="L277" s="697"/>
      <c r="P277" s="697"/>
      <c r="AA277" s="697"/>
      <c r="BA277" s="655"/>
      <c r="BB277" s="655"/>
      <c r="BC277" s="655"/>
      <c r="BD277" s="655"/>
      <c r="BL277" s="697"/>
      <c r="CZ277" s="655"/>
      <c r="DA277" s="655"/>
      <c r="DB277" s="655"/>
    </row>
    <row r="278" spans="12:106">
      <c r="L278" s="697"/>
      <c r="P278" s="697"/>
      <c r="AA278" s="697"/>
      <c r="BA278" s="655"/>
      <c r="BB278" s="655"/>
      <c r="BC278" s="655"/>
      <c r="BD278" s="655"/>
      <c r="BL278" s="697"/>
      <c r="CZ278" s="655"/>
      <c r="DA278" s="655"/>
      <c r="DB278" s="655"/>
    </row>
    <row r="279" spans="12:106">
      <c r="L279" s="697"/>
      <c r="P279" s="697"/>
      <c r="AA279" s="697"/>
      <c r="BA279" s="655"/>
      <c r="BB279" s="655"/>
      <c r="BC279" s="655"/>
      <c r="BD279" s="655"/>
      <c r="BL279" s="697"/>
      <c r="CZ279" s="655"/>
      <c r="DA279" s="655"/>
      <c r="DB279" s="655"/>
    </row>
    <row r="280" spans="12:106">
      <c r="L280" s="697"/>
      <c r="P280" s="697"/>
      <c r="AA280" s="697"/>
      <c r="BA280" s="655"/>
      <c r="BB280" s="655"/>
      <c r="BC280" s="655"/>
      <c r="BD280" s="655"/>
      <c r="BL280" s="697"/>
      <c r="CZ280" s="655"/>
      <c r="DA280" s="655"/>
      <c r="DB280" s="655"/>
    </row>
    <row r="281" spans="12:106">
      <c r="L281" s="697"/>
      <c r="P281" s="697"/>
      <c r="AA281" s="697"/>
      <c r="BA281" s="655"/>
      <c r="BB281" s="655"/>
      <c r="BC281" s="655"/>
      <c r="BD281" s="655"/>
      <c r="BL281" s="697"/>
      <c r="CZ281" s="655"/>
      <c r="DA281" s="655"/>
      <c r="DB281" s="655"/>
    </row>
    <row r="282" spans="12:106">
      <c r="L282" s="697"/>
      <c r="P282" s="697"/>
      <c r="AA282" s="697"/>
      <c r="BA282" s="655"/>
      <c r="BB282" s="655"/>
      <c r="BC282" s="655"/>
      <c r="BD282" s="655"/>
      <c r="BL282" s="697"/>
      <c r="CZ282" s="655"/>
      <c r="DA282" s="655"/>
      <c r="DB282" s="655"/>
    </row>
    <row r="283" spans="12:106">
      <c r="L283" s="697"/>
      <c r="P283" s="697"/>
      <c r="AA283" s="697"/>
      <c r="BA283" s="655"/>
      <c r="BB283" s="655"/>
      <c r="BC283" s="655"/>
      <c r="BD283" s="655"/>
      <c r="BL283" s="697"/>
      <c r="CZ283" s="655"/>
      <c r="DA283" s="655"/>
      <c r="DB283" s="655"/>
    </row>
    <row r="284" spans="12:106">
      <c r="L284" s="697"/>
      <c r="P284" s="697"/>
      <c r="AA284" s="697"/>
      <c r="BA284" s="655"/>
      <c r="BB284" s="655"/>
      <c r="BC284" s="655"/>
      <c r="BD284" s="655"/>
      <c r="BL284" s="697"/>
      <c r="CZ284" s="655"/>
      <c r="DA284" s="655"/>
      <c r="DB284" s="655"/>
    </row>
    <row r="285" spans="12:106">
      <c r="L285" s="697"/>
      <c r="P285" s="697"/>
      <c r="AA285" s="697"/>
      <c r="BA285" s="1251"/>
      <c r="BB285" s="1251"/>
      <c r="BC285" s="1251"/>
      <c r="BD285" s="1251"/>
      <c r="BL285" s="697"/>
      <c r="CZ285" s="1251"/>
      <c r="DA285" s="1251"/>
      <c r="DB285" s="1251"/>
    </row>
    <row r="286" spans="12:106">
      <c r="L286" s="697"/>
      <c r="P286" s="697"/>
      <c r="AA286" s="697"/>
      <c r="BA286" s="1251"/>
      <c r="BB286" s="1251"/>
      <c r="BC286" s="1251"/>
      <c r="BD286" s="1251"/>
      <c r="BL286" s="697"/>
      <c r="CZ286" s="1251"/>
      <c r="DA286" s="1251"/>
      <c r="DB286" s="1251"/>
    </row>
    <row r="287" spans="12:106">
      <c r="L287" s="697"/>
      <c r="P287" s="697"/>
      <c r="AA287" s="697"/>
      <c r="BA287" s="1251"/>
      <c r="BB287" s="1251"/>
      <c r="BC287" s="1251"/>
      <c r="BD287" s="1251"/>
      <c r="BL287" s="697"/>
      <c r="CZ287" s="1251"/>
      <c r="DA287" s="1251"/>
      <c r="DB287" s="1251"/>
    </row>
    <row r="288" spans="12:106">
      <c r="L288" s="697"/>
      <c r="P288" s="697"/>
      <c r="AA288" s="697"/>
      <c r="BA288" s="1251"/>
      <c r="BB288" s="1251"/>
      <c r="BC288" s="1251"/>
      <c r="BD288" s="1251"/>
      <c r="BL288" s="697"/>
      <c r="CZ288" s="1251"/>
      <c r="DA288" s="1251"/>
      <c r="DB288" s="1251"/>
    </row>
    <row r="289" spans="12:106">
      <c r="L289" s="697"/>
      <c r="P289" s="697"/>
      <c r="AA289" s="697"/>
      <c r="BA289" s="1251"/>
      <c r="BB289" s="1251"/>
      <c r="BC289" s="1251"/>
      <c r="BD289" s="1251"/>
      <c r="BL289" s="697"/>
      <c r="CZ289" s="1251"/>
      <c r="DA289" s="1251"/>
      <c r="DB289" s="1251"/>
    </row>
    <row r="290" spans="12:106">
      <c r="L290" s="697"/>
      <c r="P290" s="697"/>
      <c r="AA290" s="697"/>
      <c r="BA290" s="1251"/>
      <c r="BB290" s="1251"/>
      <c r="BC290" s="1251"/>
      <c r="BD290" s="1251"/>
      <c r="BL290" s="697"/>
      <c r="CZ290" s="1251"/>
      <c r="DA290" s="1251"/>
      <c r="DB290" s="1251"/>
    </row>
    <row r="291" spans="12:106">
      <c r="L291" s="697"/>
      <c r="P291" s="697"/>
      <c r="AA291" s="697"/>
      <c r="BA291" s="1251"/>
      <c r="BB291" s="1251"/>
      <c r="BC291" s="1251"/>
      <c r="BD291" s="1251"/>
      <c r="BL291" s="697"/>
      <c r="CZ291" s="1251"/>
      <c r="DA291" s="1251"/>
      <c r="DB291" s="1251"/>
    </row>
    <row r="292" spans="12:106">
      <c r="L292" s="697"/>
      <c r="P292" s="697"/>
      <c r="AA292" s="697"/>
      <c r="BA292" s="1251"/>
      <c r="BB292" s="1251"/>
      <c r="BC292" s="1251"/>
      <c r="BD292" s="1251"/>
      <c r="BL292" s="697"/>
      <c r="CZ292" s="1251"/>
      <c r="DA292" s="1251"/>
      <c r="DB292" s="1251"/>
    </row>
    <row r="293" spans="12:106">
      <c r="L293" s="697"/>
      <c r="P293" s="697"/>
      <c r="AA293" s="697"/>
      <c r="BA293" s="1251"/>
      <c r="BB293" s="1251"/>
      <c r="BC293" s="1251"/>
      <c r="BD293" s="1251"/>
      <c r="BL293" s="697"/>
      <c r="CZ293" s="1251"/>
      <c r="DA293" s="1251"/>
      <c r="DB293" s="1251"/>
    </row>
    <row r="294" spans="12:106">
      <c r="L294" s="697"/>
      <c r="P294" s="697"/>
      <c r="AA294" s="697"/>
      <c r="BA294" s="1251"/>
      <c r="BB294" s="1251"/>
      <c r="BC294" s="1251"/>
      <c r="BD294" s="1251"/>
      <c r="BL294" s="697"/>
      <c r="CZ294" s="1251"/>
      <c r="DA294" s="1251"/>
      <c r="DB294" s="1251"/>
    </row>
    <row r="295" spans="12:106">
      <c r="L295" s="697"/>
      <c r="P295" s="697"/>
      <c r="AA295" s="697"/>
      <c r="BA295" s="1251"/>
      <c r="BB295" s="1251"/>
      <c r="BC295" s="1251"/>
      <c r="BD295" s="1251"/>
      <c r="BL295" s="697"/>
      <c r="CZ295" s="1251"/>
      <c r="DA295" s="1251"/>
      <c r="DB295" s="1251"/>
    </row>
    <row r="296" spans="12:106">
      <c r="L296" s="697"/>
      <c r="P296" s="697"/>
      <c r="AA296" s="697"/>
      <c r="BA296" s="1251"/>
      <c r="BB296" s="1251"/>
      <c r="BC296" s="1251"/>
      <c r="BD296" s="1251"/>
      <c r="BL296" s="697"/>
      <c r="CZ296" s="1251"/>
      <c r="DA296" s="1251"/>
      <c r="DB296" s="1251"/>
    </row>
    <row r="297" spans="12:106">
      <c r="L297" s="697"/>
      <c r="P297" s="697"/>
      <c r="AA297" s="697"/>
      <c r="BA297" s="1251"/>
      <c r="BB297" s="1251"/>
      <c r="BC297" s="1251"/>
      <c r="BD297" s="1251"/>
      <c r="BL297" s="697"/>
      <c r="CZ297" s="1251"/>
      <c r="DA297" s="1251"/>
      <c r="DB297" s="1251"/>
    </row>
    <row r="298" spans="12:106">
      <c r="L298" s="697"/>
      <c r="P298" s="697"/>
      <c r="AA298" s="697"/>
      <c r="BA298" s="1251"/>
      <c r="BB298" s="1251"/>
      <c r="BC298" s="1251"/>
      <c r="BD298" s="1251"/>
      <c r="BL298" s="697"/>
      <c r="CZ298" s="1251"/>
      <c r="DA298" s="1251"/>
      <c r="DB298" s="1251"/>
    </row>
    <row r="299" spans="12:106">
      <c r="L299" s="697"/>
      <c r="P299" s="697"/>
      <c r="AA299" s="697"/>
      <c r="BA299" s="1251"/>
      <c r="BB299" s="1251"/>
      <c r="BC299" s="1251"/>
      <c r="BD299" s="1251"/>
      <c r="BL299" s="697"/>
      <c r="CZ299" s="1251"/>
      <c r="DA299" s="1251"/>
      <c r="DB299" s="1251"/>
    </row>
    <row r="300" spans="12:106">
      <c r="L300" s="697"/>
      <c r="P300" s="697"/>
      <c r="AA300" s="697"/>
      <c r="BL300" s="697"/>
    </row>
    <row r="301" spans="12:106">
      <c r="L301" s="697"/>
      <c r="P301" s="697"/>
      <c r="AA301" s="697"/>
      <c r="BA301" s="1251"/>
      <c r="BB301" s="1251"/>
      <c r="BC301" s="1251"/>
      <c r="BD301" s="1251"/>
      <c r="BL301" s="697"/>
      <c r="CZ301" s="1251"/>
      <c r="DA301" s="1251"/>
      <c r="DB301" s="1251"/>
    </row>
    <row r="302" spans="12:106">
      <c r="L302" s="697"/>
      <c r="P302" s="697"/>
      <c r="AA302" s="697"/>
      <c r="BL302" s="697"/>
    </row>
    <row r="303" spans="12:106">
      <c r="L303" s="697"/>
      <c r="P303" s="697"/>
      <c r="AA303" s="697"/>
      <c r="BA303" s="1251"/>
      <c r="BB303" s="1251"/>
      <c r="BC303" s="1251"/>
      <c r="BD303" s="1251"/>
      <c r="BL303" s="697"/>
      <c r="CZ303" s="1251"/>
      <c r="DA303" s="1251"/>
      <c r="DB303" s="1251"/>
    </row>
    <row r="304" spans="12:106">
      <c r="L304" s="697"/>
      <c r="P304" s="697"/>
      <c r="AA304" s="697"/>
      <c r="BA304" s="1251"/>
      <c r="BB304" s="1251"/>
      <c r="BC304" s="1251"/>
      <c r="BD304" s="1251"/>
      <c r="BL304" s="697"/>
      <c r="CZ304" s="1251"/>
      <c r="DA304" s="1251"/>
      <c r="DB304" s="1251"/>
    </row>
    <row r="305" spans="12:106">
      <c r="L305" s="697"/>
      <c r="P305" s="697"/>
      <c r="AA305" s="697"/>
      <c r="BA305" s="1251"/>
      <c r="BB305" s="1251"/>
      <c r="BC305" s="1251"/>
      <c r="BD305" s="1251"/>
      <c r="BL305" s="697"/>
      <c r="CZ305" s="1251"/>
      <c r="DA305" s="1251"/>
      <c r="DB305" s="1251"/>
    </row>
    <row r="306" spans="12:106">
      <c r="L306" s="697"/>
      <c r="P306" s="697"/>
      <c r="AA306" s="697"/>
      <c r="BA306" s="1251"/>
      <c r="BB306" s="1251"/>
      <c r="BC306" s="1251"/>
      <c r="BD306" s="1251"/>
      <c r="BL306" s="697"/>
      <c r="CZ306" s="1251"/>
      <c r="DA306" s="1251"/>
      <c r="DB306" s="1251"/>
    </row>
    <row r="307" spans="12:106">
      <c r="L307" s="697"/>
      <c r="P307" s="697"/>
      <c r="AA307" s="697"/>
      <c r="BL307" s="697"/>
    </row>
    <row r="308" spans="12:106">
      <c r="L308" s="697"/>
      <c r="P308" s="697"/>
      <c r="AA308" s="697"/>
      <c r="BA308" s="1251"/>
      <c r="BB308" s="1251"/>
      <c r="BC308" s="1251"/>
      <c r="BD308" s="1251"/>
      <c r="BL308" s="697"/>
      <c r="CZ308" s="1251"/>
      <c r="DA308" s="1251"/>
      <c r="DB308" s="1251"/>
    </row>
    <row r="309" spans="12:106">
      <c r="L309" s="697"/>
      <c r="P309" s="697"/>
      <c r="AA309" s="697"/>
      <c r="BL309" s="697"/>
    </row>
    <row r="310" spans="12:106">
      <c r="L310" s="697"/>
      <c r="P310" s="697"/>
      <c r="AA310" s="697"/>
      <c r="BA310" s="1251"/>
      <c r="BB310" s="1251"/>
      <c r="BC310" s="1251"/>
      <c r="BD310" s="1251"/>
      <c r="BL310" s="697"/>
      <c r="CZ310" s="1251"/>
      <c r="DA310" s="1251"/>
      <c r="DB310" s="1251"/>
    </row>
    <row r="311" spans="12:106">
      <c r="L311" s="697"/>
      <c r="P311" s="697"/>
      <c r="AA311" s="697"/>
      <c r="BL311" s="697"/>
    </row>
    <row r="312" spans="12:106">
      <c r="L312" s="697"/>
      <c r="P312" s="697"/>
      <c r="AA312" s="697"/>
      <c r="BA312" s="1251"/>
      <c r="BB312" s="1251"/>
      <c r="BC312" s="1251"/>
      <c r="BD312" s="1251"/>
      <c r="BL312" s="697"/>
      <c r="CZ312" s="1251"/>
      <c r="DA312" s="1251"/>
      <c r="DB312" s="1251"/>
    </row>
    <row r="314" spans="12:106">
      <c r="BA314" s="1251"/>
      <c r="BB314" s="1251"/>
      <c r="BC314" s="1251"/>
      <c r="BD314" s="1251"/>
      <c r="CZ314" s="1251"/>
      <c r="DA314" s="1251"/>
      <c r="DB314" s="1251"/>
    </row>
    <row r="316" spans="12:106">
      <c r="BA316" s="1251"/>
      <c r="BB316" s="1251"/>
      <c r="BC316" s="1251"/>
      <c r="BD316" s="1251"/>
      <c r="CZ316" s="1251"/>
      <c r="DA316" s="1251"/>
      <c r="DB316" s="1251"/>
    </row>
    <row r="318" spans="12:106">
      <c r="BA318" s="1251"/>
      <c r="BB318" s="1251"/>
      <c r="BC318" s="1251"/>
      <c r="BD318" s="1251"/>
      <c r="CZ318" s="1251"/>
      <c r="DA318" s="1251"/>
      <c r="DB318" s="1251"/>
    </row>
  </sheetData>
  <mergeCells count="132">
    <mergeCell ref="CY2:DB2"/>
    <mergeCell ref="CY112:DB112"/>
    <mergeCell ref="BX201:CA201"/>
    <mergeCell ref="CB201:CE201"/>
    <mergeCell ref="BX3:CA3"/>
    <mergeCell ref="CB3:CE3"/>
    <mergeCell ref="BX34:CA34"/>
    <mergeCell ref="CB34:CE34"/>
    <mergeCell ref="BX70:CA70"/>
    <mergeCell ref="CB70:CE70"/>
    <mergeCell ref="BX113:CA113"/>
    <mergeCell ref="CB113:CE113"/>
    <mergeCell ref="BX161:CA161"/>
    <mergeCell ref="CB161:CE161"/>
    <mergeCell ref="CQ3:CW3"/>
    <mergeCell ref="CQ34:CW34"/>
    <mergeCell ref="BA2:BD2"/>
    <mergeCell ref="DA69:DD69"/>
    <mergeCell ref="CQ70:CW70"/>
    <mergeCell ref="CQ113:CW113"/>
    <mergeCell ref="DA160:DD160"/>
    <mergeCell ref="CQ161:CW161"/>
    <mergeCell ref="CQ201:CW201"/>
    <mergeCell ref="CF161:CI161"/>
    <mergeCell ref="CJ161:CP161"/>
    <mergeCell ref="BQ201:BW201"/>
    <mergeCell ref="CF201:CI201"/>
    <mergeCell ref="CJ201:CP201"/>
    <mergeCell ref="BQ113:BW113"/>
    <mergeCell ref="CF113:CI113"/>
    <mergeCell ref="CJ113:CP113"/>
    <mergeCell ref="BQ161:BW161"/>
    <mergeCell ref="BI113:BL113"/>
    <mergeCell ref="BE70:BH70"/>
    <mergeCell ref="BE201:BH201"/>
    <mergeCell ref="CF34:CI34"/>
    <mergeCell ref="CJ34:CP34"/>
    <mergeCell ref="BM201:BP201"/>
    <mergeCell ref="BM161:BP161"/>
    <mergeCell ref="BM113:BP113"/>
    <mergeCell ref="B213:C213"/>
    <mergeCell ref="B214:C214"/>
    <mergeCell ref="B115:C115"/>
    <mergeCell ref="B120:C120"/>
    <mergeCell ref="B163:C163"/>
    <mergeCell ref="B164:C164"/>
    <mergeCell ref="B169:C169"/>
    <mergeCell ref="B170:C170"/>
    <mergeCell ref="BA69:BD69"/>
    <mergeCell ref="BA160:BD160"/>
    <mergeCell ref="AQ70:AW70"/>
    <mergeCell ref="AQ113:AW113"/>
    <mergeCell ref="E161:H161"/>
    <mergeCell ref="E70:H70"/>
    <mergeCell ref="AQ161:AW161"/>
    <mergeCell ref="AJ201:AP201"/>
    <mergeCell ref="AB201:AE201"/>
    <mergeCell ref="AF201:AI201"/>
    <mergeCell ref="X161:AA161"/>
    <mergeCell ref="AB113:AE113"/>
    <mergeCell ref="AF113:AI113"/>
    <mergeCell ref="B203:C203"/>
    <mergeCell ref="B204:C204"/>
    <mergeCell ref="E201:H201"/>
    <mergeCell ref="I201:L201"/>
    <mergeCell ref="M201:P201"/>
    <mergeCell ref="M113:P113"/>
    <mergeCell ref="Q113:W113"/>
    <mergeCell ref="X113:AA113"/>
    <mergeCell ref="Q201:W201"/>
    <mergeCell ref="X201:AA201"/>
    <mergeCell ref="I161:L161"/>
    <mergeCell ref="I113:L113"/>
    <mergeCell ref="M161:P161"/>
    <mergeCell ref="Q161:W161"/>
    <mergeCell ref="X70:AA70"/>
    <mergeCell ref="AJ3:AP3"/>
    <mergeCell ref="AB34:AE34"/>
    <mergeCell ref="AF34:AI34"/>
    <mergeCell ref="AJ34:AP34"/>
    <mergeCell ref="I70:L70"/>
    <mergeCell ref="M70:P70"/>
    <mergeCell ref="Q70:W70"/>
    <mergeCell ref="E113:H113"/>
    <mergeCell ref="B36:C36"/>
    <mergeCell ref="B41:C41"/>
    <mergeCell ref="B5:C5"/>
    <mergeCell ref="B8:C8"/>
    <mergeCell ref="B72:C72"/>
    <mergeCell ref="B75:C75"/>
    <mergeCell ref="A90:C90"/>
    <mergeCell ref="AQ201:AW201"/>
    <mergeCell ref="BI34:BL34"/>
    <mergeCell ref="AB70:AE70"/>
    <mergeCell ref="AF70:AI70"/>
    <mergeCell ref="AJ70:AP70"/>
    <mergeCell ref="AJ113:AP113"/>
    <mergeCell ref="AJ161:AP161"/>
    <mergeCell ref="AB161:AE161"/>
    <mergeCell ref="AF161:AI161"/>
    <mergeCell ref="BI161:BL161"/>
    <mergeCell ref="BE34:BH34"/>
    <mergeCell ref="BI201:BL201"/>
    <mergeCell ref="BE161:BH161"/>
    <mergeCell ref="BE113:BH113"/>
    <mergeCell ref="M34:P34"/>
    <mergeCell ref="E34:H34"/>
    <mergeCell ref="I34:L34"/>
    <mergeCell ref="BM34:BP34"/>
    <mergeCell ref="BM70:BP70"/>
    <mergeCell ref="CF70:CI70"/>
    <mergeCell ref="CJ70:CP70"/>
    <mergeCell ref="E3:H3"/>
    <mergeCell ref="I3:L3"/>
    <mergeCell ref="M3:P3"/>
    <mergeCell ref="Q3:W3"/>
    <mergeCell ref="X3:AA3"/>
    <mergeCell ref="AQ34:AW34"/>
    <mergeCell ref="BI70:BL70"/>
    <mergeCell ref="BM3:BP3"/>
    <mergeCell ref="BI3:BL3"/>
    <mergeCell ref="CF3:CI3"/>
    <mergeCell ref="CJ3:CP3"/>
    <mergeCell ref="AF3:AI3"/>
    <mergeCell ref="AB3:AE3"/>
    <mergeCell ref="BE3:BH3"/>
    <mergeCell ref="AQ3:AW3"/>
    <mergeCell ref="BQ3:BW3"/>
    <mergeCell ref="BQ34:BW34"/>
    <mergeCell ref="BQ70:BW70"/>
    <mergeCell ref="Q34:W34"/>
    <mergeCell ref="X34:AA34"/>
  </mergeCells>
  <phoneticPr fontId="3" type="noConversion"/>
  <printOptions headings="1"/>
  <pageMargins left="0.70866141732283472" right="0.70866141732283472" top="0.74803149606299213" bottom="0.74803149606299213" header="0.31496062992125984" footer="0.31496062992125984"/>
  <pageSetup paperSize="8" scale="66" orientation="landscape" r:id="rId1"/>
  <rowBreaks count="3" manualBreakCount="3">
    <brk id="67" max="16383" man="1"/>
    <brk id="159" max="16383" man="1"/>
    <brk id="251" max="16383" man="1"/>
  </rowBreaks>
  <colBreaks count="2" manualBreakCount="2">
    <brk id="34" max="246" man="1"/>
    <brk id="66" max="2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1:Q129"/>
  <sheetViews>
    <sheetView topLeftCell="A86" zoomScale="90" zoomScaleNormal="90" zoomScaleSheetLayoutView="90" workbookViewId="0">
      <selection activeCell="S30" sqref="S30"/>
    </sheetView>
  </sheetViews>
  <sheetFormatPr defaultColWidth="9" defaultRowHeight="13.5"/>
  <cols>
    <col min="1" max="1" width="1.875" style="1252" customWidth="1"/>
    <col min="2" max="3" width="7.75" style="1252" customWidth="1"/>
    <col min="4" max="4" width="17.5" style="1252" customWidth="1"/>
    <col min="5" max="5" width="10.5" style="1252" bestFit="1" customWidth="1"/>
    <col min="6" max="15" width="9" style="1252"/>
    <col min="16" max="16" width="9.75" style="1252" customWidth="1"/>
    <col min="17" max="18" width="4.375" style="1252" customWidth="1"/>
    <col min="19" max="19" width="14.625" style="1252" customWidth="1"/>
    <col min="20" max="16384" width="9" style="1252"/>
  </cols>
  <sheetData>
    <row r="1" spans="17:17">
      <c r="Q1" s="1252" t="s">
        <v>303</v>
      </c>
    </row>
    <row r="33" spans="17:17">
      <c r="Q33" s="1252" t="s">
        <v>308</v>
      </c>
    </row>
    <row r="67" spans="17:17">
      <c r="Q67" s="1252" t="s">
        <v>309</v>
      </c>
    </row>
    <row r="100" spans="17:17">
      <c r="Q100" s="1252" t="s">
        <v>311</v>
      </c>
    </row>
    <row r="129" spans="17:17">
      <c r="Q129" s="1252" t="s">
        <v>417</v>
      </c>
    </row>
  </sheetData>
  <phoneticPr fontId="3" type="noConversion"/>
  <printOptions horizontalCentered="1" verticalCentered="1"/>
  <pageMargins left="0.31496062992125984" right="0.31496062992125984" top="0.39370078740157483" bottom="0.39370078740157483" header="0.31496062992125984" footer="0.31496062992125984"/>
  <pageSetup paperSize="9" scale="10" orientation="landscape" r:id="rId1"/>
  <rowBreaks count="3" manualBreakCount="3">
    <brk id="32" max="16" man="1"/>
    <brk id="66" max="16" man="1"/>
    <brk id="97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opLeftCell="A46" zoomScale="90" zoomScaleNormal="90" workbookViewId="0">
      <selection activeCell="K68" sqref="K68"/>
    </sheetView>
  </sheetViews>
  <sheetFormatPr defaultRowHeight="13.5"/>
  <cols>
    <col min="1" max="1" width="1.875" customWidth="1"/>
    <col min="2" max="2" width="5.5" customWidth="1"/>
    <col min="3" max="3" width="8.25" customWidth="1"/>
    <col min="4" max="6" width="10.625" hidden="1" customWidth="1"/>
    <col min="7" max="11" width="10.625" customWidth="1"/>
  </cols>
  <sheetData>
    <row r="1" spans="1:11" ht="13.5" customHeight="1">
      <c r="A1" s="51"/>
      <c r="B1" s="52"/>
      <c r="C1" s="53"/>
      <c r="D1" s="63" t="s">
        <v>67</v>
      </c>
      <c r="E1" s="63" t="s">
        <v>68</v>
      </c>
      <c r="F1" s="63" t="s">
        <v>69</v>
      </c>
      <c r="G1" s="63" t="s">
        <v>70</v>
      </c>
      <c r="H1" s="63" t="s">
        <v>212</v>
      </c>
      <c r="I1" s="63" t="s">
        <v>282</v>
      </c>
      <c r="J1" s="63" t="s">
        <v>490</v>
      </c>
      <c r="K1" s="79" t="s">
        <v>312</v>
      </c>
    </row>
    <row r="2" spans="1:11" ht="13.5" customHeight="1">
      <c r="A2" s="54"/>
      <c r="B2" s="1396" t="s">
        <v>60</v>
      </c>
      <c r="C2" s="55" t="s">
        <v>59</v>
      </c>
      <c r="D2" s="56"/>
      <c r="E2" s="56"/>
      <c r="F2" s="56"/>
      <c r="G2" s="56">
        <v>103</v>
      </c>
      <c r="H2" s="56"/>
      <c r="I2" s="56"/>
      <c r="J2" s="78"/>
      <c r="K2" s="56"/>
    </row>
    <row r="3" spans="1:11" ht="13.5" customHeight="1">
      <c r="A3" s="54"/>
      <c r="B3" s="1396"/>
      <c r="C3" s="49" t="s">
        <v>61</v>
      </c>
      <c r="D3" s="58"/>
      <c r="E3" s="58"/>
      <c r="F3" s="57"/>
      <c r="G3" s="57">
        <v>21036</v>
      </c>
      <c r="H3" s="57">
        <v>32231</v>
      </c>
      <c r="I3" s="57">
        <v>40042</v>
      </c>
      <c r="J3" s="57">
        <f>元ﾃﾞｰﾀ!F135</f>
        <v>45000</v>
      </c>
      <c r="K3" s="57">
        <f>元ﾃﾞｰﾀ!G135</f>
        <v>79733.686000000002</v>
      </c>
    </row>
    <row r="4" spans="1:11" ht="13.5" customHeight="1">
      <c r="A4" s="54"/>
      <c r="B4" s="1396" t="s">
        <v>63</v>
      </c>
      <c r="C4" s="59" t="s">
        <v>59</v>
      </c>
      <c r="D4" s="56"/>
      <c r="E4" s="56"/>
      <c r="F4" s="56"/>
      <c r="G4" s="56">
        <v>151</v>
      </c>
      <c r="H4" s="56"/>
      <c r="I4" s="56"/>
      <c r="J4" s="56"/>
      <c r="K4" s="56"/>
    </row>
    <row r="5" spans="1:11" ht="13.5" customHeight="1">
      <c r="A5" s="54"/>
      <c r="B5" s="1396"/>
      <c r="C5" s="49" t="s">
        <v>62</v>
      </c>
      <c r="D5" s="58">
        <v>2637</v>
      </c>
      <c r="E5" s="58">
        <v>33887</v>
      </c>
      <c r="F5" s="57">
        <v>5383</v>
      </c>
      <c r="G5" s="57">
        <v>27242</v>
      </c>
      <c r="H5" s="57">
        <v>33287</v>
      </c>
      <c r="I5" s="57">
        <v>46064</v>
      </c>
      <c r="J5" s="57">
        <f>元ﾃﾞｰﾀ!F132</f>
        <v>45000</v>
      </c>
      <c r="K5" s="57">
        <f>元ﾃﾞｰﾀ!G132</f>
        <v>63453.162969999998</v>
      </c>
    </row>
    <row r="6" spans="1:11" ht="13.5" customHeight="1">
      <c r="A6" s="54"/>
      <c r="B6" s="60"/>
      <c r="C6" s="50" t="s">
        <v>59</v>
      </c>
      <c r="D6" s="61"/>
      <c r="E6" s="61"/>
      <c r="F6" s="61"/>
      <c r="G6" s="62">
        <f>G2+G4</f>
        <v>254</v>
      </c>
      <c r="H6" s="62"/>
      <c r="I6" s="62"/>
      <c r="J6" s="62"/>
      <c r="K6" s="62"/>
    </row>
    <row r="7" spans="1:11" ht="13.5" customHeight="1">
      <c r="A7" s="1396" t="s">
        <v>64</v>
      </c>
      <c r="B7" s="1396"/>
      <c r="C7" s="49" t="s">
        <v>62</v>
      </c>
      <c r="D7" s="57">
        <f>D3+D5</f>
        <v>2637</v>
      </c>
      <c r="E7" s="57">
        <f>E3+E5</f>
        <v>33887</v>
      </c>
      <c r="F7" s="57">
        <f>F3+F5</f>
        <v>5383</v>
      </c>
      <c r="G7" s="57">
        <f>G3+G5</f>
        <v>48278</v>
      </c>
      <c r="H7" s="57">
        <f>H3+H5</f>
        <v>65518</v>
      </c>
      <c r="I7" s="57">
        <f>I3+I5</f>
        <v>86106</v>
      </c>
      <c r="J7" s="57">
        <f>J3+J5</f>
        <v>90000</v>
      </c>
      <c r="K7" s="57">
        <f>K3+K5</f>
        <v>143186.84896999999</v>
      </c>
    </row>
    <row r="8" spans="1:11" ht="13.5" customHeight="1">
      <c r="A8" s="48"/>
      <c r="D8" s="63" t="s">
        <v>71</v>
      </c>
      <c r="E8" s="63" t="s">
        <v>72</v>
      </c>
      <c r="F8" s="63" t="s">
        <v>73</v>
      </c>
      <c r="G8" s="63" t="s">
        <v>74</v>
      </c>
      <c r="H8" s="63" t="s">
        <v>219</v>
      </c>
      <c r="I8" s="63" t="s">
        <v>283</v>
      </c>
      <c r="J8" s="63" t="s">
        <v>491</v>
      </c>
      <c r="K8" s="79" t="s">
        <v>479</v>
      </c>
    </row>
    <row r="9" spans="1:11" ht="13.5" customHeight="1">
      <c r="A9" s="54"/>
      <c r="B9" s="1396" t="s">
        <v>60</v>
      </c>
      <c r="C9" s="55" t="s">
        <v>59</v>
      </c>
      <c r="D9" s="56"/>
      <c r="E9" s="56"/>
      <c r="F9" s="56"/>
      <c r="G9" s="56"/>
      <c r="H9" s="56"/>
      <c r="I9" s="56"/>
      <c r="J9" s="56"/>
      <c r="K9" s="56"/>
    </row>
    <row r="10" spans="1:11" ht="13.5" customHeight="1">
      <c r="A10" s="54"/>
      <c r="B10" s="1396"/>
      <c r="C10" s="49" t="s">
        <v>61</v>
      </c>
      <c r="D10" s="58"/>
      <c r="E10" s="58"/>
      <c r="F10" s="57"/>
      <c r="G10" s="57">
        <v>31902</v>
      </c>
      <c r="H10" s="57">
        <v>55385.5</v>
      </c>
      <c r="I10" s="57">
        <v>44836</v>
      </c>
      <c r="J10" s="57">
        <f>元ﾃﾞｰﾀ!J135</f>
        <v>50000</v>
      </c>
      <c r="K10" s="57">
        <f>元ﾃﾞｰﾀ!K135</f>
        <v>72446</v>
      </c>
    </row>
    <row r="11" spans="1:11" ht="13.5" customHeight="1">
      <c r="A11" s="54"/>
      <c r="B11" s="1396" t="s">
        <v>63</v>
      </c>
      <c r="C11" s="59" t="s">
        <v>59</v>
      </c>
      <c r="D11" s="56"/>
      <c r="E11" s="56"/>
      <c r="F11" s="56"/>
      <c r="G11" s="56"/>
      <c r="H11" s="56"/>
      <c r="I11" s="56"/>
      <c r="J11" s="56"/>
      <c r="K11" s="56"/>
    </row>
    <row r="12" spans="1:11" ht="13.5" customHeight="1">
      <c r="A12" s="54"/>
      <c r="B12" s="1396"/>
      <c r="C12" s="49" t="s">
        <v>62</v>
      </c>
      <c r="D12" s="64">
        <v>6751</v>
      </c>
      <c r="E12" s="65">
        <v>46976</v>
      </c>
      <c r="F12" s="66">
        <v>7868</v>
      </c>
      <c r="G12" s="57">
        <v>35652</v>
      </c>
      <c r="H12" s="57">
        <v>30128</v>
      </c>
      <c r="I12" s="57">
        <v>38410</v>
      </c>
      <c r="J12" s="57">
        <f>元ﾃﾞｰﾀ!J132</f>
        <v>50000</v>
      </c>
      <c r="K12" s="57">
        <f>元ﾃﾞｰﾀ!K132</f>
        <v>47103</v>
      </c>
    </row>
    <row r="13" spans="1:11" ht="13.5" customHeight="1">
      <c r="A13" s="54"/>
      <c r="B13" s="60"/>
      <c r="C13" s="50" t="s">
        <v>59</v>
      </c>
      <c r="D13" s="61"/>
      <c r="E13" s="61"/>
      <c r="F13" s="61"/>
      <c r="G13" s="62"/>
      <c r="H13" s="62"/>
      <c r="I13" s="62"/>
      <c r="J13" s="62"/>
      <c r="K13" s="62"/>
    </row>
    <row r="14" spans="1:11" ht="13.5" customHeight="1">
      <c r="A14" s="1396" t="s">
        <v>64</v>
      </c>
      <c r="B14" s="1396"/>
      <c r="C14" s="49" t="s">
        <v>62</v>
      </c>
      <c r="D14" s="58">
        <f t="shared" ref="D14:K14" si="0">D10+D12</f>
        <v>6751</v>
      </c>
      <c r="E14" s="58">
        <f t="shared" si="0"/>
        <v>46976</v>
      </c>
      <c r="F14" s="58">
        <f t="shared" si="0"/>
        <v>7868</v>
      </c>
      <c r="G14" s="58">
        <f t="shared" si="0"/>
        <v>67554</v>
      </c>
      <c r="H14" s="58">
        <f>H10+H12</f>
        <v>85513.5</v>
      </c>
      <c r="I14" s="58">
        <f>I10+I12</f>
        <v>83246</v>
      </c>
      <c r="J14" s="58">
        <f t="shared" si="0"/>
        <v>100000</v>
      </c>
      <c r="K14" s="58">
        <f t="shared" si="0"/>
        <v>119549</v>
      </c>
    </row>
    <row r="15" spans="1:11" ht="13.5" customHeight="1">
      <c r="A15" s="48"/>
      <c r="B15" s="48"/>
      <c r="C15" s="48"/>
      <c r="D15" s="63" t="s">
        <v>75</v>
      </c>
      <c r="E15" s="63" t="s">
        <v>76</v>
      </c>
      <c r="F15" s="63" t="s">
        <v>77</v>
      </c>
      <c r="G15" s="63" t="s">
        <v>78</v>
      </c>
      <c r="H15" s="63" t="s">
        <v>220</v>
      </c>
      <c r="I15" s="63" t="s">
        <v>284</v>
      </c>
      <c r="J15" s="63" t="s">
        <v>492</v>
      </c>
      <c r="K15" s="79" t="s">
        <v>480</v>
      </c>
    </row>
    <row r="16" spans="1:11" ht="13.5" customHeight="1">
      <c r="A16" s="54"/>
      <c r="B16" s="1396" t="s">
        <v>60</v>
      </c>
      <c r="C16" s="55" t="s">
        <v>59</v>
      </c>
      <c r="D16" s="56"/>
      <c r="E16" s="56"/>
      <c r="F16" s="56"/>
      <c r="G16" s="56"/>
      <c r="H16" s="56"/>
      <c r="I16" s="56"/>
      <c r="J16" s="56"/>
      <c r="K16" s="56"/>
    </row>
    <row r="17" spans="1:11" ht="13.5" customHeight="1">
      <c r="A17" s="54"/>
      <c r="B17" s="1396"/>
      <c r="C17" s="49" t="s">
        <v>61</v>
      </c>
      <c r="D17" s="58"/>
      <c r="E17" s="58"/>
      <c r="F17" s="57"/>
      <c r="G17" s="57">
        <v>29680</v>
      </c>
      <c r="H17" s="57">
        <v>71680</v>
      </c>
      <c r="I17" s="57">
        <v>38316.300000000003</v>
      </c>
      <c r="J17" s="57">
        <f>元ﾃﾞｰﾀ!N135</f>
        <v>65000</v>
      </c>
      <c r="K17" s="57">
        <f>元ﾃﾞｰﾀ!O135</f>
        <v>63930.600000000006</v>
      </c>
    </row>
    <row r="18" spans="1:11" ht="13.5" customHeight="1">
      <c r="A18" s="54"/>
      <c r="B18" s="1396" t="s">
        <v>63</v>
      </c>
      <c r="C18" s="59" t="s">
        <v>59</v>
      </c>
      <c r="D18" s="56"/>
      <c r="E18" s="56"/>
      <c r="F18" s="56"/>
      <c r="G18" s="56"/>
      <c r="H18" s="56"/>
      <c r="I18" s="56"/>
      <c r="J18" s="56"/>
      <c r="K18" s="56"/>
    </row>
    <row r="19" spans="1:11" ht="13.5" customHeight="1">
      <c r="A19" s="54"/>
      <c r="B19" s="1396"/>
      <c r="C19" s="49" t="s">
        <v>62</v>
      </c>
      <c r="D19" s="67">
        <v>6653</v>
      </c>
      <c r="E19" s="68">
        <v>2765</v>
      </c>
      <c r="F19" s="69">
        <v>13840</v>
      </c>
      <c r="G19" s="57">
        <v>33592</v>
      </c>
      <c r="H19" s="57">
        <v>26396</v>
      </c>
      <c r="I19" s="57">
        <v>35146.5</v>
      </c>
      <c r="J19" s="57">
        <f>元ﾃﾞｰﾀ!N132</f>
        <v>55000</v>
      </c>
      <c r="K19" s="57">
        <f>元ﾃﾞｰﾀ!O132</f>
        <v>56947</v>
      </c>
    </row>
    <row r="20" spans="1:11" ht="13.5" customHeight="1">
      <c r="A20" s="54"/>
      <c r="B20" s="60"/>
      <c r="C20" s="50" t="s">
        <v>59</v>
      </c>
      <c r="D20" s="61"/>
      <c r="E20" s="61"/>
      <c r="F20" s="61"/>
      <c r="G20" s="62"/>
      <c r="H20" s="62"/>
      <c r="I20" s="62"/>
      <c r="J20" s="62"/>
      <c r="K20" s="62"/>
    </row>
    <row r="21" spans="1:11" ht="13.5" customHeight="1">
      <c r="A21" s="1396" t="s">
        <v>64</v>
      </c>
      <c r="B21" s="1396"/>
      <c r="C21" s="49" t="s">
        <v>62</v>
      </c>
      <c r="D21" s="57">
        <f t="shared" ref="D21:K21" si="1">D17+D19</f>
        <v>6653</v>
      </c>
      <c r="E21" s="57">
        <f t="shared" si="1"/>
        <v>2765</v>
      </c>
      <c r="F21" s="57">
        <f t="shared" si="1"/>
        <v>13840</v>
      </c>
      <c r="G21" s="57">
        <f t="shared" si="1"/>
        <v>63272</v>
      </c>
      <c r="H21" s="57">
        <f>H17+H19</f>
        <v>98076</v>
      </c>
      <c r="I21" s="57">
        <f>I17+I19</f>
        <v>73462.8</v>
      </c>
      <c r="J21" s="57">
        <f t="shared" si="1"/>
        <v>120000</v>
      </c>
      <c r="K21" s="57">
        <f t="shared" si="1"/>
        <v>120877.6</v>
      </c>
    </row>
    <row r="22" spans="1:11">
      <c r="A22" s="48"/>
      <c r="B22" s="48"/>
      <c r="C22" s="48"/>
      <c r="D22" s="63" t="s">
        <v>79</v>
      </c>
      <c r="E22" s="63" t="s">
        <v>80</v>
      </c>
      <c r="F22" s="63" t="s">
        <v>81</v>
      </c>
      <c r="G22" s="63" t="s">
        <v>82</v>
      </c>
      <c r="H22" s="63" t="s">
        <v>221</v>
      </c>
      <c r="I22" s="63" t="s">
        <v>285</v>
      </c>
      <c r="J22" s="63" t="s">
        <v>493</v>
      </c>
      <c r="K22" s="79" t="s">
        <v>481</v>
      </c>
    </row>
    <row r="23" spans="1:11">
      <c r="A23" s="54"/>
      <c r="B23" s="1396" t="s">
        <v>60</v>
      </c>
      <c r="C23" s="55" t="s">
        <v>59</v>
      </c>
      <c r="D23" s="56"/>
      <c r="E23" s="56"/>
      <c r="F23" s="56"/>
      <c r="G23" s="56"/>
      <c r="H23" s="56"/>
      <c r="I23" s="56"/>
      <c r="J23" s="56"/>
      <c r="K23" s="56"/>
    </row>
    <row r="24" spans="1:11">
      <c r="A24" s="54"/>
      <c r="B24" s="1396"/>
      <c r="C24" s="49" t="s">
        <v>61</v>
      </c>
      <c r="D24" s="58"/>
      <c r="E24" s="58"/>
      <c r="F24" s="57">
        <v>30045</v>
      </c>
      <c r="G24" s="57">
        <v>48788</v>
      </c>
      <c r="H24" s="57">
        <v>34748</v>
      </c>
      <c r="I24" s="57">
        <v>46116.495000000003</v>
      </c>
      <c r="J24" s="57">
        <f>元ﾃﾞｰﾀ!Y135</f>
        <v>70000</v>
      </c>
      <c r="K24" s="57">
        <f>元ﾃﾞｰﾀ!Z135</f>
        <v>63891.345999999998</v>
      </c>
    </row>
    <row r="25" spans="1:11">
      <c r="A25" s="54"/>
      <c r="B25" s="1396" t="s">
        <v>63</v>
      </c>
      <c r="C25" s="59" t="s">
        <v>59</v>
      </c>
      <c r="D25" s="56"/>
      <c r="E25" s="56"/>
      <c r="F25" s="56"/>
      <c r="G25" s="56"/>
      <c r="H25" s="56"/>
      <c r="I25" s="56"/>
      <c r="J25" s="56"/>
      <c r="K25" s="56"/>
    </row>
    <row r="26" spans="1:11" ht="13.5" customHeight="1">
      <c r="A26" s="54"/>
      <c r="B26" s="1396"/>
      <c r="C26" s="49" t="s">
        <v>62</v>
      </c>
      <c r="D26" s="70">
        <v>11620</v>
      </c>
      <c r="E26" s="71">
        <v>3452</v>
      </c>
      <c r="F26" s="69">
        <v>433</v>
      </c>
      <c r="G26" s="57">
        <v>28879</v>
      </c>
      <c r="H26" s="57">
        <v>31447</v>
      </c>
      <c r="I26" s="57">
        <v>39193.811000000002</v>
      </c>
      <c r="J26" s="57">
        <f>元ﾃﾞｰﾀ!Y132</f>
        <v>50000</v>
      </c>
      <c r="K26" s="57">
        <f>元ﾃﾞｰﾀ!Z132</f>
        <v>52529.722000000002</v>
      </c>
    </row>
    <row r="27" spans="1:11">
      <c r="A27" s="54"/>
      <c r="B27" s="60"/>
      <c r="C27" s="50" t="s">
        <v>59</v>
      </c>
      <c r="D27" s="61"/>
      <c r="E27" s="61"/>
      <c r="F27" s="61"/>
      <c r="G27" s="62"/>
      <c r="H27" s="62"/>
      <c r="I27" s="62"/>
      <c r="J27" s="62"/>
      <c r="K27" s="62"/>
    </row>
    <row r="28" spans="1:11">
      <c r="A28" s="1396" t="s">
        <v>64</v>
      </c>
      <c r="B28" s="1396"/>
      <c r="C28" s="49" t="s">
        <v>62</v>
      </c>
      <c r="D28" s="57">
        <f t="shared" ref="D28:K28" si="2">D24+D26</f>
        <v>11620</v>
      </c>
      <c r="E28" s="57">
        <f t="shared" si="2"/>
        <v>3452</v>
      </c>
      <c r="F28" s="57">
        <f t="shared" si="2"/>
        <v>30478</v>
      </c>
      <c r="G28" s="57">
        <f t="shared" si="2"/>
        <v>77667</v>
      </c>
      <c r="H28" s="57">
        <f>H24+H26</f>
        <v>66195</v>
      </c>
      <c r="I28" s="57">
        <f>I24+I26</f>
        <v>85310.306000000011</v>
      </c>
      <c r="J28" s="57">
        <f t="shared" si="2"/>
        <v>120000</v>
      </c>
      <c r="K28" s="57">
        <f t="shared" si="2"/>
        <v>116421.068</v>
      </c>
    </row>
    <row r="29" spans="1:11">
      <c r="A29" s="48"/>
      <c r="B29" s="48"/>
      <c r="C29" s="48"/>
      <c r="D29" s="63" t="s">
        <v>83</v>
      </c>
      <c r="E29" s="63" t="s">
        <v>84</v>
      </c>
      <c r="F29" s="63" t="s">
        <v>85</v>
      </c>
      <c r="G29" s="63" t="s">
        <v>86</v>
      </c>
      <c r="H29" s="63" t="s">
        <v>222</v>
      </c>
      <c r="I29" s="63" t="s">
        <v>286</v>
      </c>
      <c r="J29" s="63" t="s">
        <v>494</v>
      </c>
      <c r="K29" s="79" t="s">
        <v>482</v>
      </c>
    </row>
    <row r="30" spans="1:11">
      <c r="A30" s="54"/>
      <c r="B30" s="1396" t="s">
        <v>60</v>
      </c>
      <c r="C30" s="55" t="s">
        <v>59</v>
      </c>
      <c r="D30" s="56"/>
      <c r="E30" s="56"/>
      <c r="F30" s="56"/>
      <c r="G30" s="56"/>
      <c r="H30" s="56"/>
      <c r="I30" s="56"/>
      <c r="J30" s="56"/>
      <c r="K30" s="56"/>
    </row>
    <row r="31" spans="1:11">
      <c r="A31" s="54"/>
      <c r="B31" s="1396"/>
      <c r="C31" s="49" t="s">
        <v>61</v>
      </c>
      <c r="D31" s="58"/>
      <c r="E31" s="58"/>
      <c r="F31" s="57">
        <v>22321</v>
      </c>
      <c r="G31" s="57">
        <v>31950</v>
      </c>
      <c r="H31" s="57">
        <v>32912</v>
      </c>
      <c r="I31" s="57">
        <v>46653</v>
      </c>
      <c r="J31" s="57">
        <f>元ﾃﾞｰﾀ!AC135</f>
        <v>70000</v>
      </c>
      <c r="K31" s="57">
        <f>元ﾃﾞｰﾀ!AD135-1</f>
        <v>80512.3520594</v>
      </c>
    </row>
    <row r="32" spans="1:11">
      <c r="A32" s="54"/>
      <c r="B32" s="1396" t="s">
        <v>63</v>
      </c>
      <c r="C32" s="59" t="s">
        <v>59</v>
      </c>
      <c r="D32" s="56"/>
      <c r="E32" s="56"/>
      <c r="F32" s="56"/>
      <c r="G32" s="56"/>
      <c r="H32" s="56"/>
      <c r="I32" s="56"/>
      <c r="J32" s="56"/>
      <c r="K32" s="56"/>
    </row>
    <row r="33" spans="1:11">
      <c r="A33" s="54"/>
      <c r="B33" s="1396"/>
      <c r="C33" s="49" t="s">
        <v>62</v>
      </c>
      <c r="D33" s="67">
        <v>6220</v>
      </c>
      <c r="E33" s="72">
        <v>7272</v>
      </c>
      <c r="F33" s="69">
        <v>3286</v>
      </c>
      <c r="G33" s="57">
        <v>36255</v>
      </c>
      <c r="H33" s="57">
        <v>39391</v>
      </c>
      <c r="I33" s="57">
        <v>42308</v>
      </c>
      <c r="J33" s="57">
        <f>元ﾃﾞｰﾀ!AC132</f>
        <v>60000</v>
      </c>
      <c r="K33" s="57">
        <f>元ﾃﾞｰﾀ!AD132</f>
        <v>61693.184053800003</v>
      </c>
    </row>
    <row r="34" spans="1:11">
      <c r="A34" s="54"/>
      <c r="B34" s="60"/>
      <c r="C34" s="50" t="s">
        <v>59</v>
      </c>
      <c r="D34" s="61"/>
      <c r="E34" s="61"/>
      <c r="F34" s="61"/>
      <c r="G34" s="62"/>
      <c r="H34" s="62"/>
      <c r="I34" s="62"/>
      <c r="J34" s="62"/>
      <c r="K34" s="62"/>
    </row>
    <row r="35" spans="1:11">
      <c r="A35" s="1396" t="s">
        <v>64</v>
      </c>
      <c r="B35" s="1396"/>
      <c r="C35" s="49" t="s">
        <v>62</v>
      </c>
      <c r="D35" s="57">
        <f t="shared" ref="D35:K35" si="3">D31+D33</f>
        <v>6220</v>
      </c>
      <c r="E35" s="57">
        <f t="shared" si="3"/>
        <v>7272</v>
      </c>
      <c r="F35" s="57">
        <f t="shared" si="3"/>
        <v>25607</v>
      </c>
      <c r="G35" s="57">
        <f t="shared" si="3"/>
        <v>68205</v>
      </c>
      <c r="H35" s="57">
        <f>H31+H33</f>
        <v>72303</v>
      </c>
      <c r="I35" s="57">
        <f>I31+I33</f>
        <v>88961</v>
      </c>
      <c r="J35" s="57">
        <f t="shared" si="3"/>
        <v>130000</v>
      </c>
      <c r="K35" s="57">
        <f t="shared" si="3"/>
        <v>142205.53611320001</v>
      </c>
    </row>
    <row r="36" spans="1:11">
      <c r="A36" s="48"/>
      <c r="B36" s="48"/>
      <c r="C36" s="48"/>
      <c r="D36" s="63" t="s">
        <v>87</v>
      </c>
      <c r="E36" s="63" t="s">
        <v>88</v>
      </c>
      <c r="F36" s="63" t="s">
        <v>89</v>
      </c>
      <c r="G36" s="63" t="s">
        <v>90</v>
      </c>
      <c r="H36" s="63" t="s">
        <v>223</v>
      </c>
      <c r="I36" s="63" t="s">
        <v>287</v>
      </c>
      <c r="J36" s="63" t="s">
        <v>495</v>
      </c>
      <c r="K36" s="79" t="s">
        <v>484</v>
      </c>
    </row>
    <row r="37" spans="1:11">
      <c r="A37" s="54"/>
      <c r="B37" s="1396" t="s">
        <v>60</v>
      </c>
      <c r="C37" s="55" t="s">
        <v>59</v>
      </c>
      <c r="D37" s="56"/>
      <c r="E37" s="56"/>
      <c r="F37" s="56"/>
      <c r="G37" s="56"/>
      <c r="H37" s="56"/>
      <c r="I37" s="56"/>
      <c r="J37" s="56"/>
      <c r="K37" s="56"/>
    </row>
    <row r="38" spans="1:11">
      <c r="A38" s="54"/>
      <c r="B38" s="1396"/>
      <c r="C38" s="49" t="s">
        <v>61</v>
      </c>
      <c r="D38" s="67"/>
      <c r="E38" s="73"/>
      <c r="F38" s="57">
        <v>39659</v>
      </c>
      <c r="G38" s="57">
        <v>42645</v>
      </c>
      <c r="H38" s="57">
        <v>46359</v>
      </c>
      <c r="I38" s="57">
        <v>46141.4</v>
      </c>
      <c r="J38" s="57">
        <f>元ﾃﾞｰﾀ!AG135</f>
        <v>85000</v>
      </c>
      <c r="K38" s="57">
        <f>元ﾃﾞｰﾀ!AH135</f>
        <v>80711.164999999994</v>
      </c>
    </row>
    <row r="39" spans="1:11">
      <c r="A39" s="54"/>
      <c r="B39" s="1396" t="s">
        <v>63</v>
      </c>
      <c r="C39" s="59" t="s">
        <v>59</v>
      </c>
      <c r="D39" s="56"/>
      <c r="E39" s="56"/>
      <c r="F39" s="56"/>
      <c r="G39" s="56"/>
      <c r="H39" s="56"/>
      <c r="I39" s="56"/>
      <c r="J39" s="56"/>
      <c r="K39" s="56"/>
    </row>
    <row r="40" spans="1:11">
      <c r="A40" s="54"/>
      <c r="B40" s="1396"/>
      <c r="C40" s="49" t="s">
        <v>62</v>
      </c>
      <c r="D40" s="67">
        <v>25596</v>
      </c>
      <c r="E40" s="68">
        <v>22716</v>
      </c>
      <c r="F40" s="69">
        <v>3841</v>
      </c>
      <c r="G40" s="57">
        <v>29077</v>
      </c>
      <c r="H40" s="57">
        <v>67864</v>
      </c>
      <c r="I40" s="57">
        <v>36908</v>
      </c>
      <c r="J40" s="57">
        <f>元ﾃﾞｰﾀ!AG132</f>
        <v>65000</v>
      </c>
      <c r="K40" s="57">
        <f>元ﾃﾞｰﾀ!AH132</f>
        <v>57958.203022200003</v>
      </c>
    </row>
    <row r="41" spans="1:11">
      <c r="A41" s="54"/>
      <c r="B41" s="60"/>
      <c r="C41" s="50" t="s">
        <v>59</v>
      </c>
      <c r="D41" s="61"/>
      <c r="E41" s="61"/>
      <c r="F41" s="61"/>
      <c r="G41" s="62"/>
      <c r="H41" s="62"/>
      <c r="I41" s="62"/>
      <c r="J41" s="62"/>
      <c r="K41" s="62"/>
    </row>
    <row r="42" spans="1:11">
      <c r="A42" s="1396" t="s">
        <v>64</v>
      </c>
      <c r="B42" s="1396"/>
      <c r="C42" s="49" t="s">
        <v>62</v>
      </c>
      <c r="D42" s="57">
        <f t="shared" ref="D42:K42" si="4">D38+D40</f>
        <v>25596</v>
      </c>
      <c r="E42" s="57">
        <f t="shared" si="4"/>
        <v>22716</v>
      </c>
      <c r="F42" s="57">
        <f t="shared" si="4"/>
        <v>43500</v>
      </c>
      <c r="G42" s="57">
        <f t="shared" si="4"/>
        <v>71722</v>
      </c>
      <c r="H42" s="57">
        <f>H38+H40</f>
        <v>114223</v>
      </c>
      <c r="I42" s="57">
        <f>I38+I40</f>
        <v>83049.399999999994</v>
      </c>
      <c r="J42" s="57">
        <f t="shared" si="4"/>
        <v>150000</v>
      </c>
      <c r="K42" s="57">
        <f t="shared" si="4"/>
        <v>138669.36802220001</v>
      </c>
    </row>
    <row r="43" spans="1:11">
      <c r="A43" s="48"/>
      <c r="B43" s="48"/>
      <c r="C43" s="48"/>
      <c r="D43" s="63" t="s">
        <v>91</v>
      </c>
      <c r="E43" s="63" t="s">
        <v>92</v>
      </c>
      <c r="F43" s="63" t="s">
        <v>93</v>
      </c>
      <c r="G43" s="63" t="s">
        <v>94</v>
      </c>
      <c r="H43" s="63" t="s">
        <v>224</v>
      </c>
      <c r="I43" s="63" t="s">
        <v>288</v>
      </c>
      <c r="J43" s="63" t="s">
        <v>496</v>
      </c>
      <c r="K43" s="79" t="s">
        <v>483</v>
      </c>
    </row>
    <row r="44" spans="1:11">
      <c r="A44" s="54"/>
      <c r="B44" s="1396" t="s">
        <v>60</v>
      </c>
      <c r="C44" s="55" t="s">
        <v>59</v>
      </c>
      <c r="D44" s="56"/>
      <c r="E44" s="56"/>
      <c r="F44" s="56"/>
      <c r="G44" s="56"/>
      <c r="H44" s="56"/>
      <c r="I44" s="56"/>
      <c r="J44" s="56"/>
      <c r="K44" s="56"/>
    </row>
    <row r="45" spans="1:11">
      <c r="A45" s="54"/>
      <c r="B45" s="1396"/>
      <c r="C45" s="49" t="s">
        <v>61</v>
      </c>
      <c r="D45" s="67"/>
      <c r="E45" s="73"/>
      <c r="F45" s="57">
        <v>19237</v>
      </c>
      <c r="G45" s="57">
        <v>24234</v>
      </c>
      <c r="H45" s="57">
        <v>33960</v>
      </c>
      <c r="I45" s="57">
        <v>48011</v>
      </c>
      <c r="J45" s="57">
        <f>元ﾃﾞｰﾀ!BF135</f>
        <v>87000</v>
      </c>
      <c r="K45" s="57">
        <f>元ﾃﾞｰﾀ!BG135</f>
        <v>86371.423999999999</v>
      </c>
    </row>
    <row r="46" spans="1:11">
      <c r="A46" s="54"/>
      <c r="B46" s="1396" t="s">
        <v>63</v>
      </c>
      <c r="C46" s="59" t="s">
        <v>59</v>
      </c>
      <c r="D46" s="56"/>
      <c r="E46" s="56"/>
      <c r="F46" s="56"/>
      <c r="G46" s="56"/>
      <c r="H46" s="56"/>
      <c r="I46" s="56"/>
      <c r="J46" s="56"/>
      <c r="K46" s="56"/>
    </row>
    <row r="47" spans="1:11">
      <c r="A47" s="54"/>
      <c r="B47" s="1396"/>
      <c r="C47" s="49" t="s">
        <v>62</v>
      </c>
      <c r="D47" s="74">
        <v>1622</v>
      </c>
      <c r="E47" s="75">
        <v>8305</v>
      </c>
      <c r="F47" s="69">
        <v>8397</v>
      </c>
      <c r="G47" s="57">
        <v>25353</v>
      </c>
      <c r="H47" s="57">
        <v>27381</v>
      </c>
      <c r="I47" s="57">
        <v>54418</v>
      </c>
      <c r="J47" s="57">
        <f>元ﾃﾞｰﾀ!BF132</f>
        <v>56000</v>
      </c>
      <c r="K47" s="57">
        <f>元ﾃﾞｰﾀ!BG132</f>
        <v>57367.125</v>
      </c>
    </row>
    <row r="48" spans="1:11">
      <c r="A48" s="54"/>
      <c r="B48" s="60"/>
      <c r="C48" s="50" t="s">
        <v>59</v>
      </c>
      <c r="D48" s="61"/>
      <c r="E48" s="61"/>
      <c r="F48" s="61"/>
      <c r="G48" s="62"/>
      <c r="H48" s="62"/>
      <c r="I48" s="62"/>
      <c r="J48" s="62"/>
      <c r="K48" s="62"/>
    </row>
    <row r="49" spans="1:11">
      <c r="A49" s="1396" t="s">
        <v>64</v>
      </c>
      <c r="B49" s="1396"/>
      <c r="C49" s="49" t="s">
        <v>62</v>
      </c>
      <c r="D49" s="57">
        <f>D45+D47</f>
        <v>1622</v>
      </c>
      <c r="E49" s="57">
        <f>E45+E47</f>
        <v>8305</v>
      </c>
      <c r="F49" s="57">
        <f>F45+F47</f>
        <v>27634</v>
      </c>
      <c r="G49" s="57">
        <f>G45+G47+699</f>
        <v>50286</v>
      </c>
      <c r="H49" s="57">
        <f>H45+H47</f>
        <v>61341</v>
      </c>
      <c r="I49" s="57">
        <f>I45+I47</f>
        <v>102429</v>
      </c>
      <c r="J49" s="57">
        <f>J45+J47</f>
        <v>143000</v>
      </c>
      <c r="K49" s="57">
        <f>K45+K47</f>
        <v>143738.549</v>
      </c>
    </row>
    <row r="50" spans="1:11">
      <c r="A50" s="48"/>
      <c r="B50" s="48"/>
      <c r="C50" s="48"/>
      <c r="D50" s="63" t="s">
        <v>95</v>
      </c>
      <c r="E50" s="63" t="s">
        <v>96</v>
      </c>
      <c r="F50" s="63" t="s">
        <v>97</v>
      </c>
      <c r="G50" s="63" t="s">
        <v>227</v>
      </c>
      <c r="H50" s="63" t="s">
        <v>228</v>
      </c>
      <c r="I50" s="63" t="s">
        <v>289</v>
      </c>
      <c r="J50" s="63" t="s">
        <v>497</v>
      </c>
      <c r="K50" s="79" t="s">
        <v>489</v>
      </c>
    </row>
    <row r="51" spans="1:11">
      <c r="A51" s="54"/>
      <c r="B51" s="1396" t="s">
        <v>60</v>
      </c>
      <c r="C51" s="55" t="s">
        <v>59</v>
      </c>
      <c r="D51" s="56"/>
      <c r="E51" s="56"/>
      <c r="F51" s="56"/>
      <c r="G51" s="56"/>
      <c r="H51" s="56"/>
      <c r="I51" s="56"/>
      <c r="J51" s="56"/>
      <c r="K51" s="56"/>
    </row>
    <row r="52" spans="1:11">
      <c r="A52" s="54"/>
      <c r="B52" s="1396"/>
      <c r="C52" s="49" t="s">
        <v>61</v>
      </c>
      <c r="D52" s="67"/>
      <c r="E52" s="73"/>
      <c r="F52" s="57">
        <v>27175</v>
      </c>
      <c r="G52" s="57">
        <v>42392</v>
      </c>
      <c r="H52" s="57">
        <v>41800</v>
      </c>
      <c r="I52" s="57">
        <v>36396</v>
      </c>
      <c r="J52" s="57">
        <f>元ﾃﾞｰﾀ!BJ135</f>
        <v>102000</v>
      </c>
      <c r="K52" s="57">
        <f>元ﾃﾞｰﾀ!BK135</f>
        <v>93248.229975900002</v>
      </c>
    </row>
    <row r="53" spans="1:11">
      <c r="A53" s="54"/>
      <c r="B53" s="1396" t="s">
        <v>63</v>
      </c>
      <c r="C53" s="59" t="s">
        <v>59</v>
      </c>
      <c r="D53" s="56"/>
      <c r="E53" s="56"/>
      <c r="F53" s="56"/>
      <c r="G53" s="56"/>
      <c r="H53" s="56"/>
      <c r="I53" s="56"/>
      <c r="J53" s="56"/>
      <c r="K53" s="56"/>
    </row>
    <row r="54" spans="1:11">
      <c r="A54" s="54"/>
      <c r="B54" s="1396"/>
      <c r="C54" s="49" t="s">
        <v>62</v>
      </c>
      <c r="D54" s="74">
        <v>7018</v>
      </c>
      <c r="E54" s="75">
        <v>11611</v>
      </c>
      <c r="F54" s="69">
        <v>3123</v>
      </c>
      <c r="G54" s="57">
        <v>31584</v>
      </c>
      <c r="H54" s="57">
        <v>28568</v>
      </c>
      <c r="I54" s="57">
        <v>43908</v>
      </c>
      <c r="J54" s="57">
        <f>元ﾃﾞｰﾀ!BJ132</f>
        <v>51000</v>
      </c>
      <c r="K54" s="57">
        <f>元ﾃﾞｰﾀ!BK132</f>
        <v>46447.3194822</v>
      </c>
    </row>
    <row r="55" spans="1:11">
      <c r="A55" s="54"/>
      <c r="B55" s="60"/>
      <c r="C55" s="50" t="s">
        <v>59</v>
      </c>
      <c r="D55" s="61"/>
      <c r="E55" s="62"/>
      <c r="F55" s="61"/>
      <c r="G55" s="62"/>
      <c r="H55" s="62"/>
      <c r="I55" s="62"/>
      <c r="J55" s="62"/>
      <c r="K55" s="62"/>
    </row>
    <row r="56" spans="1:11">
      <c r="A56" s="1396" t="s">
        <v>64</v>
      </c>
      <c r="B56" s="1396"/>
      <c r="C56" s="49" t="s">
        <v>62</v>
      </c>
      <c r="D56" s="57">
        <f>D52+D54</f>
        <v>7018</v>
      </c>
      <c r="E56" s="57">
        <f>E52+E54</f>
        <v>11611</v>
      </c>
      <c r="F56" s="57">
        <f>F52+F54</f>
        <v>30298</v>
      </c>
      <c r="G56" s="57">
        <f>G52+G54+116</f>
        <v>74092</v>
      </c>
      <c r="H56" s="57">
        <f>H52+H54</f>
        <v>70368</v>
      </c>
      <c r="I56" s="57">
        <f>I52+I54</f>
        <v>80304</v>
      </c>
      <c r="J56" s="57">
        <f>J52+J54</f>
        <v>153000</v>
      </c>
      <c r="K56" s="57">
        <f>K52+K54</f>
        <v>139695.54945809999</v>
      </c>
    </row>
    <row r="57" spans="1:11">
      <c r="A57" s="48"/>
      <c r="B57" s="48"/>
      <c r="C57" s="48"/>
      <c r="D57" s="63" t="s">
        <v>98</v>
      </c>
      <c r="E57" s="63" t="s">
        <v>99</v>
      </c>
      <c r="F57" s="63" t="s">
        <v>100</v>
      </c>
      <c r="G57" s="63" t="s">
        <v>226</v>
      </c>
      <c r="H57" s="63" t="s">
        <v>225</v>
      </c>
      <c r="I57" s="63" t="s">
        <v>290</v>
      </c>
      <c r="J57" s="63" t="s">
        <v>498</v>
      </c>
      <c r="K57" s="79" t="s">
        <v>517</v>
      </c>
    </row>
    <row r="58" spans="1:11">
      <c r="A58" s="54"/>
      <c r="B58" s="1396" t="s">
        <v>60</v>
      </c>
      <c r="C58" s="55" t="s">
        <v>59</v>
      </c>
      <c r="D58" s="56"/>
      <c r="E58" s="56"/>
      <c r="F58" s="56"/>
      <c r="G58" s="56"/>
      <c r="H58" s="56"/>
      <c r="I58" s="56"/>
      <c r="J58" s="56"/>
      <c r="K58" s="56"/>
    </row>
    <row r="59" spans="1:11">
      <c r="A59" s="54"/>
      <c r="B59" s="1396"/>
      <c r="C59" s="49" t="s">
        <v>61</v>
      </c>
      <c r="D59" s="67"/>
      <c r="E59" s="73"/>
      <c r="F59" s="57">
        <v>30624</v>
      </c>
      <c r="G59" s="57">
        <v>35886</v>
      </c>
      <c r="H59" s="57">
        <v>41978</v>
      </c>
      <c r="I59" s="57">
        <v>44076.154999999999</v>
      </c>
      <c r="J59" s="57">
        <f>元ﾃﾞｰﾀ!BN135</f>
        <v>92000</v>
      </c>
      <c r="K59" s="57">
        <f>元ﾃﾞｰﾀ!BO135</f>
        <v>72175.25606</v>
      </c>
    </row>
    <row r="60" spans="1:11">
      <c r="A60" s="54"/>
      <c r="B60" s="1396" t="s">
        <v>63</v>
      </c>
      <c r="C60" s="59" t="s">
        <v>59</v>
      </c>
      <c r="D60" s="56"/>
      <c r="E60" s="56"/>
      <c r="F60" s="56"/>
      <c r="G60" s="56"/>
      <c r="H60" s="56"/>
      <c r="I60" s="56"/>
      <c r="J60" s="56"/>
      <c r="K60" s="56"/>
    </row>
    <row r="61" spans="1:11">
      <c r="A61" s="54"/>
      <c r="B61" s="1396"/>
      <c r="C61" s="49" t="s">
        <v>62</v>
      </c>
      <c r="D61" s="74">
        <v>3876</v>
      </c>
      <c r="E61" s="75">
        <v>11671</v>
      </c>
      <c r="F61" s="69">
        <v>26142</v>
      </c>
      <c r="G61" s="57">
        <v>45353</v>
      </c>
      <c r="H61" s="57">
        <v>35807</v>
      </c>
      <c r="I61" s="57">
        <v>44839</v>
      </c>
      <c r="J61" s="57">
        <f>元ﾃﾞｰﾀ!BN132</f>
        <v>46000</v>
      </c>
      <c r="K61" s="57">
        <f>元ﾃﾞｰﾀ!BO132</f>
        <v>46134.621936000003</v>
      </c>
    </row>
    <row r="62" spans="1:11">
      <c r="A62" s="54"/>
      <c r="B62" s="60"/>
      <c r="C62" s="50" t="s">
        <v>59</v>
      </c>
      <c r="D62" s="61"/>
      <c r="E62" s="61"/>
      <c r="F62" s="61"/>
      <c r="G62" s="62"/>
      <c r="H62" s="62"/>
      <c r="I62" s="62"/>
      <c r="J62" s="62"/>
      <c r="K62" s="62"/>
    </row>
    <row r="63" spans="1:11">
      <c r="A63" s="1396" t="s">
        <v>64</v>
      </c>
      <c r="B63" s="1396"/>
      <c r="C63" s="49" t="s">
        <v>62</v>
      </c>
      <c r="D63" s="57">
        <f t="shared" ref="D63:K63" si="5">D59+D61</f>
        <v>3876</v>
      </c>
      <c r="E63" s="57">
        <f t="shared" si="5"/>
        <v>11671</v>
      </c>
      <c r="F63" s="57">
        <f t="shared" si="5"/>
        <v>56766</v>
      </c>
      <c r="G63" s="57">
        <f t="shared" si="5"/>
        <v>81239</v>
      </c>
      <c r="H63" s="57">
        <f>H59+H61</f>
        <v>77785</v>
      </c>
      <c r="I63" s="57">
        <f>I59+I61</f>
        <v>88915.154999999999</v>
      </c>
      <c r="J63" s="57">
        <f t="shared" si="5"/>
        <v>138000</v>
      </c>
      <c r="K63" s="57">
        <f t="shared" si="5"/>
        <v>118309.877996</v>
      </c>
    </row>
    <row r="64" spans="1:11">
      <c r="A64" s="48"/>
      <c r="B64" s="48"/>
      <c r="C64" s="48"/>
      <c r="D64" s="63" t="s">
        <v>101</v>
      </c>
      <c r="E64" s="63" t="s">
        <v>102</v>
      </c>
      <c r="F64" s="63" t="s">
        <v>103</v>
      </c>
      <c r="G64" s="63" t="s">
        <v>217</v>
      </c>
      <c r="H64" s="63" t="s">
        <v>218</v>
      </c>
      <c r="I64" s="63" t="s">
        <v>291</v>
      </c>
      <c r="J64" s="63" t="s">
        <v>294</v>
      </c>
      <c r="K64" s="79" t="s">
        <v>518</v>
      </c>
    </row>
    <row r="65" spans="1:11">
      <c r="A65" s="54"/>
      <c r="B65" s="1396" t="s">
        <v>60</v>
      </c>
      <c r="C65" s="55" t="s">
        <v>59</v>
      </c>
      <c r="D65" s="56"/>
      <c r="E65" s="56"/>
      <c r="F65" s="56"/>
      <c r="G65" s="56"/>
      <c r="H65" s="56"/>
      <c r="I65" s="56"/>
      <c r="J65" s="56"/>
      <c r="K65" s="56"/>
    </row>
    <row r="66" spans="1:11">
      <c r="A66" s="54"/>
      <c r="B66" s="1396"/>
      <c r="C66" s="49" t="s">
        <v>61</v>
      </c>
      <c r="D66" s="67"/>
      <c r="E66" s="73"/>
      <c r="F66" s="57">
        <v>42540</v>
      </c>
      <c r="G66" s="57">
        <v>40450</v>
      </c>
      <c r="H66" s="57">
        <v>40592</v>
      </c>
      <c r="I66" s="57">
        <v>57029</v>
      </c>
      <c r="J66" s="57">
        <f>元ﾃﾞｰﾀ!BY135</f>
        <v>100500</v>
      </c>
      <c r="K66" s="57">
        <f>元ﾃﾞｰﾀ!BZ135</f>
        <v>131322.3792309</v>
      </c>
    </row>
    <row r="67" spans="1:11">
      <c r="A67" s="54"/>
      <c r="B67" s="1396" t="s">
        <v>63</v>
      </c>
      <c r="C67" s="59" t="s">
        <v>59</v>
      </c>
      <c r="D67" s="56"/>
      <c r="E67" s="56"/>
      <c r="F67" s="56"/>
      <c r="G67" s="56"/>
      <c r="H67" s="56"/>
      <c r="I67" s="56"/>
      <c r="J67" s="56"/>
      <c r="K67" s="56"/>
    </row>
    <row r="68" spans="1:11">
      <c r="A68" s="54"/>
      <c r="B68" s="1396"/>
      <c r="C68" s="49" t="s">
        <v>62</v>
      </c>
      <c r="D68" s="74">
        <v>7661</v>
      </c>
      <c r="E68" s="75">
        <v>12465</v>
      </c>
      <c r="F68" s="69">
        <v>21699</v>
      </c>
      <c r="G68" s="57">
        <v>32624</v>
      </c>
      <c r="H68" s="57">
        <v>47588</v>
      </c>
      <c r="I68" s="57">
        <v>62145</v>
      </c>
      <c r="J68" s="57">
        <f>元ﾃﾞｰﾀ!BY132</f>
        <v>49000</v>
      </c>
      <c r="K68" s="57">
        <f>元ﾃﾞｰﾀ!BZ132</f>
        <v>38880.864079200001</v>
      </c>
    </row>
    <row r="69" spans="1:11">
      <c r="A69" s="54"/>
      <c r="B69" s="60"/>
      <c r="C69" s="50" t="s">
        <v>59</v>
      </c>
      <c r="D69" s="61"/>
      <c r="E69" s="61"/>
      <c r="F69" s="61"/>
      <c r="G69" s="62"/>
      <c r="H69" s="62"/>
      <c r="I69" s="62"/>
      <c r="J69" s="62"/>
      <c r="K69" s="62"/>
    </row>
    <row r="70" spans="1:11">
      <c r="A70" s="1396" t="s">
        <v>64</v>
      </c>
      <c r="B70" s="1396"/>
      <c r="C70" s="49" t="s">
        <v>62</v>
      </c>
      <c r="D70" s="57">
        <f t="shared" ref="D70:K70" si="6">D66+D68</f>
        <v>7661</v>
      </c>
      <c r="E70" s="57">
        <f t="shared" si="6"/>
        <v>12465</v>
      </c>
      <c r="F70" s="57">
        <f t="shared" si="6"/>
        <v>64239</v>
      </c>
      <c r="G70" s="57">
        <f t="shared" si="6"/>
        <v>73074</v>
      </c>
      <c r="H70" s="57">
        <f>H66+H68</f>
        <v>88180</v>
      </c>
      <c r="I70" s="57">
        <f>I66+I68</f>
        <v>119174</v>
      </c>
      <c r="J70" s="57">
        <f t="shared" si="6"/>
        <v>149500</v>
      </c>
      <c r="K70" s="57">
        <f>K66+K68</f>
        <v>170203.24331009999</v>
      </c>
    </row>
    <row r="71" spans="1:11">
      <c r="A71" s="48"/>
      <c r="B71" s="48"/>
      <c r="C71" s="48"/>
      <c r="D71" s="63" t="s">
        <v>104</v>
      </c>
      <c r="E71" s="63" t="s">
        <v>105</v>
      </c>
      <c r="F71" s="63" t="s">
        <v>106</v>
      </c>
      <c r="G71" s="63" t="s">
        <v>215</v>
      </c>
      <c r="H71" s="63" t="s">
        <v>216</v>
      </c>
      <c r="I71" s="63" t="s">
        <v>292</v>
      </c>
      <c r="J71" s="63" t="s">
        <v>295</v>
      </c>
      <c r="K71" s="79" t="s">
        <v>297</v>
      </c>
    </row>
    <row r="72" spans="1:11">
      <c r="A72" s="54"/>
      <c r="B72" s="1396" t="s">
        <v>60</v>
      </c>
      <c r="C72" s="55" t="s">
        <v>59</v>
      </c>
      <c r="D72" s="56"/>
      <c r="E72" s="56"/>
      <c r="F72" s="56"/>
      <c r="G72" s="56"/>
      <c r="H72" s="56"/>
      <c r="I72" s="56"/>
      <c r="J72" s="56"/>
      <c r="K72" s="56"/>
    </row>
    <row r="73" spans="1:11">
      <c r="A73" s="54"/>
      <c r="B73" s="1396"/>
      <c r="C73" s="49" t="s">
        <v>61</v>
      </c>
      <c r="D73" s="67"/>
      <c r="E73" s="73"/>
      <c r="F73" s="57">
        <v>27052</v>
      </c>
      <c r="G73" s="57">
        <v>38821</v>
      </c>
      <c r="H73" s="57">
        <v>40688</v>
      </c>
      <c r="I73" s="57">
        <v>44465</v>
      </c>
      <c r="J73" s="57">
        <f>元ﾃﾞｰﾀ!CC135</f>
        <v>135000</v>
      </c>
      <c r="K73" s="57">
        <f>元ﾃﾞｰﾀ!CD135</f>
        <v>88000</v>
      </c>
    </row>
    <row r="74" spans="1:11">
      <c r="A74" s="54"/>
      <c r="B74" s="1396" t="s">
        <v>63</v>
      </c>
      <c r="C74" s="59" t="s">
        <v>59</v>
      </c>
      <c r="D74" s="56"/>
      <c r="E74" s="56"/>
      <c r="F74" s="56"/>
      <c r="G74" s="56"/>
      <c r="H74" s="56"/>
      <c r="I74" s="56"/>
      <c r="J74" s="56"/>
      <c r="K74" s="56"/>
    </row>
    <row r="75" spans="1:11">
      <c r="A75" s="54"/>
      <c r="B75" s="1396"/>
      <c r="C75" s="49" t="s">
        <v>62</v>
      </c>
      <c r="D75" s="74">
        <v>7594</v>
      </c>
      <c r="E75" s="75">
        <v>10210</v>
      </c>
      <c r="F75" s="69">
        <v>25436</v>
      </c>
      <c r="G75" s="57">
        <v>39316</v>
      </c>
      <c r="H75" s="57">
        <v>35978</v>
      </c>
      <c r="I75" s="57">
        <v>40890</v>
      </c>
      <c r="J75" s="57">
        <f>元ﾃﾞｰﾀ!CC132</f>
        <v>48500</v>
      </c>
      <c r="K75" s="57">
        <f>元ﾃﾞｰﾀ!CD132</f>
        <v>43000</v>
      </c>
    </row>
    <row r="76" spans="1:11">
      <c r="A76" s="54"/>
      <c r="B76" s="60"/>
      <c r="C76" s="50" t="s">
        <v>59</v>
      </c>
      <c r="D76" s="61"/>
      <c r="E76" s="61"/>
      <c r="F76" s="61"/>
      <c r="G76" s="62"/>
      <c r="H76" s="62"/>
      <c r="I76" s="62"/>
      <c r="J76" s="62"/>
      <c r="K76" s="62"/>
    </row>
    <row r="77" spans="1:11">
      <c r="A77" s="1396" t="s">
        <v>64</v>
      </c>
      <c r="B77" s="1396"/>
      <c r="C77" s="49" t="s">
        <v>62</v>
      </c>
      <c r="D77" s="57">
        <f t="shared" ref="D77:K77" si="7">D73+D75</f>
        <v>7594</v>
      </c>
      <c r="E77" s="57">
        <f t="shared" si="7"/>
        <v>10210</v>
      </c>
      <c r="F77" s="57">
        <f t="shared" si="7"/>
        <v>52488</v>
      </c>
      <c r="G77" s="57">
        <f t="shared" si="7"/>
        <v>78137</v>
      </c>
      <c r="H77" s="57">
        <f>H73+H75</f>
        <v>76666</v>
      </c>
      <c r="I77" s="57">
        <f>I73+I75</f>
        <v>85355</v>
      </c>
      <c r="J77" s="57">
        <f t="shared" si="7"/>
        <v>183500</v>
      </c>
      <c r="K77" s="57">
        <f t="shared" si="7"/>
        <v>131000</v>
      </c>
    </row>
    <row r="78" spans="1:11">
      <c r="A78" s="48"/>
      <c r="B78" s="48"/>
      <c r="C78" s="48"/>
      <c r="D78" s="63" t="s">
        <v>107</v>
      </c>
      <c r="E78" s="63" t="s">
        <v>108</v>
      </c>
      <c r="F78" s="63" t="s">
        <v>109</v>
      </c>
      <c r="G78" s="63" t="s">
        <v>213</v>
      </c>
      <c r="H78" s="63" t="s">
        <v>214</v>
      </c>
      <c r="I78" s="63" t="s">
        <v>293</v>
      </c>
      <c r="J78" s="63" t="s">
        <v>296</v>
      </c>
      <c r="K78" s="79" t="s">
        <v>298</v>
      </c>
    </row>
    <row r="79" spans="1:11">
      <c r="A79" s="54"/>
      <c r="B79" s="1396" t="s">
        <v>60</v>
      </c>
      <c r="C79" s="55" t="s">
        <v>59</v>
      </c>
      <c r="D79" s="56"/>
      <c r="E79" s="56"/>
      <c r="F79" s="56"/>
      <c r="G79" s="56"/>
      <c r="H79" s="56"/>
      <c r="I79" s="56"/>
      <c r="J79" s="56"/>
      <c r="K79" s="56"/>
    </row>
    <row r="80" spans="1:11">
      <c r="A80" s="54"/>
      <c r="B80" s="1396"/>
      <c r="C80" s="49" t="s">
        <v>61</v>
      </c>
      <c r="D80" s="67"/>
      <c r="E80" s="73"/>
      <c r="F80" s="57">
        <v>16957</v>
      </c>
      <c r="G80" s="57">
        <v>20132</v>
      </c>
      <c r="H80" s="57">
        <v>31082</v>
      </c>
      <c r="I80" s="57">
        <v>36292</v>
      </c>
      <c r="J80" s="57">
        <f>元ﾃﾞｰﾀ!CG135</f>
        <v>92500</v>
      </c>
      <c r="K80" s="57">
        <f>元ﾃﾞｰﾀ!CH135</f>
        <v>55000</v>
      </c>
    </row>
    <row r="81" spans="1:11">
      <c r="A81" s="54"/>
      <c r="B81" s="1396" t="s">
        <v>63</v>
      </c>
      <c r="C81" s="59" t="s">
        <v>59</v>
      </c>
      <c r="D81" s="56"/>
      <c r="E81" s="56"/>
      <c r="F81" s="56"/>
      <c r="G81" s="56"/>
      <c r="H81" s="56"/>
      <c r="I81" s="56"/>
      <c r="J81" s="56"/>
      <c r="K81" s="56"/>
    </row>
    <row r="82" spans="1:11">
      <c r="A82" s="54"/>
      <c r="B82" s="1396"/>
      <c r="C82" s="49" t="s">
        <v>62</v>
      </c>
      <c r="D82" s="74">
        <v>26686</v>
      </c>
      <c r="E82" s="75">
        <v>12753</v>
      </c>
      <c r="F82" s="69">
        <v>21389</v>
      </c>
      <c r="G82" s="57">
        <v>46893</v>
      </c>
      <c r="H82" s="57">
        <v>29595</v>
      </c>
      <c r="I82" s="57">
        <v>52769</v>
      </c>
      <c r="J82" s="57">
        <f>元ﾃﾞｰﾀ!CG132</f>
        <v>46000</v>
      </c>
      <c r="K82" s="57">
        <f>元ﾃﾞｰﾀ!CH132</f>
        <v>39000</v>
      </c>
    </row>
    <row r="83" spans="1:11">
      <c r="A83" s="54"/>
      <c r="B83" s="60"/>
      <c r="C83" s="50" t="s">
        <v>59</v>
      </c>
      <c r="D83" s="61"/>
      <c r="E83" s="61"/>
      <c r="F83" s="61"/>
      <c r="G83" s="62"/>
      <c r="H83" s="62"/>
      <c r="I83" s="62"/>
      <c r="J83" s="62"/>
      <c r="K83" s="62"/>
    </row>
    <row r="84" spans="1:11">
      <c r="A84" s="1396" t="s">
        <v>64</v>
      </c>
      <c r="B84" s="1396"/>
      <c r="C84" s="49" t="s">
        <v>62</v>
      </c>
      <c r="D84" s="57">
        <f t="shared" ref="D84:K84" si="8">D80+D82</f>
        <v>26686</v>
      </c>
      <c r="E84" s="57">
        <f t="shared" si="8"/>
        <v>12753</v>
      </c>
      <c r="F84" s="57">
        <f t="shared" si="8"/>
        <v>38346</v>
      </c>
      <c r="G84" s="57">
        <f t="shared" si="8"/>
        <v>67025</v>
      </c>
      <c r="H84" s="57">
        <f>H80+H82</f>
        <v>60677</v>
      </c>
      <c r="I84" s="57">
        <f>I80+I82</f>
        <v>89061</v>
      </c>
      <c r="J84" s="57">
        <f t="shared" si="8"/>
        <v>138500</v>
      </c>
      <c r="K84" s="57">
        <f t="shared" si="8"/>
        <v>94000</v>
      </c>
    </row>
    <row r="88" spans="1:11" ht="13.5" customHeight="1"/>
    <row r="101" spans="2:27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2:27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2:27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2:27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2:27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2:27" s="48" customFormat="1"/>
    <row r="107" spans="2:27" s="48" customFormat="1"/>
    <row r="108" spans="2:27" s="48" customFormat="1"/>
    <row r="109" spans="2:27" s="48" customFormat="1"/>
    <row r="110" spans="2:27" s="48" customFormat="1"/>
    <row r="111" spans="2:27" s="48" customFormat="1"/>
  </sheetData>
  <mergeCells count="36">
    <mergeCell ref="B79:B80"/>
    <mergeCell ref="B81:B82"/>
    <mergeCell ref="A84:B84"/>
    <mergeCell ref="B58:B59"/>
    <mergeCell ref="B60:B61"/>
    <mergeCell ref="A63:B63"/>
    <mergeCell ref="B65:B66"/>
    <mergeCell ref="B67:B68"/>
    <mergeCell ref="A77:B77"/>
    <mergeCell ref="A42:B42"/>
    <mergeCell ref="B72:B73"/>
    <mergeCell ref="B74:B75"/>
    <mergeCell ref="A70:B70"/>
    <mergeCell ref="B53:B54"/>
    <mergeCell ref="A56:B56"/>
    <mergeCell ref="B44:B45"/>
    <mergeCell ref="B46:B47"/>
    <mergeCell ref="A49:B49"/>
    <mergeCell ref="B51:B52"/>
    <mergeCell ref="B2:B3"/>
    <mergeCell ref="B4:B5"/>
    <mergeCell ref="A7:B7"/>
    <mergeCell ref="B9:B10"/>
    <mergeCell ref="B11:B12"/>
    <mergeCell ref="B23:B24"/>
    <mergeCell ref="A14:B14"/>
    <mergeCell ref="B37:B38"/>
    <mergeCell ref="B39:B40"/>
    <mergeCell ref="B16:B17"/>
    <mergeCell ref="B18:B19"/>
    <mergeCell ref="A21:B21"/>
    <mergeCell ref="B25:B26"/>
    <mergeCell ref="A28:B28"/>
    <mergeCell ref="B30:B31"/>
    <mergeCell ref="B32:B33"/>
    <mergeCell ref="A35:B35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0"/>
  <sheetViews>
    <sheetView topLeftCell="A89" zoomScale="98" zoomScaleNormal="98" workbookViewId="0">
      <selection activeCell="B91" sqref="B91:AD114"/>
    </sheetView>
  </sheetViews>
  <sheetFormatPr defaultRowHeight="13.5"/>
  <cols>
    <col min="1" max="1" width="1.875" customWidth="1"/>
    <col min="2" max="2" width="5" customWidth="1"/>
    <col min="3" max="3" width="8.25" customWidth="1"/>
    <col min="4" max="6" width="10.625" hidden="1" customWidth="1"/>
    <col min="7" max="10" width="10.625" customWidth="1"/>
    <col min="11" max="11" width="10.625" style="2" customWidth="1"/>
  </cols>
  <sheetData>
    <row r="1" spans="1:11" ht="13.5" customHeight="1">
      <c r="A1" s="51"/>
      <c r="B1" s="52"/>
      <c r="C1" s="53"/>
      <c r="D1" s="63" t="str">
        <f>R税込!D1</f>
        <v>11/3月</v>
      </c>
      <c r="E1" s="63" t="str">
        <f>R税込!E1</f>
        <v>12/3月</v>
      </c>
      <c r="F1" s="63" t="str">
        <f>R税込!F1</f>
        <v>13/3月</v>
      </c>
      <c r="G1" s="63" t="str">
        <f>R税込!G1</f>
        <v>14/3月</v>
      </c>
      <c r="H1" s="63" t="str">
        <f>R税込!H1</f>
        <v>15/3月</v>
      </c>
      <c r="I1" s="63" t="str">
        <f>R税込!I1</f>
        <v>16/3月</v>
      </c>
      <c r="J1" s="63" t="str">
        <f>R税込!J1</f>
        <v>17/3月(今回)</v>
      </c>
      <c r="K1" s="79" t="str">
        <f>R税込!K1</f>
        <v>17/3月(実績)</v>
      </c>
    </row>
    <row r="2" spans="1:11" ht="13.5" customHeight="1">
      <c r="A2" s="54"/>
      <c r="B2" s="1396" t="s">
        <v>60</v>
      </c>
      <c r="C2" s="55" t="s">
        <v>59</v>
      </c>
      <c r="D2" s="56"/>
      <c r="E2" s="56"/>
      <c r="F2" s="56"/>
      <c r="G2" s="56">
        <v>103</v>
      </c>
      <c r="H2" s="56"/>
      <c r="I2" s="56"/>
      <c r="J2" s="56"/>
      <c r="K2" s="56"/>
    </row>
    <row r="3" spans="1:11" ht="13.5" customHeight="1">
      <c r="A3" s="54"/>
      <c r="B3" s="1396"/>
      <c r="C3" s="49" t="s">
        <v>61</v>
      </c>
      <c r="D3" s="58"/>
      <c r="E3" s="58"/>
      <c r="F3" s="57"/>
      <c r="G3" s="57">
        <f>R税込!G3/1.17</f>
        <v>17979.48717948718</v>
      </c>
      <c r="H3" s="57">
        <f>R税込!H3/1.17</f>
        <v>27547.86324786325</v>
      </c>
      <c r="I3" s="57">
        <f>R税込!I3/1.17</f>
        <v>34223.931623931625</v>
      </c>
      <c r="J3" s="57">
        <f>R税込!J3/1.17</f>
        <v>38461.538461538461</v>
      </c>
      <c r="K3" s="57">
        <f>R税込!K3/1.17+157</f>
        <v>68305.449572649581</v>
      </c>
    </row>
    <row r="4" spans="1:11" ht="13.5" customHeight="1">
      <c r="A4" s="54"/>
      <c r="B4" s="1396" t="s">
        <v>63</v>
      </c>
      <c r="C4" s="59" t="s">
        <v>59</v>
      </c>
      <c r="D4" s="56"/>
      <c r="E4" s="56"/>
      <c r="F4" s="56"/>
      <c r="G4" s="56">
        <v>151</v>
      </c>
      <c r="H4" s="56"/>
      <c r="I4" s="56"/>
      <c r="J4" s="56"/>
      <c r="K4" s="56"/>
    </row>
    <row r="5" spans="1:11" ht="13.5" customHeight="1">
      <c r="A5" s="54"/>
      <c r="B5" s="1396"/>
      <c r="C5" s="49" t="s">
        <v>62</v>
      </c>
      <c r="D5" s="57">
        <f>R税込!D5/1.17</f>
        <v>2253.8461538461538</v>
      </c>
      <c r="E5" s="57">
        <f>R税込!E5/1.17</f>
        <v>28963.247863247863</v>
      </c>
      <c r="F5" s="57">
        <f>R税込!F5/1.17</f>
        <v>4600.8547008547012</v>
      </c>
      <c r="G5" s="57">
        <f>R税込!G5/1.17</f>
        <v>23283.760683760684</v>
      </c>
      <c r="H5" s="57">
        <f>R税込!H5/1.17</f>
        <v>28450.427350427351</v>
      </c>
      <c r="I5" s="57">
        <f>R税込!I5/1.17</f>
        <v>39370.940170940172</v>
      </c>
      <c r="J5" s="57">
        <f>R税込!J5/1.17</f>
        <v>38461.538461538461</v>
      </c>
      <c r="K5" s="57">
        <f>R税込!K5/1.17</f>
        <v>54233.472623931622</v>
      </c>
    </row>
    <row r="6" spans="1:11" ht="13.5" customHeight="1">
      <c r="A6" s="54"/>
      <c r="B6" s="60"/>
      <c r="C6" s="50" t="s">
        <v>59</v>
      </c>
      <c r="D6" s="61"/>
      <c r="E6" s="61"/>
      <c r="F6" s="61"/>
      <c r="G6" s="62">
        <f t="shared" ref="G6:K7" si="0">G2+G4</f>
        <v>254</v>
      </c>
      <c r="H6" s="62"/>
      <c r="I6" s="62"/>
      <c r="J6" s="62">
        <f t="shared" si="0"/>
        <v>0</v>
      </c>
      <c r="K6" s="62">
        <f t="shared" si="0"/>
        <v>0</v>
      </c>
    </row>
    <row r="7" spans="1:11" ht="13.5" customHeight="1">
      <c r="A7" s="1396" t="s">
        <v>64</v>
      </c>
      <c r="B7" s="1396"/>
      <c r="C7" s="49" t="s">
        <v>62</v>
      </c>
      <c r="D7" s="57">
        <f>D3+D5</f>
        <v>2253.8461538461538</v>
      </c>
      <c r="E7" s="57">
        <f>E3+E5</f>
        <v>28963.247863247863</v>
      </c>
      <c r="F7" s="57">
        <f>F3+F5</f>
        <v>4600.8547008547012</v>
      </c>
      <c r="G7" s="57">
        <f t="shared" si="0"/>
        <v>41263.24786324786</v>
      </c>
      <c r="H7" s="57">
        <f>H3+H5</f>
        <v>55998.290598290601</v>
      </c>
      <c r="I7" s="57">
        <f>I3+I5</f>
        <v>73594.871794871797</v>
      </c>
      <c r="J7" s="57">
        <f t="shared" si="0"/>
        <v>76923.076923076922</v>
      </c>
      <c r="K7" s="57">
        <f t="shared" si="0"/>
        <v>122538.9221965812</v>
      </c>
    </row>
    <row r="8" spans="1:11" ht="13.5" customHeight="1">
      <c r="A8" s="48"/>
      <c r="B8" s="48"/>
      <c r="C8" s="48"/>
      <c r="D8" s="63" t="str">
        <f>R税込!D8</f>
        <v>11/4月</v>
      </c>
      <c r="E8" s="63" t="str">
        <f>R税込!E8</f>
        <v>12/4月</v>
      </c>
      <c r="F8" s="63" t="str">
        <f>R税込!F8</f>
        <v>13/4月</v>
      </c>
      <c r="G8" s="63" t="str">
        <f>R税込!G8</f>
        <v>14/4月</v>
      </c>
      <c r="H8" s="63" t="str">
        <f>R税込!H8</f>
        <v>15/4月</v>
      </c>
      <c r="I8" s="63" t="str">
        <f>R税込!I8</f>
        <v>16/4月</v>
      </c>
      <c r="J8" s="63" t="str">
        <f>R税込!J8</f>
        <v>17/4月(今回)</v>
      </c>
      <c r="K8" s="79" t="str">
        <f>R税込!K8</f>
        <v>17/4月(実績)</v>
      </c>
    </row>
    <row r="9" spans="1:11" ht="13.5" customHeight="1">
      <c r="A9" s="54"/>
      <c r="B9" s="1396" t="s">
        <v>60</v>
      </c>
      <c r="C9" s="55" t="s">
        <v>59</v>
      </c>
      <c r="D9" s="56"/>
      <c r="E9" s="56"/>
      <c r="F9" s="56"/>
      <c r="G9" s="56"/>
      <c r="H9" s="56"/>
      <c r="I9" s="56"/>
      <c r="J9" s="56"/>
      <c r="K9" s="56"/>
    </row>
    <row r="10" spans="1:11" ht="13.5" customHeight="1">
      <c r="A10" s="54"/>
      <c r="B10" s="1396"/>
      <c r="C10" s="49" t="s">
        <v>61</v>
      </c>
      <c r="D10" s="58"/>
      <c r="E10" s="58"/>
      <c r="F10" s="57"/>
      <c r="G10" s="57">
        <f>R税込!G10/1.17</f>
        <v>27266.666666666668</v>
      </c>
      <c r="H10" s="57">
        <f>R税込!H10/1.17</f>
        <v>47338.034188034188</v>
      </c>
      <c r="I10" s="57">
        <f>R税込!I10/1.17+2</f>
        <v>38323.367521367523</v>
      </c>
      <c r="J10" s="57">
        <f>R税込!J10/1.17</f>
        <v>42735.042735042734</v>
      </c>
      <c r="K10" s="57">
        <f>R税込!K10/1.17</f>
        <v>61919.658119658125</v>
      </c>
    </row>
    <row r="11" spans="1:11" ht="13.5" customHeight="1">
      <c r="A11" s="54"/>
      <c r="B11" s="1396" t="s">
        <v>63</v>
      </c>
      <c r="C11" s="59" t="s">
        <v>59</v>
      </c>
      <c r="D11" s="56"/>
      <c r="E11" s="56"/>
      <c r="F11" s="56"/>
      <c r="G11" s="56"/>
      <c r="H11" s="56"/>
      <c r="I11" s="56"/>
      <c r="J11" s="56"/>
      <c r="K11" s="56"/>
    </row>
    <row r="12" spans="1:11" ht="13.5" customHeight="1">
      <c r="A12" s="54"/>
      <c r="B12" s="1396"/>
      <c r="C12" s="49" t="s">
        <v>62</v>
      </c>
      <c r="D12" s="57">
        <f>R税込!D12/1.17</f>
        <v>5770.0854700854707</v>
      </c>
      <c r="E12" s="57">
        <f>R税込!E12/1.17</f>
        <v>40150.427350427351</v>
      </c>
      <c r="F12" s="57">
        <f>R税込!F12/1.17</f>
        <v>6724.7863247863252</v>
      </c>
      <c r="G12" s="57">
        <f>R税込!G12/1.17</f>
        <v>30471.794871794875</v>
      </c>
      <c r="H12" s="57">
        <f>R税込!H12/1.17</f>
        <v>25750.427350427351</v>
      </c>
      <c r="I12" s="57">
        <f>R税込!I12/1.17</f>
        <v>32829.059829059828</v>
      </c>
      <c r="J12" s="57">
        <f>R税込!J12/1.17</f>
        <v>42735.042735042734</v>
      </c>
      <c r="K12" s="57">
        <f>R税込!K12/1.17</f>
        <v>40258.974358974359</v>
      </c>
    </row>
    <row r="13" spans="1:11" ht="13.5" customHeight="1">
      <c r="A13" s="54"/>
      <c r="B13" s="60"/>
      <c r="C13" s="50" t="s">
        <v>59</v>
      </c>
      <c r="D13" s="61"/>
      <c r="E13" s="61"/>
      <c r="F13" s="61"/>
      <c r="G13" s="62"/>
      <c r="H13" s="62"/>
      <c r="I13" s="62"/>
      <c r="J13" s="62"/>
      <c r="K13" s="62"/>
    </row>
    <row r="14" spans="1:11" ht="13.5" customHeight="1">
      <c r="A14" s="1396" t="s">
        <v>64</v>
      </c>
      <c r="B14" s="1396"/>
      <c r="C14" s="49" t="s">
        <v>62</v>
      </c>
      <c r="D14" s="58">
        <f t="shared" ref="D14:K14" si="1">D10+D12</f>
        <v>5770.0854700854707</v>
      </c>
      <c r="E14" s="58">
        <f t="shared" si="1"/>
        <v>40150.427350427351</v>
      </c>
      <c r="F14" s="58">
        <f t="shared" si="1"/>
        <v>6724.7863247863252</v>
      </c>
      <c r="G14" s="58">
        <f t="shared" si="1"/>
        <v>57738.461538461546</v>
      </c>
      <c r="H14" s="58">
        <f>H10+H12</f>
        <v>73088.461538461532</v>
      </c>
      <c r="I14" s="58">
        <f>I10+I12</f>
        <v>71152.427350427344</v>
      </c>
      <c r="J14" s="58">
        <f t="shared" si="1"/>
        <v>85470.085470085469</v>
      </c>
      <c r="K14" s="58">
        <f t="shared" si="1"/>
        <v>102178.63247863248</v>
      </c>
    </row>
    <row r="15" spans="1:11" ht="13.5" customHeight="1">
      <c r="A15" s="48"/>
      <c r="B15" s="48"/>
      <c r="C15" s="48"/>
      <c r="D15" s="63" t="str">
        <f>R税込!D15</f>
        <v>11/5月</v>
      </c>
      <c r="E15" s="63" t="str">
        <f>R税込!E15</f>
        <v>12/5月</v>
      </c>
      <c r="F15" s="63" t="str">
        <f>R税込!F15</f>
        <v>13/5月</v>
      </c>
      <c r="G15" s="63" t="str">
        <f>R税込!G15</f>
        <v>14/5月</v>
      </c>
      <c r="H15" s="63" t="str">
        <f>R税込!H15</f>
        <v>15/5月</v>
      </c>
      <c r="I15" s="63" t="str">
        <f>R税込!I15</f>
        <v>16/5月</v>
      </c>
      <c r="J15" s="63" t="str">
        <f>R税込!J15</f>
        <v>17/5月(今回)</v>
      </c>
      <c r="K15" s="79" t="str">
        <f>R税込!K15</f>
        <v>17/5月(実績)</v>
      </c>
    </row>
    <row r="16" spans="1:11" ht="13.5" customHeight="1">
      <c r="A16" s="54"/>
      <c r="B16" s="1396" t="s">
        <v>60</v>
      </c>
      <c r="C16" s="55" t="s">
        <v>59</v>
      </c>
      <c r="D16" s="56"/>
      <c r="E16" s="56"/>
      <c r="F16" s="56"/>
      <c r="G16" s="56"/>
      <c r="H16" s="56"/>
      <c r="I16" s="56"/>
      <c r="J16" s="56"/>
      <c r="K16" s="56"/>
    </row>
    <row r="17" spans="1:12" ht="13.5" customHeight="1">
      <c r="A17" s="54"/>
      <c r="B17" s="1396"/>
      <c r="C17" s="49" t="s">
        <v>61</v>
      </c>
      <c r="D17" s="58"/>
      <c r="E17" s="58"/>
      <c r="F17" s="57"/>
      <c r="G17" s="57">
        <f>R税込!G17/1.17</f>
        <v>25367.521367521371</v>
      </c>
      <c r="H17" s="57">
        <f>R税込!H17/1.17</f>
        <v>61264.957264957266</v>
      </c>
      <c r="I17" s="57">
        <f>R税込!I17/1.17+178</f>
        <v>32926.974358974359</v>
      </c>
      <c r="J17" s="57">
        <f>R税込!J17/1.17</f>
        <v>55555.555555555562</v>
      </c>
      <c r="K17" s="57">
        <f>R税込!K17/1.17+81</f>
        <v>54722.538461538468</v>
      </c>
    </row>
    <row r="18" spans="1:12" ht="13.5" customHeight="1">
      <c r="A18" s="54"/>
      <c r="B18" s="1396" t="s">
        <v>63</v>
      </c>
      <c r="C18" s="59" t="s">
        <v>59</v>
      </c>
      <c r="D18" s="56"/>
      <c r="E18" s="56"/>
      <c r="F18" s="56"/>
      <c r="G18" s="56"/>
      <c r="H18" s="56"/>
      <c r="I18" s="56"/>
      <c r="J18" s="56"/>
      <c r="K18" s="56"/>
    </row>
    <row r="19" spans="1:12" ht="13.5" customHeight="1">
      <c r="A19" s="54"/>
      <c r="B19" s="1396"/>
      <c r="C19" s="49" t="s">
        <v>62</v>
      </c>
      <c r="D19" s="57">
        <f>R税込!D19/1.17</f>
        <v>5686.3247863247871</v>
      </c>
      <c r="E19" s="57">
        <f>R税込!E19/1.17</f>
        <v>2363.2478632478633</v>
      </c>
      <c r="F19" s="57">
        <f>R税込!F19/1.17</f>
        <v>11829.05982905983</v>
      </c>
      <c r="G19" s="57">
        <f>R税込!G19/1.17</f>
        <v>28711.111111111113</v>
      </c>
      <c r="H19" s="57">
        <f>R税込!H19/1.17</f>
        <v>22560.683760683762</v>
      </c>
      <c r="I19" s="57">
        <f>R税込!I19/1.17</f>
        <v>30039.74358974359</v>
      </c>
      <c r="J19" s="57">
        <f>R税込!J19/1.17</f>
        <v>47008.547008547008</v>
      </c>
      <c r="K19" s="57">
        <f>R税込!K19/1.17</f>
        <v>48672.649572649578</v>
      </c>
      <c r="L19" s="80"/>
    </row>
    <row r="20" spans="1:12" ht="13.5" customHeight="1">
      <c r="A20" s="54"/>
      <c r="B20" s="60"/>
      <c r="C20" s="50" t="s">
        <v>59</v>
      </c>
      <c r="D20" s="61"/>
      <c r="E20" s="61"/>
      <c r="F20" s="61"/>
      <c r="G20" s="62"/>
      <c r="H20" s="62"/>
      <c r="I20" s="62"/>
      <c r="J20" s="62"/>
      <c r="K20" s="62"/>
    </row>
    <row r="21" spans="1:12" ht="13.5" customHeight="1">
      <c r="A21" s="1396" t="s">
        <v>64</v>
      </c>
      <c r="B21" s="1396"/>
      <c r="C21" s="49" t="s">
        <v>62</v>
      </c>
      <c r="D21" s="57">
        <f t="shared" ref="D21:J21" si="2">D17+D19</f>
        <v>5686.3247863247871</v>
      </c>
      <c r="E21" s="57">
        <f t="shared" si="2"/>
        <v>2363.2478632478633</v>
      </c>
      <c r="F21" s="57">
        <f t="shared" si="2"/>
        <v>11829.05982905983</v>
      </c>
      <c r="G21" s="57">
        <f t="shared" si="2"/>
        <v>54078.632478632484</v>
      </c>
      <c r="H21" s="57">
        <f>H17+H19</f>
        <v>83825.641025641031</v>
      </c>
      <c r="I21" s="57">
        <f>I17+I19</f>
        <v>62966.717948717953</v>
      </c>
      <c r="J21" s="57">
        <f t="shared" si="2"/>
        <v>102564.10256410256</v>
      </c>
      <c r="K21" s="57">
        <f>K17+K19+1</f>
        <v>103396.18803418805</v>
      </c>
    </row>
    <row r="22" spans="1:12">
      <c r="A22" s="48"/>
      <c r="B22" s="48"/>
      <c r="C22" s="48"/>
      <c r="D22" s="63" t="str">
        <f>R税込!D22</f>
        <v>11/6月</v>
      </c>
      <c r="E22" s="63" t="str">
        <f>R税込!E22</f>
        <v>12/6月</v>
      </c>
      <c r="F22" s="63" t="str">
        <f>R税込!F22</f>
        <v>13/6月</v>
      </c>
      <c r="G22" s="63" t="str">
        <f>R税込!G22</f>
        <v>14/6月</v>
      </c>
      <c r="H22" s="63" t="str">
        <f>R税込!H22</f>
        <v>15/6月</v>
      </c>
      <c r="I22" s="63" t="str">
        <f>R税込!I22</f>
        <v>16/6月</v>
      </c>
      <c r="J22" s="63" t="str">
        <f>R税込!J22</f>
        <v>17/6月(今回)</v>
      </c>
      <c r="K22" s="79" t="str">
        <f>R税込!K22</f>
        <v>17/6月(実績)</v>
      </c>
    </row>
    <row r="23" spans="1:12">
      <c r="A23" s="54"/>
      <c r="B23" s="1396" t="s">
        <v>60</v>
      </c>
      <c r="C23" s="55" t="s">
        <v>59</v>
      </c>
      <c r="D23" s="56"/>
      <c r="E23" s="56"/>
      <c r="F23" s="56"/>
      <c r="G23" s="56"/>
      <c r="H23" s="56"/>
      <c r="I23" s="56"/>
      <c r="J23" s="56"/>
      <c r="K23" s="56"/>
    </row>
    <row r="24" spans="1:12">
      <c r="A24" s="54"/>
      <c r="B24" s="1396"/>
      <c r="C24" s="49" t="s">
        <v>61</v>
      </c>
      <c r="D24" s="58"/>
      <c r="E24" s="58"/>
      <c r="F24" s="57">
        <f>R税込!F24/1.17</f>
        <v>25679.48717948718</v>
      </c>
      <c r="G24" s="57">
        <f>R税込!G24/1.17</f>
        <v>41699.145299145304</v>
      </c>
      <c r="H24" s="57">
        <f>R税込!H24/1.17</f>
        <v>29699.145299145301</v>
      </c>
      <c r="I24" s="57">
        <f>R税込!I24/1.17+9</f>
        <v>39424.807692307695</v>
      </c>
      <c r="J24" s="57">
        <f>R税込!J24/1.17</f>
        <v>59829.059829059835</v>
      </c>
      <c r="K24" s="57">
        <f>R税込!K24/1.17</f>
        <v>54607.988034188034</v>
      </c>
    </row>
    <row r="25" spans="1:12">
      <c r="A25" s="54"/>
      <c r="B25" s="1396" t="s">
        <v>63</v>
      </c>
      <c r="C25" s="59" t="s">
        <v>59</v>
      </c>
      <c r="D25" s="56"/>
      <c r="E25" s="56"/>
      <c r="F25" s="56"/>
      <c r="G25" s="56"/>
      <c r="H25" s="56"/>
      <c r="I25" s="56"/>
      <c r="J25" s="56"/>
      <c r="K25" s="56"/>
    </row>
    <row r="26" spans="1:12" ht="13.5" customHeight="1">
      <c r="A26" s="54"/>
      <c r="B26" s="1396"/>
      <c r="C26" s="49" t="s">
        <v>62</v>
      </c>
      <c r="D26" s="57">
        <f>R税込!D26/1.17</f>
        <v>9931.6239316239316</v>
      </c>
      <c r="E26" s="57">
        <f>R税込!E26/1.17</f>
        <v>2950.4273504273506</v>
      </c>
      <c r="F26" s="57">
        <f>R税込!F26/1.17</f>
        <v>370.08547008547009</v>
      </c>
      <c r="G26" s="57">
        <f>R税込!G26/1.17</f>
        <v>24682.905982905984</v>
      </c>
      <c r="H26" s="57">
        <f>R税込!H26/1.17</f>
        <v>26877.777777777781</v>
      </c>
      <c r="I26" s="57">
        <f>R税込!I26/1.17</f>
        <v>33498.983760683761</v>
      </c>
      <c r="J26" s="57">
        <f>R税込!J26/1.17</f>
        <v>42735.042735042734</v>
      </c>
      <c r="K26" s="57">
        <f>R税込!K26/1.17</f>
        <v>44897.198290598295</v>
      </c>
    </row>
    <row r="27" spans="1:12">
      <c r="A27" s="54"/>
      <c r="B27" s="60"/>
      <c r="C27" s="50" t="s">
        <v>59</v>
      </c>
      <c r="D27" s="61"/>
      <c r="E27" s="61"/>
      <c r="F27" s="61"/>
      <c r="G27" s="62"/>
      <c r="H27" s="62"/>
      <c r="I27" s="62"/>
      <c r="J27" s="62"/>
      <c r="K27" s="62"/>
    </row>
    <row r="28" spans="1:12">
      <c r="A28" s="1396" t="s">
        <v>64</v>
      </c>
      <c r="B28" s="1396"/>
      <c r="C28" s="49" t="s">
        <v>62</v>
      </c>
      <c r="D28" s="57">
        <f t="shared" ref="D28:K28" si="3">D24+D26</f>
        <v>9931.6239316239316</v>
      </c>
      <c r="E28" s="57">
        <f t="shared" si="3"/>
        <v>2950.4273504273506</v>
      </c>
      <c r="F28" s="57">
        <f t="shared" si="3"/>
        <v>26049.572649572649</v>
      </c>
      <c r="G28" s="57">
        <f t="shared" si="3"/>
        <v>66382.051282051281</v>
      </c>
      <c r="H28" s="57">
        <f t="shared" si="3"/>
        <v>56576.923076923078</v>
      </c>
      <c r="I28" s="57">
        <f>I24+I26</f>
        <v>72923.791452991456</v>
      </c>
      <c r="J28" s="57">
        <f t="shared" si="3"/>
        <v>102564.10256410256</v>
      </c>
      <c r="K28" s="57">
        <f t="shared" si="3"/>
        <v>99505.186324786337</v>
      </c>
    </row>
    <row r="29" spans="1:12">
      <c r="A29" s="48"/>
      <c r="B29" s="48"/>
      <c r="C29" s="48"/>
      <c r="D29" s="63" t="str">
        <f>R税込!D29</f>
        <v>11/7月</v>
      </c>
      <c r="E29" s="63" t="str">
        <f>R税込!E29</f>
        <v>12/7月</v>
      </c>
      <c r="F29" s="63" t="str">
        <f>R税込!F29</f>
        <v>13/7月</v>
      </c>
      <c r="G29" s="63" t="str">
        <f>R税込!G29</f>
        <v>14/7月</v>
      </c>
      <c r="H29" s="63" t="str">
        <f>R税込!H29</f>
        <v>15/7月</v>
      </c>
      <c r="I29" s="63" t="str">
        <f>R税込!I29</f>
        <v>16/7月</v>
      </c>
      <c r="J29" s="63" t="str">
        <f>R税込!J29</f>
        <v>17/7月(今回)</v>
      </c>
      <c r="K29" s="79" t="str">
        <f>R税込!K29</f>
        <v>17/7月(実績)</v>
      </c>
    </row>
    <row r="30" spans="1:12">
      <c r="A30" s="54"/>
      <c r="B30" s="1396" t="s">
        <v>60</v>
      </c>
      <c r="C30" s="55" t="s">
        <v>59</v>
      </c>
      <c r="D30" s="56"/>
      <c r="E30" s="56"/>
      <c r="F30" s="56"/>
      <c r="G30" s="56"/>
      <c r="H30" s="56"/>
      <c r="I30" s="56"/>
      <c r="J30" s="56"/>
      <c r="K30" s="56"/>
    </row>
    <row r="31" spans="1:12">
      <c r="A31" s="54"/>
      <c r="B31" s="1396"/>
      <c r="C31" s="49" t="s">
        <v>61</v>
      </c>
      <c r="D31" s="58"/>
      <c r="E31" s="58"/>
      <c r="F31" s="57">
        <f>R税込!F31/1.17</f>
        <v>19077.777777777777</v>
      </c>
      <c r="G31" s="57">
        <f>R税込!G31/1.17</f>
        <v>27307.692307692309</v>
      </c>
      <c r="H31" s="57">
        <f>R税込!H31/1.17</f>
        <v>28129.914529914531</v>
      </c>
      <c r="I31" s="57">
        <f>R税込!I31/1.17</f>
        <v>39874.358974358976</v>
      </c>
      <c r="J31" s="57">
        <f>R税込!J31/1.17</f>
        <v>59829.059829059835</v>
      </c>
      <c r="K31" s="57">
        <f>R税込!K31/1.17+1</f>
        <v>68814.9761191453</v>
      </c>
    </row>
    <row r="32" spans="1:12">
      <c r="A32" s="54"/>
      <c r="B32" s="1396" t="s">
        <v>63</v>
      </c>
      <c r="C32" s="59" t="s">
        <v>59</v>
      </c>
      <c r="D32" s="56"/>
      <c r="E32" s="56"/>
      <c r="F32" s="56"/>
      <c r="G32" s="56"/>
      <c r="H32" s="56"/>
      <c r="I32" s="56"/>
      <c r="J32" s="56"/>
      <c r="K32" s="56"/>
    </row>
    <row r="33" spans="1:11">
      <c r="A33" s="54"/>
      <c r="B33" s="1396"/>
      <c r="C33" s="49" t="s">
        <v>62</v>
      </c>
      <c r="D33" s="57">
        <f>R税込!D33/1.17</f>
        <v>5316.2393162393164</v>
      </c>
      <c r="E33" s="57">
        <f>R税込!E33/1.17</f>
        <v>6215.3846153846162</v>
      </c>
      <c r="F33" s="57">
        <f>R税込!F33/1.17</f>
        <v>2808.5470085470088</v>
      </c>
      <c r="G33" s="57">
        <f>R税込!G33/1.17</f>
        <v>30987.179487179488</v>
      </c>
      <c r="H33" s="57">
        <f>R税込!H33/1.17</f>
        <v>33667.521367521367</v>
      </c>
      <c r="I33" s="57">
        <f>R税込!I33/1.17</f>
        <v>36160.683760683765</v>
      </c>
      <c r="J33" s="57">
        <f>R税込!J33/1.17</f>
        <v>51282.051282051289</v>
      </c>
      <c r="K33" s="57">
        <f>R税込!K33/1.17</f>
        <v>52729.217140000008</v>
      </c>
    </row>
    <row r="34" spans="1:11">
      <c r="A34" s="54"/>
      <c r="B34" s="60"/>
      <c r="C34" s="50" t="s">
        <v>59</v>
      </c>
      <c r="D34" s="61"/>
      <c r="E34" s="61"/>
      <c r="F34" s="61"/>
      <c r="G34" s="62"/>
      <c r="H34" s="62"/>
      <c r="I34" s="62"/>
      <c r="J34" s="62"/>
      <c r="K34" s="62"/>
    </row>
    <row r="35" spans="1:11">
      <c r="A35" s="1396" t="s">
        <v>64</v>
      </c>
      <c r="B35" s="1396"/>
      <c r="C35" s="49" t="s">
        <v>62</v>
      </c>
      <c r="D35" s="57">
        <f t="shared" ref="D35:K35" si="4">D31+D33</f>
        <v>5316.2393162393164</v>
      </c>
      <c r="E35" s="57">
        <f t="shared" si="4"/>
        <v>6215.3846153846162</v>
      </c>
      <c r="F35" s="57">
        <f t="shared" si="4"/>
        <v>21886.324786324785</v>
      </c>
      <c r="G35" s="57">
        <f t="shared" si="4"/>
        <v>58294.871794871797</v>
      </c>
      <c r="H35" s="57">
        <f t="shared" si="4"/>
        <v>61797.435897435898</v>
      </c>
      <c r="I35" s="57">
        <f>I31+I33</f>
        <v>76035.042735042749</v>
      </c>
      <c r="J35" s="57">
        <f t="shared" si="4"/>
        <v>111111.11111111112</v>
      </c>
      <c r="K35" s="57">
        <f t="shared" si="4"/>
        <v>121544.19325914531</v>
      </c>
    </row>
    <row r="36" spans="1:11">
      <c r="A36" s="48"/>
      <c r="B36" s="48"/>
      <c r="C36" s="48"/>
      <c r="D36" s="63" t="str">
        <f>R税込!D36</f>
        <v>11/8月</v>
      </c>
      <c r="E36" s="63" t="str">
        <f>R税込!E36</f>
        <v>12/8月</v>
      </c>
      <c r="F36" s="63" t="str">
        <f>R税込!F36</f>
        <v>13/8月</v>
      </c>
      <c r="G36" s="63" t="str">
        <f>R税込!G36</f>
        <v>14/8月</v>
      </c>
      <c r="H36" s="63" t="str">
        <f>R税込!H36</f>
        <v>15/8月</v>
      </c>
      <c r="I36" s="63" t="str">
        <f>R税込!I36</f>
        <v>16/8月</v>
      </c>
      <c r="J36" s="63" t="str">
        <f>R税込!J36</f>
        <v>17/8月(今回)</v>
      </c>
      <c r="K36" s="1256" t="str">
        <f>R税込!K36</f>
        <v>17/8月(実績)</v>
      </c>
    </row>
    <row r="37" spans="1:11">
      <c r="A37" s="54"/>
      <c r="B37" s="1396" t="s">
        <v>60</v>
      </c>
      <c r="C37" s="55" t="s">
        <v>59</v>
      </c>
      <c r="D37" s="56"/>
      <c r="E37" s="56"/>
      <c r="F37" s="56"/>
      <c r="G37" s="56"/>
      <c r="H37" s="56"/>
      <c r="I37" s="56"/>
      <c r="J37" s="56"/>
      <c r="K37" s="56"/>
    </row>
    <row r="38" spans="1:11">
      <c r="A38" s="54"/>
      <c r="B38" s="1396"/>
      <c r="C38" s="49" t="s">
        <v>61</v>
      </c>
      <c r="D38" s="67"/>
      <c r="E38" s="73"/>
      <c r="F38" s="57">
        <f>R税込!F38/1.17</f>
        <v>33896.581196581195</v>
      </c>
      <c r="G38" s="57">
        <f>R税込!G38/1.17</f>
        <v>36448.717948717953</v>
      </c>
      <c r="H38" s="57">
        <f>R税込!H38/1.17</f>
        <v>39623.076923076922</v>
      </c>
      <c r="I38" s="57">
        <f>R税込!I38/1.17+3</f>
        <v>39440.094017094023</v>
      </c>
      <c r="J38" s="57">
        <f>R税込!J38/1.17</f>
        <v>72649.572649572656</v>
      </c>
      <c r="K38" s="57">
        <f>R税込!K38/1.17+63</f>
        <v>69046.901709401704</v>
      </c>
    </row>
    <row r="39" spans="1:11">
      <c r="A39" s="54"/>
      <c r="B39" s="1396" t="s">
        <v>63</v>
      </c>
      <c r="C39" s="59" t="s">
        <v>59</v>
      </c>
      <c r="D39" s="56"/>
      <c r="E39" s="56"/>
      <c r="F39" s="56"/>
      <c r="G39" s="56"/>
      <c r="H39" s="56"/>
      <c r="I39" s="56"/>
      <c r="J39" s="56"/>
      <c r="K39" s="56"/>
    </row>
    <row r="40" spans="1:11">
      <c r="A40" s="54"/>
      <c r="B40" s="1396"/>
      <c r="C40" s="49" t="s">
        <v>62</v>
      </c>
      <c r="D40" s="57">
        <f>R税込!D40/1.17</f>
        <v>21876.923076923078</v>
      </c>
      <c r="E40" s="57">
        <f>R税込!E40/1.17</f>
        <v>19415.384615384617</v>
      </c>
      <c r="F40" s="57">
        <f>R税込!F40/1.17</f>
        <v>3282.9059829059829</v>
      </c>
      <c r="G40" s="57">
        <f>R税込!G40/1.17</f>
        <v>24852.136752136754</v>
      </c>
      <c r="H40" s="57">
        <f>R税込!H40/1.17</f>
        <v>58003.418803418805</v>
      </c>
      <c r="I40" s="57">
        <f>R税込!I40/1.17</f>
        <v>31545.299145299148</v>
      </c>
      <c r="J40" s="57">
        <f>R税込!J40/1.17</f>
        <v>55555.555555555562</v>
      </c>
      <c r="K40" s="57">
        <f>R税込!K40/1.17</f>
        <v>49536.925660000008</v>
      </c>
    </row>
    <row r="41" spans="1:11">
      <c r="A41" s="54"/>
      <c r="B41" s="60"/>
      <c r="C41" s="50" t="s">
        <v>59</v>
      </c>
      <c r="D41" s="61"/>
      <c r="E41" s="61"/>
      <c r="F41" s="61"/>
      <c r="G41" s="62"/>
      <c r="H41" s="62"/>
      <c r="I41" s="62"/>
      <c r="J41" s="62"/>
      <c r="K41" s="62"/>
    </row>
    <row r="42" spans="1:11">
      <c r="A42" s="1396" t="s">
        <v>64</v>
      </c>
      <c r="B42" s="1396"/>
      <c r="C42" s="49" t="s">
        <v>62</v>
      </c>
      <c r="D42" s="57">
        <f t="shared" ref="D42:K42" si="5">D38+D40</f>
        <v>21876.923076923078</v>
      </c>
      <c r="E42" s="57">
        <f t="shared" si="5"/>
        <v>19415.384615384617</v>
      </c>
      <c r="F42" s="57">
        <f t="shared" si="5"/>
        <v>37179.48717948718</v>
      </c>
      <c r="G42" s="57">
        <f t="shared" si="5"/>
        <v>61300.854700854703</v>
      </c>
      <c r="H42" s="57">
        <f t="shared" si="5"/>
        <v>97626.495726495719</v>
      </c>
      <c r="I42" s="57">
        <f>I38+I40</f>
        <v>70985.393162393171</v>
      </c>
      <c r="J42" s="57">
        <f t="shared" si="5"/>
        <v>128205.12820512822</v>
      </c>
      <c r="K42" s="57">
        <f t="shared" si="5"/>
        <v>118583.82736940171</v>
      </c>
    </row>
    <row r="43" spans="1:11">
      <c r="A43" s="48"/>
      <c r="B43" s="48"/>
      <c r="C43" s="48"/>
      <c r="D43" s="63" t="str">
        <f>R税込!D43</f>
        <v>11/9月</v>
      </c>
      <c r="E43" s="63" t="str">
        <f>R税込!E43</f>
        <v>12/9月</v>
      </c>
      <c r="F43" s="63" t="str">
        <f>R税込!F43</f>
        <v>13/9月</v>
      </c>
      <c r="G43" s="63" t="str">
        <f>R税込!G43</f>
        <v>14/9月</v>
      </c>
      <c r="H43" s="63" t="str">
        <f>R税込!H43</f>
        <v>15/9月</v>
      </c>
      <c r="I43" s="63" t="str">
        <f>R税込!I43</f>
        <v>16/9月</v>
      </c>
      <c r="J43" s="63" t="str">
        <f>R税込!J43</f>
        <v>17/9月(今回)</v>
      </c>
      <c r="K43" s="79" t="str">
        <f>R税込!K43</f>
        <v>17/9月(実績)</v>
      </c>
    </row>
    <row r="44" spans="1:11">
      <c r="A44" s="54"/>
      <c r="B44" s="1396" t="s">
        <v>60</v>
      </c>
      <c r="C44" s="55" t="s">
        <v>59</v>
      </c>
      <c r="D44" s="56"/>
      <c r="E44" s="56"/>
      <c r="F44" s="56"/>
      <c r="G44" s="56"/>
      <c r="H44" s="56"/>
      <c r="I44" s="56"/>
      <c r="J44" s="56"/>
      <c r="K44" s="56"/>
    </row>
    <row r="45" spans="1:11">
      <c r="A45" s="54"/>
      <c r="B45" s="1396"/>
      <c r="C45" s="49" t="s">
        <v>61</v>
      </c>
      <c r="D45" s="67"/>
      <c r="E45" s="73"/>
      <c r="F45" s="57">
        <f>R税込!F45/1.17</f>
        <v>16441.880341880344</v>
      </c>
      <c r="G45" s="57">
        <f>R税込!G45/1.17</f>
        <v>20712.820512820515</v>
      </c>
      <c r="H45" s="57">
        <f>R税込!H45/1.17</f>
        <v>29025.641025641027</v>
      </c>
      <c r="I45" s="57">
        <f>R税込!I45/1.17</f>
        <v>41035.042735042734</v>
      </c>
      <c r="J45" s="57">
        <f>R税込!J45/1.17</f>
        <v>74358.974358974359</v>
      </c>
      <c r="K45" s="57">
        <f>R税込!K45/1.17</f>
        <v>73821.729914529918</v>
      </c>
    </row>
    <row r="46" spans="1:11">
      <c r="A46" s="54"/>
      <c r="B46" s="1396" t="s">
        <v>63</v>
      </c>
      <c r="C46" s="59" t="s">
        <v>59</v>
      </c>
      <c r="D46" s="56"/>
      <c r="E46" s="56"/>
      <c r="F46" s="56"/>
      <c r="G46" s="56"/>
      <c r="H46" s="56"/>
      <c r="I46" s="56"/>
      <c r="J46" s="56"/>
      <c r="K46" s="56"/>
    </row>
    <row r="47" spans="1:11">
      <c r="A47" s="54"/>
      <c r="B47" s="1396"/>
      <c r="C47" s="49" t="s">
        <v>62</v>
      </c>
      <c r="D47" s="57">
        <f>R税込!D47/1.17</f>
        <v>1386.3247863247864</v>
      </c>
      <c r="E47" s="57">
        <f>R税込!E47/1.17</f>
        <v>7098.2905982905986</v>
      </c>
      <c r="F47" s="57">
        <f>R税込!F47/1.17</f>
        <v>7176.9230769230771</v>
      </c>
      <c r="G47" s="57">
        <f>R税込!G47/1.17</f>
        <v>21669.23076923077</v>
      </c>
      <c r="H47" s="57">
        <f>R税込!H47/1.17</f>
        <v>23402.564102564105</v>
      </c>
      <c r="I47" s="57">
        <f>R税込!I47/1.17</f>
        <v>46511.111111111117</v>
      </c>
      <c r="J47" s="57">
        <f>R税込!J47/1.17</f>
        <v>47863.247863247867</v>
      </c>
      <c r="K47" s="57">
        <f>R税込!K47/1.17</f>
        <v>49031.730769230773</v>
      </c>
    </row>
    <row r="48" spans="1:11">
      <c r="A48" s="54"/>
      <c r="B48" s="60"/>
      <c r="C48" s="50" t="s">
        <v>59</v>
      </c>
      <c r="D48" s="61"/>
      <c r="E48" s="61"/>
      <c r="F48" s="61"/>
      <c r="G48" s="62"/>
      <c r="H48" s="62"/>
      <c r="I48" s="62"/>
      <c r="J48" s="62"/>
      <c r="K48" s="62"/>
    </row>
    <row r="49" spans="1:11">
      <c r="A49" s="1396" t="s">
        <v>64</v>
      </c>
      <c r="B49" s="1396"/>
      <c r="C49" s="49" t="s">
        <v>62</v>
      </c>
      <c r="D49" s="57">
        <f t="shared" ref="D49:K49" si="6">D45+D47</f>
        <v>1386.3247863247864</v>
      </c>
      <c r="E49" s="57">
        <f t="shared" si="6"/>
        <v>7098.2905982905986</v>
      </c>
      <c r="F49" s="57">
        <f t="shared" si="6"/>
        <v>23618.803418803422</v>
      </c>
      <c r="G49" s="57">
        <f t="shared" si="6"/>
        <v>42382.051282051281</v>
      </c>
      <c r="H49" s="57">
        <f t="shared" si="6"/>
        <v>52428.205128205132</v>
      </c>
      <c r="I49" s="57">
        <f>I45+I47</f>
        <v>87546.153846153844</v>
      </c>
      <c r="J49" s="57">
        <f t="shared" si="6"/>
        <v>122222.22222222222</v>
      </c>
      <c r="K49" s="57">
        <f t="shared" si="6"/>
        <v>122853.4606837607</v>
      </c>
    </row>
    <row r="50" spans="1:11">
      <c r="A50" s="48"/>
      <c r="B50" s="48"/>
      <c r="C50" s="48"/>
      <c r="D50" s="63" t="str">
        <f>R税込!D50</f>
        <v>11/10月</v>
      </c>
      <c r="E50" s="63" t="str">
        <f>R税込!E50</f>
        <v>12/10月</v>
      </c>
      <c r="F50" s="63" t="str">
        <f>R税込!F50</f>
        <v>13/10月</v>
      </c>
      <c r="G50" s="63" t="str">
        <f>R税込!G50</f>
        <v>14/10月</v>
      </c>
      <c r="H50" s="63" t="str">
        <f>R税込!H50</f>
        <v>15/10月</v>
      </c>
      <c r="I50" s="63" t="str">
        <f>R税込!I50</f>
        <v>16/10月</v>
      </c>
      <c r="J50" s="63" t="str">
        <f>R税込!J50</f>
        <v>17/10月(今回)</v>
      </c>
      <c r="K50" s="79" t="str">
        <f>R税込!K50</f>
        <v>17/10月(実績)</v>
      </c>
    </row>
    <row r="51" spans="1:11">
      <c r="A51" s="54"/>
      <c r="B51" s="1396" t="s">
        <v>60</v>
      </c>
      <c r="C51" s="55" t="s">
        <v>59</v>
      </c>
      <c r="D51" s="56"/>
      <c r="E51" s="56"/>
      <c r="F51" s="56"/>
      <c r="G51" s="56"/>
      <c r="H51" s="56"/>
      <c r="I51" s="56"/>
      <c r="J51" s="56"/>
      <c r="K51" s="56"/>
    </row>
    <row r="52" spans="1:11">
      <c r="A52" s="54"/>
      <c r="B52" s="1396"/>
      <c r="C52" s="49" t="s">
        <v>61</v>
      </c>
      <c r="D52" s="67"/>
      <c r="E52" s="73"/>
      <c r="F52" s="57">
        <f>R税込!F52/1.17</f>
        <v>23226.495726495727</v>
      </c>
      <c r="G52" s="57">
        <f>R税込!G52/1.17</f>
        <v>36232.478632478633</v>
      </c>
      <c r="H52" s="57">
        <f>R税込!H52/1.17</f>
        <v>35726.495726495727</v>
      </c>
      <c r="I52" s="57">
        <f>R税込!I52/1.17+1</f>
        <v>31108.692307692309</v>
      </c>
      <c r="J52" s="57">
        <f>R税込!J52/1.17</f>
        <v>87179.487179487187</v>
      </c>
      <c r="K52" s="57">
        <f>R税込!K52/1.17</f>
        <v>79699.341859743596</v>
      </c>
    </row>
    <row r="53" spans="1:11">
      <c r="A53" s="54"/>
      <c r="B53" s="1396" t="s">
        <v>63</v>
      </c>
      <c r="C53" s="59" t="s">
        <v>59</v>
      </c>
      <c r="D53" s="56"/>
      <c r="E53" s="56"/>
      <c r="F53" s="56"/>
      <c r="G53" s="56"/>
      <c r="H53" s="56"/>
      <c r="I53" s="56"/>
      <c r="J53" s="56"/>
      <c r="K53" s="56"/>
    </row>
    <row r="54" spans="1:11">
      <c r="A54" s="54"/>
      <c r="B54" s="1396"/>
      <c r="C54" s="49" t="s">
        <v>62</v>
      </c>
      <c r="D54" s="57">
        <f>R税込!D54/1.17</f>
        <v>5998.2905982905986</v>
      </c>
      <c r="E54" s="57">
        <f>R税込!E54/1.17</f>
        <v>9923.9316239316249</v>
      </c>
      <c r="F54" s="57">
        <f>R税込!F54/1.17</f>
        <v>2669.2307692307695</v>
      </c>
      <c r="G54" s="57">
        <f>R税込!G54/1.17</f>
        <v>26994.871794871797</v>
      </c>
      <c r="H54" s="57">
        <f>R税込!H54/1.17</f>
        <v>24417.094017094019</v>
      </c>
      <c r="I54" s="57">
        <f>R税込!I54/1.17</f>
        <v>37528.205128205132</v>
      </c>
      <c r="J54" s="57">
        <f>R税込!J54/1.17</f>
        <v>43589.743589743593</v>
      </c>
      <c r="K54" s="57">
        <f>R税込!K54/1.17</f>
        <v>39698.56366</v>
      </c>
    </row>
    <row r="55" spans="1:11">
      <c r="A55" s="54"/>
      <c r="B55" s="60"/>
      <c r="C55" s="50" t="s">
        <v>59</v>
      </c>
      <c r="D55" s="61"/>
      <c r="E55" s="62"/>
      <c r="F55" s="61"/>
      <c r="G55" s="62"/>
      <c r="H55" s="62"/>
      <c r="I55" s="62"/>
      <c r="J55" s="62"/>
      <c r="K55" s="62"/>
    </row>
    <row r="56" spans="1:11">
      <c r="A56" s="1396" t="s">
        <v>64</v>
      </c>
      <c r="B56" s="1396"/>
      <c r="C56" s="49" t="s">
        <v>62</v>
      </c>
      <c r="D56" s="57">
        <f t="shared" ref="D56:J56" si="7">D52+D54</f>
        <v>5998.2905982905986</v>
      </c>
      <c r="E56" s="57">
        <f t="shared" si="7"/>
        <v>9923.9316239316249</v>
      </c>
      <c r="F56" s="57">
        <f t="shared" si="7"/>
        <v>25895.726495726496</v>
      </c>
      <c r="G56" s="57">
        <f t="shared" si="7"/>
        <v>63227.35042735043</v>
      </c>
      <c r="H56" s="57">
        <f t="shared" si="7"/>
        <v>60143.58974358975</v>
      </c>
      <c r="I56" s="57">
        <f>I52+I54+1</f>
        <v>68637.897435897437</v>
      </c>
      <c r="J56" s="57">
        <f t="shared" si="7"/>
        <v>130769.23076923078</v>
      </c>
      <c r="K56" s="57">
        <f>K52+K54</f>
        <v>119397.9055197436</v>
      </c>
    </row>
    <row r="57" spans="1:11">
      <c r="A57" s="48"/>
      <c r="B57" s="48"/>
      <c r="C57" s="48"/>
      <c r="D57" s="63" t="str">
        <f>R税込!D57</f>
        <v>11/11月</v>
      </c>
      <c r="E57" s="63" t="str">
        <f>R税込!E57</f>
        <v>12/11月</v>
      </c>
      <c r="F57" s="63" t="str">
        <f>R税込!F57</f>
        <v>13/11月</v>
      </c>
      <c r="G57" s="63" t="str">
        <f>R税込!G57</f>
        <v>14/11月</v>
      </c>
      <c r="H57" s="63" t="str">
        <f>R税込!H57</f>
        <v>15/11月</v>
      </c>
      <c r="I57" s="63" t="str">
        <f>R税込!I57</f>
        <v>16/11月</v>
      </c>
      <c r="J57" s="63" t="str">
        <f>R税込!J57</f>
        <v>17/11月(今回)</v>
      </c>
      <c r="K57" s="79" t="str">
        <f>R税込!K57</f>
        <v>17/11月(実績)</v>
      </c>
    </row>
    <row r="58" spans="1:11">
      <c r="A58" s="54"/>
      <c r="B58" s="1396" t="s">
        <v>60</v>
      </c>
      <c r="C58" s="55" t="s">
        <v>59</v>
      </c>
      <c r="D58" s="56"/>
      <c r="E58" s="56"/>
      <c r="F58" s="56"/>
      <c r="G58" s="56"/>
      <c r="H58" s="56"/>
      <c r="I58" s="56"/>
      <c r="J58" s="56"/>
      <c r="K58" s="56"/>
    </row>
    <row r="59" spans="1:11">
      <c r="A59" s="54"/>
      <c r="B59" s="1396"/>
      <c r="C59" s="49" t="s">
        <v>61</v>
      </c>
      <c r="D59" s="67"/>
      <c r="E59" s="73"/>
      <c r="F59" s="57">
        <f>R税込!F59/1.17</f>
        <v>26174.358974358976</v>
      </c>
      <c r="G59" s="57">
        <f>R税込!G59/1.17</f>
        <v>30671.794871794875</v>
      </c>
      <c r="H59" s="57">
        <f>R税込!H59/1.17</f>
        <v>35878.632478632484</v>
      </c>
      <c r="I59" s="57">
        <f>R税込!I59/1.17+10</f>
        <v>37681.927350427351</v>
      </c>
      <c r="J59" s="57">
        <f>R税込!J59/1.17</f>
        <v>78632.47863247864</v>
      </c>
      <c r="K59" s="57">
        <f>R税込!K59/1.17+23</f>
        <v>61711.253042735043</v>
      </c>
    </row>
    <row r="60" spans="1:11">
      <c r="A60" s="54"/>
      <c r="B60" s="1396" t="s">
        <v>63</v>
      </c>
      <c r="C60" s="59" t="s">
        <v>59</v>
      </c>
      <c r="D60" s="56"/>
      <c r="E60" s="56"/>
      <c r="F60" s="56"/>
      <c r="G60" s="56"/>
      <c r="H60" s="56"/>
      <c r="I60" s="56"/>
      <c r="J60" s="56"/>
      <c r="K60" s="56"/>
    </row>
    <row r="61" spans="1:11">
      <c r="A61" s="54"/>
      <c r="B61" s="1396"/>
      <c r="C61" s="49" t="s">
        <v>62</v>
      </c>
      <c r="D61" s="57">
        <f>R税込!D61/1.17</f>
        <v>3312.8205128205132</v>
      </c>
      <c r="E61" s="57">
        <f>R税込!E61/1.17</f>
        <v>9975.2136752136757</v>
      </c>
      <c r="F61" s="57">
        <f>R税込!F61/1.17</f>
        <v>22343.589743589746</v>
      </c>
      <c r="G61" s="57">
        <f>R税込!G61/1.17</f>
        <v>38763.247863247867</v>
      </c>
      <c r="H61" s="57">
        <f>R税込!H61/1.17</f>
        <v>30604.273504273508</v>
      </c>
      <c r="I61" s="57">
        <f>R税込!I61/1.17</f>
        <v>38323.931623931625</v>
      </c>
      <c r="J61" s="57">
        <f>R税込!J61/1.17</f>
        <v>39316.23931623932</v>
      </c>
      <c r="K61" s="57">
        <f>R税込!K61/1.17</f>
        <v>39431.300800000005</v>
      </c>
    </row>
    <row r="62" spans="1:11">
      <c r="A62" s="54"/>
      <c r="B62" s="60"/>
      <c r="C62" s="50" t="s">
        <v>59</v>
      </c>
      <c r="D62" s="61"/>
      <c r="E62" s="61"/>
      <c r="F62" s="61"/>
      <c r="G62" s="62"/>
      <c r="H62" s="62"/>
      <c r="I62" s="62"/>
      <c r="J62" s="62"/>
      <c r="K62" s="62"/>
    </row>
    <row r="63" spans="1:11">
      <c r="A63" s="1396" t="s">
        <v>64</v>
      </c>
      <c r="B63" s="1396"/>
      <c r="C63" s="49" t="s">
        <v>62</v>
      </c>
      <c r="D63" s="57">
        <f t="shared" ref="D63:J63" si="8">D59+D61</f>
        <v>3312.8205128205132</v>
      </c>
      <c r="E63" s="57">
        <f t="shared" si="8"/>
        <v>9975.2136752136757</v>
      </c>
      <c r="F63" s="57">
        <f t="shared" si="8"/>
        <v>48517.948717948719</v>
      </c>
      <c r="G63" s="57">
        <f t="shared" si="8"/>
        <v>69435.042735042749</v>
      </c>
      <c r="H63" s="57">
        <f t="shared" si="8"/>
        <v>66482.905982905999</v>
      </c>
      <c r="I63" s="57">
        <f>I59+I61</f>
        <v>76005.858974358969</v>
      </c>
      <c r="J63" s="57">
        <f t="shared" si="8"/>
        <v>117948.71794871797</v>
      </c>
      <c r="K63" s="57">
        <f>K59+K61-1</f>
        <v>101141.55384273504</v>
      </c>
    </row>
    <row r="64" spans="1:11">
      <c r="A64" s="48"/>
      <c r="B64" s="48"/>
      <c r="C64" s="48"/>
      <c r="D64" s="63" t="str">
        <f>R税込!D64</f>
        <v>11/12月</v>
      </c>
      <c r="E64" s="63" t="str">
        <f>R税込!E64</f>
        <v>12/12月</v>
      </c>
      <c r="F64" s="63" t="str">
        <f>R税込!F64</f>
        <v>13/12月</v>
      </c>
      <c r="G64" s="63" t="str">
        <f>R税込!G64</f>
        <v>14/12月</v>
      </c>
      <c r="H64" s="63" t="str">
        <f>R税込!H64</f>
        <v>15/12月</v>
      </c>
      <c r="I64" s="63" t="str">
        <f>R税込!I64</f>
        <v>16/12月</v>
      </c>
      <c r="J64" s="63" t="str">
        <f>R税込!J64</f>
        <v>17/12月(前回)</v>
      </c>
      <c r="K64" s="79" t="str">
        <f>R税込!K64</f>
        <v>17/12月(実績)</v>
      </c>
    </row>
    <row r="65" spans="1:11">
      <c r="A65" s="54"/>
      <c r="B65" s="1396" t="s">
        <v>60</v>
      </c>
      <c r="C65" s="55" t="s">
        <v>59</v>
      </c>
      <c r="D65" s="56"/>
      <c r="E65" s="56"/>
      <c r="F65" s="56"/>
      <c r="G65" s="56"/>
      <c r="H65" s="56"/>
      <c r="I65" s="56"/>
      <c r="J65" s="56"/>
      <c r="K65" s="56"/>
    </row>
    <row r="66" spans="1:11">
      <c r="A66" s="54"/>
      <c r="B66" s="1396"/>
      <c r="C66" s="49" t="s">
        <v>61</v>
      </c>
      <c r="D66" s="67"/>
      <c r="E66" s="73"/>
      <c r="F66" s="57">
        <f>R税込!F66/1.17</f>
        <v>36358.974358974359</v>
      </c>
      <c r="G66" s="57">
        <f>R税込!G66/1.17</f>
        <v>34572.649572649578</v>
      </c>
      <c r="H66" s="57">
        <f>R税込!H66/1.17</f>
        <v>34694.017094017094</v>
      </c>
      <c r="I66" s="57">
        <f>R税込!I66/1.17</f>
        <v>48742.735042735047</v>
      </c>
      <c r="J66" s="57">
        <f>R税込!J66/1.17</f>
        <v>85897.435897435906</v>
      </c>
      <c r="K66" s="57">
        <f>R税込!K66/1.17</f>
        <v>112241.34977</v>
      </c>
    </row>
    <row r="67" spans="1:11">
      <c r="A67" s="54"/>
      <c r="B67" s="1396" t="s">
        <v>63</v>
      </c>
      <c r="C67" s="59" t="s">
        <v>59</v>
      </c>
      <c r="D67" s="56"/>
      <c r="E67" s="56"/>
      <c r="F67" s="56"/>
      <c r="G67" s="56"/>
      <c r="H67" s="56"/>
      <c r="I67" s="56"/>
      <c r="J67" s="56"/>
      <c r="K67" s="56"/>
    </row>
    <row r="68" spans="1:11">
      <c r="A68" s="54"/>
      <c r="B68" s="1396"/>
      <c r="C68" s="49" t="s">
        <v>62</v>
      </c>
      <c r="D68" s="57">
        <f>R税込!D68/1.17</f>
        <v>6547.863247863248</v>
      </c>
      <c r="E68" s="57">
        <f>R税込!E68/1.17</f>
        <v>10653.846153846154</v>
      </c>
      <c r="F68" s="57">
        <f>R税込!F68/1.17</f>
        <v>18546.153846153848</v>
      </c>
      <c r="G68" s="57">
        <f>R税込!G68/1.17</f>
        <v>27883.760683760687</v>
      </c>
      <c r="H68" s="57">
        <f>R税込!H68/1.17</f>
        <v>40673.504273504273</v>
      </c>
      <c r="I68" s="57">
        <f>R税込!I68/1.17</f>
        <v>53115.384615384617</v>
      </c>
      <c r="J68" s="57">
        <f>R税込!J68/1.17</f>
        <v>41880.341880341883</v>
      </c>
      <c r="K68" s="57">
        <f>R税込!K68/1.17</f>
        <v>33231.50776</v>
      </c>
    </row>
    <row r="69" spans="1:11">
      <c r="A69" s="54"/>
      <c r="B69" s="60"/>
      <c r="C69" s="50" t="s">
        <v>59</v>
      </c>
      <c r="D69" s="61"/>
      <c r="E69" s="61"/>
      <c r="F69" s="61"/>
      <c r="G69" s="62"/>
      <c r="H69" s="62"/>
      <c r="I69" s="62"/>
      <c r="J69" s="62"/>
      <c r="K69" s="62"/>
    </row>
    <row r="70" spans="1:11">
      <c r="A70" s="1396" t="s">
        <v>64</v>
      </c>
      <c r="B70" s="1396"/>
      <c r="C70" s="49" t="s">
        <v>62</v>
      </c>
      <c r="D70" s="57">
        <f t="shared" ref="D70:K70" si="9">D66+D68</f>
        <v>6547.863247863248</v>
      </c>
      <c r="E70" s="57">
        <f t="shared" si="9"/>
        <v>10653.846153846154</v>
      </c>
      <c r="F70" s="57">
        <f t="shared" si="9"/>
        <v>54905.128205128203</v>
      </c>
      <c r="G70" s="57">
        <f t="shared" si="9"/>
        <v>62456.410256410265</v>
      </c>
      <c r="H70" s="57">
        <f t="shared" si="9"/>
        <v>75367.521367521374</v>
      </c>
      <c r="I70" s="57">
        <f>I66+I68</f>
        <v>101858.11965811966</v>
      </c>
      <c r="J70" s="57">
        <f t="shared" si="9"/>
        <v>127777.77777777778</v>
      </c>
      <c r="K70" s="57">
        <f t="shared" si="9"/>
        <v>145472.85753000001</v>
      </c>
    </row>
    <row r="71" spans="1:11">
      <c r="A71" s="48"/>
      <c r="B71" s="48"/>
      <c r="C71" s="48"/>
      <c r="D71" s="63" t="str">
        <f>R税込!D71</f>
        <v>12/1月</v>
      </c>
      <c r="E71" s="63" t="str">
        <f>R税込!E71</f>
        <v>13/1月</v>
      </c>
      <c r="F71" s="63" t="str">
        <f>R税込!F71</f>
        <v>14/1月</v>
      </c>
      <c r="G71" s="63" t="str">
        <f>R税込!G71</f>
        <v>15/1月</v>
      </c>
      <c r="H71" s="63" t="str">
        <f>R税込!H71</f>
        <v>16/1月</v>
      </c>
      <c r="I71" s="63" t="str">
        <f>R税込!I71</f>
        <v>1７/1月</v>
      </c>
      <c r="J71" s="63" t="str">
        <f>R税込!J71</f>
        <v>18/1月(前回)</v>
      </c>
      <c r="K71" s="79" t="str">
        <f>R税込!K71</f>
        <v>18/1月(今回)</v>
      </c>
    </row>
    <row r="72" spans="1:11">
      <c r="A72" s="54"/>
      <c r="B72" s="1396" t="s">
        <v>60</v>
      </c>
      <c r="C72" s="55" t="s">
        <v>59</v>
      </c>
      <c r="D72" s="56"/>
      <c r="E72" s="56"/>
      <c r="F72" s="56"/>
      <c r="G72" s="56"/>
      <c r="H72" s="56"/>
      <c r="I72" s="56"/>
      <c r="J72" s="56"/>
      <c r="K72" s="56"/>
    </row>
    <row r="73" spans="1:11">
      <c r="A73" s="54"/>
      <c r="B73" s="1396"/>
      <c r="C73" s="49" t="s">
        <v>61</v>
      </c>
      <c r="D73" s="67"/>
      <c r="E73" s="73"/>
      <c r="F73" s="57">
        <f>R税込!F73/1.17</f>
        <v>23121.367521367523</v>
      </c>
      <c r="G73" s="57">
        <f>R税込!G73/1.17</f>
        <v>33180.341880341883</v>
      </c>
      <c r="H73" s="57">
        <f>R税込!H73/1.17</f>
        <v>34776.068376068375</v>
      </c>
      <c r="I73" s="57">
        <f>R税込!I73/1.17</f>
        <v>38004.273504273508</v>
      </c>
      <c r="J73" s="57">
        <f>R税込!J73/1.17</f>
        <v>115384.61538461539</v>
      </c>
      <c r="K73" s="57">
        <f>R税込!K73/1.17</f>
        <v>75213.675213675218</v>
      </c>
    </row>
    <row r="74" spans="1:11">
      <c r="A74" s="54"/>
      <c r="B74" s="1396" t="s">
        <v>63</v>
      </c>
      <c r="C74" s="59" t="s">
        <v>59</v>
      </c>
      <c r="D74" s="56"/>
      <c r="E74" s="56"/>
      <c r="F74" s="56"/>
      <c r="G74" s="56"/>
      <c r="H74" s="56"/>
      <c r="I74" s="56"/>
      <c r="J74" s="56"/>
      <c r="K74" s="56"/>
    </row>
    <row r="75" spans="1:11">
      <c r="A75" s="54"/>
      <c r="B75" s="1396"/>
      <c r="C75" s="49" t="s">
        <v>62</v>
      </c>
      <c r="D75" s="57">
        <f>R税込!D75/1.17</f>
        <v>6490.598290598291</v>
      </c>
      <c r="E75" s="57">
        <f>R税込!E75/1.17</f>
        <v>8726.4957264957266</v>
      </c>
      <c r="F75" s="57">
        <f>R税込!F75/1.17</f>
        <v>21740.170940170941</v>
      </c>
      <c r="G75" s="57">
        <f>R税込!G75/1.17</f>
        <v>33603.418803418805</v>
      </c>
      <c r="H75" s="57">
        <f>R税込!H75/1.17</f>
        <v>30750.427350427351</v>
      </c>
      <c r="I75" s="57">
        <f>R税込!I75/1.17</f>
        <v>34948.717948717953</v>
      </c>
      <c r="J75" s="57">
        <f>R税込!J75/1.17</f>
        <v>41452.991452991453</v>
      </c>
      <c r="K75" s="57">
        <f>R税込!K75/1.17</f>
        <v>36752.136752136757</v>
      </c>
    </row>
    <row r="76" spans="1:11">
      <c r="A76" s="54"/>
      <c r="B76" s="60"/>
      <c r="C76" s="50" t="s">
        <v>59</v>
      </c>
      <c r="D76" s="61"/>
      <c r="E76" s="61"/>
      <c r="F76" s="61"/>
      <c r="G76" s="62"/>
      <c r="H76" s="62"/>
      <c r="I76" s="62"/>
      <c r="J76" s="62"/>
      <c r="K76" s="62"/>
    </row>
    <row r="77" spans="1:11">
      <c r="A77" s="1396" t="s">
        <v>64</v>
      </c>
      <c r="B77" s="1396"/>
      <c r="C77" s="49" t="s">
        <v>62</v>
      </c>
      <c r="D77" s="57">
        <f t="shared" ref="D77:K77" si="10">D73+D75</f>
        <v>6490.598290598291</v>
      </c>
      <c r="E77" s="57">
        <f t="shared" si="10"/>
        <v>8726.4957264957266</v>
      </c>
      <c r="F77" s="57">
        <f t="shared" si="10"/>
        <v>44861.538461538468</v>
      </c>
      <c r="G77" s="57">
        <f t="shared" si="10"/>
        <v>66783.760683760687</v>
      </c>
      <c r="H77" s="57">
        <f t="shared" si="10"/>
        <v>65526.495726495727</v>
      </c>
      <c r="I77" s="57">
        <f>I73+I75</f>
        <v>72952.991452991468</v>
      </c>
      <c r="J77" s="57">
        <f t="shared" si="10"/>
        <v>156837.60683760684</v>
      </c>
      <c r="K77" s="57">
        <f t="shared" si="10"/>
        <v>111965.81196581197</v>
      </c>
    </row>
    <row r="78" spans="1:11">
      <c r="A78" s="48"/>
      <c r="B78" s="48"/>
      <c r="C78" s="48"/>
      <c r="D78" s="63" t="str">
        <f>R税込!D78</f>
        <v>12/2月</v>
      </c>
      <c r="E78" s="63" t="str">
        <f>R税込!E78</f>
        <v>13/2月</v>
      </c>
      <c r="F78" s="63" t="str">
        <f>R税込!F78</f>
        <v>14/2月</v>
      </c>
      <c r="G78" s="63" t="str">
        <f>R税込!G78</f>
        <v>15/2月</v>
      </c>
      <c r="H78" s="63" t="str">
        <f>R税込!H78</f>
        <v>16/2月</v>
      </c>
      <c r="I78" s="63" t="str">
        <f>R税込!I78</f>
        <v>17/2月</v>
      </c>
      <c r="J78" s="63" t="str">
        <f>R税込!J78</f>
        <v>18/2月(前回)</v>
      </c>
      <c r="K78" s="79" t="str">
        <f>R税込!K78</f>
        <v>18/2月(今回)</v>
      </c>
    </row>
    <row r="79" spans="1:11">
      <c r="A79" s="54"/>
      <c r="B79" s="1396" t="s">
        <v>60</v>
      </c>
      <c r="C79" s="55" t="s">
        <v>59</v>
      </c>
      <c r="D79" s="56"/>
      <c r="E79" s="56"/>
      <c r="F79" s="56"/>
      <c r="G79" s="56"/>
      <c r="H79" s="56"/>
      <c r="I79" s="56"/>
      <c r="J79" s="56"/>
      <c r="K79" s="56"/>
    </row>
    <row r="80" spans="1:11">
      <c r="A80" s="54"/>
      <c r="B80" s="1396"/>
      <c r="C80" s="49" t="s">
        <v>61</v>
      </c>
      <c r="D80" s="67"/>
      <c r="E80" s="73"/>
      <c r="F80" s="57">
        <f>R税込!F80/1.17</f>
        <v>14493.162393162394</v>
      </c>
      <c r="G80" s="57">
        <f>R税込!G80/1.17</f>
        <v>17206.837606837609</v>
      </c>
      <c r="H80" s="57">
        <f>R税込!H80/1.17</f>
        <v>26565.811965811969</v>
      </c>
      <c r="I80" s="57">
        <f>R税込!I80/1.17</f>
        <v>31018.803418803422</v>
      </c>
      <c r="J80" s="57">
        <f>R税込!J80/1.17</f>
        <v>79059.829059829062</v>
      </c>
      <c r="K80" s="57">
        <f>R税込!K80/1.17</f>
        <v>47008.547008547008</v>
      </c>
    </row>
    <row r="81" spans="1:13">
      <c r="A81" s="54"/>
      <c r="B81" s="1396" t="s">
        <v>63</v>
      </c>
      <c r="C81" s="59" t="s">
        <v>59</v>
      </c>
      <c r="D81" s="56"/>
      <c r="E81" s="56"/>
      <c r="F81" s="56"/>
      <c r="G81" s="56"/>
      <c r="H81" s="56"/>
      <c r="I81" s="56"/>
      <c r="J81" s="56"/>
      <c r="K81" s="56"/>
    </row>
    <row r="82" spans="1:13">
      <c r="A82" s="54"/>
      <c r="B82" s="1396"/>
      <c r="C82" s="49" t="s">
        <v>62</v>
      </c>
      <c r="D82" s="57">
        <f>R税込!D82/1.17</f>
        <v>22808.547008547012</v>
      </c>
      <c r="E82" s="57">
        <f>R税込!E82/1.17</f>
        <v>10900</v>
      </c>
      <c r="F82" s="57">
        <f>R税込!F82/1.17</f>
        <v>18281.196581196582</v>
      </c>
      <c r="G82" s="57">
        <f>R税込!G82/1.17</f>
        <v>40079.48717948718</v>
      </c>
      <c r="H82" s="57">
        <f>R税込!H82/1.17</f>
        <v>25294.871794871797</v>
      </c>
      <c r="I82" s="57">
        <f>R税込!I82/1.17</f>
        <v>45101.709401709406</v>
      </c>
      <c r="J82" s="57">
        <f>R税込!J82/1.17</f>
        <v>39316.23931623932</v>
      </c>
      <c r="K82" s="57">
        <f>R税込!K82/1.17</f>
        <v>33333.333333333336</v>
      </c>
    </row>
    <row r="83" spans="1:13">
      <c r="A83" s="54"/>
      <c r="B83" s="60"/>
      <c r="C83" s="50" t="s">
        <v>59</v>
      </c>
      <c r="D83" s="61"/>
      <c r="E83" s="61"/>
      <c r="F83" s="61"/>
      <c r="G83" s="62"/>
      <c r="H83" s="62"/>
      <c r="I83" s="62"/>
      <c r="J83" s="62"/>
      <c r="K83" s="62"/>
    </row>
    <row r="84" spans="1:13">
      <c r="A84" s="1396" t="s">
        <v>64</v>
      </c>
      <c r="B84" s="1396"/>
      <c r="C84" s="49" t="s">
        <v>62</v>
      </c>
      <c r="D84" s="57">
        <f t="shared" ref="D84:K84" si="11">D80+D82</f>
        <v>22808.547008547012</v>
      </c>
      <c r="E84" s="57">
        <f t="shared" si="11"/>
        <v>10900</v>
      </c>
      <c r="F84" s="57">
        <f t="shared" si="11"/>
        <v>32774.358974358976</v>
      </c>
      <c r="G84" s="57">
        <f t="shared" si="11"/>
        <v>57286.324786324789</v>
      </c>
      <c r="H84" s="57">
        <f t="shared" si="11"/>
        <v>51860.683760683765</v>
      </c>
      <c r="I84" s="57">
        <f>I80+I82</f>
        <v>76120.512820512828</v>
      </c>
      <c r="J84" s="57">
        <f t="shared" si="11"/>
        <v>118376.06837606838</v>
      </c>
      <c r="K84" s="57">
        <f t="shared" si="11"/>
        <v>80341.880341880344</v>
      </c>
    </row>
    <row r="85" spans="1:13">
      <c r="M85" t="s">
        <v>128</v>
      </c>
    </row>
    <row r="86" spans="1:13" s="48" customFormat="1"/>
    <row r="87" spans="1:13" s="48" customFormat="1"/>
    <row r="88" spans="1:13" s="48" customFormat="1"/>
    <row r="89" spans="1:13" s="48" customFormat="1"/>
    <row r="90" spans="1:13" s="48" customFormat="1"/>
    <row r="91" spans="1:13" s="48" customFormat="1"/>
    <row r="92" spans="1:13" s="48" customFormat="1"/>
    <row r="93" spans="1:13" s="48" customFormat="1"/>
    <row r="94" spans="1:13" s="48" customFormat="1"/>
    <row r="95" spans="1:13" s="48" customFormat="1"/>
    <row r="96" spans="1:13" s="48" customFormat="1"/>
    <row r="97" spans="1:30" s="48" customFormat="1"/>
    <row r="98" spans="1:30" s="48" customFormat="1"/>
    <row r="99" spans="1:30" s="48" customFormat="1"/>
    <row r="100" spans="1:30" s="48" customFormat="1"/>
    <row r="101" spans="1:30" s="48" customFormat="1"/>
    <row r="102" spans="1:30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</row>
    <row r="103" spans="1:30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</row>
    <row r="104" spans="1:30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</row>
    <row r="105" spans="1:30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81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</row>
    <row r="106" spans="1:30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</row>
    <row r="107" spans="1:30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</row>
    <row r="108" spans="1:30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</row>
    <row r="109" spans="1:30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</row>
    <row r="110" spans="1:3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</row>
    <row r="111" spans="1:30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</row>
    <row r="112" spans="1:30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</row>
    <row r="113" spans="1:30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</row>
    <row r="114" spans="1:30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</row>
    <row r="115" spans="1:30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</row>
    <row r="116" spans="1:30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</row>
    <row r="117" spans="1:30" ht="13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spans="1:30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spans="1:30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spans="1:3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spans="1:30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spans="1:30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spans="1:30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30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30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30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spans="1:30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30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2:27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2:27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2:27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2:27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2:27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2:27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2:27" s="48" customFormat="1"/>
    <row r="136" spans="2:27" s="48" customFormat="1"/>
    <row r="137" spans="2:27" s="48" customFormat="1"/>
    <row r="138" spans="2:27" s="48" customFormat="1"/>
    <row r="139" spans="2:27" s="48" customFormat="1"/>
    <row r="140" spans="2:27" s="48" customFormat="1"/>
  </sheetData>
  <mergeCells count="36">
    <mergeCell ref="B2:B3"/>
    <mergeCell ref="B4:B5"/>
    <mergeCell ref="A7:B7"/>
    <mergeCell ref="B9:B10"/>
    <mergeCell ref="B11:B12"/>
    <mergeCell ref="A14:B14"/>
    <mergeCell ref="B16:B17"/>
    <mergeCell ref="B18:B19"/>
    <mergeCell ref="A21:B21"/>
    <mergeCell ref="B23:B24"/>
    <mergeCell ref="B25:B26"/>
    <mergeCell ref="A28:B28"/>
    <mergeCell ref="B30:B31"/>
    <mergeCell ref="B32:B33"/>
    <mergeCell ref="A35:B35"/>
    <mergeCell ref="B37:B38"/>
    <mergeCell ref="B39:B40"/>
    <mergeCell ref="A42:B42"/>
    <mergeCell ref="B44:B45"/>
    <mergeCell ref="B46:B47"/>
    <mergeCell ref="A49:B49"/>
    <mergeCell ref="B51:B52"/>
    <mergeCell ref="B53:B54"/>
    <mergeCell ref="A56:B56"/>
    <mergeCell ref="B58:B59"/>
    <mergeCell ref="B60:B61"/>
    <mergeCell ref="A63:B63"/>
    <mergeCell ref="B65:B66"/>
    <mergeCell ref="B67:B68"/>
    <mergeCell ref="A70:B70"/>
    <mergeCell ref="A84:B84"/>
    <mergeCell ref="B72:B73"/>
    <mergeCell ref="B74:B75"/>
    <mergeCell ref="A77:B77"/>
    <mergeCell ref="B79:B80"/>
    <mergeCell ref="B81:B8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25" zoomScaleNormal="100" zoomScaleSheetLayoutView="75" workbookViewId="0">
      <selection activeCell="F48" sqref="F48"/>
    </sheetView>
  </sheetViews>
  <sheetFormatPr defaultColWidth="9" defaultRowHeight="16.5"/>
  <cols>
    <col min="1" max="1" width="18.375" style="87" customWidth="1"/>
    <col min="2" max="2" width="11.625" style="87" customWidth="1"/>
    <col min="3" max="14" width="10.625" style="87" customWidth="1"/>
    <col min="15" max="15" width="0.875" style="87" customWidth="1"/>
    <col min="16" max="16384" width="9" style="87"/>
  </cols>
  <sheetData>
    <row r="1" spans="1:15">
      <c r="A1" s="84" t="s">
        <v>126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ht="19.5" customHeight="1">
      <c r="A2" s="1431" t="s">
        <v>123</v>
      </c>
      <c r="B2" s="1432"/>
      <c r="C2" s="94" t="s">
        <v>110</v>
      </c>
      <c r="D2" s="94" t="s">
        <v>4</v>
      </c>
      <c r="E2" s="94" t="s">
        <v>5</v>
      </c>
      <c r="F2" s="94" t="s">
        <v>6</v>
      </c>
      <c r="G2" s="94" t="s">
        <v>7</v>
      </c>
      <c r="H2" s="94" t="s">
        <v>8</v>
      </c>
      <c r="I2" s="94" t="s">
        <v>9</v>
      </c>
      <c r="J2" s="94" t="s">
        <v>10</v>
      </c>
      <c r="K2" s="94" t="s">
        <v>11</v>
      </c>
      <c r="L2" s="94" t="s">
        <v>12</v>
      </c>
      <c r="M2" s="94" t="s">
        <v>121</v>
      </c>
      <c r="N2" s="94" t="s">
        <v>122</v>
      </c>
      <c r="O2" s="86"/>
    </row>
    <row r="3" spans="1:15" ht="18" hidden="1" customHeight="1">
      <c r="A3" s="106" t="s">
        <v>130</v>
      </c>
      <c r="B3" s="107" t="s">
        <v>116</v>
      </c>
      <c r="C3" s="108">
        <v>2636.8</v>
      </c>
      <c r="D3" s="108">
        <v>6751</v>
      </c>
      <c r="E3" s="108">
        <v>6653</v>
      </c>
      <c r="F3" s="108">
        <v>11620</v>
      </c>
      <c r="G3" s="108">
        <v>6220</v>
      </c>
      <c r="H3" s="109">
        <v>25596</v>
      </c>
      <c r="I3" s="108">
        <v>1622</v>
      </c>
      <c r="J3" s="108">
        <v>7018</v>
      </c>
      <c r="K3" s="108">
        <v>3876</v>
      </c>
      <c r="L3" s="108">
        <v>7661</v>
      </c>
      <c r="M3" s="108">
        <v>7594</v>
      </c>
      <c r="N3" s="108">
        <v>26686</v>
      </c>
      <c r="O3" s="86"/>
    </row>
    <row r="4" spans="1:15" ht="18" hidden="1" customHeight="1">
      <c r="A4" s="106" t="s">
        <v>131</v>
      </c>
      <c r="B4" s="107" t="s">
        <v>116</v>
      </c>
      <c r="C4" s="110">
        <v>33887</v>
      </c>
      <c r="D4" s="110">
        <v>46976</v>
      </c>
      <c r="E4" s="110">
        <v>2765</v>
      </c>
      <c r="F4" s="111">
        <v>3452</v>
      </c>
      <c r="G4" s="110">
        <v>7272</v>
      </c>
      <c r="H4" s="112">
        <v>22716</v>
      </c>
      <c r="I4" s="110">
        <v>8305</v>
      </c>
      <c r="J4" s="110">
        <v>11611</v>
      </c>
      <c r="K4" s="110">
        <v>11671</v>
      </c>
      <c r="L4" s="110">
        <v>12465</v>
      </c>
      <c r="M4" s="110">
        <v>10210</v>
      </c>
      <c r="N4" s="110">
        <v>12753</v>
      </c>
      <c r="O4" s="86"/>
    </row>
    <row r="5" spans="1:15" ht="18" hidden="1" customHeight="1">
      <c r="A5" s="1396" t="s">
        <v>132</v>
      </c>
      <c r="B5" s="113" t="s">
        <v>117</v>
      </c>
      <c r="C5" s="122">
        <v>5383</v>
      </c>
      <c r="D5" s="122">
        <v>7868</v>
      </c>
      <c r="E5" s="123">
        <v>13840</v>
      </c>
      <c r="F5" s="123">
        <v>30045</v>
      </c>
      <c r="G5" s="122">
        <v>22321</v>
      </c>
      <c r="H5" s="124">
        <v>39659</v>
      </c>
      <c r="I5" s="123">
        <v>19237</v>
      </c>
      <c r="J5" s="123">
        <v>27175</v>
      </c>
      <c r="K5" s="123">
        <v>30624</v>
      </c>
      <c r="L5" s="123">
        <v>42540</v>
      </c>
      <c r="M5" s="123">
        <v>27052</v>
      </c>
      <c r="N5" s="122">
        <v>16957</v>
      </c>
      <c r="O5" s="86"/>
    </row>
    <row r="6" spans="1:15" ht="18" hidden="1" customHeight="1">
      <c r="A6" s="1396"/>
      <c r="B6" s="114" t="s">
        <v>118</v>
      </c>
      <c r="C6" s="125"/>
      <c r="D6" s="125"/>
      <c r="E6" s="126"/>
      <c r="F6" s="126">
        <v>433</v>
      </c>
      <c r="G6" s="126">
        <v>3286</v>
      </c>
      <c r="H6" s="126">
        <v>3841</v>
      </c>
      <c r="I6" s="126">
        <v>8397</v>
      </c>
      <c r="J6" s="126">
        <v>3123</v>
      </c>
      <c r="K6" s="126">
        <v>26142</v>
      </c>
      <c r="L6" s="126">
        <v>21699</v>
      </c>
      <c r="M6" s="126">
        <v>25436</v>
      </c>
      <c r="N6" s="127">
        <v>21389</v>
      </c>
      <c r="O6" s="86"/>
    </row>
    <row r="7" spans="1:15" ht="18" hidden="1" customHeight="1">
      <c r="A7" s="1396"/>
      <c r="B7" s="115" t="s">
        <v>120</v>
      </c>
      <c r="C7" s="128">
        <f>SUM(C5:C6)</f>
        <v>5383</v>
      </c>
      <c r="D7" s="128">
        <f t="shared" ref="D7:N7" si="0">SUM(D5:D6)</f>
        <v>7868</v>
      </c>
      <c r="E7" s="128">
        <f t="shared" si="0"/>
        <v>13840</v>
      </c>
      <c r="F7" s="128">
        <f t="shared" si="0"/>
        <v>30478</v>
      </c>
      <c r="G7" s="128">
        <f t="shared" si="0"/>
        <v>25607</v>
      </c>
      <c r="H7" s="128">
        <f t="shared" si="0"/>
        <v>43500</v>
      </c>
      <c r="I7" s="128">
        <f t="shared" si="0"/>
        <v>27634</v>
      </c>
      <c r="J7" s="128">
        <f t="shared" si="0"/>
        <v>30298</v>
      </c>
      <c r="K7" s="128">
        <f t="shared" si="0"/>
        <v>56766</v>
      </c>
      <c r="L7" s="128">
        <f t="shared" si="0"/>
        <v>64239</v>
      </c>
      <c r="M7" s="128">
        <f t="shared" si="0"/>
        <v>52488</v>
      </c>
      <c r="N7" s="128">
        <f t="shared" si="0"/>
        <v>38346</v>
      </c>
      <c r="O7" s="86"/>
    </row>
    <row r="8" spans="1:15" ht="20.100000000000001" customHeight="1">
      <c r="A8" s="1428" t="s">
        <v>182</v>
      </c>
      <c r="B8" s="1056" t="s">
        <v>117</v>
      </c>
      <c r="C8" s="122">
        <v>21036</v>
      </c>
      <c r="D8" s="122">
        <v>31902</v>
      </c>
      <c r="E8" s="129">
        <v>29680</v>
      </c>
      <c r="F8" s="129">
        <f>47100+1688</f>
        <v>48788</v>
      </c>
      <c r="G8" s="129">
        <v>31950</v>
      </c>
      <c r="H8" s="129">
        <v>42645</v>
      </c>
      <c r="I8" s="129">
        <v>24234</v>
      </c>
      <c r="J8" s="130">
        <v>42392</v>
      </c>
      <c r="K8" s="131">
        <v>35886</v>
      </c>
      <c r="L8" s="131">
        <v>40450</v>
      </c>
      <c r="M8" s="131">
        <v>38821</v>
      </c>
      <c r="N8" s="131">
        <v>20132</v>
      </c>
      <c r="O8" s="86"/>
    </row>
    <row r="9" spans="1:15" ht="20.100000000000001" customHeight="1">
      <c r="A9" s="1429"/>
      <c r="B9" s="1057" t="s">
        <v>118</v>
      </c>
      <c r="C9" s="125">
        <v>27242</v>
      </c>
      <c r="D9" s="125">
        <v>35652</v>
      </c>
      <c r="E9" s="127">
        <v>33592</v>
      </c>
      <c r="F9" s="127">
        <v>28879</v>
      </c>
      <c r="G9" s="127">
        <v>36255</v>
      </c>
      <c r="H9" s="127">
        <v>29077</v>
      </c>
      <c r="I9" s="127">
        <v>25353</v>
      </c>
      <c r="J9" s="132">
        <v>31584</v>
      </c>
      <c r="K9" s="133">
        <v>45353</v>
      </c>
      <c r="L9" s="133">
        <v>32624</v>
      </c>
      <c r="M9" s="133">
        <v>39316</v>
      </c>
      <c r="N9" s="133">
        <v>46893</v>
      </c>
      <c r="O9" s="86"/>
    </row>
    <row r="10" spans="1:15" ht="20.100000000000001" customHeight="1">
      <c r="A10" s="1430"/>
      <c r="B10" s="115" t="s">
        <v>119</v>
      </c>
      <c r="C10" s="134">
        <f t="shared" ref="C10:H10" si="1">SUM(C8:C9)</f>
        <v>48278</v>
      </c>
      <c r="D10" s="134">
        <f t="shared" si="1"/>
        <v>67554</v>
      </c>
      <c r="E10" s="135">
        <f t="shared" si="1"/>
        <v>63272</v>
      </c>
      <c r="F10" s="135">
        <f t="shared" si="1"/>
        <v>77667</v>
      </c>
      <c r="G10" s="135">
        <f t="shared" si="1"/>
        <v>68205</v>
      </c>
      <c r="H10" s="135">
        <f t="shared" si="1"/>
        <v>71722</v>
      </c>
      <c r="I10" s="135">
        <f>SUM(I8:I9)+699</f>
        <v>50286</v>
      </c>
      <c r="J10" s="135">
        <f>SUM(J8:J9)+116</f>
        <v>74092</v>
      </c>
      <c r="K10" s="135">
        <f>SUM(K8:K9)</f>
        <v>81239</v>
      </c>
      <c r="L10" s="135">
        <f>SUM(L8:L9)</f>
        <v>73074</v>
      </c>
      <c r="M10" s="135">
        <f>SUM(M8:M9)</f>
        <v>78137</v>
      </c>
      <c r="N10" s="135">
        <f>SUM(N8:N9)</f>
        <v>67025</v>
      </c>
      <c r="O10" s="86"/>
    </row>
    <row r="11" spans="1:15" ht="20.100000000000001" customHeight="1">
      <c r="A11" s="1428" t="s">
        <v>234</v>
      </c>
      <c r="B11" s="1056" t="s">
        <v>117</v>
      </c>
      <c r="C11" s="122">
        <v>32231</v>
      </c>
      <c r="D11" s="122">
        <v>55386</v>
      </c>
      <c r="E11" s="129">
        <v>71680</v>
      </c>
      <c r="F11" s="129">
        <v>34748</v>
      </c>
      <c r="G11" s="129">
        <v>32912</v>
      </c>
      <c r="H11" s="129">
        <v>46359</v>
      </c>
      <c r="I11" s="129">
        <v>33960</v>
      </c>
      <c r="J11" s="130">
        <v>41800</v>
      </c>
      <c r="K11" s="131">
        <v>41978</v>
      </c>
      <c r="L11" s="131">
        <v>40592</v>
      </c>
      <c r="M11" s="131">
        <v>40688</v>
      </c>
      <c r="N11" s="131">
        <v>31082</v>
      </c>
      <c r="O11" s="86"/>
    </row>
    <row r="12" spans="1:15" ht="20.100000000000001" customHeight="1">
      <c r="A12" s="1429"/>
      <c r="B12" s="1057" t="s">
        <v>118</v>
      </c>
      <c r="C12" s="125">
        <v>33287</v>
      </c>
      <c r="D12" s="125">
        <v>30128</v>
      </c>
      <c r="E12" s="127">
        <v>26396</v>
      </c>
      <c r="F12" s="127">
        <v>31447</v>
      </c>
      <c r="G12" s="127">
        <v>39391</v>
      </c>
      <c r="H12" s="127">
        <v>67864</v>
      </c>
      <c r="I12" s="127">
        <v>27381</v>
      </c>
      <c r="J12" s="132">
        <v>28568</v>
      </c>
      <c r="K12" s="133">
        <v>35807</v>
      </c>
      <c r="L12" s="133">
        <v>47588</v>
      </c>
      <c r="M12" s="133">
        <v>35978</v>
      </c>
      <c r="N12" s="133">
        <v>29595</v>
      </c>
      <c r="O12" s="86"/>
    </row>
    <row r="13" spans="1:15" ht="20.100000000000001" customHeight="1">
      <c r="A13" s="1430"/>
      <c r="B13" s="115" t="s">
        <v>119</v>
      </c>
      <c r="C13" s="134">
        <f t="shared" ref="C13:H13" si="2">SUM(C11:C12)</f>
        <v>65518</v>
      </c>
      <c r="D13" s="134">
        <f t="shared" si="2"/>
        <v>85514</v>
      </c>
      <c r="E13" s="135">
        <f t="shared" si="2"/>
        <v>98076</v>
      </c>
      <c r="F13" s="135">
        <f t="shared" si="2"/>
        <v>66195</v>
      </c>
      <c r="G13" s="135">
        <f t="shared" si="2"/>
        <v>72303</v>
      </c>
      <c r="H13" s="135">
        <f t="shared" si="2"/>
        <v>114223</v>
      </c>
      <c r="I13" s="135">
        <f t="shared" ref="I13:N13" si="3">SUM(I11:I12)</f>
        <v>61341</v>
      </c>
      <c r="J13" s="135">
        <f t="shared" si="3"/>
        <v>70368</v>
      </c>
      <c r="K13" s="135">
        <f t="shared" si="3"/>
        <v>77785</v>
      </c>
      <c r="L13" s="135">
        <f t="shared" si="3"/>
        <v>88180</v>
      </c>
      <c r="M13" s="135">
        <f t="shared" si="3"/>
        <v>76666</v>
      </c>
      <c r="N13" s="135">
        <f t="shared" si="3"/>
        <v>60677</v>
      </c>
      <c r="O13" s="86"/>
    </row>
    <row r="14" spans="1:15" ht="20.100000000000001" customHeight="1">
      <c r="A14" s="1428" t="s">
        <v>241</v>
      </c>
      <c r="B14" s="1056" t="s">
        <v>117</v>
      </c>
      <c r="C14" s="122">
        <v>40042</v>
      </c>
      <c r="D14" s="122">
        <v>44836</v>
      </c>
      <c r="E14" s="129">
        <v>38316.300000000003</v>
      </c>
      <c r="F14" s="129">
        <v>46116.495000000003</v>
      </c>
      <c r="G14" s="129">
        <v>46653</v>
      </c>
      <c r="H14" s="129">
        <v>46141.4</v>
      </c>
      <c r="I14" s="129">
        <v>48011</v>
      </c>
      <c r="J14" s="130">
        <v>36396</v>
      </c>
      <c r="K14" s="131">
        <v>44076.154999999999</v>
      </c>
      <c r="L14" s="131">
        <v>57029</v>
      </c>
      <c r="M14" s="131">
        <v>44465</v>
      </c>
      <c r="N14" s="131">
        <v>36292</v>
      </c>
      <c r="O14" s="86"/>
    </row>
    <row r="15" spans="1:15" ht="20.100000000000001" customHeight="1">
      <c r="A15" s="1429"/>
      <c r="B15" s="1057" t="s">
        <v>118</v>
      </c>
      <c r="C15" s="125">
        <v>46064</v>
      </c>
      <c r="D15" s="125">
        <v>38410</v>
      </c>
      <c r="E15" s="127">
        <v>35146.5</v>
      </c>
      <c r="F15" s="127">
        <v>39193.811000000002</v>
      </c>
      <c r="G15" s="127">
        <v>42308</v>
      </c>
      <c r="H15" s="127">
        <v>36908</v>
      </c>
      <c r="I15" s="127">
        <v>54418</v>
      </c>
      <c r="J15" s="132">
        <v>43908</v>
      </c>
      <c r="K15" s="133">
        <v>44839</v>
      </c>
      <c r="L15" s="133">
        <v>62145</v>
      </c>
      <c r="M15" s="133">
        <v>40890</v>
      </c>
      <c r="N15" s="133">
        <v>52769</v>
      </c>
      <c r="O15" s="86"/>
    </row>
    <row r="16" spans="1:15" ht="20.100000000000001" customHeight="1">
      <c r="A16" s="1430"/>
      <c r="B16" s="115" t="s">
        <v>119</v>
      </c>
      <c r="C16" s="134">
        <f t="shared" ref="C16:H16" si="4">SUM(C14:C15)</f>
        <v>86106</v>
      </c>
      <c r="D16" s="134">
        <f t="shared" si="4"/>
        <v>83246</v>
      </c>
      <c r="E16" s="135">
        <f t="shared" si="4"/>
        <v>73462.8</v>
      </c>
      <c r="F16" s="135">
        <f t="shared" si="4"/>
        <v>85310.306000000011</v>
      </c>
      <c r="G16" s="135">
        <f t="shared" si="4"/>
        <v>88961</v>
      </c>
      <c r="H16" s="135">
        <f t="shared" si="4"/>
        <v>83049.399999999994</v>
      </c>
      <c r="I16" s="135">
        <f t="shared" ref="I16:N16" si="5">SUM(I14:I15)</f>
        <v>102429</v>
      </c>
      <c r="J16" s="135">
        <f t="shared" si="5"/>
        <v>80304</v>
      </c>
      <c r="K16" s="135">
        <f t="shared" si="5"/>
        <v>88915.154999999999</v>
      </c>
      <c r="L16" s="135">
        <f t="shared" si="5"/>
        <v>119174</v>
      </c>
      <c r="M16" s="135">
        <f t="shared" si="5"/>
        <v>85355</v>
      </c>
      <c r="N16" s="135">
        <f t="shared" si="5"/>
        <v>89061</v>
      </c>
      <c r="O16" s="86"/>
    </row>
    <row r="17" spans="1:15" ht="20.100000000000001" customHeight="1">
      <c r="A17" s="1428" t="s">
        <v>313</v>
      </c>
      <c r="B17" s="1056" t="s">
        <v>117</v>
      </c>
      <c r="C17" s="122">
        <f>税込!D149</f>
        <v>45000</v>
      </c>
      <c r="D17" s="122">
        <f>税込!E149</f>
        <v>50000</v>
      </c>
      <c r="E17" s="122">
        <f>税込!F149</f>
        <v>65000</v>
      </c>
      <c r="F17" s="122">
        <f>税込!G149</f>
        <v>70000</v>
      </c>
      <c r="G17" s="122">
        <f>税込!H149</f>
        <v>70000</v>
      </c>
      <c r="H17" s="122">
        <f>税込!I149</f>
        <v>85000</v>
      </c>
      <c r="I17" s="122">
        <f>税込!J149</f>
        <v>87000</v>
      </c>
      <c r="J17" s="122">
        <f>税込!K149</f>
        <v>102000</v>
      </c>
      <c r="K17" s="122">
        <f>税込!L149</f>
        <v>92000</v>
      </c>
      <c r="L17" s="122">
        <f>税込!M149</f>
        <v>100500</v>
      </c>
      <c r="M17" s="122">
        <f>税込!N149</f>
        <v>135000</v>
      </c>
      <c r="N17" s="122">
        <f>税込!O149</f>
        <v>92500</v>
      </c>
      <c r="O17" s="86"/>
    </row>
    <row r="18" spans="1:15" ht="20.100000000000001" customHeight="1">
      <c r="A18" s="1429"/>
      <c r="B18" s="1057" t="s">
        <v>118</v>
      </c>
      <c r="C18" s="125">
        <f>税込!D150</f>
        <v>45000</v>
      </c>
      <c r="D18" s="125">
        <f>税込!E150</f>
        <v>50000</v>
      </c>
      <c r="E18" s="125">
        <f>税込!F150</f>
        <v>55000</v>
      </c>
      <c r="F18" s="125">
        <f>税込!G150</f>
        <v>50000</v>
      </c>
      <c r="G18" s="125">
        <f>税込!H150</f>
        <v>60000</v>
      </c>
      <c r="H18" s="125">
        <f>税込!I150</f>
        <v>65000</v>
      </c>
      <c r="I18" s="125">
        <f>税込!J150</f>
        <v>56000</v>
      </c>
      <c r="J18" s="125">
        <f>税込!K150</f>
        <v>51000</v>
      </c>
      <c r="K18" s="125">
        <f>税込!L150</f>
        <v>46000</v>
      </c>
      <c r="L18" s="125">
        <f>税込!M150</f>
        <v>49000</v>
      </c>
      <c r="M18" s="125">
        <f>税込!N150</f>
        <v>48500</v>
      </c>
      <c r="N18" s="125">
        <f>税込!O150</f>
        <v>46000</v>
      </c>
      <c r="O18" s="86"/>
    </row>
    <row r="19" spans="1:15" ht="20.100000000000001" customHeight="1">
      <c r="A19" s="1430"/>
      <c r="B19" s="115" t="s">
        <v>119</v>
      </c>
      <c r="C19" s="141">
        <f>SUM(C17:C18)</f>
        <v>90000</v>
      </c>
      <c r="D19" s="141">
        <f t="shared" ref="D19:L19" si="6">SUM(D17:D18)</f>
        <v>100000</v>
      </c>
      <c r="E19" s="141">
        <f t="shared" si="6"/>
        <v>120000</v>
      </c>
      <c r="F19" s="141">
        <f t="shared" si="6"/>
        <v>120000</v>
      </c>
      <c r="G19" s="141">
        <f t="shared" si="6"/>
        <v>130000</v>
      </c>
      <c r="H19" s="141">
        <f t="shared" si="6"/>
        <v>150000</v>
      </c>
      <c r="I19" s="141">
        <f t="shared" si="6"/>
        <v>143000</v>
      </c>
      <c r="J19" s="141">
        <f>SUM(J17:J18)</f>
        <v>153000</v>
      </c>
      <c r="K19" s="141">
        <f t="shared" si="6"/>
        <v>138000</v>
      </c>
      <c r="L19" s="141">
        <f t="shared" si="6"/>
        <v>149500</v>
      </c>
      <c r="M19" s="135">
        <f>SUM(M17:M18)</f>
        <v>183500</v>
      </c>
      <c r="N19" s="135">
        <f>SUM(N17:N18)</f>
        <v>138500</v>
      </c>
      <c r="O19" s="86"/>
    </row>
    <row r="20" spans="1:15" ht="20.100000000000001" customHeight="1">
      <c r="A20" s="1436" t="s">
        <v>430</v>
      </c>
      <c r="B20" s="113" t="s">
        <v>117</v>
      </c>
      <c r="C20" s="122">
        <f>税込!D156</f>
        <v>79733.686000000002</v>
      </c>
      <c r="D20" s="122">
        <f>税込!E156</f>
        <v>72446</v>
      </c>
      <c r="E20" s="122">
        <f>税込!F156</f>
        <v>63930.600000000006</v>
      </c>
      <c r="F20" s="122">
        <f>税込!G156</f>
        <v>63891.345999999998</v>
      </c>
      <c r="G20" s="122">
        <f>税込!H156</f>
        <v>80513.3520594</v>
      </c>
      <c r="H20" s="122">
        <f>税込!I156</f>
        <v>80711.164999999994</v>
      </c>
      <c r="I20" s="122">
        <f>税込!J156</f>
        <v>86371.423999999999</v>
      </c>
      <c r="J20" s="122">
        <f>税込!K156</f>
        <v>93248.229975900002</v>
      </c>
      <c r="K20" s="122">
        <f>税込!L156</f>
        <v>72175.25606</v>
      </c>
      <c r="L20" s="122">
        <f>税込!M156</f>
        <v>131322.3792309</v>
      </c>
      <c r="M20" s="122">
        <f>税込!N156</f>
        <v>88000</v>
      </c>
      <c r="N20" s="122">
        <f>税込!O156</f>
        <v>55000</v>
      </c>
      <c r="O20" s="86"/>
    </row>
    <row r="21" spans="1:15" ht="20.100000000000001" customHeight="1">
      <c r="A21" s="1437"/>
      <c r="B21" s="114" t="s">
        <v>118</v>
      </c>
      <c r="C21" s="125">
        <f>税込!D157</f>
        <v>63453.162969999998</v>
      </c>
      <c r="D21" s="125">
        <f>税込!E157</f>
        <v>47103</v>
      </c>
      <c r="E21" s="125">
        <f>税込!F157</f>
        <v>56947</v>
      </c>
      <c r="F21" s="125">
        <f>税込!G157</f>
        <v>52529.722000000002</v>
      </c>
      <c r="G21" s="125">
        <f>税込!H157</f>
        <v>61693.184053800003</v>
      </c>
      <c r="H21" s="125">
        <f>税込!I157</f>
        <v>57958.203022200003</v>
      </c>
      <c r="I21" s="125">
        <f>税込!J157</f>
        <v>57367.125</v>
      </c>
      <c r="J21" s="125">
        <f>税込!K157</f>
        <v>46447.3194822</v>
      </c>
      <c r="K21" s="125">
        <f>税込!L157</f>
        <v>46134.621936000003</v>
      </c>
      <c r="L21" s="125">
        <f>税込!M157</f>
        <v>38880.864079200001</v>
      </c>
      <c r="M21" s="125">
        <f>税込!N157</f>
        <v>43000</v>
      </c>
      <c r="N21" s="125">
        <f>税込!O157</f>
        <v>39000</v>
      </c>
      <c r="O21" s="86"/>
    </row>
    <row r="22" spans="1:15" ht="20.100000000000001" customHeight="1">
      <c r="A22" s="1437"/>
      <c r="B22" s="107" t="s">
        <v>119</v>
      </c>
      <c r="C22" s="134">
        <f t="shared" ref="C22:H22" si="7">SUM(C20:C21)</f>
        <v>143186.84896999999</v>
      </c>
      <c r="D22" s="134">
        <f t="shared" si="7"/>
        <v>119549</v>
      </c>
      <c r="E22" s="135">
        <f t="shared" si="7"/>
        <v>120877.6</v>
      </c>
      <c r="F22" s="135">
        <f t="shared" si="7"/>
        <v>116421.068</v>
      </c>
      <c r="G22" s="135">
        <f t="shared" si="7"/>
        <v>142206.53611320001</v>
      </c>
      <c r="H22" s="135">
        <f t="shared" si="7"/>
        <v>138669.36802220001</v>
      </c>
      <c r="I22" s="135">
        <f t="shared" ref="I22:N22" si="8">SUM(I20:I21)</f>
        <v>143738.549</v>
      </c>
      <c r="J22" s="135">
        <f t="shared" si="8"/>
        <v>139695.54945809999</v>
      </c>
      <c r="K22" s="135">
        <f t="shared" si="8"/>
        <v>118309.877996</v>
      </c>
      <c r="L22" s="135">
        <f t="shared" si="8"/>
        <v>170203.24331009999</v>
      </c>
      <c r="M22" s="135">
        <f t="shared" si="8"/>
        <v>131000</v>
      </c>
      <c r="N22" s="135">
        <f t="shared" si="8"/>
        <v>94000</v>
      </c>
      <c r="O22" s="86"/>
    </row>
    <row r="23" spans="1:15" ht="20.100000000000001" customHeight="1">
      <c r="A23" s="1065" t="s">
        <v>245</v>
      </c>
      <c r="B23" s="116" t="s">
        <v>115</v>
      </c>
      <c r="C23" s="137">
        <f>税込!D158</f>
        <v>96083</v>
      </c>
      <c r="D23" s="137">
        <f>税込!E158</f>
        <v>96083</v>
      </c>
      <c r="E23" s="137">
        <f>税込!F158</f>
        <v>96083</v>
      </c>
      <c r="F23" s="137">
        <f>税込!G158</f>
        <v>118416</v>
      </c>
      <c r="G23" s="137">
        <f>税込!H158</f>
        <v>118416</v>
      </c>
      <c r="H23" s="137">
        <f>税込!I158</f>
        <v>118416</v>
      </c>
      <c r="I23" s="137">
        <f>税込!J158</f>
        <v>153315</v>
      </c>
      <c r="J23" s="137">
        <f>税込!K158</f>
        <v>153315</v>
      </c>
      <c r="K23" s="137">
        <f>税込!L158</f>
        <v>153315</v>
      </c>
      <c r="L23" s="137">
        <f>税込!M158</f>
        <v>162325</v>
      </c>
      <c r="M23" s="137">
        <f>税込!N158</f>
        <v>162325</v>
      </c>
      <c r="N23" s="1258">
        <f>税込!O158</f>
        <v>162325</v>
      </c>
      <c r="O23" s="86"/>
    </row>
    <row r="24" spans="1:15" ht="5.25" customHeight="1">
      <c r="A24" s="117"/>
      <c r="B24" s="118"/>
      <c r="C24" s="119"/>
      <c r="D24" s="119"/>
      <c r="E24" s="120"/>
      <c r="F24" s="120"/>
      <c r="G24" s="120"/>
      <c r="H24" s="120"/>
      <c r="I24" s="120"/>
      <c r="J24" s="121"/>
      <c r="K24" s="121"/>
      <c r="L24" s="121"/>
      <c r="M24" s="121"/>
      <c r="N24" s="121"/>
      <c r="O24" s="86"/>
    </row>
    <row r="25" spans="1:15" ht="18" customHeight="1" thickBot="1">
      <c r="A25" s="84" t="s">
        <v>127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5" ht="18" customHeight="1">
      <c r="A26" s="1433" t="s">
        <v>123</v>
      </c>
      <c r="B26" s="1434"/>
      <c r="C26" s="138" t="s">
        <v>110</v>
      </c>
      <c r="D26" s="138" t="s">
        <v>4</v>
      </c>
      <c r="E26" s="138" t="s">
        <v>5</v>
      </c>
      <c r="F26" s="138" t="s">
        <v>6</v>
      </c>
      <c r="G26" s="138" t="s">
        <v>7</v>
      </c>
      <c r="H26" s="94" t="s">
        <v>8</v>
      </c>
      <c r="I26" s="1321" t="s">
        <v>9</v>
      </c>
      <c r="J26" s="138" t="s">
        <v>10</v>
      </c>
      <c r="K26" s="138" t="s">
        <v>11</v>
      </c>
      <c r="L26" s="1058" t="s">
        <v>12</v>
      </c>
      <c r="M26" s="1321" t="s">
        <v>236</v>
      </c>
      <c r="N26" s="94" t="s">
        <v>237</v>
      </c>
      <c r="O26" s="86"/>
    </row>
    <row r="27" spans="1:15" ht="18" hidden="1" customHeight="1">
      <c r="A27" s="106" t="s">
        <v>130</v>
      </c>
      <c r="B27" s="107" t="s">
        <v>116</v>
      </c>
      <c r="C27" s="139">
        <f t="shared" ref="C27:N27" si="9">C3/1.17</f>
        <v>2253.6752136752139</v>
      </c>
      <c r="D27" s="139">
        <f t="shared" si="9"/>
        <v>5770.0854700854707</v>
      </c>
      <c r="E27" s="139">
        <f t="shared" si="9"/>
        <v>5686.3247863247871</v>
      </c>
      <c r="F27" s="139">
        <f t="shared" si="9"/>
        <v>9931.6239316239316</v>
      </c>
      <c r="G27" s="139">
        <f t="shared" si="9"/>
        <v>5316.2393162393164</v>
      </c>
      <c r="H27" s="144">
        <f t="shared" si="9"/>
        <v>21876.923076923078</v>
      </c>
      <c r="I27" s="1322">
        <f t="shared" si="9"/>
        <v>1386.3247863247864</v>
      </c>
      <c r="J27" s="139">
        <f t="shared" si="9"/>
        <v>5998.2905982905986</v>
      </c>
      <c r="K27" s="139">
        <f t="shared" si="9"/>
        <v>3312.8205128205132</v>
      </c>
      <c r="L27" s="1059">
        <f t="shared" si="9"/>
        <v>6547.863247863248</v>
      </c>
      <c r="M27" s="1322">
        <f t="shared" si="9"/>
        <v>6490.598290598291</v>
      </c>
      <c r="N27" s="144">
        <f t="shared" si="9"/>
        <v>22808.547008547012</v>
      </c>
      <c r="O27" s="86"/>
    </row>
    <row r="28" spans="1:15" ht="18" hidden="1" customHeight="1">
      <c r="A28" s="107" t="s">
        <v>235</v>
      </c>
      <c r="B28" s="107" t="s">
        <v>116</v>
      </c>
      <c r="C28" s="139">
        <f t="shared" ref="C28:N28" si="10">C4/1.17</f>
        <v>28963.247863247863</v>
      </c>
      <c r="D28" s="139">
        <f t="shared" si="10"/>
        <v>40150.427350427351</v>
      </c>
      <c r="E28" s="139">
        <f t="shared" si="10"/>
        <v>2363.2478632478633</v>
      </c>
      <c r="F28" s="139">
        <f t="shared" si="10"/>
        <v>2950.4273504273506</v>
      </c>
      <c r="G28" s="139">
        <f t="shared" si="10"/>
        <v>6215.3846153846162</v>
      </c>
      <c r="H28" s="144">
        <f t="shared" si="10"/>
        <v>19415.384615384617</v>
      </c>
      <c r="I28" s="1322">
        <f t="shared" si="10"/>
        <v>7098.2905982905986</v>
      </c>
      <c r="J28" s="139">
        <f t="shared" si="10"/>
        <v>9923.9316239316249</v>
      </c>
      <c r="K28" s="139">
        <f t="shared" si="10"/>
        <v>9975.2136752136757</v>
      </c>
      <c r="L28" s="1059">
        <f t="shared" si="10"/>
        <v>10653.846153846154</v>
      </c>
      <c r="M28" s="1322">
        <f t="shared" si="10"/>
        <v>8726.4957264957266</v>
      </c>
      <c r="N28" s="144">
        <f t="shared" si="10"/>
        <v>10900</v>
      </c>
      <c r="O28" s="86"/>
    </row>
    <row r="29" spans="1:15" ht="20.100000000000001" hidden="1" customHeight="1">
      <c r="A29" s="1435" t="s">
        <v>181</v>
      </c>
      <c r="B29" s="113" t="s">
        <v>117</v>
      </c>
      <c r="C29" s="123">
        <f t="shared" ref="C29:N29" si="11">C5/1.17</f>
        <v>4600.8547008547012</v>
      </c>
      <c r="D29" s="123">
        <f t="shared" si="11"/>
        <v>6724.7863247863252</v>
      </c>
      <c r="E29" s="123">
        <f t="shared" si="11"/>
        <v>11829.05982905983</v>
      </c>
      <c r="F29" s="123">
        <f t="shared" si="11"/>
        <v>25679.48717948718</v>
      </c>
      <c r="G29" s="123">
        <f t="shared" si="11"/>
        <v>19077.777777777777</v>
      </c>
      <c r="H29" s="122">
        <f t="shared" si="11"/>
        <v>33896.581196581195</v>
      </c>
      <c r="I29" s="1323">
        <f t="shared" si="11"/>
        <v>16441.880341880344</v>
      </c>
      <c r="J29" s="123">
        <f t="shared" si="11"/>
        <v>23226.495726495727</v>
      </c>
      <c r="K29" s="123">
        <f t="shared" si="11"/>
        <v>26174.358974358976</v>
      </c>
      <c r="L29" s="1060">
        <f t="shared" si="11"/>
        <v>36358.974358974359</v>
      </c>
      <c r="M29" s="1323">
        <f t="shared" si="11"/>
        <v>23121.367521367523</v>
      </c>
      <c r="N29" s="122">
        <f t="shared" si="11"/>
        <v>14493.162393162394</v>
      </c>
      <c r="O29" s="86"/>
    </row>
    <row r="30" spans="1:15" ht="20.100000000000001" hidden="1" customHeight="1">
      <c r="A30" s="1435"/>
      <c r="B30" s="114" t="s">
        <v>118</v>
      </c>
      <c r="C30" s="136">
        <f t="shared" ref="C30:N30" si="12">C6/1.17</f>
        <v>0</v>
      </c>
      <c r="D30" s="136">
        <f t="shared" si="12"/>
        <v>0</v>
      </c>
      <c r="E30" s="136">
        <f t="shared" si="12"/>
        <v>0</v>
      </c>
      <c r="F30" s="136">
        <f t="shared" si="12"/>
        <v>370.08547008547009</v>
      </c>
      <c r="G30" s="136">
        <f t="shared" si="12"/>
        <v>2808.5470085470088</v>
      </c>
      <c r="H30" s="125">
        <f t="shared" si="12"/>
        <v>3282.9059829059829</v>
      </c>
      <c r="I30" s="1324">
        <f t="shared" si="12"/>
        <v>7176.9230769230771</v>
      </c>
      <c r="J30" s="126">
        <f t="shared" si="12"/>
        <v>2669.2307692307695</v>
      </c>
      <c r="K30" s="126">
        <f t="shared" si="12"/>
        <v>22343.589743589746</v>
      </c>
      <c r="L30" s="1328">
        <f t="shared" si="12"/>
        <v>18546.153846153848</v>
      </c>
      <c r="M30" s="1324">
        <f t="shared" si="12"/>
        <v>21740.170940170941</v>
      </c>
      <c r="N30" s="127">
        <f t="shared" si="12"/>
        <v>18281.196581196582</v>
      </c>
      <c r="O30" s="86"/>
    </row>
    <row r="31" spans="1:15" ht="27" hidden="1" customHeight="1">
      <c r="A31" s="1435"/>
      <c r="B31" s="115" t="s">
        <v>120</v>
      </c>
      <c r="C31" s="140">
        <f>SUM(C29:C30)</f>
        <v>4600.8547008547012</v>
      </c>
      <c r="D31" s="140">
        <f t="shared" ref="D31:N31" si="13">SUM(D29:D30)</f>
        <v>6724.7863247863252</v>
      </c>
      <c r="E31" s="140">
        <f t="shared" si="13"/>
        <v>11829.05982905983</v>
      </c>
      <c r="F31" s="140">
        <f t="shared" si="13"/>
        <v>26049.572649572649</v>
      </c>
      <c r="G31" s="140">
        <f t="shared" si="13"/>
        <v>21886.324786324785</v>
      </c>
      <c r="H31" s="128">
        <f t="shared" si="13"/>
        <v>37179.48717948718</v>
      </c>
      <c r="I31" s="1325">
        <f t="shared" si="13"/>
        <v>23618.803418803422</v>
      </c>
      <c r="J31" s="140">
        <f t="shared" si="13"/>
        <v>25895.726495726496</v>
      </c>
      <c r="K31" s="140">
        <f t="shared" si="13"/>
        <v>48517.948717948719</v>
      </c>
      <c r="L31" s="1061">
        <f t="shared" si="13"/>
        <v>54905.128205128203</v>
      </c>
      <c r="M31" s="1325">
        <f t="shared" si="13"/>
        <v>44861.538461538468</v>
      </c>
      <c r="N31" s="128">
        <f t="shared" si="13"/>
        <v>32774.358974358976</v>
      </c>
      <c r="O31" s="86"/>
    </row>
    <row r="32" spans="1:15" ht="20.100000000000001" customHeight="1">
      <c r="A32" s="1428" t="s">
        <v>182</v>
      </c>
      <c r="B32" s="1056" t="s">
        <v>117</v>
      </c>
      <c r="C32" s="123">
        <f t="shared" ref="C32:N32" si="14">C8/1.17</f>
        <v>17979.48717948718</v>
      </c>
      <c r="D32" s="123">
        <f t="shared" si="14"/>
        <v>27266.666666666668</v>
      </c>
      <c r="E32" s="123">
        <f t="shared" si="14"/>
        <v>25367.521367521371</v>
      </c>
      <c r="F32" s="123">
        <f t="shared" si="14"/>
        <v>41699.145299145304</v>
      </c>
      <c r="G32" s="123">
        <f t="shared" si="14"/>
        <v>27307.692307692309</v>
      </c>
      <c r="H32" s="122">
        <f t="shared" si="14"/>
        <v>36448.717948717953</v>
      </c>
      <c r="I32" s="1323">
        <f t="shared" si="14"/>
        <v>20712.820512820515</v>
      </c>
      <c r="J32" s="123">
        <f t="shared" si="14"/>
        <v>36232.478632478633</v>
      </c>
      <c r="K32" s="123">
        <f t="shared" si="14"/>
        <v>30671.794871794875</v>
      </c>
      <c r="L32" s="1060">
        <f t="shared" si="14"/>
        <v>34572.649572649578</v>
      </c>
      <c r="M32" s="1323">
        <f t="shared" si="14"/>
        <v>33180.341880341883</v>
      </c>
      <c r="N32" s="122">
        <f t="shared" si="14"/>
        <v>17206.837606837609</v>
      </c>
      <c r="O32" s="86"/>
    </row>
    <row r="33" spans="1:15" ht="20.100000000000001" customHeight="1">
      <c r="A33" s="1429"/>
      <c r="B33" s="1057" t="s">
        <v>118</v>
      </c>
      <c r="C33" s="136">
        <f t="shared" ref="C33:N33" si="15">C9/1.17</f>
        <v>23283.760683760684</v>
      </c>
      <c r="D33" s="136">
        <f t="shared" si="15"/>
        <v>30471.794871794875</v>
      </c>
      <c r="E33" s="136">
        <f t="shared" si="15"/>
        <v>28711.111111111113</v>
      </c>
      <c r="F33" s="136">
        <f t="shared" si="15"/>
        <v>24682.905982905984</v>
      </c>
      <c r="G33" s="136">
        <f t="shared" si="15"/>
        <v>30987.179487179488</v>
      </c>
      <c r="H33" s="125">
        <f t="shared" si="15"/>
        <v>24852.136752136754</v>
      </c>
      <c r="I33" s="1324">
        <f t="shared" si="15"/>
        <v>21669.23076923077</v>
      </c>
      <c r="J33" s="126">
        <f t="shared" si="15"/>
        <v>26994.871794871797</v>
      </c>
      <c r="K33" s="126">
        <f t="shared" si="15"/>
        <v>38763.247863247867</v>
      </c>
      <c r="L33" s="1328">
        <f t="shared" si="15"/>
        <v>27883.760683760687</v>
      </c>
      <c r="M33" s="1324">
        <f t="shared" si="15"/>
        <v>33603.418803418805</v>
      </c>
      <c r="N33" s="127">
        <f t="shared" si="15"/>
        <v>40079.48717948718</v>
      </c>
      <c r="O33" s="86"/>
    </row>
    <row r="34" spans="1:15" ht="20.100000000000001" customHeight="1">
      <c r="A34" s="1430"/>
      <c r="B34" s="115" t="s">
        <v>119</v>
      </c>
      <c r="C34" s="141">
        <f t="shared" ref="C34:H34" si="16">SUM(C32:C33)</f>
        <v>41263.24786324786</v>
      </c>
      <c r="D34" s="141">
        <f t="shared" si="16"/>
        <v>57738.461538461546</v>
      </c>
      <c r="E34" s="141">
        <f t="shared" si="16"/>
        <v>54078.632478632484</v>
      </c>
      <c r="F34" s="142">
        <f t="shared" si="16"/>
        <v>66382.051282051281</v>
      </c>
      <c r="G34" s="142">
        <f t="shared" si="16"/>
        <v>58294.871794871797</v>
      </c>
      <c r="H34" s="135">
        <f t="shared" si="16"/>
        <v>61300.854700854703</v>
      </c>
      <c r="I34" s="1326">
        <f>SUM(I32:I33)+597</f>
        <v>42979.051282051281</v>
      </c>
      <c r="J34" s="142">
        <f>SUM(J32:J33)+99</f>
        <v>63326.35042735043</v>
      </c>
      <c r="K34" s="142">
        <f>SUM(K32:K33)</f>
        <v>69435.042735042749</v>
      </c>
      <c r="L34" s="1062">
        <f>SUM(L32:L33)</f>
        <v>62456.410256410265</v>
      </c>
      <c r="M34" s="1326">
        <f>SUM(M32:M33)</f>
        <v>66783.760683760687</v>
      </c>
      <c r="N34" s="135">
        <f>SUM(N32:N33)</f>
        <v>57286.324786324789</v>
      </c>
      <c r="O34" s="86"/>
    </row>
    <row r="35" spans="1:15" ht="20.100000000000001" customHeight="1">
      <c r="A35" s="1428" t="s">
        <v>234</v>
      </c>
      <c r="B35" s="1056" t="s">
        <v>117</v>
      </c>
      <c r="C35" s="123">
        <f t="shared" ref="C35:N35" si="17">C11/1.17</f>
        <v>27547.86324786325</v>
      </c>
      <c r="D35" s="123">
        <f t="shared" si="17"/>
        <v>47338.461538461539</v>
      </c>
      <c r="E35" s="123">
        <f t="shared" si="17"/>
        <v>61264.957264957266</v>
      </c>
      <c r="F35" s="123">
        <f t="shared" si="17"/>
        <v>29699.145299145301</v>
      </c>
      <c r="G35" s="123">
        <f t="shared" si="17"/>
        <v>28129.914529914531</v>
      </c>
      <c r="H35" s="122">
        <f t="shared" si="17"/>
        <v>39623.076923076922</v>
      </c>
      <c r="I35" s="1323">
        <f t="shared" si="17"/>
        <v>29025.641025641027</v>
      </c>
      <c r="J35" s="123">
        <f t="shared" si="17"/>
        <v>35726.495726495727</v>
      </c>
      <c r="K35" s="123">
        <f t="shared" si="17"/>
        <v>35878.632478632484</v>
      </c>
      <c r="L35" s="1060">
        <f t="shared" si="17"/>
        <v>34694.017094017094</v>
      </c>
      <c r="M35" s="1323">
        <f t="shared" si="17"/>
        <v>34776.068376068375</v>
      </c>
      <c r="N35" s="122">
        <f t="shared" si="17"/>
        <v>26565.811965811969</v>
      </c>
      <c r="O35" s="86"/>
    </row>
    <row r="36" spans="1:15" ht="20.100000000000001" customHeight="1">
      <c r="A36" s="1429"/>
      <c r="B36" s="1057" t="s">
        <v>118</v>
      </c>
      <c r="C36" s="136">
        <f t="shared" ref="C36:N36" si="18">C12/1.17</f>
        <v>28450.427350427351</v>
      </c>
      <c r="D36" s="136">
        <f t="shared" si="18"/>
        <v>25750.427350427351</v>
      </c>
      <c r="E36" s="136">
        <f t="shared" si="18"/>
        <v>22560.683760683762</v>
      </c>
      <c r="F36" s="136">
        <f t="shared" si="18"/>
        <v>26877.777777777781</v>
      </c>
      <c r="G36" s="136">
        <f t="shared" si="18"/>
        <v>33667.521367521367</v>
      </c>
      <c r="H36" s="125">
        <f t="shared" si="18"/>
        <v>58003.418803418805</v>
      </c>
      <c r="I36" s="1324">
        <f t="shared" si="18"/>
        <v>23402.564102564105</v>
      </c>
      <c r="J36" s="126">
        <f t="shared" si="18"/>
        <v>24417.094017094019</v>
      </c>
      <c r="K36" s="126">
        <f t="shared" si="18"/>
        <v>30604.273504273508</v>
      </c>
      <c r="L36" s="1328">
        <f t="shared" si="18"/>
        <v>40673.504273504273</v>
      </c>
      <c r="M36" s="1324">
        <f t="shared" si="18"/>
        <v>30750.427350427351</v>
      </c>
      <c r="N36" s="127">
        <f t="shared" si="18"/>
        <v>25294.871794871797</v>
      </c>
      <c r="O36" s="86"/>
    </row>
    <row r="37" spans="1:15" ht="20.100000000000001" customHeight="1">
      <c r="A37" s="1430"/>
      <c r="B37" s="115" t="s">
        <v>119</v>
      </c>
      <c r="C37" s="141">
        <f t="shared" ref="C37:H37" si="19">SUM(C35:C36)</f>
        <v>55998.290598290601</v>
      </c>
      <c r="D37" s="141">
        <f t="shared" si="19"/>
        <v>73088.888888888891</v>
      </c>
      <c r="E37" s="141">
        <f t="shared" si="19"/>
        <v>83825.641025641031</v>
      </c>
      <c r="F37" s="142">
        <f t="shared" si="19"/>
        <v>56576.923076923078</v>
      </c>
      <c r="G37" s="142">
        <f t="shared" si="19"/>
        <v>61797.435897435898</v>
      </c>
      <c r="H37" s="135">
        <f t="shared" si="19"/>
        <v>97626.495726495719</v>
      </c>
      <c r="I37" s="1326">
        <f t="shared" ref="I37:N37" si="20">SUM(I35:I36)</f>
        <v>52428.205128205132</v>
      </c>
      <c r="J37" s="142">
        <f t="shared" si="20"/>
        <v>60143.58974358975</v>
      </c>
      <c r="K37" s="142">
        <f t="shared" si="20"/>
        <v>66482.905982905999</v>
      </c>
      <c r="L37" s="1062">
        <f t="shared" si="20"/>
        <v>75367.521367521374</v>
      </c>
      <c r="M37" s="1326">
        <f t="shared" si="20"/>
        <v>65526.495726495727</v>
      </c>
      <c r="N37" s="135">
        <f t="shared" si="20"/>
        <v>51860.683760683765</v>
      </c>
      <c r="O37" s="86"/>
    </row>
    <row r="38" spans="1:15" ht="20.100000000000001" customHeight="1">
      <c r="A38" s="1428" t="s">
        <v>241</v>
      </c>
      <c r="B38" s="1056" t="s">
        <v>117</v>
      </c>
      <c r="C38" s="123">
        <f>C14/1.17</f>
        <v>34223.931623931625</v>
      </c>
      <c r="D38" s="123">
        <f>D14/1.17+2</f>
        <v>38323.367521367523</v>
      </c>
      <c r="E38" s="123">
        <f>E14/1.17+178</f>
        <v>32926.974358974359</v>
      </c>
      <c r="F38" s="123">
        <f>F14/1.17+9</f>
        <v>39424.807692307695</v>
      </c>
      <c r="G38" s="123">
        <f>G14/1.17</f>
        <v>39874.358974358976</v>
      </c>
      <c r="H38" s="122">
        <f>H14/1.17+3</f>
        <v>39440.094017094023</v>
      </c>
      <c r="I38" s="1323">
        <f>I14/1.17</f>
        <v>41035.042735042734</v>
      </c>
      <c r="J38" s="123">
        <f>J14/1.17</f>
        <v>31107.692307692309</v>
      </c>
      <c r="K38" s="123">
        <f>K14/1.17+10</f>
        <v>37681.927350427351</v>
      </c>
      <c r="L38" s="1060">
        <f t="shared" ref="L38:N39" si="21">L14/1.17</f>
        <v>48742.735042735047</v>
      </c>
      <c r="M38" s="1323">
        <f t="shared" si="21"/>
        <v>38004.273504273508</v>
      </c>
      <c r="N38" s="122">
        <f t="shared" si="21"/>
        <v>31018.803418803422</v>
      </c>
      <c r="O38" s="86"/>
    </row>
    <row r="39" spans="1:15" ht="20.100000000000001" customHeight="1">
      <c r="A39" s="1429"/>
      <c r="B39" s="1057" t="s">
        <v>118</v>
      </c>
      <c r="C39" s="136">
        <f>C15/1.17</f>
        <v>39370.940170940172</v>
      </c>
      <c r="D39" s="136">
        <f>D15/1.17</f>
        <v>32829.059829059828</v>
      </c>
      <c r="E39" s="136">
        <f>E15/1.17</f>
        <v>30039.74358974359</v>
      </c>
      <c r="F39" s="136">
        <f>F15/1.17</f>
        <v>33498.983760683761</v>
      </c>
      <c r="G39" s="136">
        <f>G15/1.17</f>
        <v>36160.683760683765</v>
      </c>
      <c r="H39" s="125">
        <f>H15/1.17</f>
        <v>31545.299145299148</v>
      </c>
      <c r="I39" s="1324">
        <f>I15/1.17</f>
        <v>46511.111111111117</v>
      </c>
      <c r="J39" s="126">
        <f>J15/1.17</f>
        <v>37528.205128205132</v>
      </c>
      <c r="K39" s="126">
        <f>K15/1.17</f>
        <v>38323.931623931625</v>
      </c>
      <c r="L39" s="1328">
        <f t="shared" si="21"/>
        <v>53115.384615384617</v>
      </c>
      <c r="M39" s="1324">
        <f t="shared" si="21"/>
        <v>34948.717948717953</v>
      </c>
      <c r="N39" s="127">
        <f t="shared" si="21"/>
        <v>45101.709401709406</v>
      </c>
      <c r="O39" s="86"/>
    </row>
    <row r="40" spans="1:15" ht="20.100000000000001" customHeight="1">
      <c r="A40" s="1430"/>
      <c r="B40" s="115" t="s">
        <v>119</v>
      </c>
      <c r="C40" s="141">
        <f t="shared" ref="C40:H40" si="22">SUM(C38:C39)</f>
        <v>73594.871794871797</v>
      </c>
      <c r="D40" s="141">
        <f t="shared" si="22"/>
        <v>71152.427350427344</v>
      </c>
      <c r="E40" s="141">
        <f t="shared" si="22"/>
        <v>62966.717948717953</v>
      </c>
      <c r="F40" s="142">
        <f t="shared" si="22"/>
        <v>72923.791452991456</v>
      </c>
      <c r="G40" s="142">
        <f t="shared" si="22"/>
        <v>76035.042735042749</v>
      </c>
      <c r="H40" s="135">
        <f t="shared" si="22"/>
        <v>70985.393162393171</v>
      </c>
      <c r="I40" s="1326">
        <f t="shared" ref="I40:N40" si="23">SUM(I38:I39)</f>
        <v>87546.153846153844</v>
      </c>
      <c r="J40" s="142">
        <f t="shared" si="23"/>
        <v>68635.897435897437</v>
      </c>
      <c r="K40" s="142">
        <f t="shared" si="23"/>
        <v>76005.858974358969</v>
      </c>
      <c r="L40" s="1062">
        <f t="shared" si="23"/>
        <v>101858.11965811966</v>
      </c>
      <c r="M40" s="1326">
        <f t="shared" si="23"/>
        <v>72952.991452991468</v>
      </c>
      <c r="N40" s="135">
        <f t="shared" si="23"/>
        <v>76120.512820512828</v>
      </c>
      <c r="O40" s="86"/>
    </row>
    <row r="41" spans="1:15" ht="20.100000000000001" customHeight="1">
      <c r="A41" s="1441" t="s">
        <v>313</v>
      </c>
      <c r="B41" s="1056" t="s">
        <v>117</v>
      </c>
      <c r="C41" s="123">
        <f t="shared" ref="C41:N41" si="24">C17/1.17</f>
        <v>38461.538461538461</v>
      </c>
      <c r="D41" s="123">
        <f t="shared" si="24"/>
        <v>42735.042735042734</v>
      </c>
      <c r="E41" s="123">
        <f t="shared" si="24"/>
        <v>55555.555555555562</v>
      </c>
      <c r="F41" s="123">
        <f t="shared" si="24"/>
        <v>59829.059829059835</v>
      </c>
      <c r="G41" s="123">
        <f t="shared" si="24"/>
        <v>59829.059829059835</v>
      </c>
      <c r="H41" s="122">
        <f t="shared" si="24"/>
        <v>72649.572649572656</v>
      </c>
      <c r="I41" s="1323">
        <f t="shared" si="24"/>
        <v>74358.974358974359</v>
      </c>
      <c r="J41" s="123">
        <f t="shared" si="24"/>
        <v>87179.487179487187</v>
      </c>
      <c r="K41" s="123">
        <f t="shared" si="24"/>
        <v>78632.47863247864</v>
      </c>
      <c r="L41" s="1060">
        <f t="shared" si="24"/>
        <v>85897.435897435906</v>
      </c>
      <c r="M41" s="1323">
        <f t="shared" si="24"/>
        <v>115384.61538461539</v>
      </c>
      <c r="N41" s="122">
        <f t="shared" si="24"/>
        <v>79059.829059829062</v>
      </c>
      <c r="O41" s="86"/>
    </row>
    <row r="42" spans="1:15" ht="20.100000000000001" customHeight="1">
      <c r="A42" s="1439"/>
      <c r="B42" s="1057" t="s">
        <v>118</v>
      </c>
      <c r="C42" s="136">
        <f t="shared" ref="C42:N42" si="25">C18/1.17</f>
        <v>38461.538461538461</v>
      </c>
      <c r="D42" s="136">
        <f t="shared" si="25"/>
        <v>42735.042735042734</v>
      </c>
      <c r="E42" s="136">
        <f t="shared" si="25"/>
        <v>47008.547008547008</v>
      </c>
      <c r="F42" s="136">
        <f t="shared" si="25"/>
        <v>42735.042735042734</v>
      </c>
      <c r="G42" s="136">
        <f t="shared" si="25"/>
        <v>51282.051282051289</v>
      </c>
      <c r="H42" s="125">
        <f t="shared" si="25"/>
        <v>55555.555555555562</v>
      </c>
      <c r="I42" s="1324">
        <f t="shared" si="25"/>
        <v>47863.247863247867</v>
      </c>
      <c r="J42" s="126">
        <f t="shared" si="25"/>
        <v>43589.743589743593</v>
      </c>
      <c r="K42" s="126">
        <f t="shared" si="25"/>
        <v>39316.23931623932</v>
      </c>
      <c r="L42" s="1328">
        <f t="shared" si="25"/>
        <v>41880.341880341883</v>
      </c>
      <c r="M42" s="1324">
        <f t="shared" si="25"/>
        <v>41452.991452991453</v>
      </c>
      <c r="N42" s="127">
        <f t="shared" si="25"/>
        <v>39316.23931623932</v>
      </c>
      <c r="O42" s="86"/>
    </row>
    <row r="43" spans="1:15" ht="20.100000000000001" customHeight="1">
      <c r="A43" s="1440"/>
      <c r="B43" s="115" t="s">
        <v>119</v>
      </c>
      <c r="C43" s="141">
        <f>SUM(C41:C42)</f>
        <v>76923.076923076922</v>
      </c>
      <c r="D43" s="141">
        <f t="shared" ref="D43:I43" si="26">SUM(D41:D42)</f>
        <v>85470.085470085469</v>
      </c>
      <c r="E43" s="141">
        <f t="shared" si="26"/>
        <v>102564.10256410256</v>
      </c>
      <c r="F43" s="141">
        <f t="shared" si="26"/>
        <v>102564.10256410256</v>
      </c>
      <c r="G43" s="141">
        <f t="shared" si="26"/>
        <v>111111.11111111112</v>
      </c>
      <c r="H43" s="134">
        <f t="shared" si="26"/>
        <v>128205.12820512822</v>
      </c>
      <c r="I43" s="1327">
        <f t="shared" si="26"/>
        <v>122222.22222222222</v>
      </c>
      <c r="J43" s="141">
        <f>SUM(J41:J42)</f>
        <v>130769.23076923078</v>
      </c>
      <c r="K43" s="141">
        <f>SUM(K41:K42)</f>
        <v>117948.71794871797</v>
      </c>
      <c r="L43" s="1063">
        <f>SUM(L41:L42)</f>
        <v>127777.77777777778</v>
      </c>
      <c r="M43" s="1327">
        <f>SUM(M41:M42)</f>
        <v>156837.60683760684</v>
      </c>
      <c r="N43" s="135">
        <f>SUM(N41:N42)</f>
        <v>118376.06837606838</v>
      </c>
      <c r="O43" s="86"/>
    </row>
    <row r="44" spans="1:15" ht="20.100000000000001" customHeight="1">
      <c r="A44" s="1438" t="s">
        <v>430</v>
      </c>
      <c r="B44" s="1056" t="s">
        <v>117</v>
      </c>
      <c r="C44" s="123">
        <f>C20/1.17+157</f>
        <v>68305.449572649581</v>
      </c>
      <c r="D44" s="123">
        <f t="shared" ref="D44:I45" si="27">D20/1.17</f>
        <v>61919.658119658125</v>
      </c>
      <c r="E44" s="123">
        <f>E20/1.17+81</f>
        <v>54722.538461538468</v>
      </c>
      <c r="F44" s="123">
        <f>F20/1.17+12</f>
        <v>54619.988034188034</v>
      </c>
      <c r="G44" s="123">
        <f>G20/1.17</f>
        <v>68814.830820000003</v>
      </c>
      <c r="H44" s="122">
        <f>H20/1.17+63</f>
        <v>69046.901709401704</v>
      </c>
      <c r="I44" s="1323">
        <f t="shared" si="27"/>
        <v>73821.729914529918</v>
      </c>
      <c r="J44" s="123">
        <f>J20/1.17</f>
        <v>79699.341859743596</v>
      </c>
      <c r="K44" s="123">
        <f>K20/1.17+23</f>
        <v>61711.253042735043</v>
      </c>
      <c r="L44" s="1060">
        <f t="shared" ref="L44:N45" si="28">L20/1.17</f>
        <v>112241.34977</v>
      </c>
      <c r="M44" s="1323">
        <f t="shared" si="28"/>
        <v>75213.675213675218</v>
      </c>
      <c r="N44" s="122">
        <f t="shared" si="28"/>
        <v>47008.547008547008</v>
      </c>
      <c r="O44" s="86"/>
    </row>
    <row r="45" spans="1:15" ht="20.100000000000001" customHeight="1">
      <c r="A45" s="1439"/>
      <c r="B45" s="1057" t="s">
        <v>118</v>
      </c>
      <c r="C45" s="136">
        <f>C21/1.17</f>
        <v>54233.472623931622</v>
      </c>
      <c r="D45" s="136">
        <f t="shared" si="27"/>
        <v>40258.974358974359</v>
      </c>
      <c r="E45" s="136">
        <f t="shared" si="27"/>
        <v>48672.649572649578</v>
      </c>
      <c r="F45" s="136">
        <f t="shared" si="27"/>
        <v>44897.198290598295</v>
      </c>
      <c r="G45" s="136">
        <f t="shared" si="27"/>
        <v>52729.217140000008</v>
      </c>
      <c r="H45" s="125">
        <f t="shared" si="27"/>
        <v>49536.925660000008</v>
      </c>
      <c r="I45" s="1324">
        <f t="shared" si="27"/>
        <v>49031.730769230773</v>
      </c>
      <c r="J45" s="126">
        <f>J21/1.17</f>
        <v>39698.56366</v>
      </c>
      <c r="K45" s="126">
        <f>K21/1.17</f>
        <v>39431.300800000005</v>
      </c>
      <c r="L45" s="1328">
        <f t="shared" si="28"/>
        <v>33231.50776</v>
      </c>
      <c r="M45" s="1324">
        <f t="shared" si="28"/>
        <v>36752.136752136757</v>
      </c>
      <c r="N45" s="127">
        <f t="shared" si="28"/>
        <v>33333.333333333336</v>
      </c>
      <c r="O45" s="86"/>
    </row>
    <row r="46" spans="1:15" ht="20.100000000000001" customHeight="1" thickBot="1">
      <c r="A46" s="1440"/>
      <c r="B46" s="115" t="s">
        <v>119</v>
      </c>
      <c r="C46" s="141">
        <f t="shared" ref="C46:H46" si="29">SUM(C44:C45)</f>
        <v>122538.9221965812</v>
      </c>
      <c r="D46" s="141">
        <f>SUM(D44:D45)</f>
        <v>102178.63247863248</v>
      </c>
      <c r="E46" s="141">
        <f>SUM(E44:E45)+1</f>
        <v>103396.18803418805</v>
      </c>
      <c r="F46" s="142">
        <f t="shared" si="29"/>
        <v>99517.186324786337</v>
      </c>
      <c r="G46" s="142">
        <f>SUM(G44:G45)</f>
        <v>121544.04796000001</v>
      </c>
      <c r="H46" s="135">
        <f t="shared" si="29"/>
        <v>118583.82736940171</v>
      </c>
      <c r="I46" s="1326">
        <f t="shared" ref="I46:N46" si="30">SUM(I44:I45)</f>
        <v>122853.4606837607</v>
      </c>
      <c r="J46" s="142">
        <f>SUM(J44:J45)</f>
        <v>119397.9055197436</v>
      </c>
      <c r="K46" s="142">
        <f>SUM(K44:K45)-1</f>
        <v>101141.55384273504</v>
      </c>
      <c r="L46" s="1064">
        <f>SUM(L44:L45)</f>
        <v>145472.85753000001</v>
      </c>
      <c r="M46" s="1326">
        <f t="shared" si="30"/>
        <v>111965.81196581197</v>
      </c>
      <c r="N46" s="135">
        <f t="shared" si="30"/>
        <v>80341.880341880344</v>
      </c>
      <c r="O46" s="86"/>
    </row>
    <row r="47" spans="1:15" ht="20.100000000000001" customHeight="1">
      <c r="A47" s="1065" t="s">
        <v>245</v>
      </c>
      <c r="B47" s="116" t="s">
        <v>115</v>
      </c>
      <c r="C47" s="136">
        <f>C23/1.17</f>
        <v>82122.222222222234</v>
      </c>
      <c r="D47" s="136">
        <f>D23/1.17</f>
        <v>82122.222222222234</v>
      </c>
      <c r="E47" s="125">
        <f>E23/1.17</f>
        <v>82122.222222222234</v>
      </c>
      <c r="F47" s="143">
        <f>F23/1.17</f>
        <v>101210.25641025642</v>
      </c>
      <c r="G47" s="143">
        <f>G23/1.17</f>
        <v>101210.25641025642</v>
      </c>
      <c r="H47" s="126">
        <f t="shared" ref="H47:N47" si="31">H23/1.17</f>
        <v>101210.25641025642</v>
      </c>
      <c r="I47" s="1192">
        <f t="shared" si="31"/>
        <v>131038.46153846155</v>
      </c>
      <c r="J47" s="126">
        <f t="shared" si="31"/>
        <v>131038.46153846155</v>
      </c>
      <c r="K47" s="126">
        <f t="shared" si="31"/>
        <v>131038.46153846155</v>
      </c>
      <c r="L47" s="126">
        <f t="shared" si="31"/>
        <v>138739.31623931625</v>
      </c>
      <c r="M47" s="126">
        <f t="shared" si="31"/>
        <v>138739.31623931625</v>
      </c>
      <c r="N47" s="127">
        <f t="shared" si="31"/>
        <v>138739.31623931625</v>
      </c>
      <c r="O47" s="86"/>
    </row>
    <row r="48" spans="1:15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</row>
  </sheetData>
  <mergeCells count="14">
    <mergeCell ref="A44:A46"/>
    <mergeCell ref="A41:A43"/>
    <mergeCell ref="A32:A34"/>
    <mergeCell ref="A17:A19"/>
    <mergeCell ref="A8:A10"/>
    <mergeCell ref="A38:A40"/>
    <mergeCell ref="A5:A7"/>
    <mergeCell ref="A11:A13"/>
    <mergeCell ref="A35:A37"/>
    <mergeCell ref="A2:B2"/>
    <mergeCell ref="A26:B26"/>
    <mergeCell ref="A29:A31"/>
    <mergeCell ref="A20:A22"/>
    <mergeCell ref="A14:A16"/>
  </mergeCells>
  <phoneticPr fontId="11" type="noConversion"/>
  <pageMargins left="0.7" right="0.7" top="0.75" bottom="0.75" header="0.3" footer="0.3"/>
  <pageSetup paperSize="9" scale="55" orientation="portrait" r:id="rId1"/>
  <colBreaks count="1" manualBreakCount="1">
    <brk id="14" max="46" man="1"/>
  </colBreaks>
  <ignoredErrors>
    <ignoredError sqref="C7:N7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9" sqref="I19"/>
    </sheetView>
  </sheetViews>
  <sheetFormatPr defaultRowHeight="13.5"/>
  <sheetData>
    <row r="1" spans="1:12" ht="14.25">
      <c r="A1" s="3" t="s">
        <v>44</v>
      </c>
      <c r="B1" s="6"/>
      <c r="C1" s="5"/>
      <c r="D1" s="4"/>
      <c r="E1" s="4"/>
      <c r="F1" s="4"/>
      <c r="G1" s="4"/>
      <c r="H1" s="4"/>
      <c r="I1" s="4"/>
      <c r="J1" s="4"/>
      <c r="K1" s="4"/>
    </row>
    <row r="2" spans="1:12" ht="36.75" thickBot="1">
      <c r="A2" s="41"/>
      <c r="B2" s="1" t="s">
        <v>0</v>
      </c>
      <c r="C2" s="42" t="s">
        <v>31</v>
      </c>
      <c r="D2" s="42" t="s">
        <v>32</v>
      </c>
      <c r="E2" s="42" t="s">
        <v>33</v>
      </c>
      <c r="F2" s="42" t="s">
        <v>34</v>
      </c>
      <c r="G2" s="44" t="s">
        <v>46</v>
      </c>
      <c r="H2" s="44" t="s">
        <v>47</v>
      </c>
      <c r="I2" s="43" t="s">
        <v>35</v>
      </c>
      <c r="J2" s="43" t="s">
        <v>36</v>
      </c>
      <c r="K2" s="43" t="s">
        <v>37</v>
      </c>
      <c r="L2" s="42" t="s">
        <v>48</v>
      </c>
    </row>
    <row r="3" spans="1:12" ht="14.25" thickTop="1">
      <c r="A3" s="1396" t="s">
        <v>45</v>
      </c>
      <c r="B3" s="1" t="s">
        <v>38</v>
      </c>
      <c r="C3" s="11">
        <v>96659</v>
      </c>
      <c r="D3" s="7">
        <v>92238</v>
      </c>
      <c r="E3" s="7">
        <v>94448.5</v>
      </c>
      <c r="F3" s="7">
        <v>100655.5</v>
      </c>
      <c r="G3" s="14">
        <v>82412</v>
      </c>
      <c r="H3" s="14">
        <f>(F3+G3)/2</f>
        <v>91533.75</v>
      </c>
      <c r="I3" s="21">
        <v>111750</v>
      </c>
      <c r="J3" s="22">
        <v>111717</v>
      </c>
      <c r="K3" s="23">
        <v>111734</v>
      </c>
      <c r="L3" s="46">
        <f>K3/H3-1</f>
        <v>0.22068635885670584</v>
      </c>
    </row>
    <row r="4" spans="1:12">
      <c r="A4" s="1396"/>
      <c r="B4" s="1" t="s">
        <v>39</v>
      </c>
      <c r="C4" s="11">
        <v>90457</v>
      </c>
      <c r="D4" s="8">
        <v>61483</v>
      </c>
      <c r="E4" s="8">
        <v>75970</v>
      </c>
      <c r="F4" s="10">
        <v>110477.5</v>
      </c>
      <c r="G4" s="12">
        <v>97452</v>
      </c>
      <c r="H4" s="14">
        <f>(F4+G4)/2</f>
        <v>103964.75</v>
      </c>
      <c r="I4" s="16">
        <v>120067</v>
      </c>
      <c r="J4" s="8">
        <v>125635</v>
      </c>
      <c r="K4" s="17">
        <v>122851</v>
      </c>
      <c r="L4" s="46">
        <f>K4/H4-1</f>
        <v>0.18166012999598413</v>
      </c>
    </row>
    <row r="5" spans="1:12">
      <c r="A5" s="1396"/>
      <c r="B5" s="1" t="s">
        <v>40</v>
      </c>
      <c r="C5" s="11">
        <v>17337</v>
      </c>
      <c r="D5" s="8">
        <v>9381</v>
      </c>
      <c r="E5" s="9">
        <v>13359</v>
      </c>
      <c r="F5" s="9">
        <v>33092.333333333336</v>
      </c>
      <c r="G5" s="9">
        <v>57321</v>
      </c>
      <c r="H5" s="14">
        <f>(F5+G5)/2</f>
        <v>45206.666666666672</v>
      </c>
      <c r="I5" s="18">
        <v>74690</v>
      </c>
      <c r="J5" s="15">
        <v>86750</v>
      </c>
      <c r="K5" s="19">
        <v>80720</v>
      </c>
      <c r="L5" s="46">
        <f>K5/H5-1</f>
        <v>0.78557734847367633</v>
      </c>
    </row>
    <row r="6" spans="1:12">
      <c r="A6" s="1396"/>
      <c r="B6" s="1" t="s">
        <v>41</v>
      </c>
      <c r="C6" s="11">
        <v>13003</v>
      </c>
      <c r="D6" s="8">
        <v>7114</v>
      </c>
      <c r="E6" s="10">
        <v>10058.5</v>
      </c>
      <c r="F6" s="12">
        <v>10968</v>
      </c>
      <c r="G6" s="8">
        <v>3091</v>
      </c>
      <c r="H6" s="14">
        <f>(F6+G6)/2</f>
        <v>7029.5</v>
      </c>
      <c r="I6" s="20">
        <v>11140</v>
      </c>
      <c r="J6" s="8">
        <v>8258</v>
      </c>
      <c r="K6" s="17">
        <v>9699</v>
      </c>
      <c r="L6" s="46">
        <f>K6/H6-1</f>
        <v>0.37975673945515331</v>
      </c>
    </row>
    <row r="7" spans="1:12" ht="14.25" thickBot="1">
      <c r="A7" s="1396"/>
      <c r="B7" s="1" t="s">
        <v>42</v>
      </c>
      <c r="C7" s="11">
        <v>219787</v>
      </c>
      <c r="D7" s="11">
        <v>171531</v>
      </c>
      <c r="E7" s="11">
        <v>195659</v>
      </c>
      <c r="F7" s="11">
        <v>256181.33333333331</v>
      </c>
      <c r="G7" s="13">
        <v>241576</v>
      </c>
      <c r="H7" s="14">
        <f>(F7+G7)/2</f>
        <v>248878.66666666666</v>
      </c>
      <c r="I7" s="24">
        <v>319192</v>
      </c>
      <c r="J7" s="25">
        <v>334090</v>
      </c>
      <c r="K7" s="26">
        <v>326641</v>
      </c>
      <c r="L7" s="46">
        <f>K7/H7-1</f>
        <v>0.31245077922843256</v>
      </c>
    </row>
    <row r="8" spans="1:12" ht="15" thickTop="1" thickBot="1">
      <c r="A8" s="28"/>
      <c r="B8" s="29"/>
      <c r="C8" s="30"/>
      <c r="D8" s="30"/>
      <c r="E8" s="30"/>
      <c r="F8" s="30"/>
      <c r="G8" s="30"/>
      <c r="H8" s="30"/>
      <c r="I8" s="27"/>
      <c r="J8" s="27"/>
      <c r="K8" s="27"/>
      <c r="L8" s="47"/>
    </row>
    <row r="9" spans="1:12" ht="14.25" thickTop="1">
      <c r="A9" s="1396" t="s">
        <v>43</v>
      </c>
      <c r="B9" s="1" t="s">
        <v>38</v>
      </c>
      <c r="C9" s="11">
        <v>96771</v>
      </c>
      <c r="D9" s="9">
        <v>90099</v>
      </c>
      <c r="E9" s="9">
        <v>93435</v>
      </c>
      <c r="F9" s="9">
        <v>98010</v>
      </c>
      <c r="G9" s="9">
        <v>86908</v>
      </c>
      <c r="H9" s="14">
        <f>(F9+G9)/2</f>
        <v>92459</v>
      </c>
      <c r="I9" s="31">
        <v>114550</v>
      </c>
      <c r="J9" s="32">
        <v>112133</v>
      </c>
      <c r="K9" s="33">
        <v>113342</v>
      </c>
      <c r="L9" s="46">
        <f>K9/H9-1</f>
        <v>0.22586227408905568</v>
      </c>
    </row>
    <row r="10" spans="1:12">
      <c r="A10" s="1396"/>
      <c r="B10" s="1" t="s">
        <v>39</v>
      </c>
      <c r="C10" s="11">
        <v>89369</v>
      </c>
      <c r="D10" s="8">
        <v>65322</v>
      </c>
      <c r="E10" s="10">
        <v>77345.5</v>
      </c>
      <c r="F10" s="12">
        <v>112003.83333333334</v>
      </c>
      <c r="G10" s="8">
        <v>95996</v>
      </c>
      <c r="H10" s="14">
        <f>(F10+G10)/2</f>
        <v>103999.91666666667</v>
      </c>
      <c r="I10" s="34">
        <v>120067</v>
      </c>
      <c r="J10" s="8">
        <v>125635</v>
      </c>
      <c r="K10" s="35">
        <v>122851</v>
      </c>
      <c r="L10" s="46">
        <f>K10/H10-1</f>
        <v>0.18126056190750139</v>
      </c>
    </row>
    <row r="11" spans="1:12">
      <c r="A11" s="1396"/>
      <c r="B11" s="1" t="s">
        <v>40</v>
      </c>
      <c r="C11" s="11">
        <v>19586</v>
      </c>
      <c r="D11" s="9">
        <v>11169</v>
      </c>
      <c r="E11" s="9">
        <v>15377.5</v>
      </c>
      <c r="F11" s="9">
        <v>21112.666666666668</v>
      </c>
      <c r="G11" s="9">
        <v>44962</v>
      </c>
      <c r="H11" s="14">
        <f>(F11+G11)/2</f>
        <v>33037.333333333336</v>
      </c>
      <c r="I11" s="36">
        <v>70945</v>
      </c>
      <c r="J11" s="9">
        <v>79124</v>
      </c>
      <c r="K11" s="37">
        <v>75034</v>
      </c>
      <c r="L11" s="46">
        <f>K11/H11-1</f>
        <v>1.2711881507789164</v>
      </c>
    </row>
    <row r="12" spans="1:12">
      <c r="A12" s="1396"/>
      <c r="B12" s="1" t="s">
        <v>41</v>
      </c>
      <c r="C12" s="11">
        <v>7480</v>
      </c>
      <c r="D12" s="8">
        <v>8542</v>
      </c>
      <c r="E12" s="10">
        <v>8011</v>
      </c>
      <c r="F12" s="12">
        <v>6027.1666666666661</v>
      </c>
      <c r="G12" s="8">
        <v>4820</v>
      </c>
      <c r="H12" s="14">
        <f>(F12+G12)/2</f>
        <v>5423.583333333333</v>
      </c>
      <c r="I12" s="34">
        <v>6741</v>
      </c>
      <c r="J12" s="8">
        <v>11189</v>
      </c>
      <c r="K12" s="35">
        <v>8965</v>
      </c>
      <c r="L12" s="46">
        <f>K12/H12-1</f>
        <v>0.65296621237496755</v>
      </c>
    </row>
    <row r="13" spans="1:12" ht="14.25" thickBot="1">
      <c r="A13" s="1396"/>
      <c r="B13" s="1" t="s">
        <v>42</v>
      </c>
      <c r="C13" s="11">
        <v>215537</v>
      </c>
      <c r="D13" s="9">
        <v>176447</v>
      </c>
      <c r="E13" s="9">
        <v>195992</v>
      </c>
      <c r="F13" s="9">
        <v>238143</v>
      </c>
      <c r="G13" s="9">
        <v>234100</v>
      </c>
      <c r="H13" s="14">
        <f>(F13+G13)/2</f>
        <v>236121.5</v>
      </c>
      <c r="I13" s="38">
        <v>313848</v>
      </c>
      <c r="J13" s="39">
        <v>329811</v>
      </c>
      <c r="K13" s="40">
        <v>321829</v>
      </c>
      <c r="L13" s="46">
        <f>K13/H13-1</f>
        <v>0.36298049944625976</v>
      </c>
    </row>
    <row r="14" spans="1:12" ht="14.25" thickTop="1"/>
  </sheetData>
  <mergeCells count="2">
    <mergeCell ref="A9:A13"/>
    <mergeCell ref="A3:A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6</vt:i4>
      </vt:variant>
    </vt:vector>
  </HeadingPairs>
  <TitlesOfParts>
    <vt:vector size="19" baseType="lpstr">
      <vt:lpstr>全体</vt:lpstr>
      <vt:lpstr>税込</vt:lpstr>
      <vt:lpstr>税抜</vt:lpstr>
      <vt:lpstr>元ﾃﾞｰﾀ</vt:lpstr>
      <vt:lpstr>グラフ税抜</vt:lpstr>
      <vt:lpstr>R税込</vt:lpstr>
      <vt:lpstr>R税抜</vt:lpstr>
      <vt:lpstr>Ｒ貼付用</vt:lpstr>
      <vt:lpstr>14予算datebase</vt:lpstr>
      <vt:lpstr>14予算グラフ</vt:lpstr>
      <vt:lpstr>R売上粗利率</vt:lpstr>
      <vt:lpstr>貼付用</vt:lpstr>
      <vt:lpstr>Sheet1</vt:lpstr>
      <vt:lpstr>R売上粗利率!Print_Area</vt:lpstr>
      <vt:lpstr>Ｒ貼付用!Print_Area</vt:lpstr>
      <vt:lpstr>グラフ税抜!Print_Area</vt:lpstr>
      <vt:lpstr>税抜!Print_Area</vt:lpstr>
      <vt:lpstr>税込!Print_Area</vt:lpstr>
      <vt:lpstr>元ﾃﾞｰﾀ!Print_Area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jihuilin</cp:lastModifiedBy>
  <cp:lastPrinted>2017-03-31T07:32:55Z</cp:lastPrinted>
  <dcterms:created xsi:type="dcterms:W3CDTF">2013-05-10T10:09:03Z</dcterms:created>
  <dcterms:modified xsi:type="dcterms:W3CDTF">2018-01-09T08:57:46Z</dcterms:modified>
</cp:coreProperties>
</file>