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juancarlosmunoz/Dropbox/Documents/Projects_papers/2018/Akresh_etal_2018/results/"/>
    </mc:Choice>
  </mc:AlternateContent>
  <xr:revisionPtr revIDLastSave="0" documentId="10_ncr:8100000_{A5435CC7-DA5B-FF49-ADBF-1A76F03C80D1}" xr6:coauthVersionLast="32" xr6:coauthVersionMax="32" xr10:uidLastSave="{00000000-0000-0000-0000-000000000000}"/>
  <bookViews>
    <workbookView xWindow="14440" yWindow="0" windowWidth="14360" windowHeight="18000" tabRatio="967" xr2:uid="{00000000-000D-0000-FFFF-FFFF00000000}"/>
  </bookViews>
  <sheets>
    <sheet name="Table 1" sheetId="1" r:id="rId1"/>
    <sheet name="Table 2" sheetId="82" r:id="rId2"/>
    <sheet name="Table 3" sheetId="55" r:id="rId3"/>
    <sheet name="Table 4" sheetId="67" r:id="rId4"/>
    <sheet name="Table 5" sheetId="70" r:id="rId5"/>
    <sheet name="Table 6" sheetId="74" r:id="rId6"/>
    <sheet name="Table 7" sheetId="79" r:id="rId7"/>
  </sheets>
  <definedNames>
    <definedName name="_xlnm._FilterDatabase" localSheetId="2" hidden="1">'Table 3'!$C$5:$K$26</definedName>
    <definedName name="_xlnm._FilterDatabase" localSheetId="3" hidden="1">'Table 4'!$C$5:$K$45</definedName>
  </definedNames>
  <calcPr calcId="162913"/>
</workbook>
</file>

<file path=xl/calcChain.xml><?xml version="1.0" encoding="utf-8"?>
<calcChain xmlns="http://schemas.openxmlformats.org/spreadsheetml/2006/main">
  <c r="E14" i="82" l="1"/>
  <c r="C14" i="82"/>
  <c r="E9" i="82"/>
  <c r="C9" i="82"/>
  <c r="L47" i="67" l="1"/>
  <c r="K47" i="67"/>
  <c r="J47" i="67"/>
  <c r="I47" i="67"/>
  <c r="H47" i="67"/>
  <c r="G47" i="67"/>
  <c r="F47" i="67"/>
  <c r="E47" i="67"/>
  <c r="D47" i="67"/>
  <c r="C47" i="67"/>
  <c r="L46" i="67"/>
  <c r="K46" i="67"/>
  <c r="J46" i="67"/>
  <c r="I46" i="67"/>
  <c r="H46" i="67"/>
  <c r="G46" i="67"/>
  <c r="F46" i="67"/>
  <c r="E46" i="67"/>
  <c r="D46" i="67"/>
  <c r="C46" i="67"/>
  <c r="L45" i="67"/>
  <c r="K45" i="67"/>
  <c r="J45" i="67"/>
  <c r="I45" i="67"/>
  <c r="H45" i="67"/>
  <c r="G45" i="67"/>
  <c r="F45" i="67"/>
  <c r="E45" i="67"/>
  <c r="L44" i="67"/>
  <c r="K44" i="67"/>
  <c r="J44" i="67"/>
  <c r="I44" i="67"/>
  <c r="H44" i="67"/>
  <c r="G44" i="67"/>
  <c r="F44" i="67"/>
  <c r="E44" i="67"/>
  <c r="L43" i="67"/>
  <c r="K43" i="67"/>
  <c r="J43" i="67"/>
  <c r="I43" i="67"/>
  <c r="H43" i="67"/>
  <c r="G43" i="67"/>
  <c r="F43" i="67"/>
  <c r="E43" i="67"/>
  <c r="L42" i="67"/>
  <c r="K42" i="67"/>
  <c r="J42" i="67"/>
  <c r="I42" i="67"/>
  <c r="H42" i="67"/>
  <c r="G42" i="67"/>
  <c r="F42" i="67"/>
  <c r="E42" i="67"/>
  <c r="L41" i="67"/>
  <c r="K41" i="67"/>
  <c r="J41" i="67"/>
  <c r="I41" i="67"/>
  <c r="H41" i="67"/>
  <c r="G41" i="67"/>
  <c r="F41" i="67"/>
  <c r="E41" i="67"/>
  <c r="L40" i="67"/>
  <c r="K40" i="67"/>
  <c r="J40" i="67"/>
  <c r="I40" i="67"/>
  <c r="H40" i="67"/>
  <c r="G40" i="67"/>
  <c r="F40" i="67"/>
  <c r="E40" i="67"/>
  <c r="L39" i="67"/>
  <c r="K39" i="67"/>
  <c r="J39" i="67"/>
  <c r="I39" i="67"/>
  <c r="H39" i="67"/>
  <c r="G39" i="67"/>
  <c r="F39" i="67"/>
  <c r="E39" i="67"/>
  <c r="L38" i="67"/>
  <c r="K38" i="67"/>
  <c r="J38" i="67"/>
  <c r="I38" i="67"/>
  <c r="H38" i="67"/>
  <c r="G38" i="67"/>
  <c r="F38" i="67"/>
  <c r="E38" i="67"/>
  <c r="L37" i="67"/>
  <c r="K37" i="67"/>
  <c r="J37" i="67"/>
  <c r="I37" i="67"/>
  <c r="H37" i="67"/>
  <c r="G37" i="67"/>
  <c r="F37" i="67"/>
  <c r="E37" i="67"/>
  <c r="L36" i="67"/>
  <c r="K36" i="67"/>
  <c r="J36" i="67"/>
  <c r="I36" i="67"/>
  <c r="H36" i="67"/>
  <c r="G36" i="67"/>
  <c r="F36" i="67"/>
  <c r="E36" i="67"/>
  <c r="L35" i="67"/>
  <c r="K35" i="67"/>
  <c r="J35" i="67"/>
  <c r="I35" i="67"/>
  <c r="H35" i="67"/>
  <c r="G35" i="67"/>
  <c r="F35" i="67"/>
  <c r="E35" i="67"/>
  <c r="L34" i="67"/>
  <c r="K34" i="67"/>
  <c r="J34" i="67"/>
  <c r="I34" i="67"/>
  <c r="H34" i="67"/>
  <c r="G34" i="67"/>
  <c r="F34" i="67"/>
  <c r="E34" i="67"/>
  <c r="L33" i="67"/>
  <c r="K33" i="67"/>
  <c r="J33" i="67"/>
  <c r="I33" i="67"/>
  <c r="H33" i="67"/>
  <c r="G33" i="67"/>
  <c r="F33" i="67"/>
  <c r="E33" i="67"/>
  <c r="L32" i="67"/>
  <c r="K32" i="67"/>
  <c r="J32" i="67"/>
  <c r="I32" i="67"/>
  <c r="H32" i="67"/>
  <c r="G32" i="67"/>
  <c r="F32" i="67"/>
  <c r="E32" i="67"/>
  <c r="L31" i="67"/>
  <c r="K31" i="67"/>
  <c r="J31" i="67"/>
  <c r="I31" i="67"/>
  <c r="H31" i="67"/>
  <c r="G31" i="67"/>
  <c r="F31" i="67"/>
  <c r="E31" i="67"/>
  <c r="L30" i="67"/>
  <c r="K30" i="67"/>
  <c r="J30" i="67"/>
  <c r="I30" i="67"/>
  <c r="H30" i="67"/>
  <c r="G30" i="67"/>
  <c r="F30" i="67"/>
  <c r="E30" i="67"/>
  <c r="L29" i="67"/>
  <c r="K29" i="67"/>
  <c r="J29" i="67"/>
  <c r="I29" i="67"/>
  <c r="H29" i="67"/>
  <c r="G29" i="67"/>
  <c r="F29" i="67"/>
  <c r="E29" i="67"/>
  <c r="L28" i="67"/>
  <c r="K28" i="67"/>
  <c r="J28" i="67"/>
  <c r="I28" i="67"/>
  <c r="H28" i="67"/>
  <c r="G28" i="67"/>
  <c r="F28" i="67"/>
  <c r="E28" i="67"/>
  <c r="L27" i="67"/>
  <c r="K27" i="67"/>
  <c r="J27" i="67"/>
  <c r="I27" i="67"/>
  <c r="H27" i="67"/>
  <c r="G27" i="67"/>
  <c r="F27" i="67"/>
  <c r="E27" i="67"/>
  <c r="L26" i="67"/>
  <c r="K26" i="67"/>
  <c r="J26" i="67"/>
  <c r="I26" i="67"/>
  <c r="H26" i="67"/>
  <c r="G26" i="67"/>
  <c r="F26" i="67"/>
  <c r="E26" i="67"/>
  <c r="L25" i="67"/>
  <c r="K25" i="67"/>
  <c r="J25" i="67"/>
  <c r="I25" i="67"/>
  <c r="H25" i="67"/>
  <c r="G25" i="67"/>
  <c r="F25" i="67"/>
  <c r="E25" i="67"/>
  <c r="L24" i="67"/>
  <c r="K24" i="67"/>
  <c r="J24" i="67"/>
  <c r="I24" i="67"/>
  <c r="H24" i="67"/>
  <c r="G24" i="67"/>
  <c r="F24" i="67"/>
  <c r="E24" i="67"/>
  <c r="L23" i="67"/>
  <c r="K23" i="67"/>
  <c r="J23" i="67"/>
  <c r="I23" i="67"/>
  <c r="H23" i="67"/>
  <c r="G23" i="67"/>
  <c r="F23" i="67"/>
  <c r="E23" i="67"/>
  <c r="L22" i="67"/>
  <c r="K22" i="67"/>
  <c r="J22" i="67"/>
  <c r="I22" i="67"/>
  <c r="H22" i="67"/>
  <c r="G22" i="67"/>
  <c r="F22" i="67"/>
  <c r="E22" i="67"/>
  <c r="L21" i="67"/>
  <c r="K21" i="67"/>
  <c r="J21" i="67"/>
  <c r="I21" i="67"/>
  <c r="H21" i="67"/>
  <c r="G21" i="67"/>
  <c r="F21" i="67"/>
  <c r="E21" i="67"/>
  <c r="L20" i="67"/>
  <c r="K20" i="67"/>
  <c r="J20" i="67"/>
  <c r="I20" i="67"/>
  <c r="H20" i="67"/>
  <c r="G20" i="67"/>
  <c r="F20" i="67"/>
  <c r="E20" i="67"/>
  <c r="L19" i="67"/>
  <c r="K19" i="67"/>
  <c r="J19" i="67"/>
  <c r="I19" i="67"/>
  <c r="H19" i="67"/>
  <c r="G19" i="67"/>
  <c r="F19" i="67"/>
  <c r="E19" i="67"/>
  <c r="L18" i="67"/>
  <c r="K18" i="67"/>
  <c r="J18" i="67"/>
  <c r="I18" i="67"/>
  <c r="H18" i="67"/>
  <c r="G18" i="67"/>
  <c r="F18" i="67"/>
  <c r="E18" i="67"/>
  <c r="L17" i="67"/>
  <c r="K17" i="67"/>
  <c r="J17" i="67"/>
  <c r="I17" i="67"/>
  <c r="H17" i="67"/>
  <c r="G17" i="67"/>
  <c r="F17" i="67"/>
  <c r="E17" i="67"/>
  <c r="L16" i="67"/>
  <c r="K16" i="67"/>
  <c r="J16" i="67"/>
  <c r="I16" i="67"/>
  <c r="H16" i="67"/>
  <c r="G16" i="67"/>
  <c r="F16" i="67"/>
  <c r="E16" i="67"/>
  <c r="L15" i="67"/>
  <c r="K15" i="67"/>
  <c r="J15" i="67"/>
  <c r="I15" i="67"/>
  <c r="H15" i="67"/>
  <c r="G15" i="67"/>
  <c r="F15" i="67"/>
  <c r="E15" i="67"/>
  <c r="L14" i="67"/>
  <c r="K14" i="67"/>
  <c r="J14" i="67"/>
  <c r="I14" i="67"/>
  <c r="H14" i="67"/>
  <c r="G14" i="67"/>
  <c r="F14" i="67"/>
  <c r="E14" i="67"/>
  <c r="D12" i="67"/>
  <c r="C12" i="67"/>
  <c r="D11" i="67"/>
  <c r="C11" i="67"/>
  <c r="D10" i="67"/>
  <c r="C10" i="67"/>
  <c r="D9" i="67"/>
  <c r="C9" i="67"/>
  <c r="D8" i="67"/>
  <c r="C8" i="67"/>
  <c r="D7" i="67"/>
  <c r="C7" i="67"/>
  <c r="D6" i="67"/>
  <c r="C6" i="67"/>
  <c r="D5" i="67"/>
  <c r="C5" i="67"/>
  <c r="C53" i="79"/>
  <c r="D53" i="79"/>
  <c r="E53" i="79"/>
  <c r="F53" i="79"/>
  <c r="G53" i="79"/>
  <c r="H53" i="79"/>
  <c r="C54" i="79"/>
  <c r="D54" i="79"/>
  <c r="E54" i="79"/>
  <c r="F54" i="79"/>
  <c r="G54" i="79"/>
  <c r="H54" i="79"/>
  <c r="H52" i="79"/>
  <c r="G52" i="79"/>
  <c r="F52" i="79"/>
  <c r="E52" i="79"/>
  <c r="D52" i="79"/>
  <c r="C52" i="79"/>
  <c r="H51" i="79"/>
  <c r="G51" i="79"/>
  <c r="F51" i="79"/>
  <c r="E51" i="79"/>
  <c r="D51" i="79"/>
  <c r="C51" i="79"/>
  <c r="H50" i="79"/>
  <c r="G50" i="79"/>
  <c r="F50" i="79"/>
  <c r="E50" i="79"/>
  <c r="D50" i="79"/>
  <c r="C50" i="79"/>
  <c r="H49" i="79"/>
  <c r="G49" i="79"/>
  <c r="F49" i="79"/>
  <c r="E49" i="79"/>
  <c r="D49" i="79"/>
  <c r="C49" i="79"/>
  <c r="H48" i="79"/>
  <c r="G48" i="79"/>
  <c r="F48" i="79"/>
  <c r="E48" i="79"/>
  <c r="D48" i="79"/>
  <c r="C48" i="79"/>
  <c r="H47" i="79"/>
  <c r="G47" i="79"/>
  <c r="F47" i="79"/>
  <c r="E47" i="79"/>
  <c r="D47" i="79"/>
  <c r="C47" i="79"/>
  <c r="H46" i="79"/>
  <c r="G46" i="79"/>
  <c r="F46" i="79"/>
  <c r="E46" i="79"/>
  <c r="D46" i="79"/>
  <c r="C46" i="79"/>
  <c r="H45" i="79"/>
  <c r="G45" i="79"/>
  <c r="F45" i="79"/>
  <c r="E45" i="79"/>
  <c r="D45" i="79"/>
  <c r="C45" i="79"/>
  <c r="H44" i="79"/>
  <c r="G44" i="79"/>
  <c r="F44" i="79"/>
  <c r="E44" i="79"/>
  <c r="D44" i="79"/>
  <c r="C44" i="79"/>
  <c r="H43" i="79"/>
  <c r="G43" i="79"/>
  <c r="F43" i="79"/>
  <c r="E43" i="79"/>
  <c r="D43" i="79"/>
  <c r="C43" i="79"/>
  <c r="H42" i="79"/>
  <c r="G42" i="79"/>
  <c r="F42" i="79"/>
  <c r="E42" i="79"/>
  <c r="D42" i="79"/>
  <c r="C42" i="79"/>
  <c r="H41" i="79"/>
  <c r="G41" i="79"/>
  <c r="F41" i="79"/>
  <c r="E41" i="79"/>
  <c r="D41" i="79"/>
  <c r="C41" i="79"/>
  <c r="H40" i="79"/>
  <c r="G40" i="79"/>
  <c r="F40" i="79"/>
  <c r="E40" i="79"/>
  <c r="D40" i="79"/>
  <c r="C40" i="79"/>
  <c r="H39" i="79"/>
  <c r="G39" i="79"/>
  <c r="F39" i="79"/>
  <c r="E39" i="79"/>
  <c r="D39" i="79"/>
  <c r="C39" i="79"/>
  <c r="H38" i="79"/>
  <c r="G38" i="79"/>
  <c r="F38" i="79"/>
  <c r="E38" i="79"/>
  <c r="D38" i="79"/>
  <c r="C38" i="79"/>
  <c r="H37" i="79"/>
  <c r="G37" i="79"/>
  <c r="F37" i="79"/>
  <c r="E37" i="79"/>
  <c r="D37" i="79"/>
  <c r="C37" i="79"/>
  <c r="H36" i="79"/>
  <c r="G36" i="79"/>
  <c r="F36" i="79"/>
  <c r="E36" i="79"/>
  <c r="D36" i="79"/>
  <c r="C36" i="79"/>
  <c r="H35" i="79"/>
  <c r="G35" i="79"/>
  <c r="F35" i="79"/>
  <c r="E35" i="79"/>
  <c r="D35" i="79"/>
  <c r="C35" i="79"/>
  <c r="H34" i="79"/>
  <c r="G34" i="79"/>
  <c r="F34" i="79"/>
  <c r="E34" i="79"/>
  <c r="D34" i="79"/>
  <c r="C34" i="79"/>
  <c r="H33" i="79"/>
  <c r="G33" i="79"/>
  <c r="F33" i="79"/>
  <c r="E33" i="79"/>
  <c r="D33" i="79"/>
  <c r="C33" i="79"/>
  <c r="H32" i="79"/>
  <c r="G32" i="79"/>
  <c r="F32" i="79"/>
  <c r="E32" i="79"/>
  <c r="D32" i="79"/>
  <c r="C32" i="79"/>
  <c r="H31" i="79"/>
  <c r="G31" i="79"/>
  <c r="F31" i="79"/>
  <c r="E31" i="79"/>
  <c r="D31" i="79"/>
  <c r="C31" i="79"/>
  <c r="H30" i="79"/>
  <c r="G30" i="79"/>
  <c r="F30" i="79"/>
  <c r="E30" i="79"/>
  <c r="D30" i="79"/>
  <c r="C30" i="79"/>
  <c r="H29" i="79"/>
  <c r="G29" i="79"/>
  <c r="F29" i="79"/>
  <c r="E29" i="79"/>
  <c r="D29" i="79"/>
  <c r="C29" i="79"/>
  <c r="H26" i="79"/>
  <c r="G26" i="79"/>
  <c r="F26" i="79"/>
  <c r="E26" i="79"/>
  <c r="D26" i="79"/>
  <c r="C26" i="79"/>
  <c r="H25" i="79"/>
  <c r="G25" i="79"/>
  <c r="F25" i="79"/>
  <c r="E25" i="79"/>
  <c r="D25" i="79"/>
  <c r="C25" i="79"/>
  <c r="H24" i="79"/>
  <c r="G24" i="79"/>
  <c r="F24" i="79"/>
  <c r="E24" i="79"/>
  <c r="D24" i="79"/>
  <c r="C24" i="79"/>
  <c r="H23" i="79"/>
  <c r="G23" i="79"/>
  <c r="F23" i="79"/>
  <c r="E23" i="79"/>
  <c r="D23" i="79"/>
  <c r="C23" i="79"/>
  <c r="H22" i="79"/>
  <c r="G22" i="79"/>
  <c r="F22" i="79"/>
  <c r="E22" i="79"/>
  <c r="D22" i="79"/>
  <c r="C22" i="79"/>
  <c r="H21" i="79"/>
  <c r="G21" i="79"/>
  <c r="F21" i="79"/>
  <c r="E21" i="79"/>
  <c r="D21" i="79"/>
  <c r="C21" i="79"/>
  <c r="H20" i="79"/>
  <c r="G20" i="79"/>
  <c r="F20" i="79"/>
  <c r="E20" i="79"/>
  <c r="D20" i="79"/>
  <c r="C20" i="79"/>
  <c r="H19" i="79"/>
  <c r="G19" i="79"/>
  <c r="F19" i="79"/>
  <c r="E19" i="79"/>
  <c r="D19" i="79"/>
  <c r="C19" i="79"/>
  <c r="H16" i="79"/>
  <c r="G16" i="79"/>
  <c r="F16" i="79"/>
  <c r="E16" i="79"/>
  <c r="D16" i="79"/>
  <c r="C16" i="79"/>
  <c r="H15" i="79"/>
  <c r="G15" i="79"/>
  <c r="F15" i="79"/>
  <c r="E15" i="79"/>
  <c r="D15" i="79"/>
  <c r="C15" i="79"/>
  <c r="H14" i="79"/>
  <c r="G14" i="79"/>
  <c r="F14" i="79"/>
  <c r="E14" i="79"/>
  <c r="D14" i="79"/>
  <c r="C14" i="79"/>
  <c r="H13" i="79"/>
  <c r="G13" i="79"/>
  <c r="F13" i="79"/>
  <c r="E13" i="79"/>
  <c r="D13" i="79"/>
  <c r="C13" i="79"/>
  <c r="H12" i="79"/>
  <c r="G12" i="79"/>
  <c r="F12" i="79"/>
  <c r="E12" i="79"/>
  <c r="D12" i="79"/>
  <c r="C12" i="79"/>
  <c r="H11" i="79"/>
  <c r="G11" i="79"/>
  <c r="F11" i="79"/>
  <c r="E11" i="79"/>
  <c r="D11" i="79"/>
  <c r="C11" i="79"/>
  <c r="H10" i="79"/>
  <c r="G10" i="79"/>
  <c r="F10" i="79"/>
  <c r="E10" i="79"/>
  <c r="D10" i="79"/>
  <c r="C10" i="79"/>
  <c r="H9" i="79"/>
  <c r="G9" i="79"/>
  <c r="F9" i="79"/>
  <c r="E9" i="79"/>
  <c r="D9" i="79"/>
  <c r="C9" i="79"/>
  <c r="H8" i="79"/>
  <c r="G8" i="79"/>
  <c r="F8" i="79"/>
  <c r="E8" i="79"/>
  <c r="D8" i="79"/>
  <c r="C8" i="79"/>
  <c r="H7" i="79"/>
  <c r="G7" i="79"/>
  <c r="F7" i="79"/>
  <c r="E7" i="79"/>
  <c r="D7" i="79"/>
  <c r="C7" i="79"/>
  <c r="H6" i="79"/>
  <c r="G6" i="79"/>
  <c r="F6" i="79"/>
  <c r="E6" i="79"/>
  <c r="D6" i="79"/>
  <c r="C6" i="79"/>
  <c r="H5" i="79"/>
  <c r="G5" i="79"/>
  <c r="F5" i="79"/>
  <c r="E5" i="79"/>
  <c r="D5" i="79"/>
  <c r="C5" i="79"/>
  <c r="G27" i="79"/>
  <c r="E27" i="79"/>
  <c r="C27" i="79"/>
  <c r="B51" i="79"/>
  <c r="B47" i="79"/>
  <c r="B43" i="79"/>
  <c r="B39" i="79"/>
  <c r="B35" i="79"/>
  <c r="B31" i="79"/>
  <c r="B25" i="79"/>
  <c r="B49" i="79"/>
  <c r="B45" i="79"/>
  <c r="B41" i="79"/>
  <c r="B37" i="79"/>
  <c r="B33" i="79"/>
  <c r="B29" i="79"/>
  <c r="B27" i="79"/>
  <c r="B23" i="79"/>
  <c r="B20" i="79"/>
  <c r="B19" i="79"/>
  <c r="B14" i="79"/>
  <c r="B26" i="74"/>
  <c r="B22" i="74"/>
  <c r="B13" i="74"/>
  <c r="H31" i="74"/>
  <c r="G31" i="74"/>
  <c r="F31" i="74"/>
  <c r="E31" i="74"/>
  <c r="D31" i="74"/>
  <c r="C31" i="74"/>
  <c r="H30" i="74"/>
  <c r="G30" i="74"/>
  <c r="F30" i="74"/>
  <c r="E30" i="74"/>
  <c r="D30" i="74"/>
  <c r="C30" i="74"/>
  <c r="H29" i="74"/>
  <c r="G29" i="74"/>
  <c r="F29" i="74"/>
  <c r="E29" i="74"/>
  <c r="D29" i="74"/>
  <c r="C29" i="74"/>
  <c r="H28" i="74"/>
  <c r="G28" i="74"/>
  <c r="F28" i="74"/>
  <c r="E28" i="74"/>
  <c r="D28" i="74"/>
  <c r="C28" i="74"/>
  <c r="H27" i="74"/>
  <c r="G27" i="74"/>
  <c r="F27" i="74"/>
  <c r="E27" i="74"/>
  <c r="D27" i="74"/>
  <c r="C27" i="74"/>
  <c r="H26" i="74"/>
  <c r="G26" i="74"/>
  <c r="F26" i="74"/>
  <c r="E26" i="74"/>
  <c r="D26" i="74"/>
  <c r="C26" i="74"/>
  <c r="H25" i="74"/>
  <c r="G25" i="74"/>
  <c r="F25" i="74"/>
  <c r="E25" i="74"/>
  <c r="D25" i="74"/>
  <c r="C25" i="74"/>
  <c r="H24" i="74"/>
  <c r="G24" i="74"/>
  <c r="F24" i="74"/>
  <c r="E24" i="74"/>
  <c r="D24" i="74"/>
  <c r="C24" i="74"/>
  <c r="H23" i="74"/>
  <c r="G23" i="74"/>
  <c r="F23" i="74"/>
  <c r="E23" i="74"/>
  <c r="D23" i="74"/>
  <c r="C23" i="74"/>
  <c r="H22" i="74"/>
  <c r="G22" i="74"/>
  <c r="F22" i="74"/>
  <c r="E22" i="74"/>
  <c r="D22" i="74"/>
  <c r="C22" i="74"/>
  <c r="H21" i="74"/>
  <c r="G21" i="74"/>
  <c r="F21" i="74"/>
  <c r="E21" i="74"/>
  <c r="D21" i="74"/>
  <c r="C21" i="74"/>
  <c r="H20" i="74"/>
  <c r="G20" i="74"/>
  <c r="F20" i="74"/>
  <c r="E20" i="74"/>
  <c r="D20" i="74"/>
  <c r="C20" i="74"/>
  <c r="H19" i="74"/>
  <c r="G19" i="74"/>
  <c r="F19" i="74"/>
  <c r="E19" i="74"/>
  <c r="D19" i="74"/>
  <c r="C19" i="74"/>
  <c r="H18" i="74"/>
  <c r="G18" i="74"/>
  <c r="F18" i="74"/>
  <c r="E18" i="74"/>
  <c r="D18" i="74"/>
  <c r="C18" i="74"/>
  <c r="H10" i="74"/>
  <c r="G10" i="74"/>
  <c r="F10" i="74"/>
  <c r="E10" i="74"/>
  <c r="D10" i="74"/>
  <c r="C10" i="74"/>
  <c r="H9" i="74"/>
  <c r="G9" i="74"/>
  <c r="F9" i="74"/>
  <c r="E9" i="74"/>
  <c r="D9" i="74"/>
  <c r="C9" i="74"/>
  <c r="H8" i="74"/>
  <c r="G8" i="74"/>
  <c r="F8" i="74"/>
  <c r="E8" i="74"/>
  <c r="D8" i="74"/>
  <c r="C8" i="74"/>
  <c r="H7" i="74"/>
  <c r="G7" i="74"/>
  <c r="F7" i="74"/>
  <c r="E7" i="74"/>
  <c r="D7" i="74"/>
  <c r="C7" i="74"/>
  <c r="H6" i="74"/>
  <c r="G6" i="74"/>
  <c r="F6" i="74"/>
  <c r="E6" i="74"/>
  <c r="D6" i="74"/>
  <c r="C6" i="74"/>
  <c r="H5" i="74"/>
  <c r="G5" i="74"/>
  <c r="F5" i="74"/>
  <c r="E5" i="74"/>
  <c r="D5" i="74"/>
  <c r="C5" i="74"/>
  <c r="H16" i="74"/>
  <c r="G16" i="74"/>
  <c r="F16" i="74"/>
  <c r="E16" i="74"/>
  <c r="D16" i="74"/>
  <c r="C16" i="74"/>
  <c r="H15" i="74"/>
  <c r="G15" i="74"/>
  <c r="F15" i="74"/>
  <c r="E15" i="74"/>
  <c r="D15" i="74"/>
  <c r="C15" i="74"/>
  <c r="H14" i="74"/>
  <c r="G14" i="74"/>
  <c r="F14" i="74"/>
  <c r="E14" i="74"/>
  <c r="D14" i="74"/>
  <c r="C14" i="74"/>
  <c r="H13" i="74"/>
  <c r="G13" i="74"/>
  <c r="F13" i="74"/>
  <c r="E13" i="74"/>
  <c r="D13" i="74"/>
  <c r="C13" i="74"/>
  <c r="B28" i="74" l="1"/>
  <c r="B24" i="74"/>
  <c r="B20" i="74"/>
  <c r="B18" i="74"/>
  <c r="B16" i="74"/>
  <c r="B15" i="74"/>
  <c r="B14" i="74"/>
  <c r="B10" i="74"/>
  <c r="F16" i="70" l="1"/>
  <c r="E16" i="70"/>
  <c r="D16" i="70"/>
  <c r="C16" i="70"/>
  <c r="F15" i="70"/>
  <c r="E15" i="70"/>
  <c r="D15" i="70"/>
  <c r="C15" i="70"/>
  <c r="F14" i="70"/>
  <c r="E14" i="70"/>
  <c r="D14" i="70"/>
  <c r="C14" i="70"/>
  <c r="F13" i="70"/>
  <c r="E13" i="70"/>
  <c r="D13" i="70"/>
  <c r="C13" i="70"/>
  <c r="F12" i="70"/>
  <c r="E12" i="70"/>
  <c r="D12" i="70"/>
  <c r="C12" i="70"/>
  <c r="F11" i="70"/>
  <c r="E11" i="70"/>
  <c r="D11" i="70"/>
  <c r="C11" i="70"/>
  <c r="F8" i="70"/>
  <c r="E8" i="70"/>
  <c r="F7" i="70"/>
  <c r="E7" i="70"/>
  <c r="F6" i="70"/>
  <c r="E6" i="70"/>
  <c r="D6" i="70"/>
  <c r="C6" i="70"/>
  <c r="F5" i="70"/>
  <c r="E5" i="70"/>
  <c r="D5" i="70"/>
  <c r="C5" i="70"/>
  <c r="B8" i="70"/>
  <c r="L152" i="67" l="1"/>
  <c r="K152" i="67"/>
  <c r="J152" i="67"/>
  <c r="I152" i="67"/>
  <c r="H152" i="67"/>
  <c r="G152" i="67"/>
  <c r="F152" i="67"/>
  <c r="E152" i="67"/>
  <c r="D152" i="67"/>
  <c r="C152" i="67"/>
  <c r="L151" i="67"/>
  <c r="K151" i="67"/>
  <c r="J151" i="67"/>
  <c r="I151" i="67"/>
  <c r="H151" i="67"/>
  <c r="G151" i="67"/>
  <c r="F151" i="67"/>
  <c r="E151" i="67"/>
  <c r="D151" i="67"/>
  <c r="C151" i="67"/>
  <c r="L150" i="67"/>
  <c r="K150" i="67"/>
  <c r="J150" i="67"/>
  <c r="I150" i="67"/>
  <c r="H150" i="67"/>
  <c r="G150" i="67"/>
  <c r="F150" i="67"/>
  <c r="E150" i="67"/>
  <c r="D150" i="67"/>
  <c r="C150" i="67"/>
  <c r="L149" i="67"/>
  <c r="K149" i="67"/>
  <c r="J149" i="67"/>
  <c r="I149" i="67"/>
  <c r="H149" i="67"/>
  <c r="G149" i="67"/>
  <c r="F149" i="67"/>
  <c r="E149" i="67"/>
  <c r="D149" i="67"/>
  <c r="C149" i="67"/>
  <c r="L148" i="67"/>
  <c r="K148" i="67"/>
  <c r="J148" i="67"/>
  <c r="I148" i="67"/>
  <c r="H148" i="67"/>
  <c r="G148" i="67"/>
  <c r="F148" i="67"/>
  <c r="E148" i="67"/>
  <c r="D148" i="67"/>
  <c r="C148" i="67"/>
  <c r="L147" i="67"/>
  <c r="K147" i="67"/>
  <c r="J147" i="67"/>
  <c r="I147" i="67"/>
  <c r="H147" i="67"/>
  <c r="G147" i="67"/>
  <c r="F147" i="67"/>
  <c r="E147" i="67"/>
  <c r="D147" i="67"/>
  <c r="C147" i="67"/>
  <c r="L146" i="67"/>
  <c r="K146" i="67"/>
  <c r="J146" i="67"/>
  <c r="I146" i="67"/>
  <c r="H146" i="67"/>
  <c r="G146" i="67"/>
  <c r="F146" i="67"/>
  <c r="E146" i="67"/>
  <c r="D146" i="67"/>
  <c r="C146" i="67"/>
  <c r="L145" i="67"/>
  <c r="K145" i="67"/>
  <c r="J145" i="67"/>
  <c r="I145" i="67"/>
  <c r="H145" i="67"/>
  <c r="G145" i="67"/>
  <c r="F145" i="67"/>
  <c r="E145" i="67"/>
  <c r="D145" i="67"/>
  <c r="C145" i="67"/>
  <c r="L144" i="67"/>
  <c r="K144" i="67"/>
  <c r="J144" i="67"/>
  <c r="I144" i="67"/>
  <c r="H144" i="67"/>
  <c r="G144" i="67"/>
  <c r="F144" i="67"/>
  <c r="E144" i="67"/>
  <c r="D144" i="67"/>
  <c r="C144" i="67"/>
  <c r="L143" i="67"/>
  <c r="K143" i="67"/>
  <c r="J143" i="67"/>
  <c r="I143" i="67"/>
  <c r="H143" i="67"/>
  <c r="G143" i="67"/>
  <c r="F143" i="67"/>
  <c r="E143" i="67"/>
  <c r="D143" i="67"/>
  <c r="C143" i="67"/>
  <c r="L142" i="67"/>
  <c r="K142" i="67"/>
  <c r="J142" i="67"/>
  <c r="I142" i="67"/>
  <c r="H142" i="67"/>
  <c r="G142" i="67"/>
  <c r="F142" i="67"/>
  <c r="E142" i="67"/>
  <c r="D142" i="67"/>
  <c r="C142" i="67"/>
  <c r="L141" i="67"/>
  <c r="K141" i="67"/>
  <c r="J141" i="67"/>
  <c r="I141" i="67"/>
  <c r="H141" i="67"/>
  <c r="G141" i="67"/>
  <c r="F141" i="67"/>
  <c r="E141" i="67"/>
  <c r="D141" i="67"/>
  <c r="C141" i="67"/>
  <c r="L140" i="67"/>
  <c r="K140" i="67"/>
  <c r="J140" i="67"/>
  <c r="I140" i="67"/>
  <c r="H140" i="67"/>
  <c r="G140" i="67"/>
  <c r="F140" i="67"/>
  <c r="E140" i="67"/>
  <c r="D140" i="67"/>
  <c r="C140" i="67"/>
  <c r="L139" i="67"/>
  <c r="K139" i="67"/>
  <c r="J139" i="67"/>
  <c r="I139" i="67"/>
  <c r="H139" i="67"/>
  <c r="G139" i="67"/>
  <c r="F139" i="67"/>
  <c r="E139" i="67"/>
  <c r="D139" i="67"/>
  <c r="C139" i="67"/>
  <c r="L138" i="67"/>
  <c r="K138" i="67"/>
  <c r="J138" i="67"/>
  <c r="I138" i="67"/>
  <c r="H138" i="67"/>
  <c r="G138" i="67"/>
  <c r="F138" i="67"/>
  <c r="E138" i="67"/>
  <c r="D138" i="67"/>
  <c r="C138" i="67"/>
  <c r="L137" i="67"/>
  <c r="K137" i="67"/>
  <c r="J137" i="67"/>
  <c r="I137" i="67"/>
  <c r="H137" i="67"/>
  <c r="G137" i="67"/>
  <c r="F137" i="67"/>
  <c r="E137" i="67"/>
  <c r="D137" i="67"/>
  <c r="C137" i="67"/>
  <c r="B137" i="67"/>
  <c r="L136" i="67"/>
  <c r="K136" i="67"/>
  <c r="J136" i="67"/>
  <c r="I136" i="67"/>
  <c r="H136" i="67"/>
  <c r="G136" i="67"/>
  <c r="F136" i="67"/>
  <c r="E136" i="67"/>
  <c r="D136" i="67"/>
  <c r="C136" i="67"/>
  <c r="L135" i="67"/>
  <c r="K135" i="67"/>
  <c r="J135" i="67"/>
  <c r="I135" i="67"/>
  <c r="H135" i="67"/>
  <c r="G135" i="67"/>
  <c r="F135" i="67"/>
  <c r="E135" i="67"/>
  <c r="D135" i="67"/>
  <c r="C135" i="67"/>
  <c r="B135" i="67"/>
  <c r="L134" i="67"/>
  <c r="K134" i="67"/>
  <c r="J134" i="67"/>
  <c r="I134" i="67"/>
  <c r="H134" i="67"/>
  <c r="G134" i="67"/>
  <c r="F134" i="67"/>
  <c r="E134" i="67"/>
  <c r="D134" i="67"/>
  <c r="C134" i="67"/>
  <c r="L133" i="67"/>
  <c r="K133" i="67"/>
  <c r="J133" i="67"/>
  <c r="I133" i="67"/>
  <c r="H133" i="67"/>
  <c r="G133" i="67"/>
  <c r="F133" i="67"/>
  <c r="E133" i="67"/>
  <c r="D133" i="67"/>
  <c r="C133" i="67"/>
  <c r="B133" i="67"/>
  <c r="L132" i="67"/>
  <c r="K132" i="67"/>
  <c r="J132" i="67"/>
  <c r="I132" i="67"/>
  <c r="H132" i="67"/>
  <c r="G132" i="67"/>
  <c r="F132" i="67"/>
  <c r="E132" i="67"/>
  <c r="D132" i="67"/>
  <c r="C132" i="67"/>
  <c r="L131" i="67"/>
  <c r="K131" i="67"/>
  <c r="J131" i="67"/>
  <c r="I131" i="67"/>
  <c r="H131" i="67"/>
  <c r="G131" i="67"/>
  <c r="F131" i="67"/>
  <c r="E131" i="67"/>
  <c r="D131" i="67"/>
  <c r="C131" i="67"/>
  <c r="B131" i="67"/>
  <c r="L130" i="67"/>
  <c r="K130" i="67"/>
  <c r="J130" i="67"/>
  <c r="I130" i="67"/>
  <c r="H130" i="67"/>
  <c r="G130" i="67"/>
  <c r="F130" i="67"/>
  <c r="E130" i="67"/>
  <c r="D130" i="67"/>
  <c r="C130" i="67"/>
  <c r="L129" i="67"/>
  <c r="K129" i="67"/>
  <c r="J129" i="67"/>
  <c r="I129" i="67"/>
  <c r="H129" i="67"/>
  <c r="G129" i="67"/>
  <c r="F129" i="67"/>
  <c r="E129" i="67"/>
  <c r="D129" i="67"/>
  <c r="C129" i="67"/>
  <c r="B129" i="67"/>
  <c r="L128" i="67"/>
  <c r="K128" i="67"/>
  <c r="J128" i="67"/>
  <c r="I128" i="67"/>
  <c r="H128" i="67"/>
  <c r="G128" i="67"/>
  <c r="F128" i="67"/>
  <c r="E128" i="67"/>
  <c r="D128" i="67"/>
  <c r="C128" i="67"/>
  <c r="B128" i="67"/>
  <c r="L127" i="67"/>
  <c r="K127" i="67"/>
  <c r="J127" i="67"/>
  <c r="I127" i="67"/>
  <c r="H127" i="67"/>
  <c r="G127" i="67"/>
  <c r="F127" i="67"/>
  <c r="E127" i="67"/>
  <c r="D127" i="67"/>
  <c r="C127" i="67"/>
  <c r="B127" i="67"/>
  <c r="L126" i="67"/>
  <c r="K126" i="67"/>
  <c r="J126" i="67"/>
  <c r="I126" i="67"/>
  <c r="H126" i="67"/>
  <c r="G126" i="67"/>
  <c r="F126" i="67"/>
  <c r="E126" i="67"/>
  <c r="D126" i="67"/>
  <c r="C126" i="67"/>
  <c r="L125" i="67"/>
  <c r="K125" i="67"/>
  <c r="J125" i="67"/>
  <c r="I125" i="67"/>
  <c r="H125" i="67"/>
  <c r="G125" i="67"/>
  <c r="F125" i="67"/>
  <c r="E125" i="67"/>
  <c r="D125" i="67"/>
  <c r="C125" i="67"/>
  <c r="B125" i="67"/>
  <c r="L124" i="67"/>
  <c r="K124" i="67"/>
  <c r="J124" i="67"/>
  <c r="I124" i="67"/>
  <c r="H124" i="67"/>
  <c r="G124" i="67"/>
  <c r="F124" i="67"/>
  <c r="E124" i="67"/>
  <c r="D124" i="67"/>
  <c r="C124" i="67"/>
  <c r="B124" i="67"/>
  <c r="L123" i="67"/>
  <c r="K123" i="67"/>
  <c r="J123" i="67"/>
  <c r="I123" i="67"/>
  <c r="H123" i="67"/>
  <c r="G123" i="67"/>
  <c r="F123" i="67"/>
  <c r="E123" i="67"/>
  <c r="D123" i="67"/>
  <c r="C123" i="67"/>
  <c r="B123" i="67"/>
  <c r="L122" i="67"/>
  <c r="K122" i="67"/>
  <c r="J122" i="67"/>
  <c r="I122" i="67"/>
  <c r="H122" i="67"/>
  <c r="G122" i="67"/>
  <c r="F122" i="67"/>
  <c r="E122" i="67"/>
  <c r="D122" i="67"/>
  <c r="C122" i="67"/>
  <c r="L121" i="67"/>
  <c r="K121" i="67"/>
  <c r="J121" i="67"/>
  <c r="I121" i="67"/>
  <c r="H121" i="67"/>
  <c r="G121" i="67"/>
  <c r="F121" i="67"/>
  <c r="E121" i="67"/>
  <c r="D121" i="67"/>
  <c r="C121" i="67"/>
  <c r="B121" i="67"/>
  <c r="L120" i="67"/>
  <c r="K120" i="67"/>
  <c r="J120" i="67"/>
  <c r="I120" i="67"/>
  <c r="H120" i="67"/>
  <c r="G120" i="67"/>
  <c r="F120" i="67"/>
  <c r="E120" i="67"/>
  <c r="D120" i="67"/>
  <c r="C120" i="67"/>
  <c r="B120" i="67"/>
  <c r="L119" i="67"/>
  <c r="K119" i="67"/>
  <c r="J119" i="67"/>
  <c r="I119" i="67"/>
  <c r="H119" i="67"/>
  <c r="G119" i="67"/>
  <c r="F119" i="67"/>
  <c r="E119" i="67"/>
  <c r="D119" i="67"/>
  <c r="C119" i="67"/>
  <c r="B119" i="67"/>
  <c r="L117" i="67"/>
  <c r="K117" i="67"/>
  <c r="J117" i="67"/>
  <c r="I117" i="67"/>
  <c r="H117" i="67"/>
  <c r="G117" i="67"/>
  <c r="F117" i="67"/>
  <c r="E117" i="67"/>
  <c r="D117" i="67"/>
  <c r="C117" i="67"/>
  <c r="L116" i="67"/>
  <c r="K116" i="67"/>
  <c r="J116" i="67"/>
  <c r="I116" i="67"/>
  <c r="H116" i="67"/>
  <c r="G116" i="67"/>
  <c r="F116" i="67"/>
  <c r="E116" i="67"/>
  <c r="D116" i="67"/>
  <c r="C116" i="67"/>
  <c r="L115" i="67"/>
  <c r="K115" i="67"/>
  <c r="J115" i="67"/>
  <c r="I115" i="67"/>
  <c r="H115" i="67"/>
  <c r="G115" i="67"/>
  <c r="F115" i="67"/>
  <c r="E115" i="67"/>
  <c r="D115" i="67"/>
  <c r="C115" i="67"/>
  <c r="B115" i="67"/>
  <c r="L114" i="67"/>
  <c r="K114" i="67"/>
  <c r="J114" i="67"/>
  <c r="I114" i="67"/>
  <c r="H114" i="67"/>
  <c r="G114" i="67"/>
  <c r="F114" i="67"/>
  <c r="E114" i="67"/>
  <c r="D114" i="67"/>
  <c r="C114" i="67"/>
  <c r="L113" i="67"/>
  <c r="K113" i="67"/>
  <c r="J113" i="67"/>
  <c r="I113" i="67"/>
  <c r="H113" i="67"/>
  <c r="G113" i="67"/>
  <c r="F113" i="67"/>
  <c r="E113" i="67"/>
  <c r="D113" i="67"/>
  <c r="C113" i="67"/>
  <c r="L112" i="67"/>
  <c r="K112" i="67"/>
  <c r="J112" i="67"/>
  <c r="I112" i="67"/>
  <c r="H112" i="67"/>
  <c r="G112" i="67"/>
  <c r="F112" i="67"/>
  <c r="E112" i="67"/>
  <c r="D112" i="67"/>
  <c r="C112" i="67"/>
  <c r="L111" i="67"/>
  <c r="K111" i="67"/>
  <c r="J111" i="67"/>
  <c r="I111" i="67"/>
  <c r="H111" i="67"/>
  <c r="G111" i="67"/>
  <c r="F111" i="67"/>
  <c r="E111" i="67"/>
  <c r="D111" i="67"/>
  <c r="C111" i="67"/>
  <c r="L110" i="67"/>
  <c r="K110" i="67"/>
  <c r="J110" i="67"/>
  <c r="I110" i="67"/>
  <c r="H110" i="67"/>
  <c r="G110" i="67"/>
  <c r="F110" i="67"/>
  <c r="E110" i="67"/>
  <c r="D110" i="67"/>
  <c r="C110" i="67"/>
  <c r="D45" i="67"/>
  <c r="C45" i="67"/>
  <c r="D44" i="67"/>
  <c r="C44" i="67"/>
  <c r="D43" i="67"/>
  <c r="C43" i="67"/>
  <c r="D42" i="67"/>
  <c r="C42" i="67"/>
  <c r="D41" i="67"/>
  <c r="C41" i="67"/>
  <c r="D40" i="67"/>
  <c r="C40" i="67"/>
  <c r="D39" i="67"/>
  <c r="C39" i="67"/>
  <c r="D38" i="67"/>
  <c r="C38" i="67"/>
  <c r="D37" i="67"/>
  <c r="C37" i="67"/>
  <c r="D36" i="67"/>
  <c r="C36" i="67"/>
  <c r="D35" i="67"/>
  <c r="C35" i="67"/>
  <c r="D34" i="67"/>
  <c r="C34" i="67"/>
  <c r="D33" i="67"/>
  <c r="C33" i="67"/>
  <c r="D32" i="67"/>
  <c r="C32" i="67"/>
  <c r="B32" i="67"/>
  <c r="D31" i="67"/>
  <c r="C31" i="67"/>
  <c r="D30" i="67"/>
  <c r="C30" i="67"/>
  <c r="B30" i="67"/>
  <c r="D29" i="67"/>
  <c r="C29" i="67"/>
  <c r="D28" i="67"/>
  <c r="C28" i="67"/>
  <c r="B28" i="67"/>
  <c r="D27" i="67"/>
  <c r="C27" i="67"/>
  <c r="D26" i="67"/>
  <c r="C26" i="67"/>
  <c r="B26" i="67"/>
  <c r="D25" i="67"/>
  <c r="C25" i="67"/>
  <c r="D24" i="67"/>
  <c r="C24" i="67"/>
  <c r="B24" i="67"/>
  <c r="D23" i="67"/>
  <c r="C23" i="67"/>
  <c r="B23" i="67"/>
  <c r="D22" i="67"/>
  <c r="C22" i="67"/>
  <c r="B22" i="67"/>
  <c r="D21" i="67"/>
  <c r="C21" i="67"/>
  <c r="D20" i="67"/>
  <c r="C20" i="67"/>
  <c r="B20" i="67"/>
  <c r="D19" i="67"/>
  <c r="C19" i="67"/>
  <c r="B19" i="67"/>
  <c r="D18" i="67"/>
  <c r="C18" i="67"/>
  <c r="B18" i="67"/>
  <c r="D17" i="67"/>
  <c r="C17" i="67"/>
  <c r="D16" i="67"/>
  <c r="C16" i="67"/>
  <c r="B16" i="67"/>
  <c r="D15" i="67"/>
  <c r="C15" i="67"/>
  <c r="B15" i="67"/>
  <c r="D14" i="67"/>
  <c r="C14" i="67"/>
  <c r="B14" i="67"/>
  <c r="L12" i="67"/>
  <c r="K12" i="67"/>
  <c r="J12" i="67"/>
  <c r="I12" i="67"/>
  <c r="H12" i="67"/>
  <c r="G12" i="67"/>
  <c r="F12" i="67"/>
  <c r="E12" i="67"/>
  <c r="L11" i="67"/>
  <c r="K11" i="67"/>
  <c r="J11" i="67"/>
  <c r="I11" i="67"/>
  <c r="H11" i="67"/>
  <c r="G11" i="67"/>
  <c r="F11" i="67"/>
  <c r="E11" i="67"/>
  <c r="L10" i="67"/>
  <c r="K10" i="67"/>
  <c r="J10" i="67"/>
  <c r="I10" i="67"/>
  <c r="H10" i="67"/>
  <c r="G10" i="67"/>
  <c r="F10" i="67"/>
  <c r="E10" i="67"/>
  <c r="B10" i="67"/>
  <c r="L9" i="67"/>
  <c r="K9" i="67"/>
  <c r="J9" i="67"/>
  <c r="I9" i="67"/>
  <c r="H9" i="67"/>
  <c r="G9" i="67"/>
  <c r="F9" i="67"/>
  <c r="E9" i="67"/>
  <c r="L8" i="67"/>
  <c r="K8" i="67"/>
  <c r="J8" i="67"/>
  <c r="I8" i="67"/>
  <c r="H8" i="67"/>
  <c r="G8" i="67"/>
  <c r="F8" i="67"/>
  <c r="E8" i="67"/>
  <c r="L7" i="67"/>
  <c r="K7" i="67"/>
  <c r="J7" i="67"/>
  <c r="I7" i="67"/>
  <c r="H7" i="67"/>
  <c r="G7" i="67"/>
  <c r="F7" i="67"/>
  <c r="E7" i="67"/>
  <c r="L6" i="67"/>
  <c r="K6" i="67"/>
  <c r="J6" i="67"/>
  <c r="I6" i="67"/>
  <c r="H6" i="67"/>
  <c r="G6" i="67"/>
  <c r="F6" i="67"/>
  <c r="E6" i="67"/>
  <c r="L5" i="67"/>
  <c r="K5" i="67"/>
  <c r="J5" i="67"/>
  <c r="I5" i="67"/>
  <c r="H5" i="67"/>
  <c r="G5" i="67"/>
  <c r="F5" i="67"/>
  <c r="E5" i="67"/>
  <c r="E11" i="55" l="1"/>
  <c r="L28" i="55" l="1"/>
  <c r="K28" i="55"/>
  <c r="J28" i="55"/>
  <c r="I28" i="55"/>
  <c r="H28" i="55"/>
  <c r="G28" i="55"/>
  <c r="F28" i="55"/>
  <c r="E28" i="55"/>
  <c r="D28" i="55"/>
  <c r="C28" i="55"/>
  <c r="L27" i="55"/>
  <c r="K27" i="55"/>
  <c r="J27" i="55"/>
  <c r="I27" i="55"/>
  <c r="H27" i="55"/>
  <c r="G27" i="55"/>
  <c r="F27" i="55"/>
  <c r="E27" i="55"/>
  <c r="D27" i="55"/>
  <c r="C27" i="55"/>
  <c r="L26" i="55"/>
  <c r="K26" i="55"/>
  <c r="J26" i="55"/>
  <c r="I26" i="55"/>
  <c r="H26" i="55"/>
  <c r="G26" i="55"/>
  <c r="F26" i="55"/>
  <c r="E26" i="55"/>
  <c r="D25" i="55"/>
  <c r="C25" i="55"/>
  <c r="L25" i="55"/>
  <c r="K25" i="55"/>
  <c r="J25" i="55"/>
  <c r="I25" i="55"/>
  <c r="H25" i="55"/>
  <c r="G25" i="55"/>
  <c r="F25" i="55"/>
  <c r="E25" i="55"/>
  <c r="D24" i="55"/>
  <c r="C24" i="55"/>
  <c r="L24" i="55"/>
  <c r="K24" i="55"/>
  <c r="J24" i="55"/>
  <c r="I24" i="55"/>
  <c r="H24" i="55"/>
  <c r="G24" i="55"/>
  <c r="F24" i="55"/>
  <c r="E24" i="55"/>
  <c r="D23" i="55"/>
  <c r="C23" i="55"/>
  <c r="L23" i="55"/>
  <c r="K23" i="55"/>
  <c r="J23" i="55"/>
  <c r="I23" i="55"/>
  <c r="H23" i="55"/>
  <c r="G23" i="55"/>
  <c r="F23" i="55"/>
  <c r="E23" i="55"/>
  <c r="D22" i="55"/>
  <c r="C22" i="55"/>
  <c r="L22" i="55"/>
  <c r="K22" i="55"/>
  <c r="J22" i="55"/>
  <c r="I22" i="55"/>
  <c r="H22" i="55"/>
  <c r="G22" i="55"/>
  <c r="F22" i="55"/>
  <c r="E22" i="55"/>
  <c r="D21" i="55"/>
  <c r="C21" i="55"/>
  <c r="L21" i="55"/>
  <c r="K21" i="55"/>
  <c r="J21" i="55"/>
  <c r="I21" i="55"/>
  <c r="H21" i="55"/>
  <c r="G21" i="55"/>
  <c r="F21" i="55"/>
  <c r="E21" i="55"/>
  <c r="D20" i="55"/>
  <c r="C20" i="55"/>
  <c r="L20" i="55"/>
  <c r="K20" i="55"/>
  <c r="J20" i="55"/>
  <c r="I20" i="55"/>
  <c r="H20" i="55"/>
  <c r="G20" i="55"/>
  <c r="F20" i="55"/>
  <c r="E20" i="55"/>
  <c r="D19" i="55"/>
  <c r="C19" i="55"/>
  <c r="L19" i="55"/>
  <c r="K19" i="55"/>
  <c r="J19" i="55"/>
  <c r="I19" i="55"/>
  <c r="H19" i="55"/>
  <c r="G19" i="55"/>
  <c r="F19" i="55"/>
  <c r="E19" i="55"/>
  <c r="D18" i="55"/>
  <c r="C18" i="55"/>
  <c r="L18" i="55"/>
  <c r="K18" i="55"/>
  <c r="J18" i="55"/>
  <c r="I18" i="55"/>
  <c r="H18" i="55"/>
  <c r="G18" i="55"/>
  <c r="F18" i="55"/>
  <c r="E18" i="55"/>
  <c r="D17" i="55"/>
  <c r="C17" i="55"/>
  <c r="L17" i="55"/>
  <c r="K17" i="55"/>
  <c r="J17" i="55"/>
  <c r="I17" i="55"/>
  <c r="H17" i="55"/>
  <c r="G17" i="55"/>
  <c r="F17" i="55"/>
  <c r="E17" i="55"/>
  <c r="D16" i="55"/>
  <c r="C16" i="55"/>
  <c r="L16" i="55"/>
  <c r="K16" i="55"/>
  <c r="J16" i="55"/>
  <c r="I16" i="55"/>
  <c r="H16" i="55"/>
  <c r="G16" i="55"/>
  <c r="F16" i="55"/>
  <c r="E16" i="55"/>
  <c r="D15" i="55"/>
  <c r="C15" i="55"/>
  <c r="L15" i="55"/>
  <c r="K15" i="55"/>
  <c r="J15" i="55"/>
  <c r="I15" i="55"/>
  <c r="H15" i="55"/>
  <c r="G15" i="55"/>
  <c r="F15" i="55"/>
  <c r="E15" i="55"/>
  <c r="D14" i="55"/>
  <c r="C14" i="55"/>
  <c r="L14" i="55"/>
  <c r="K14" i="55"/>
  <c r="J14" i="55"/>
  <c r="I14" i="55"/>
  <c r="H14" i="55"/>
  <c r="G14" i="55"/>
  <c r="F14" i="55"/>
  <c r="E14" i="55"/>
  <c r="D13" i="55"/>
  <c r="C13" i="55"/>
  <c r="L13" i="55"/>
  <c r="K13" i="55"/>
  <c r="J13" i="55"/>
  <c r="I13" i="55"/>
  <c r="H13" i="55"/>
  <c r="G13" i="55"/>
  <c r="F13" i="55"/>
  <c r="E13" i="55"/>
  <c r="D12" i="55"/>
  <c r="C12" i="55"/>
  <c r="L12" i="55"/>
  <c r="K12" i="55"/>
  <c r="J12" i="55"/>
  <c r="I12" i="55"/>
  <c r="H12" i="55"/>
  <c r="G12" i="55"/>
  <c r="F12" i="55"/>
  <c r="E12" i="55"/>
  <c r="D11" i="55"/>
  <c r="C11" i="55"/>
  <c r="L11" i="55"/>
  <c r="K11" i="55"/>
  <c r="J11" i="55"/>
  <c r="I11" i="55"/>
  <c r="H11" i="55"/>
  <c r="G11" i="55"/>
  <c r="F11" i="55"/>
  <c r="D10" i="55"/>
  <c r="C10" i="55"/>
  <c r="L8" i="55"/>
  <c r="K8" i="55"/>
  <c r="J8" i="55"/>
  <c r="I8" i="55"/>
  <c r="H8" i="55"/>
  <c r="G8" i="55"/>
  <c r="F8" i="55"/>
  <c r="E8" i="55"/>
  <c r="D8" i="55"/>
  <c r="C8" i="55"/>
  <c r="L7" i="55"/>
  <c r="K7" i="55"/>
  <c r="J7" i="55"/>
  <c r="I7" i="55"/>
  <c r="H7" i="55"/>
  <c r="G7" i="55"/>
  <c r="F7" i="55"/>
  <c r="E7" i="55"/>
  <c r="D7" i="55"/>
  <c r="C7" i="55"/>
  <c r="L6" i="55"/>
  <c r="K6" i="55"/>
  <c r="J6" i="55"/>
  <c r="I6" i="55"/>
  <c r="H6" i="55"/>
  <c r="G6" i="55"/>
  <c r="F6" i="55"/>
  <c r="E6" i="55"/>
  <c r="D6" i="55"/>
  <c r="C6" i="55"/>
  <c r="L5" i="55"/>
  <c r="K5" i="55"/>
  <c r="J5" i="55"/>
  <c r="I5" i="55"/>
  <c r="H5" i="55"/>
  <c r="G5" i="55"/>
  <c r="F5" i="55"/>
  <c r="E5" i="55"/>
  <c r="D5" i="55"/>
  <c r="C5" i="55"/>
  <c r="B19" i="55" l="1"/>
  <c r="B17" i="55"/>
  <c r="B16" i="55"/>
  <c r="B15" i="55"/>
  <c r="B14" i="55"/>
  <c r="B13" i="55"/>
  <c r="B12" i="55"/>
  <c r="B11" i="55"/>
  <c r="B8" i="55"/>
</calcChain>
</file>

<file path=xl/sharedStrings.xml><?xml version="1.0" encoding="utf-8"?>
<sst xmlns="http://schemas.openxmlformats.org/spreadsheetml/2006/main" count="345" uniqueCount="90">
  <si>
    <t>Variable</t>
  </si>
  <si>
    <t>Obs</t>
  </si>
  <si>
    <t>Mean</t>
  </si>
  <si>
    <t>Std. Dev.</t>
  </si>
  <si>
    <t>Individual-year level</t>
  </si>
  <si>
    <t>Fraction of years when individual left the household</t>
  </si>
  <si>
    <t xml:space="preserve">Individual level </t>
  </si>
  <si>
    <t>Fraction of individuals that ever left the household</t>
  </si>
  <si>
    <t>Household-year level</t>
  </si>
  <si>
    <t>At least 1 person left the household in a given year (yes=1)</t>
  </si>
  <si>
    <t>Average number of people leaving the household in a given year</t>
  </si>
  <si>
    <t>Theft of money (yes=1) for a household in a given year</t>
  </si>
  <si>
    <t>Theft of crops (yes=1) for a household in a given year</t>
  </si>
  <si>
    <t>Theft or destruction of goods (yes=1) for a household in a given year</t>
  </si>
  <si>
    <t>Destruction of house (yes=1) for a household in a given year</t>
  </si>
  <si>
    <t>Loss of land (yes=1) for a household in a given year</t>
  </si>
  <si>
    <t xml:space="preserve">Household ever experienced theft of money </t>
  </si>
  <si>
    <t>Household ever experienced theft of crops</t>
  </si>
  <si>
    <t>Household ever experienced theft or destruction of good</t>
  </si>
  <si>
    <t>Household ever experienced destruction of house</t>
  </si>
  <si>
    <t>Household ever experienced loss of land</t>
  </si>
  <si>
    <t>Village-year level</t>
  </si>
  <si>
    <t>Fraction of years when village experienced violence</t>
  </si>
  <si>
    <t>Villages that experienced violence in at least 1 year during 1998-2007</t>
  </si>
  <si>
    <t>Year Fixed Effect</t>
  </si>
  <si>
    <t>Yes</t>
  </si>
  <si>
    <t>Individual Fixed Effect</t>
  </si>
  <si>
    <t>Observations</t>
  </si>
  <si>
    <t>(1)</t>
  </si>
  <si>
    <t>(2)</t>
  </si>
  <si>
    <t>(3)</t>
  </si>
  <si>
    <t>(4)</t>
  </si>
  <si>
    <t>(5)</t>
  </si>
  <si>
    <t>(6)</t>
  </si>
  <si>
    <t>(7)</t>
  </si>
  <si>
    <t>Province time-trend</t>
  </si>
  <si>
    <t>(8)</t>
  </si>
  <si>
    <t>(9)</t>
  </si>
  <si>
    <t>Household level</t>
  </si>
  <si>
    <t>Village level</t>
  </si>
  <si>
    <t>Household Fixed Effect</t>
  </si>
  <si>
    <t>Number of causalties in a given year</t>
  </si>
  <si>
    <t xml:space="preserve">Number of member of household that migrated outside household </t>
  </si>
  <si>
    <t>Fraction of villages that ever experienced violence at least one year during 1998-2007</t>
  </si>
  <si>
    <t>Number of casualties in a given year</t>
  </si>
  <si>
    <t>Mean Dependent Variable</t>
  </si>
  <si>
    <t>Violence in a given year (yes=1)</t>
  </si>
  <si>
    <t>Dependent Variable: At least one household member migrates outside household in a given year (yes=1)</t>
  </si>
  <si>
    <t>Conflict Exposure, Household level</t>
  </si>
  <si>
    <t>Conflict exposure, Village level</t>
  </si>
  <si>
    <t>Index of  Agricultural Related Losses (land and/or crops) - PCA</t>
  </si>
  <si>
    <t>Index of Asset Related Losses (money, goods and/or house) - PCA</t>
  </si>
  <si>
    <t>Index of  household Losss (all) - PCA</t>
  </si>
  <si>
    <r>
      <rPr>
        <b/>
        <sz val="10"/>
        <rFont val="Times New Roman"/>
        <family val="1"/>
      </rPr>
      <t>Notes -</t>
    </r>
    <r>
      <rPr>
        <sz val="10"/>
        <rFont val="Times New Roman"/>
        <family val="1"/>
      </rPr>
      <t xml:space="preserve"> * p&lt;0.10  ** p&lt;0.05 *** p&lt;0.01. Standard Deviation in brackets, Standard errors in paranthesis. Two-sided mean test reported. We only consider non-marital migration sample. Data Source: 2007 Burundi Priority Panel Survey.</t>
    </r>
  </si>
  <si>
    <t>(10)</t>
  </si>
  <si>
    <t>Table 1: Summary statistics</t>
  </si>
  <si>
    <t>Whithout marital migration</t>
  </si>
  <si>
    <r>
      <t>Notes -</t>
    </r>
    <r>
      <rPr>
        <sz val="10"/>
        <rFont val="Times New Roman"/>
        <family val="1"/>
      </rPr>
      <t xml:space="preserve"> This table presents the main descriptive statistics at different observation levels. </t>
    </r>
    <r>
      <rPr>
        <i/>
        <sz val="10"/>
        <rFont val="Times New Roman"/>
        <family val="1"/>
      </rPr>
      <t xml:space="preserve">Violence in a given year (yes=1) </t>
    </r>
    <r>
      <rPr>
        <sz val="10"/>
        <rFont val="Times New Roman"/>
        <family val="1"/>
      </rPr>
      <t xml:space="preserve"> takes the value one if the number of casualties in a given year is positive, 0 otherwise.</t>
    </r>
    <r>
      <rPr>
        <i/>
        <sz val="10"/>
        <rFont val="Times New Roman"/>
        <family val="1"/>
      </rPr>
      <t xml:space="preserve"> Number of causalties in a given year</t>
    </r>
    <r>
      <rPr>
        <sz val="10"/>
        <rFont val="Times New Roman"/>
        <family val="1"/>
      </rPr>
      <t xml:space="preserve"> measures the number of individuals killed or wounded in a given year (divided by 100).</t>
    </r>
    <r>
      <rPr>
        <i/>
        <sz val="10"/>
        <rFont val="Times New Roman"/>
        <family val="1"/>
      </rPr>
      <t xml:space="preserve"> </t>
    </r>
    <r>
      <rPr>
        <sz val="10"/>
        <rFont val="Times New Roman"/>
        <family val="1"/>
      </rPr>
      <t xml:space="preserve"> Index of household Losses (all) - PCA -  referes to the first component from a Principal Component Analysis for the five different type of losses at household level (i.e. money, crops, destruction of goods, destrution of house and loss of land). Index of Agricultural Related Losses - PCA -  refers to the first component from a Principal Component Analysis for the Loss of land (yes=1) and Theft of crops (yes=1) for a household in a given year. Index of Asset Related Losses refers - PCA -  refers to the first component from a Principal Component Analysis for Theft of money (yes=1), Theft or destruction of goods (yes=1), and Destruction of house (yes=1)  for a household in a given year. Data Source: 2007 Burundi Priority Panel Survey.</t>
    </r>
  </si>
  <si>
    <t>Notes - This table presents our baseline regression for household migration. Robust standard error, clustered at VIllage level. * p&lt;0.10  ** p&lt;0.05 *** p&lt;0.01. The dependent variable, at least one houhold member migrates outside household in a given year (yes=1), takes value one when at least one household member migrate due to no-marriage reason in a giving year. Violence in a given year (presence=1)   takes value one when the number of casualties in a given year is positive, 0 otherwise. Number of casualties in a given year includes the number of individuals killed or wounded in a given year, divided by 100 people.Index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</si>
  <si>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Index of  household Losses (all) - PCA</t>
  </si>
  <si>
    <t>Panel A</t>
  </si>
  <si>
    <t>Panel B</t>
  </si>
  <si>
    <t>Lag Violence in a given year (yes=1)</t>
  </si>
  <si>
    <t>Lag Number of casualties in a given year</t>
  </si>
  <si>
    <t>Lag Index of  Agricultural Related Losses (land and/or crops) - PCA</t>
  </si>
  <si>
    <t>Lag Index of Asset Related Losses (money, goods and/or house) - PCA</t>
  </si>
  <si>
    <t>Lag Index of  household Losss (all) - PCA</t>
  </si>
  <si>
    <t xml:space="preserve">Table A8: Baseline results. Armed Conflict and Non-Marital Migration, Household-level Analysis (using lags)												</t>
  </si>
  <si>
    <t>Dependent Variable: Number of household members who migrate outside household in a given year (yes=1)</t>
  </si>
  <si>
    <t xml:space="preserve">Notes - This table presents our baseline regression for household migration. Robust standard error, clustered at VIllage level. * p&lt;0.10  ** p&lt;0.05 *** p&lt;0.01. The dependent variable, at least one houhold member migrates outside household in a given year (yes=1), takes value one when at least one household member migrate due to no-marriage reason in a giving year. Violence in a given year (presence=1)   takes value one when the number of casualties in a given year is positive, 0 otherwise. Number of casualties in a given year includes the number of individuals killed or wounded in a given year, divided by 100 people.Index of Asset Related Losses refers - PCA -  refers to the first component from a Principal Component Analysis for Theft of money (yes=1), Theft or destruction of goods (yes=1), and Destruction of house (yes=1)  for a household in a given year. Data Source: 2007 Burundi Priority Panel Survey.
</t>
  </si>
  <si>
    <t>Notes - This table presents our baseline regression for non-marital migration at individual level. Robust standard errors, clustered at VIllage level. * p&lt;0.10  ** p&lt;0.05 *** p&lt;0.01. The dependent variable, Migration outside of the household in a given year (yes=1) takes value one when a person migrates due to non-marital reasons in a given year. Sample includes all household members that either never migrate or migrate for non-marital reasons during 1998-2007. Violence in a given year (presence=1)   takes value one when the number of casualties in a given year is positive, 0 otherwise. Number of casualties in a given year includes the number of individuals killed or wounded in a given year, divided by 100 people. Index of Asset Related Losses refers - PCA -  refers to the first component from a Principal Component Analysis for Theft of money (yes=1), Theft or destruction of goods (yes=1), and Destruction of house (yes=1)  for a household in a given year.  Data Source: 2007 Burundi Priority Panel Survey. Data Source: 2007 Burundi Priority Panel Survey.</t>
  </si>
  <si>
    <t>Table 4: Baseline results. Armed Conflict and Non-Marital Migration, Household-level Analysis</t>
  </si>
  <si>
    <t>Villages that never experienced violence during 1998-2007</t>
  </si>
  <si>
    <t>Share of migration</t>
  </si>
  <si>
    <t>Number of casualties during 1998-2007 below the mean</t>
  </si>
  <si>
    <t>Number of casualties during 1998-2007 above the mean</t>
  </si>
  <si>
    <t>Interactions</t>
  </si>
  <si>
    <t>Number of casualties in a given year above mean (yes=1)</t>
  </si>
  <si>
    <t xml:space="preserve">Table 7. Armed Conflict and Non-Marital Migration using lags, Household-level Analysis										</t>
  </si>
  <si>
    <t>Table 10: Baseline results. Armed Conflict and Non-Marital Migration, Household-level Analysis</t>
  </si>
  <si>
    <t>Table 13. Baseline results. Armed Conflict and Non-Marital Migration, Household-level Analysis</t>
  </si>
  <si>
    <t>Lag. Violence in a given year (yes=1)</t>
  </si>
  <si>
    <t>Lag. Number of casualties in a given year</t>
  </si>
  <si>
    <t>Lag. Number of casualties in a given year above mean (yes=1)</t>
  </si>
  <si>
    <t>Lag. Index of  household Losss (all) - PCA - above the mean (yes=1)</t>
  </si>
  <si>
    <t xml:space="preserve">Table 16. Armed Conflict and Non-Marital Migration using lags, Household-level Analysis	</t>
  </si>
  <si>
    <t>Index of  household Losss (all) - PCA below mean</t>
  </si>
  <si>
    <t>Index of  household Losss (all) - PCA above mean</t>
  </si>
  <si>
    <t>Table 2: Cross-tabulation of household migration over different violence exposure</t>
  </si>
  <si>
    <t>Total 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</si>
</sst>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 &quot;€&quot;"/>
  </numFmts>
  <fonts count="21" x14ac:knownFonts="1">
    <font>
      <sz val="12"/>
      <color theme="1"/>
      <name val="Calibri"/>
      <family val="2"/>
      <scheme val="minor"/>
    </font>
    <font>
      <sz val="11"/>
      <name val="Times New Roman"/>
      <family val="1"/>
    </font>
    <font>
      <sz val="10"/>
      <name val="Times New Roman"/>
      <family val="1"/>
    </font>
    <font>
      <sz val="12"/>
      <name val="Times New Roman"/>
      <family val="1"/>
    </font>
    <font>
      <sz val="12"/>
      <color theme="1"/>
      <name val="Times New Roman"/>
      <family val="1"/>
    </font>
    <font>
      <sz val="12"/>
      <color rgb="FF000000"/>
      <name val="Times New Roman"/>
      <family val="1"/>
    </font>
    <font>
      <u/>
      <sz val="12"/>
      <color theme="10"/>
      <name val="Calibri"/>
      <family val="2"/>
      <scheme val="minor"/>
    </font>
    <font>
      <u/>
      <sz val="12"/>
      <color theme="11"/>
      <name val="Calibri"/>
      <family val="2"/>
      <scheme val="minor"/>
    </font>
    <font>
      <b/>
      <i/>
      <u/>
      <sz val="11"/>
      <name val="Times New Roman"/>
      <family val="1"/>
    </font>
    <font>
      <b/>
      <sz val="10"/>
      <name val="Times New Roman"/>
      <family val="1"/>
    </font>
    <font>
      <b/>
      <i/>
      <u/>
      <sz val="12"/>
      <name val="Times New Roman"/>
      <family val="1"/>
    </font>
    <font>
      <i/>
      <u/>
      <sz val="11"/>
      <name val="Times New Roman"/>
      <family val="1"/>
    </font>
    <font>
      <i/>
      <sz val="12"/>
      <name val="Times New Roman"/>
      <family val="1"/>
    </font>
    <font>
      <i/>
      <u/>
      <sz val="12"/>
      <name val="Times New Roman"/>
      <family val="1"/>
    </font>
    <font>
      <i/>
      <sz val="10"/>
      <name val="Times New Roman"/>
      <family val="1"/>
    </font>
    <font>
      <i/>
      <sz val="12"/>
      <color theme="1"/>
      <name val="Times New Roman"/>
      <family val="1"/>
    </font>
    <font>
      <sz val="12"/>
      <color theme="1"/>
      <name val="Times New Roman"/>
      <family val="1"/>
    </font>
    <font>
      <b/>
      <sz val="12"/>
      <color theme="1"/>
      <name val="Times New Roman"/>
      <family val="1"/>
    </font>
    <font>
      <sz val="12"/>
      <color theme="1"/>
      <name val="Calibri"/>
      <family val="2"/>
    </font>
    <font>
      <b/>
      <sz val="12"/>
      <name val="Times New Roman"/>
      <family val="1"/>
    </font>
    <font>
      <b/>
      <u/>
      <sz val="12"/>
      <name val="Times New Roman"/>
      <family val="1"/>
    </font>
  </fonts>
  <fills count="2">
    <fill>
      <patternFill patternType="none"/>
    </fill>
    <fill>
      <patternFill patternType="gray125"/>
    </fill>
  </fills>
  <borders count="11">
    <border>
      <left/>
      <right/>
      <top/>
      <bottom/>
      <diagonal/>
    </border>
    <border>
      <left/>
      <right/>
      <top style="thin">
        <color auto="1"/>
      </top>
      <bottom style="double">
        <color auto="1"/>
      </bottom>
      <diagonal/>
    </border>
    <border>
      <left/>
      <right/>
      <top style="double">
        <color auto="1"/>
      </top>
      <bottom/>
      <diagonal/>
    </border>
    <border>
      <left/>
      <right/>
      <top style="dotted">
        <color auto="1"/>
      </top>
      <bottom/>
      <diagonal/>
    </border>
    <border>
      <left/>
      <right/>
      <top/>
      <bottom style="dotted">
        <color auto="1"/>
      </bottom>
      <diagonal/>
    </border>
    <border>
      <left/>
      <right/>
      <top style="thin">
        <color auto="1"/>
      </top>
      <bottom/>
      <diagonal/>
    </border>
    <border>
      <left/>
      <right/>
      <top/>
      <bottom style="double">
        <color auto="1"/>
      </bottom>
      <diagonal/>
    </border>
    <border>
      <left/>
      <right/>
      <top/>
      <bottom style="thin">
        <color auto="1"/>
      </bottom>
      <diagonal/>
    </border>
    <border>
      <left/>
      <right/>
      <top/>
      <bottom style="medium">
        <color auto="1"/>
      </bottom>
      <diagonal/>
    </border>
    <border>
      <left/>
      <right/>
      <top style="medium">
        <color auto="1"/>
      </top>
      <bottom/>
      <diagonal/>
    </border>
    <border>
      <left/>
      <right/>
      <top style="hair">
        <color auto="1"/>
      </top>
      <bottom/>
      <diagonal/>
    </border>
  </borders>
  <cellStyleXfs count="56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1" fillId="0" borderId="0" xfId="0" applyFont="1" applyBorder="1" applyAlignment="1">
      <alignment horizontal="center" vertical="center"/>
    </xf>
    <xf numFmtId="164" fontId="1" fillId="0" borderId="0" xfId="0" applyNumberFormat="1" applyFont="1" applyBorder="1" applyAlignment="1">
      <alignment horizontal="center" vertical="center"/>
    </xf>
    <xf numFmtId="164" fontId="1" fillId="0" borderId="4" xfId="0" applyNumberFormat="1" applyFont="1" applyBorder="1" applyAlignment="1">
      <alignment horizontal="center" vertical="center"/>
    </xf>
    <xf numFmtId="0" fontId="3" fillId="0" borderId="5" xfId="0" applyFont="1" applyBorder="1"/>
    <xf numFmtId="0" fontId="3" fillId="0" borderId="6" xfId="0" applyFont="1" applyBorder="1"/>
    <xf numFmtId="0" fontId="3" fillId="0" borderId="0" xfId="0" applyFont="1" applyBorder="1"/>
    <xf numFmtId="1" fontId="3" fillId="0" borderId="0" xfId="0" applyNumberFormat="1" applyFont="1" applyBorder="1" applyAlignment="1">
      <alignment horizontal="center" vertical="center"/>
    </xf>
    <xf numFmtId="0" fontId="3" fillId="0" borderId="7" xfId="0" applyFont="1" applyBorder="1"/>
    <xf numFmtId="0" fontId="3" fillId="0" borderId="0" xfId="0" applyFont="1"/>
    <xf numFmtId="0" fontId="5" fillId="0" borderId="0" xfId="0" applyFont="1"/>
    <xf numFmtId="0" fontId="4" fillId="0" borderId="0" xfId="0" applyFont="1" applyBorder="1"/>
    <xf numFmtId="49" fontId="3" fillId="0" borderId="1" xfId="0" applyNumberFormat="1" applyFont="1" applyBorder="1" applyAlignment="1">
      <alignment horizontal="center" vertical="center"/>
    </xf>
    <xf numFmtId="165" fontId="4" fillId="0" borderId="0" xfId="0" applyNumberFormat="1" applyFont="1" applyBorder="1"/>
    <xf numFmtId="0" fontId="1" fillId="0" borderId="4" xfId="0" applyFont="1" applyBorder="1" applyAlignment="1">
      <alignment horizontal="center" vertical="center"/>
    </xf>
    <xf numFmtId="0" fontId="1" fillId="0" borderId="0" xfId="0" applyFont="1" applyAlignment="1">
      <alignment horizontal="left"/>
    </xf>
    <xf numFmtId="0" fontId="1" fillId="0" borderId="0" xfId="0" applyFont="1" applyBorder="1" applyAlignment="1">
      <alignment horizontal="left"/>
    </xf>
    <xf numFmtId="0" fontId="1" fillId="0" borderId="4" xfId="0" applyFont="1" applyBorder="1" applyAlignment="1">
      <alignment horizontal="left"/>
    </xf>
    <xf numFmtId="0" fontId="1" fillId="0" borderId="8" xfId="0" applyFont="1" applyBorder="1" applyAlignment="1">
      <alignment horizontal="center" vertical="center"/>
    </xf>
    <xf numFmtId="164" fontId="1" fillId="0" borderId="8" xfId="0" applyNumberFormat="1" applyFont="1" applyBorder="1" applyAlignment="1">
      <alignment horizontal="center" vertical="center"/>
    </xf>
    <xf numFmtId="0" fontId="1" fillId="0" borderId="0" xfId="0" applyFont="1" applyFill="1" applyBorder="1" applyAlignment="1">
      <alignment horizontal="left"/>
    </xf>
    <xf numFmtId="0" fontId="11" fillId="0" borderId="3" xfId="0" applyFont="1" applyBorder="1" applyAlignment="1">
      <alignment vertical="center"/>
    </xf>
    <xf numFmtId="0" fontId="8" fillId="0" borderId="3" xfId="0" applyFont="1" applyBorder="1" applyAlignment="1">
      <alignment vertical="center"/>
    </xf>
    <xf numFmtId="0" fontId="12" fillId="0" borderId="0" xfId="0" applyFont="1" applyBorder="1"/>
    <xf numFmtId="164" fontId="12" fillId="0" borderId="0" xfId="0" applyNumberFormat="1" applyFont="1" applyBorder="1" applyAlignment="1">
      <alignment horizontal="center" vertical="center"/>
    </xf>
    <xf numFmtId="0" fontId="10" fillId="0" borderId="2" xfId="0" applyFont="1" applyBorder="1" applyAlignment="1">
      <alignment vertical="center"/>
    </xf>
    <xf numFmtId="0" fontId="4" fillId="0" borderId="5" xfId="0" applyNumberFormat="1" applyFont="1" applyBorder="1" applyAlignment="1">
      <alignment horizontal="left"/>
    </xf>
    <xf numFmtId="0" fontId="12" fillId="0" borderId="0" xfId="0" applyNumberFormat="1" applyFont="1" applyBorder="1"/>
    <xf numFmtId="0" fontId="12" fillId="0" borderId="0" xfId="0" applyNumberFormat="1" applyFont="1" applyBorder="1" applyAlignment="1">
      <alignment horizontal="center" vertical="center"/>
    </xf>
    <xf numFmtId="0" fontId="12" fillId="0" borderId="7" xfId="0" applyNumberFormat="1" applyFont="1" applyBorder="1"/>
    <xf numFmtId="0" fontId="12" fillId="0" borderId="7" xfId="0" applyNumberFormat="1" applyFont="1" applyBorder="1" applyAlignment="1">
      <alignment horizontal="center" vertical="center"/>
    </xf>
    <xf numFmtId="0" fontId="13" fillId="0" borderId="2" xfId="0" applyFont="1" applyBorder="1" applyAlignment="1">
      <alignment vertical="center"/>
    </xf>
    <xf numFmtId="0" fontId="4" fillId="0" borderId="0" xfId="0" applyFont="1" applyBorder="1" applyAlignment="1">
      <alignment horizontal="center" vertical="center"/>
    </xf>
    <xf numFmtId="0" fontId="3" fillId="0" borderId="1" xfId="0" applyFont="1" applyBorder="1" applyAlignment="1">
      <alignment horizontal="center" vertical="center" wrapText="1"/>
    </xf>
    <xf numFmtId="0" fontId="1" fillId="0" borderId="8" xfId="0" applyFont="1" applyBorder="1" applyAlignment="1">
      <alignment wrapText="1"/>
    </xf>
    <xf numFmtId="0" fontId="10" fillId="0" borderId="5" xfId="0" applyFont="1" applyBorder="1" applyAlignment="1">
      <alignment horizontal="center" vertical="center"/>
    </xf>
    <xf numFmtId="0" fontId="15" fillId="0" borderId="5" xfId="0" applyNumberFormat="1" applyFont="1" applyBorder="1" applyAlignment="1">
      <alignment horizontal="center"/>
    </xf>
    <xf numFmtId="0" fontId="3" fillId="0" borderId="0" xfId="0" applyFont="1" applyFill="1" applyBorder="1"/>
    <xf numFmtId="0" fontId="11" fillId="0" borderId="0" xfId="0" applyFont="1" applyBorder="1" applyAlignment="1">
      <alignment vertical="center"/>
    </xf>
    <xf numFmtId="0" fontId="16" fillId="0" borderId="5" xfId="0" applyFont="1" applyBorder="1" applyAlignment="1">
      <alignment horizontal="center"/>
    </xf>
    <xf numFmtId="0" fontId="1" fillId="0" borderId="6" xfId="0" applyFont="1" applyBorder="1" applyAlignment="1">
      <alignment horizontal="center"/>
    </xf>
    <xf numFmtId="0" fontId="1" fillId="0" borderId="6" xfId="0" applyFont="1"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13" fillId="0" borderId="5" xfId="0" applyFont="1" applyBorder="1" applyAlignment="1">
      <alignment vertical="center"/>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7" xfId="0" applyFont="1" applyFill="1" applyBorder="1" applyAlignment="1">
      <alignment horizontal="center" vertical="center"/>
    </xf>
    <xf numFmtId="0" fontId="18" fillId="0" borderId="7" xfId="0" applyFont="1" applyFill="1" applyBorder="1" applyAlignment="1">
      <alignment horizontal="center" vertical="center"/>
    </xf>
    <xf numFmtId="0" fontId="4" fillId="0" borderId="7" xfId="0" applyFont="1" applyBorder="1" applyAlignment="1">
      <alignment horizontal="center" vertical="center"/>
    </xf>
    <xf numFmtId="0" fontId="13" fillId="0" borderId="0" xfId="0" applyFont="1" applyBorder="1" applyAlignment="1">
      <alignment vertical="center"/>
    </xf>
    <xf numFmtId="0" fontId="1" fillId="0" borderId="0" xfId="0" applyFont="1" applyBorder="1" applyAlignment="1">
      <alignment horizontal="left" wrapText="1"/>
    </xf>
    <xf numFmtId="0" fontId="2" fillId="0" borderId="0" xfId="0" applyFont="1" applyBorder="1" applyAlignment="1">
      <alignment horizontal="center" vertical="top" wrapText="1"/>
    </xf>
    <xf numFmtId="49" fontId="19" fillId="0" borderId="1" xfId="0" applyNumberFormat="1" applyFont="1" applyBorder="1" applyAlignment="1">
      <alignment horizontal="center" vertical="center"/>
    </xf>
    <xf numFmtId="0" fontId="3" fillId="0" borderId="0" xfId="0" applyFont="1" applyBorder="1" applyAlignment="1">
      <alignment vertical="center" wrapText="1"/>
    </xf>
    <xf numFmtId="1" fontId="0" fillId="0" borderId="0" xfId="0" applyNumberFormat="1"/>
    <xf numFmtId="164" fontId="3" fillId="0" borderId="0" xfId="0" applyNumberFormat="1" applyFont="1" applyBorder="1" applyAlignment="1">
      <alignment horizontal="center" vertical="center"/>
    </xf>
    <xf numFmtId="0" fontId="3" fillId="0" borderId="6" xfId="0" applyFont="1" applyBorder="1" applyAlignment="1">
      <alignment horizontal="center" vertical="center" wrapText="1"/>
    </xf>
    <xf numFmtId="0" fontId="4" fillId="0" borderId="0" xfId="0" applyFont="1" applyBorder="1" applyAlignment="1">
      <alignment wrapText="1"/>
    </xf>
    <xf numFmtId="0" fontId="0" fillId="0" borderId="0" xfId="0" applyAlignment="1">
      <alignment wrapText="1"/>
    </xf>
    <xf numFmtId="0" fontId="10" fillId="0" borderId="5" xfId="0" applyFont="1" applyBorder="1" applyAlignment="1">
      <alignment vertical="center"/>
    </xf>
    <xf numFmtId="0" fontId="9" fillId="0" borderId="9" xfId="0" applyFont="1" applyBorder="1" applyAlignment="1">
      <alignment horizontal="left" vertical="top" wrapText="1"/>
    </xf>
    <xf numFmtId="0" fontId="17" fillId="0" borderId="5" xfId="0" applyFont="1" applyBorder="1" applyAlignment="1">
      <alignment horizontal="center" vertical="center"/>
    </xf>
    <xf numFmtId="0" fontId="4" fillId="0" borderId="7" xfId="0" applyFont="1" applyBorder="1" applyAlignment="1">
      <alignment horizontal="center"/>
    </xf>
    <xf numFmtId="0" fontId="2" fillId="0" borderId="5" xfId="0" applyFont="1" applyBorder="1" applyAlignment="1">
      <alignment horizontal="left" vertical="top" wrapText="1"/>
    </xf>
    <xf numFmtId="0" fontId="3" fillId="0" borderId="5" xfId="0" applyFont="1" applyBorder="1" applyAlignment="1">
      <alignment horizontal="center" vertical="center" wrapText="1"/>
    </xf>
    <xf numFmtId="0" fontId="0" fillId="0" borderId="7" xfId="0" applyBorder="1" applyAlignment="1">
      <alignment horizontal="center"/>
    </xf>
    <xf numFmtId="0" fontId="2" fillId="0" borderId="5" xfId="0" applyFont="1" applyBorder="1" applyAlignment="1">
      <alignment horizontal="center" vertical="top" wrapText="1"/>
    </xf>
    <xf numFmtId="0" fontId="4" fillId="0" borderId="7" xfId="0" applyFont="1" applyBorder="1" applyAlignment="1">
      <alignment horizontal="center" vertical="center"/>
    </xf>
    <xf numFmtId="0" fontId="20" fillId="0" borderId="2" xfId="0" applyFont="1" applyBorder="1" applyAlignment="1">
      <alignment horizontal="left" vertical="center"/>
    </xf>
    <xf numFmtId="0" fontId="3" fillId="0" borderId="2" xfId="0" applyFont="1" applyBorder="1" applyAlignment="1">
      <alignment horizontal="center" vertical="center" wrapText="1"/>
    </xf>
    <xf numFmtId="0" fontId="3" fillId="0" borderId="0" xfId="0" applyFont="1" applyBorder="1" applyAlignment="1">
      <alignment wrapText="1"/>
    </xf>
    <xf numFmtId="0" fontId="2" fillId="0" borderId="10" xfId="0" applyFont="1" applyBorder="1" applyAlignment="1">
      <alignment horizontal="center" vertical="top" wrapText="1"/>
    </xf>
    <xf numFmtId="0" fontId="20" fillId="0" borderId="0" xfId="0" applyFont="1" applyBorder="1" applyAlignment="1">
      <alignment horizontal="left" vertical="center"/>
    </xf>
    <xf numFmtId="0" fontId="2" fillId="0" borderId="0" xfId="0" applyFont="1" applyBorder="1" applyAlignment="1">
      <alignment horizontal="left" vertical="top" wrapText="1"/>
    </xf>
    <xf numFmtId="0" fontId="12" fillId="0" borderId="0" xfId="0" applyFont="1" applyBorder="1" applyAlignment="1">
      <alignment vertical="center" wrapText="1"/>
    </xf>
    <xf numFmtId="1" fontId="12" fillId="0" borderId="0" xfId="0" applyNumberFormat="1" applyFont="1" applyBorder="1" applyAlignment="1">
      <alignment horizontal="center" vertical="center"/>
    </xf>
  </cellXfs>
  <cellStyles count="5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41"/>
  <sheetViews>
    <sheetView showGridLines="0" tabSelected="1" topLeftCell="A3" workbookViewId="0">
      <selection activeCell="B27" sqref="B27"/>
    </sheetView>
  </sheetViews>
  <sheetFormatPr baseColWidth="10" defaultColWidth="11" defaultRowHeight="16" x14ac:dyDescent="0.2"/>
  <cols>
    <col min="1" max="1" width="14.33203125" customWidth="1"/>
    <col min="2" max="2" width="54.1640625" customWidth="1"/>
  </cols>
  <sheetData>
    <row r="1" spans="2:5" x14ac:dyDescent="0.2">
      <c r="B1" s="64" t="s">
        <v>55</v>
      </c>
      <c r="C1" s="64"/>
      <c r="D1" s="64"/>
      <c r="E1" s="64"/>
    </row>
    <row r="2" spans="2:5" ht="41" customHeight="1" x14ac:dyDescent="0.2">
      <c r="B2" s="39"/>
      <c r="C2" s="63" t="s">
        <v>56</v>
      </c>
      <c r="D2" s="63"/>
      <c r="E2" s="63"/>
    </row>
    <row r="3" spans="2:5" ht="15" customHeight="1" thickBot="1" x14ac:dyDescent="0.25">
      <c r="B3" s="40" t="s">
        <v>0</v>
      </c>
      <c r="C3" s="41" t="s">
        <v>1</v>
      </c>
      <c r="D3" s="41" t="s">
        <v>2</v>
      </c>
      <c r="E3" s="41" t="s">
        <v>3</v>
      </c>
    </row>
    <row r="4" spans="2:5" ht="22" customHeight="1" thickTop="1" x14ac:dyDescent="0.2">
      <c r="B4" s="38" t="s">
        <v>4</v>
      </c>
    </row>
    <row r="5" spans="2:5" x14ac:dyDescent="0.2">
      <c r="B5" s="16" t="s">
        <v>46</v>
      </c>
      <c r="C5" s="1">
        <v>34800</v>
      </c>
      <c r="D5" s="2">
        <v>7.7155172413793105E-2</v>
      </c>
      <c r="E5" s="2">
        <v>0.26684133466182647</v>
      </c>
    </row>
    <row r="6" spans="2:5" x14ac:dyDescent="0.2">
      <c r="B6" s="15" t="s">
        <v>41</v>
      </c>
      <c r="C6" s="1">
        <v>34800</v>
      </c>
      <c r="D6" s="2">
        <v>4.5594828095736686E-3</v>
      </c>
      <c r="E6" s="2">
        <v>3.7793402653613577E-2</v>
      </c>
    </row>
    <row r="7" spans="2:5" x14ac:dyDescent="0.2">
      <c r="B7" s="15" t="s">
        <v>5</v>
      </c>
      <c r="C7" s="1">
        <v>34800</v>
      </c>
      <c r="D7" s="2">
        <v>4.4913793103448278E-2</v>
      </c>
      <c r="E7" s="2">
        <v>0.20711778529921068</v>
      </c>
    </row>
    <row r="8" spans="2:5" ht="20" customHeight="1" x14ac:dyDescent="0.2">
      <c r="B8" s="21" t="s">
        <v>6</v>
      </c>
      <c r="C8" s="21"/>
      <c r="D8" s="21"/>
      <c r="E8" s="21"/>
    </row>
    <row r="9" spans="2:5" x14ac:dyDescent="0.2">
      <c r="B9" s="17" t="s">
        <v>7</v>
      </c>
      <c r="C9" s="14">
        <v>3480</v>
      </c>
      <c r="D9" s="3">
        <v>0.13800000000000001</v>
      </c>
      <c r="E9" s="3">
        <v>0.34517865702667655</v>
      </c>
    </row>
    <row r="10" spans="2:5" ht="20" customHeight="1" x14ac:dyDescent="0.2">
      <c r="B10" s="21" t="s">
        <v>8</v>
      </c>
      <c r="C10" s="22"/>
      <c r="D10" s="22"/>
      <c r="E10" s="22"/>
    </row>
    <row r="11" spans="2:5" x14ac:dyDescent="0.2">
      <c r="B11" s="16" t="s">
        <v>46</v>
      </c>
      <c r="C11" s="1">
        <v>8720</v>
      </c>
      <c r="D11" s="2">
        <v>7.7866972477064214E-2</v>
      </c>
      <c r="E11" s="2">
        <v>0.26797750351254201</v>
      </c>
    </row>
    <row r="12" spans="2:5" x14ac:dyDescent="0.2">
      <c r="B12" s="15" t="s">
        <v>41</v>
      </c>
      <c r="C12" s="1">
        <v>8720</v>
      </c>
      <c r="D12" s="2">
        <v>4.4667431633970741E-3</v>
      </c>
      <c r="E12" s="2">
        <v>3.6619888723642594E-2</v>
      </c>
    </row>
    <row r="13" spans="2:5" x14ac:dyDescent="0.2">
      <c r="B13" s="16" t="s">
        <v>9</v>
      </c>
      <c r="C13" s="1">
        <v>8720</v>
      </c>
      <c r="D13" s="2">
        <v>9.9082568807339455E-2</v>
      </c>
      <c r="E13" s="2">
        <v>0.29878997870805041</v>
      </c>
    </row>
    <row r="14" spans="2:5" x14ac:dyDescent="0.2">
      <c r="B14" s="20" t="s">
        <v>10</v>
      </c>
      <c r="C14" s="1">
        <v>8720</v>
      </c>
      <c r="D14" s="2">
        <v>0.17924311926605505</v>
      </c>
      <c r="E14" s="2">
        <v>0.71831854709854459</v>
      </c>
    </row>
    <row r="15" spans="2:5" x14ac:dyDescent="0.2">
      <c r="B15" s="16" t="s">
        <v>11</v>
      </c>
      <c r="C15" s="1">
        <v>8720</v>
      </c>
      <c r="D15" s="2">
        <v>2.9587155963302754E-2</v>
      </c>
      <c r="E15" s="2">
        <v>0.16945515387716156</v>
      </c>
    </row>
    <row r="16" spans="2:5" x14ac:dyDescent="0.2">
      <c r="B16" s="16" t="s">
        <v>12</v>
      </c>
      <c r="C16" s="1">
        <v>8720</v>
      </c>
      <c r="D16" s="2">
        <v>6.9266055045871563E-2</v>
      </c>
      <c r="E16" s="2">
        <v>0.25392058337650686</v>
      </c>
    </row>
    <row r="17" spans="2:5" x14ac:dyDescent="0.2">
      <c r="B17" s="16" t="s">
        <v>13</v>
      </c>
      <c r="C17" s="1">
        <v>8720</v>
      </c>
      <c r="D17" s="2">
        <v>3.4059633027522934E-2</v>
      </c>
      <c r="E17" s="2">
        <v>0.1813927995959293</v>
      </c>
    </row>
    <row r="18" spans="2:5" x14ac:dyDescent="0.2">
      <c r="B18" s="16" t="s">
        <v>14</v>
      </c>
      <c r="C18" s="1">
        <v>8720</v>
      </c>
      <c r="D18" s="2">
        <v>1.3876146788990826E-2</v>
      </c>
      <c r="E18" s="2">
        <v>0.11698362594553989</v>
      </c>
    </row>
    <row r="19" spans="2:5" x14ac:dyDescent="0.2">
      <c r="B19" s="16" t="s">
        <v>15</v>
      </c>
      <c r="C19" s="1">
        <v>8720</v>
      </c>
      <c r="D19" s="2">
        <v>1.4908256880733946E-2</v>
      </c>
      <c r="E19" s="2">
        <v>0.12119276020073233</v>
      </c>
    </row>
    <row r="20" spans="2:5" x14ac:dyDescent="0.2">
      <c r="B20" s="16" t="s">
        <v>50</v>
      </c>
      <c r="C20" s="1">
        <v>8720</v>
      </c>
      <c r="D20" s="2">
        <v>7.9061968815982882E-3</v>
      </c>
      <c r="E20" s="2">
        <v>1.0459650646064702</v>
      </c>
    </row>
    <row r="21" spans="2:5" x14ac:dyDescent="0.2">
      <c r="B21" s="16" t="s">
        <v>51</v>
      </c>
      <c r="C21" s="1">
        <v>8720</v>
      </c>
      <c r="D21" s="2">
        <v>1.6024022997109168E-2</v>
      </c>
      <c r="E21" s="2">
        <v>1.2980737973907785</v>
      </c>
    </row>
    <row r="22" spans="2:5" x14ac:dyDescent="0.2">
      <c r="B22" s="16" t="s">
        <v>59</v>
      </c>
      <c r="C22" s="1">
        <v>8720</v>
      </c>
      <c r="D22" s="2">
        <v>1.6545245775935847E-2</v>
      </c>
      <c r="E22" s="2">
        <v>1.4005868385429148</v>
      </c>
    </row>
    <row r="23" spans="2:5" ht="21" customHeight="1" x14ac:dyDescent="0.2">
      <c r="B23" s="21" t="s">
        <v>38</v>
      </c>
      <c r="C23" s="21"/>
      <c r="D23" s="21"/>
      <c r="E23" s="21"/>
    </row>
    <row r="24" spans="2:5" x14ac:dyDescent="0.2">
      <c r="B24" s="16" t="s">
        <v>46</v>
      </c>
      <c r="C24" s="1">
        <v>872</v>
      </c>
      <c r="D24" s="2">
        <v>0.27522935779816515</v>
      </c>
      <c r="E24" s="2">
        <v>0.44688609331690593</v>
      </c>
    </row>
    <row r="25" spans="2:5" x14ac:dyDescent="0.2">
      <c r="B25" s="15" t="s">
        <v>41</v>
      </c>
      <c r="C25" s="1">
        <v>872</v>
      </c>
      <c r="D25" s="2">
        <v>1.5665137881857402E-2</v>
      </c>
      <c r="E25" s="2">
        <v>5.4387460204926207E-2</v>
      </c>
    </row>
    <row r="26" spans="2:5" x14ac:dyDescent="0.2">
      <c r="B26" s="16" t="s">
        <v>42</v>
      </c>
      <c r="C26" s="1">
        <v>872</v>
      </c>
      <c r="D26" s="2">
        <v>1.7924311926605505</v>
      </c>
      <c r="E26" s="2">
        <v>5.3208674445670896</v>
      </c>
    </row>
    <row r="27" spans="2:5" x14ac:dyDescent="0.2">
      <c r="B27" s="16" t="s">
        <v>7</v>
      </c>
      <c r="C27" s="1">
        <v>872</v>
      </c>
      <c r="D27" s="2">
        <v>0.27866972477064222</v>
      </c>
      <c r="E27" s="2">
        <v>0.44860193191611192</v>
      </c>
    </row>
    <row r="28" spans="2:5" x14ac:dyDescent="0.2">
      <c r="B28" s="16" t="s">
        <v>16</v>
      </c>
      <c r="C28" s="1">
        <v>872</v>
      </c>
      <c r="D28" s="2">
        <v>0.20871559633027523</v>
      </c>
      <c r="E28" s="2">
        <v>0.40662391681015519</v>
      </c>
    </row>
    <row r="29" spans="2:5" x14ac:dyDescent="0.2">
      <c r="B29" s="16" t="s">
        <v>17</v>
      </c>
      <c r="C29" s="1">
        <v>872</v>
      </c>
      <c r="D29" s="2">
        <v>0.41055045871559631</v>
      </c>
      <c r="E29" s="2">
        <v>0.49221602952793397</v>
      </c>
    </row>
    <row r="30" spans="2:5" x14ac:dyDescent="0.2">
      <c r="B30" s="16" t="s">
        <v>18</v>
      </c>
      <c r="C30" s="1">
        <v>872</v>
      </c>
      <c r="D30" s="2">
        <v>0.23967889908256881</v>
      </c>
      <c r="E30" s="2">
        <v>0.42713247015750383</v>
      </c>
    </row>
    <row r="31" spans="2:5" x14ac:dyDescent="0.2">
      <c r="B31" s="16" t="s">
        <v>19</v>
      </c>
      <c r="C31" s="1">
        <v>872</v>
      </c>
      <c r="D31" s="2">
        <v>0.10321100917431193</v>
      </c>
      <c r="E31" s="2">
        <v>0.30440887584032367</v>
      </c>
    </row>
    <row r="32" spans="2:5" x14ac:dyDescent="0.2">
      <c r="B32" s="16" t="s">
        <v>20</v>
      </c>
      <c r="C32" s="1">
        <v>872</v>
      </c>
      <c r="D32" s="2">
        <v>0.10665137614678899</v>
      </c>
      <c r="E32" s="2">
        <v>0.30884664157455444</v>
      </c>
    </row>
    <row r="33" spans="2:5" x14ac:dyDescent="0.2">
      <c r="B33" s="16" t="s">
        <v>50</v>
      </c>
      <c r="C33" s="1">
        <v>872</v>
      </c>
      <c r="D33" s="2">
        <v>1.7772027111928398E-9</v>
      </c>
      <c r="E33" s="2">
        <v>1.0068447351824807</v>
      </c>
    </row>
    <row r="34" spans="2:5" x14ac:dyDescent="0.2">
      <c r="B34" s="16" t="s">
        <v>51</v>
      </c>
      <c r="C34" s="1">
        <v>872</v>
      </c>
      <c r="D34" s="2">
        <v>1.0594862316726544E-8</v>
      </c>
      <c r="E34" s="2">
        <v>1.274246988423765</v>
      </c>
    </row>
    <row r="35" spans="2:5" x14ac:dyDescent="0.2">
      <c r="B35" s="16" t="s">
        <v>59</v>
      </c>
      <c r="C35" s="1">
        <v>872</v>
      </c>
      <c r="D35" s="2">
        <v>1.5883749231286004E-8</v>
      </c>
      <c r="E35" s="2">
        <v>1.3768102205744854</v>
      </c>
    </row>
    <row r="36" spans="2:5" ht="20" customHeight="1" x14ac:dyDescent="0.2">
      <c r="B36" s="21" t="s">
        <v>21</v>
      </c>
      <c r="C36" s="21"/>
      <c r="D36" s="21"/>
      <c r="E36" s="21"/>
    </row>
    <row r="37" spans="2:5" x14ac:dyDescent="0.2">
      <c r="B37" s="16" t="s">
        <v>22</v>
      </c>
      <c r="C37" s="1">
        <v>1000</v>
      </c>
      <c r="D37" s="2">
        <v>4.5400000493973497E-3</v>
      </c>
      <c r="E37" s="2">
        <v>3.7831463902810197E-2</v>
      </c>
    </row>
    <row r="38" spans="2:5" ht="14" customHeight="1" x14ac:dyDescent="0.2">
      <c r="B38" s="15" t="s">
        <v>41</v>
      </c>
      <c r="C38" s="14">
        <v>1000</v>
      </c>
      <c r="D38" s="3">
        <v>7.5999999999999998E-2</v>
      </c>
      <c r="E38" s="3">
        <v>0.2651307117146075</v>
      </c>
    </row>
    <row r="39" spans="2:5" ht="19" customHeight="1" x14ac:dyDescent="0.2">
      <c r="B39" s="21" t="s">
        <v>39</v>
      </c>
      <c r="C39" s="21"/>
      <c r="D39" s="21"/>
      <c r="E39" s="21"/>
    </row>
    <row r="40" spans="2:5" ht="38" customHeight="1" thickBot="1" x14ac:dyDescent="0.25">
      <c r="B40" s="34" t="s">
        <v>43</v>
      </c>
      <c r="C40" s="18">
        <v>100</v>
      </c>
      <c r="D40" s="19">
        <v>0.27</v>
      </c>
      <c r="E40" s="19">
        <v>0.44619604333847368</v>
      </c>
    </row>
    <row r="41" spans="2:5" ht="160" customHeight="1" x14ac:dyDescent="0.2">
      <c r="B41" s="62" t="s">
        <v>57</v>
      </c>
      <c r="C41" s="62"/>
      <c r="D41" s="62"/>
      <c r="E41" s="62"/>
    </row>
  </sheetData>
  <mergeCells count="3">
    <mergeCell ref="B41:E41"/>
    <mergeCell ref="C2:E2"/>
    <mergeCell ref="B1:E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3B72-C261-6840-8E3A-8C3C08A12C41}">
  <dimension ref="B1:G21"/>
  <sheetViews>
    <sheetView showGridLines="0" topLeftCell="B1" workbookViewId="0">
      <selection activeCell="F14" sqref="F14"/>
    </sheetView>
  </sheetViews>
  <sheetFormatPr baseColWidth="10" defaultColWidth="11" defaultRowHeight="16" x14ac:dyDescent="0.2"/>
  <cols>
    <col min="2" max="2" width="38" customWidth="1"/>
    <col min="3" max="3" width="12.33203125" customWidth="1"/>
    <col min="4" max="4" width="15.1640625" customWidth="1"/>
    <col min="5" max="5" width="11.5" customWidth="1"/>
    <col min="6" max="6" width="16.6640625" customWidth="1"/>
    <col min="7" max="7" width="17" customWidth="1"/>
  </cols>
  <sheetData>
    <row r="1" spans="2:7" x14ac:dyDescent="0.2">
      <c r="B1" s="10"/>
      <c r="C1" s="9"/>
      <c r="D1" s="9"/>
      <c r="E1" s="9"/>
      <c r="F1" s="9"/>
    </row>
    <row r="2" spans="2:7" x14ac:dyDescent="0.2">
      <c r="B2" s="64" t="s">
        <v>88</v>
      </c>
      <c r="C2" s="64"/>
      <c r="D2" s="64"/>
      <c r="E2" s="64"/>
      <c r="F2" s="64"/>
    </row>
    <row r="3" spans="2:7" ht="38" customHeight="1" x14ac:dyDescent="0.2">
      <c r="B3" s="4"/>
      <c r="C3" s="66" t="s">
        <v>86</v>
      </c>
      <c r="D3" s="66"/>
      <c r="E3" s="66" t="s">
        <v>87</v>
      </c>
      <c r="F3" s="66"/>
    </row>
    <row r="4" spans="2:7" ht="33" thickBot="1" x14ac:dyDescent="0.25">
      <c r="B4" s="5"/>
      <c r="C4" s="58" t="s">
        <v>27</v>
      </c>
      <c r="D4" s="58" t="s">
        <v>73</v>
      </c>
      <c r="E4" s="58" t="s">
        <v>27</v>
      </c>
      <c r="F4" s="58" t="s">
        <v>73</v>
      </c>
    </row>
    <row r="5" spans="2:7" ht="25" customHeight="1" thickTop="1" x14ac:dyDescent="0.2">
      <c r="B5" s="70" t="s">
        <v>60</v>
      </c>
      <c r="C5" s="71"/>
      <c r="D5" s="71"/>
      <c r="E5" s="71"/>
      <c r="F5" s="71"/>
    </row>
    <row r="6" spans="2:7" ht="32" x14ac:dyDescent="0.2">
      <c r="B6" s="72" t="s">
        <v>72</v>
      </c>
      <c r="C6" s="7">
        <v>438</v>
      </c>
      <c r="D6" s="57">
        <v>0.26700000000000002</v>
      </c>
      <c r="E6" s="7">
        <v>194</v>
      </c>
      <c r="F6" s="57">
        <v>0.29799999999999999</v>
      </c>
      <c r="G6" s="56"/>
    </row>
    <row r="7" spans="2:7" ht="32" x14ac:dyDescent="0.2">
      <c r="B7" s="55" t="s">
        <v>23</v>
      </c>
      <c r="C7" s="7">
        <v>137</v>
      </c>
      <c r="D7" s="57">
        <v>0.24</v>
      </c>
      <c r="E7" s="7">
        <v>103</v>
      </c>
      <c r="F7" s="57">
        <v>0.33900000000000002</v>
      </c>
    </row>
    <row r="8" spans="2:7" x14ac:dyDescent="0.2">
      <c r="B8" s="55"/>
      <c r="C8" s="7"/>
      <c r="D8" s="57"/>
      <c r="E8" s="7"/>
      <c r="F8" s="57"/>
      <c r="G8" s="56"/>
    </row>
    <row r="9" spans="2:7" ht="12" customHeight="1" x14ac:dyDescent="0.2">
      <c r="B9" s="76" t="s">
        <v>89</v>
      </c>
      <c r="C9" s="77">
        <f>SUM(C6:C7)</f>
        <v>575</v>
      </c>
      <c r="D9" s="24"/>
      <c r="E9" s="77">
        <f>SUM(E6:E7)</f>
        <v>297</v>
      </c>
      <c r="F9" s="24"/>
    </row>
    <row r="10" spans="2:7" ht="9" customHeight="1" x14ac:dyDescent="0.2">
      <c r="B10" s="73"/>
      <c r="C10" s="73"/>
      <c r="D10" s="73"/>
      <c r="E10" s="73"/>
      <c r="F10" s="73"/>
    </row>
    <row r="11" spans="2:7" ht="19" customHeight="1" x14ac:dyDescent="0.2">
      <c r="B11" s="74" t="s">
        <v>61</v>
      </c>
      <c r="C11" s="53"/>
      <c r="D11" s="53"/>
      <c r="E11" s="53"/>
      <c r="F11" s="53"/>
    </row>
    <row r="12" spans="2:7" ht="32" x14ac:dyDescent="0.2">
      <c r="B12" s="72" t="s">
        <v>74</v>
      </c>
      <c r="C12" s="7">
        <v>483</v>
      </c>
      <c r="D12" s="57">
        <v>0.26200000000000001</v>
      </c>
      <c r="E12" s="7">
        <v>234</v>
      </c>
      <c r="F12" s="57">
        <v>0.29399999999999998</v>
      </c>
    </row>
    <row r="13" spans="2:7" ht="32" x14ac:dyDescent="0.2">
      <c r="B13" s="55" t="s">
        <v>75</v>
      </c>
      <c r="C13" s="7">
        <v>92</v>
      </c>
      <c r="D13" s="57">
        <v>0.25</v>
      </c>
      <c r="E13" s="7">
        <v>63</v>
      </c>
      <c r="F13" s="57">
        <v>0.38</v>
      </c>
    </row>
    <row r="14" spans="2:7" ht="22" customHeight="1" x14ac:dyDescent="0.2">
      <c r="B14" s="76" t="s">
        <v>89</v>
      </c>
      <c r="C14" s="77">
        <f>SUM(C12:C13)</f>
        <v>575</v>
      </c>
      <c r="D14" s="24"/>
      <c r="E14" s="77">
        <f>SUM(E12:E13)</f>
        <v>297</v>
      </c>
      <c r="F14" s="77"/>
    </row>
    <row r="15" spans="2:7" x14ac:dyDescent="0.2">
      <c r="B15" s="65" t="s">
        <v>53</v>
      </c>
      <c r="C15" s="65"/>
      <c r="D15" s="65"/>
      <c r="E15" s="65"/>
      <c r="F15" s="65"/>
    </row>
    <row r="16" spans="2:7" x14ac:dyDescent="0.2">
      <c r="B16" s="75"/>
      <c r="C16" s="75"/>
      <c r="D16" s="75"/>
      <c r="E16" s="75"/>
      <c r="F16" s="75"/>
    </row>
    <row r="17" spans="2:6" x14ac:dyDescent="0.2">
      <c r="B17" s="75"/>
      <c r="C17" s="75"/>
      <c r="D17" s="75"/>
      <c r="E17" s="75"/>
      <c r="F17" s="75"/>
    </row>
    <row r="18" spans="2:6" x14ac:dyDescent="0.2">
      <c r="B18" s="75"/>
      <c r="C18" s="75"/>
      <c r="D18" s="75"/>
      <c r="E18" s="75"/>
      <c r="F18" s="75"/>
    </row>
    <row r="19" spans="2:6" x14ac:dyDescent="0.2">
      <c r="B19" s="75"/>
      <c r="C19" s="75"/>
      <c r="D19" s="75"/>
      <c r="E19" s="75"/>
      <c r="F19" s="75"/>
    </row>
    <row r="20" spans="2:6" x14ac:dyDescent="0.2">
      <c r="B20" s="75"/>
      <c r="C20" s="75"/>
      <c r="D20" s="75"/>
      <c r="E20" s="75"/>
      <c r="F20" s="75"/>
    </row>
    <row r="21" spans="2:6" x14ac:dyDescent="0.2">
      <c r="B21" s="75"/>
      <c r="C21" s="75"/>
      <c r="D21" s="75"/>
      <c r="E21" s="75"/>
      <c r="F21" s="75"/>
    </row>
  </sheetData>
  <mergeCells count="5">
    <mergeCell ref="B2:F2"/>
    <mergeCell ref="C3:D3"/>
    <mergeCell ref="E3:F3"/>
    <mergeCell ref="B10:F10"/>
    <mergeCell ref="B15:F15"/>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32"/>
  <sheetViews>
    <sheetView showGridLines="0" topLeftCell="B1" workbookViewId="0">
      <selection activeCell="B3" sqref="B3"/>
    </sheetView>
  </sheetViews>
  <sheetFormatPr baseColWidth="10" defaultColWidth="11" defaultRowHeight="16" x14ac:dyDescent="0.2"/>
  <cols>
    <col min="2" max="2" width="57.1640625" customWidth="1"/>
  </cols>
  <sheetData>
    <row r="2" spans="2:12" x14ac:dyDescent="0.2">
      <c r="B2" s="69" t="s">
        <v>71</v>
      </c>
      <c r="C2" s="69"/>
      <c r="D2" s="69"/>
      <c r="E2" s="69"/>
      <c r="F2" s="69"/>
      <c r="G2" s="69"/>
      <c r="H2" s="69"/>
      <c r="I2" s="69"/>
      <c r="J2" s="69"/>
      <c r="K2" s="69"/>
      <c r="L2" s="69"/>
    </row>
    <row r="3" spans="2:12" ht="51" customHeight="1" thickBot="1" x14ac:dyDescent="0.25">
      <c r="B3" s="33" t="s">
        <v>47</v>
      </c>
      <c r="C3" s="12" t="s">
        <v>28</v>
      </c>
      <c r="D3" s="12" t="s">
        <v>29</v>
      </c>
      <c r="E3" s="12" t="s">
        <v>30</v>
      </c>
      <c r="F3" s="12" t="s">
        <v>31</v>
      </c>
      <c r="G3" s="12" t="s">
        <v>32</v>
      </c>
      <c r="H3" s="12" t="s">
        <v>33</v>
      </c>
      <c r="I3" s="12" t="s">
        <v>34</v>
      </c>
      <c r="J3" s="12" t="s">
        <v>36</v>
      </c>
      <c r="K3" s="12" t="s">
        <v>37</v>
      </c>
      <c r="L3" s="12" t="s">
        <v>54</v>
      </c>
    </row>
    <row r="4" spans="2:12" ht="23" customHeight="1" thickTop="1" x14ac:dyDescent="0.2">
      <c r="B4" s="31" t="s">
        <v>49</v>
      </c>
      <c r="C4" s="25"/>
      <c r="D4" s="25"/>
      <c r="E4" s="25"/>
      <c r="F4" s="25"/>
      <c r="G4" s="25"/>
      <c r="H4" s="25"/>
      <c r="I4" s="25"/>
      <c r="J4" s="25"/>
      <c r="K4" s="25"/>
    </row>
    <row r="5" spans="2:12" x14ac:dyDescent="0.2">
      <c r="B5" s="6" t="s">
        <v>46</v>
      </c>
      <c r="C5" s="45" t="str">
        <f>"0.038**"</f>
        <v>0.038**</v>
      </c>
      <c r="D5" s="45" t="str">
        <f>""</f>
        <v/>
      </c>
      <c r="E5" s="45" t="str">
        <f>""</f>
        <v/>
      </c>
      <c r="F5" s="46" t="str">
        <f>""</f>
        <v/>
      </c>
      <c r="G5" s="46" t="str">
        <f>""</f>
        <v/>
      </c>
      <c r="H5" s="46" t="str">
        <f>""</f>
        <v/>
      </c>
      <c r="I5" s="46" t="str">
        <f>""</f>
        <v/>
      </c>
      <c r="J5" s="46" t="str">
        <f>""</f>
        <v/>
      </c>
      <c r="K5" s="46" t="str">
        <f>""</f>
        <v/>
      </c>
      <c r="L5" s="46" t="str">
        <f>""</f>
        <v/>
      </c>
    </row>
    <row r="6" spans="2:12" x14ac:dyDescent="0.2">
      <c r="B6" s="9"/>
      <c r="C6" s="45" t="str">
        <f>"[0.016]"</f>
        <v>[0.016]</v>
      </c>
      <c r="D6" s="45" t="str">
        <f>""</f>
        <v/>
      </c>
      <c r="E6" s="45" t="str">
        <f>""</f>
        <v/>
      </c>
      <c r="F6" s="46" t="str">
        <f>""</f>
        <v/>
      </c>
      <c r="G6" s="46" t="str">
        <f>""</f>
        <v/>
      </c>
      <c r="H6" s="46" t="str">
        <f>""</f>
        <v/>
      </c>
      <c r="I6" s="46" t="str">
        <f>""</f>
        <v/>
      </c>
      <c r="J6" s="46" t="str">
        <f>""</f>
        <v/>
      </c>
      <c r="K6" s="46" t="str">
        <f>""</f>
        <v/>
      </c>
      <c r="L6" s="46" t="str">
        <f>""</f>
        <v/>
      </c>
    </row>
    <row r="7" spans="2:12" x14ac:dyDescent="0.2">
      <c r="B7" s="37" t="s">
        <v>44</v>
      </c>
      <c r="C7" s="45" t="str">
        <f>""</f>
        <v/>
      </c>
      <c r="D7" s="45" t="str">
        <f>"0.285***"</f>
        <v>0.285***</v>
      </c>
      <c r="E7" s="45" t="str">
        <f>""</f>
        <v/>
      </c>
      <c r="F7" s="46" t="str">
        <f>""</f>
        <v/>
      </c>
      <c r="G7" s="46" t="str">
        <f>""</f>
        <v/>
      </c>
      <c r="H7" s="46" t="str">
        <f>""</f>
        <v/>
      </c>
      <c r="I7" s="46" t="str">
        <f>""</f>
        <v/>
      </c>
      <c r="J7" s="46" t="str">
        <f>""</f>
        <v/>
      </c>
      <c r="K7" s="46" t="str">
        <f>""</f>
        <v/>
      </c>
      <c r="L7" s="46" t="str">
        <f>""</f>
        <v/>
      </c>
    </row>
    <row r="8" spans="2:12" x14ac:dyDescent="0.2">
      <c r="B8" s="6" t="str">
        <f>""</f>
        <v/>
      </c>
      <c r="C8" s="45" t="str">
        <f>""</f>
        <v/>
      </c>
      <c r="D8" s="45" t="str">
        <f>"[0.092]"</f>
        <v>[0.092]</v>
      </c>
      <c r="E8" s="45" t="str">
        <f>""</f>
        <v/>
      </c>
      <c r="F8" s="46" t="str">
        <f>""</f>
        <v/>
      </c>
      <c r="G8" s="46" t="str">
        <f>""</f>
        <v/>
      </c>
      <c r="H8" s="46" t="str">
        <f>""</f>
        <v/>
      </c>
      <c r="I8" s="46" t="str">
        <f>""</f>
        <v/>
      </c>
      <c r="J8" s="46" t="str">
        <f>""</f>
        <v/>
      </c>
      <c r="K8" s="46" t="str">
        <f>""</f>
        <v/>
      </c>
      <c r="L8" s="46" t="str">
        <f>""</f>
        <v/>
      </c>
    </row>
    <row r="9" spans="2:12" x14ac:dyDescent="0.2">
      <c r="B9" s="6"/>
      <c r="C9" s="48"/>
      <c r="D9" s="48"/>
      <c r="E9" s="48"/>
      <c r="F9" s="49"/>
      <c r="G9" s="49"/>
      <c r="H9" s="49"/>
      <c r="I9" s="49"/>
      <c r="J9" s="49"/>
      <c r="K9" s="49"/>
      <c r="L9" s="49"/>
    </row>
    <row r="10" spans="2:12" ht="25" customHeight="1" x14ac:dyDescent="0.2">
      <c r="B10" s="44" t="s">
        <v>48</v>
      </c>
      <c r="C10" s="45" t="str">
        <f>""</f>
        <v/>
      </c>
      <c r="D10" s="45" t="str">
        <f>""</f>
        <v/>
      </c>
      <c r="E10" s="45"/>
      <c r="F10" s="42"/>
      <c r="G10" s="42"/>
      <c r="H10" s="42"/>
      <c r="I10" s="42"/>
      <c r="J10" s="42"/>
      <c r="K10" s="42"/>
      <c r="L10" s="42"/>
    </row>
    <row r="11" spans="2:12" ht="18" customHeight="1" x14ac:dyDescent="0.2">
      <c r="B11" s="11" t="str">
        <f>"Loss of land (yes=1) for a household in a given year"</f>
        <v>Loss of land (yes=1) for a household in a given year</v>
      </c>
      <c r="C11" s="45" t="str">
        <f>""</f>
        <v/>
      </c>
      <c r="D11" s="45" t="str">
        <f>""</f>
        <v/>
      </c>
      <c r="E11" s="45" t="str">
        <f>"-0.007"</f>
        <v>-0.007</v>
      </c>
      <c r="F11" s="45" t="str">
        <f>""</f>
        <v/>
      </c>
      <c r="G11" s="45" t="str">
        <f>""</f>
        <v/>
      </c>
      <c r="H11" s="45" t="str">
        <f>""</f>
        <v/>
      </c>
      <c r="I11" s="45" t="str">
        <f>""</f>
        <v/>
      </c>
      <c r="J11" s="45" t="str">
        <f>""</f>
        <v/>
      </c>
      <c r="K11" s="45" t="str">
        <f>""</f>
        <v/>
      </c>
      <c r="L11" s="45" t="str">
        <f>""</f>
        <v/>
      </c>
    </row>
    <row r="12" spans="2:12" ht="14" customHeight="1" x14ac:dyDescent="0.2">
      <c r="B12" s="11" t="str">
        <f>""</f>
        <v/>
      </c>
      <c r="C12" s="45" t="str">
        <f>""</f>
        <v/>
      </c>
      <c r="D12" s="45" t="str">
        <f>""</f>
        <v/>
      </c>
      <c r="E12" s="45" t="str">
        <f>"[0.022]"</f>
        <v>[0.022]</v>
      </c>
      <c r="F12" s="45" t="str">
        <f>""</f>
        <v/>
      </c>
      <c r="G12" s="45" t="str">
        <f>""</f>
        <v/>
      </c>
      <c r="H12" s="45" t="str">
        <f>""</f>
        <v/>
      </c>
      <c r="I12" s="45" t="str">
        <f>""</f>
        <v/>
      </c>
      <c r="J12" s="45" t="str">
        <f>""</f>
        <v/>
      </c>
      <c r="K12" s="45" t="str">
        <f>""</f>
        <v/>
      </c>
      <c r="L12" s="45" t="str">
        <f>""</f>
        <v/>
      </c>
    </row>
    <row r="13" spans="2:12" x14ac:dyDescent="0.2">
      <c r="B13" s="11" t="str">
        <f>"Theft of crops (yes=1) for a household in a given year"</f>
        <v>Theft of crops (yes=1) for a household in a given year</v>
      </c>
      <c r="C13" s="45" t="str">
        <f>""</f>
        <v/>
      </c>
      <c r="D13" s="45" t="str">
        <f>""</f>
        <v/>
      </c>
      <c r="E13" s="45" t="str">
        <f>""</f>
        <v/>
      </c>
      <c r="F13" s="45" t="str">
        <f>"0.006"</f>
        <v>0.006</v>
      </c>
      <c r="G13" s="45" t="str">
        <f>""</f>
        <v/>
      </c>
      <c r="H13" s="45" t="str">
        <f>""</f>
        <v/>
      </c>
      <c r="I13" s="45" t="str">
        <f>""</f>
        <v/>
      </c>
      <c r="J13" s="45" t="str">
        <f>""</f>
        <v/>
      </c>
      <c r="K13" s="45" t="str">
        <f>""</f>
        <v/>
      </c>
      <c r="L13" s="45" t="str">
        <f>""</f>
        <v/>
      </c>
    </row>
    <row r="14" spans="2:12" x14ac:dyDescent="0.2">
      <c r="B14" s="11" t="str">
        <f>""</f>
        <v/>
      </c>
      <c r="C14" s="45" t="str">
        <f>""</f>
        <v/>
      </c>
      <c r="D14" s="45" t="str">
        <f>""</f>
        <v/>
      </c>
      <c r="E14" s="45" t="str">
        <f>""</f>
        <v/>
      </c>
      <c r="F14" s="45" t="str">
        <f>"[0.012]"</f>
        <v>[0.012]</v>
      </c>
      <c r="G14" s="45" t="str">
        <f>""</f>
        <v/>
      </c>
      <c r="H14" s="45" t="str">
        <f>""</f>
        <v/>
      </c>
      <c r="I14" s="45" t="str">
        <f>""</f>
        <v/>
      </c>
      <c r="J14" s="45" t="str">
        <f>""</f>
        <v/>
      </c>
      <c r="K14" s="45" t="str">
        <f>""</f>
        <v/>
      </c>
      <c r="L14" s="45" t="str">
        <f>""</f>
        <v/>
      </c>
    </row>
    <row r="15" spans="2:12" x14ac:dyDescent="0.2">
      <c r="B15" s="13" t="str">
        <f>"Theft of money (yes=1) for a household in a given year"</f>
        <v>Theft of money (yes=1) for a household in a given year</v>
      </c>
      <c r="C15" s="45" t="str">
        <f>""</f>
        <v/>
      </c>
      <c r="D15" s="45" t="str">
        <f>""</f>
        <v/>
      </c>
      <c r="E15" s="45" t="str">
        <f>""</f>
        <v/>
      </c>
      <c r="F15" s="45" t="str">
        <f>""</f>
        <v/>
      </c>
      <c r="G15" s="45" t="str">
        <f>"0.059***"</f>
        <v>0.059***</v>
      </c>
      <c r="H15" s="45" t="str">
        <f>""</f>
        <v/>
      </c>
      <c r="I15" s="45" t="str">
        <f>""</f>
        <v/>
      </c>
      <c r="J15" s="45" t="str">
        <f>""</f>
        <v/>
      </c>
      <c r="K15" s="45" t="str">
        <f>""</f>
        <v/>
      </c>
      <c r="L15" s="45" t="str">
        <f>""</f>
        <v/>
      </c>
    </row>
    <row r="16" spans="2:12" x14ac:dyDescent="0.2">
      <c r="B16" s="11" t="str">
        <f>""</f>
        <v/>
      </c>
      <c r="C16" s="45" t="str">
        <f>""</f>
        <v/>
      </c>
      <c r="D16" s="45" t="str">
        <f>""</f>
        <v/>
      </c>
      <c r="E16" s="45" t="str">
        <f>""</f>
        <v/>
      </c>
      <c r="F16" s="45" t="str">
        <f>""</f>
        <v/>
      </c>
      <c r="G16" s="45" t="str">
        <f>"[0.020]"</f>
        <v>[0.020]</v>
      </c>
      <c r="H16" s="45" t="str">
        <f>""</f>
        <v/>
      </c>
      <c r="I16" s="45" t="str">
        <f>""</f>
        <v/>
      </c>
      <c r="J16" s="45" t="str">
        <f>""</f>
        <v/>
      </c>
      <c r="K16" s="45" t="str">
        <f>""</f>
        <v/>
      </c>
      <c r="L16" s="45" t="str">
        <f>""</f>
        <v/>
      </c>
    </row>
    <row r="17" spans="2:12" x14ac:dyDescent="0.2">
      <c r="B17" s="11" t="str">
        <f>"Theft or destruction of goods (yes=1) for a household in a given year"</f>
        <v>Theft or destruction of goods (yes=1) for a household in a given year</v>
      </c>
      <c r="C17" s="45" t="str">
        <f>""</f>
        <v/>
      </c>
      <c r="D17" s="45" t="str">
        <f>""</f>
        <v/>
      </c>
      <c r="E17" s="45" t="str">
        <f>""</f>
        <v/>
      </c>
      <c r="F17" s="45" t="str">
        <f>""</f>
        <v/>
      </c>
      <c r="G17" s="45" t="str">
        <f>""</f>
        <v/>
      </c>
      <c r="H17" s="45" t="str">
        <f>"0.057***"</f>
        <v>0.057***</v>
      </c>
      <c r="I17" s="45" t="str">
        <f>""</f>
        <v/>
      </c>
      <c r="J17" s="45" t="str">
        <f>""</f>
        <v/>
      </c>
      <c r="K17" s="45" t="str">
        <f>""</f>
        <v/>
      </c>
      <c r="L17" s="45" t="str">
        <f>""</f>
        <v/>
      </c>
    </row>
    <row r="18" spans="2:12" x14ac:dyDescent="0.2">
      <c r="B18" s="11"/>
      <c r="C18" s="45" t="str">
        <f>""</f>
        <v/>
      </c>
      <c r="D18" s="45" t="str">
        <f>""</f>
        <v/>
      </c>
      <c r="E18" s="45" t="str">
        <f>""</f>
        <v/>
      </c>
      <c r="F18" s="45" t="str">
        <f>""</f>
        <v/>
      </c>
      <c r="G18" s="45" t="str">
        <f>""</f>
        <v/>
      </c>
      <c r="H18" s="45" t="str">
        <f>"[0.021]"</f>
        <v>[0.021]</v>
      </c>
      <c r="I18" s="45" t="str">
        <f>""</f>
        <v/>
      </c>
      <c r="J18" s="45" t="str">
        <f>""</f>
        <v/>
      </c>
      <c r="K18" s="45" t="str">
        <f>""</f>
        <v/>
      </c>
      <c r="L18" s="45" t="str">
        <f>""</f>
        <v/>
      </c>
    </row>
    <row r="19" spans="2:12" x14ac:dyDescent="0.2">
      <c r="B19" s="11" t="str">
        <f>"Destruction of house (yes=1) for a household in a given year"</f>
        <v>Destruction of house (yes=1) for a household in a given year</v>
      </c>
      <c r="C19" s="45" t="str">
        <f>""</f>
        <v/>
      </c>
      <c r="D19" s="45" t="str">
        <f>""</f>
        <v/>
      </c>
      <c r="E19" s="45" t="str">
        <f>""</f>
        <v/>
      </c>
      <c r="F19" s="45" t="str">
        <f>""</f>
        <v/>
      </c>
      <c r="G19" s="45" t="str">
        <f>""</f>
        <v/>
      </c>
      <c r="H19" s="45" t="str">
        <f>""</f>
        <v/>
      </c>
      <c r="I19" s="45" t="str">
        <f>"0.078**"</f>
        <v>0.078**</v>
      </c>
      <c r="J19" s="45" t="str">
        <f>""</f>
        <v/>
      </c>
      <c r="K19" s="45" t="str">
        <f>""</f>
        <v/>
      </c>
      <c r="L19" s="45" t="str">
        <f>""</f>
        <v/>
      </c>
    </row>
    <row r="20" spans="2:12" x14ac:dyDescent="0.2">
      <c r="B20" s="11"/>
      <c r="C20" s="45" t="str">
        <f>""</f>
        <v/>
      </c>
      <c r="D20" s="45" t="str">
        <f>""</f>
        <v/>
      </c>
      <c r="E20" s="45" t="str">
        <f>""</f>
        <v/>
      </c>
      <c r="F20" s="45" t="str">
        <f>""</f>
        <v/>
      </c>
      <c r="G20" s="45" t="str">
        <f>""</f>
        <v/>
      </c>
      <c r="H20" s="45" t="str">
        <f>""</f>
        <v/>
      </c>
      <c r="I20" s="45" t="str">
        <f>"[0.031]"</f>
        <v>[0.031]</v>
      </c>
      <c r="J20" s="45" t="str">
        <f>""</f>
        <v/>
      </c>
      <c r="K20" s="45" t="str">
        <f>""</f>
        <v/>
      </c>
      <c r="L20" s="45" t="str">
        <f>""</f>
        <v/>
      </c>
    </row>
    <row r="21" spans="2:12" x14ac:dyDescent="0.2">
      <c r="B21" s="16" t="s">
        <v>50</v>
      </c>
      <c r="C21" s="45" t="str">
        <f>""</f>
        <v/>
      </c>
      <c r="D21" s="45" t="str">
        <f>""</f>
        <v/>
      </c>
      <c r="E21" s="45" t="str">
        <f>""</f>
        <v/>
      </c>
      <c r="F21" s="45" t="str">
        <f>""</f>
        <v/>
      </c>
      <c r="G21" s="45" t="str">
        <f>""</f>
        <v/>
      </c>
      <c r="H21" s="45" t="str">
        <f>""</f>
        <v/>
      </c>
      <c r="I21" s="45" t="str">
        <f>""</f>
        <v/>
      </c>
      <c r="J21" s="45" t="str">
        <f>"0.000"</f>
        <v>0.000</v>
      </c>
      <c r="K21" s="45" t="str">
        <f>""</f>
        <v/>
      </c>
      <c r="L21" s="45" t="str">
        <f>""</f>
        <v/>
      </c>
    </row>
    <row r="22" spans="2:12" x14ac:dyDescent="0.2">
      <c r="C22" s="45" t="str">
        <f>""</f>
        <v/>
      </c>
      <c r="D22" s="45" t="str">
        <f>""</f>
        <v/>
      </c>
      <c r="E22" s="45" t="str">
        <f>""</f>
        <v/>
      </c>
      <c r="F22" s="45" t="str">
        <f>""</f>
        <v/>
      </c>
      <c r="G22" s="45" t="str">
        <f>""</f>
        <v/>
      </c>
      <c r="H22" s="45" t="str">
        <f>""</f>
        <v/>
      </c>
      <c r="I22" s="45" t="str">
        <f>""</f>
        <v/>
      </c>
      <c r="J22" s="45" t="str">
        <f>"[0.003]"</f>
        <v>[0.003]</v>
      </c>
      <c r="K22" s="45" t="str">
        <f>""</f>
        <v/>
      </c>
      <c r="L22" s="45" t="str">
        <f>""</f>
        <v/>
      </c>
    </row>
    <row r="23" spans="2:12" x14ac:dyDescent="0.2">
      <c r="B23" s="16" t="s">
        <v>51</v>
      </c>
      <c r="C23" s="45" t="str">
        <f>""</f>
        <v/>
      </c>
      <c r="D23" s="45" t="str">
        <f>""</f>
        <v/>
      </c>
      <c r="E23" s="45" t="str">
        <f>""</f>
        <v/>
      </c>
      <c r="F23" s="45" t="str">
        <f>""</f>
        <v/>
      </c>
      <c r="G23" s="45" t="str">
        <f>""</f>
        <v/>
      </c>
      <c r="H23" s="45" t="str">
        <f>""</f>
        <v/>
      </c>
      <c r="I23" s="45" t="str">
        <f>""</f>
        <v/>
      </c>
      <c r="J23" s="45" t="str">
        <f>""</f>
        <v/>
      </c>
      <c r="K23" s="45" t="str">
        <f>"0.011***"</f>
        <v>0.011***</v>
      </c>
      <c r="L23" s="45" t="str">
        <f>""</f>
        <v/>
      </c>
    </row>
    <row r="24" spans="2:12" x14ac:dyDescent="0.2">
      <c r="B24" s="16"/>
      <c r="C24" s="45" t="str">
        <f>""</f>
        <v/>
      </c>
      <c r="D24" s="45" t="str">
        <f>""</f>
        <v/>
      </c>
      <c r="E24" s="45" t="str">
        <f>""</f>
        <v/>
      </c>
      <c r="F24" s="45" t="str">
        <f>""</f>
        <v/>
      </c>
      <c r="G24" s="45" t="str">
        <f>""</f>
        <v/>
      </c>
      <c r="H24" s="45" t="str">
        <f>""</f>
        <v/>
      </c>
      <c r="I24" s="45" t="str">
        <f>""</f>
        <v/>
      </c>
      <c r="J24" s="45" t="str">
        <f>""</f>
        <v/>
      </c>
      <c r="K24" s="45" t="str">
        <f>"[0.003]"</f>
        <v>[0.003]</v>
      </c>
      <c r="L24" s="45" t="str">
        <f>""</f>
        <v/>
      </c>
    </row>
    <row r="25" spans="2:12" x14ac:dyDescent="0.2">
      <c r="B25" s="16" t="s">
        <v>52</v>
      </c>
      <c r="C25" s="45" t="str">
        <f>""</f>
        <v/>
      </c>
      <c r="D25" s="45" t="str">
        <f>""</f>
        <v/>
      </c>
      <c r="E25" s="45" t="str">
        <f>""</f>
        <v/>
      </c>
      <c r="F25" s="45" t="str">
        <f>""</f>
        <v/>
      </c>
      <c r="G25" s="45" t="str">
        <f>""</f>
        <v/>
      </c>
      <c r="H25" s="45" t="str">
        <f>""</f>
        <v/>
      </c>
      <c r="I25" s="45" t="str">
        <f>""</f>
        <v/>
      </c>
      <c r="J25" s="45" t="str">
        <f>""</f>
        <v/>
      </c>
      <c r="K25" s="45" t="str">
        <f>""</f>
        <v/>
      </c>
      <c r="L25" s="45" t="str">
        <f>"0.008***"</f>
        <v>0.008***</v>
      </c>
    </row>
    <row r="26" spans="2:12" x14ac:dyDescent="0.2">
      <c r="C26" s="45"/>
      <c r="D26" s="45"/>
      <c r="E26" s="45" t="str">
        <f>""</f>
        <v/>
      </c>
      <c r="F26" s="45" t="str">
        <f>""</f>
        <v/>
      </c>
      <c r="G26" s="45" t="str">
        <f>""</f>
        <v/>
      </c>
      <c r="H26" s="45" t="str">
        <f>""</f>
        <v/>
      </c>
      <c r="I26" s="45" t="str">
        <f>""</f>
        <v/>
      </c>
      <c r="J26" s="45" t="str">
        <f>""</f>
        <v/>
      </c>
      <c r="K26" s="45" t="str">
        <f>""</f>
        <v/>
      </c>
      <c r="L26" s="45" t="str">
        <f>"[0.003]"</f>
        <v>[0.003]</v>
      </c>
    </row>
    <row r="27" spans="2:12" x14ac:dyDescent="0.2">
      <c r="B27" s="26" t="s">
        <v>27</v>
      </c>
      <c r="C27" s="47" t="str">
        <f t="shared" ref="C27:L27" si="0">"8720"</f>
        <v>8720</v>
      </c>
      <c r="D27" s="47" t="str">
        <f t="shared" si="0"/>
        <v>8720</v>
      </c>
      <c r="E27" s="47" t="str">
        <f t="shared" si="0"/>
        <v>8720</v>
      </c>
      <c r="F27" s="47" t="str">
        <f t="shared" si="0"/>
        <v>8720</v>
      </c>
      <c r="G27" s="47" t="str">
        <f t="shared" si="0"/>
        <v>8720</v>
      </c>
      <c r="H27" s="47" t="str">
        <f t="shared" si="0"/>
        <v>8720</v>
      </c>
      <c r="I27" s="47" t="str">
        <f t="shared" si="0"/>
        <v>8720</v>
      </c>
      <c r="J27" s="47" t="str">
        <f t="shared" si="0"/>
        <v>8720</v>
      </c>
      <c r="K27" s="47" t="str">
        <f t="shared" si="0"/>
        <v>8720</v>
      </c>
      <c r="L27" s="47" t="str">
        <f t="shared" si="0"/>
        <v>8720</v>
      </c>
    </row>
    <row r="28" spans="2:12" x14ac:dyDescent="0.2">
      <c r="B28" s="23" t="s">
        <v>45</v>
      </c>
      <c r="C28" s="45" t="str">
        <f t="shared" ref="C28:L28" si="1">"0.099"</f>
        <v>0.099</v>
      </c>
      <c r="D28" s="45" t="str">
        <f t="shared" si="1"/>
        <v>0.099</v>
      </c>
      <c r="E28" s="45" t="str">
        <f t="shared" si="1"/>
        <v>0.099</v>
      </c>
      <c r="F28" s="45" t="str">
        <f t="shared" si="1"/>
        <v>0.099</v>
      </c>
      <c r="G28" s="45" t="str">
        <f t="shared" si="1"/>
        <v>0.099</v>
      </c>
      <c r="H28" s="45" t="str">
        <f t="shared" si="1"/>
        <v>0.099</v>
      </c>
      <c r="I28" s="45" t="str">
        <f t="shared" si="1"/>
        <v>0.099</v>
      </c>
      <c r="J28" s="45" t="str">
        <f t="shared" si="1"/>
        <v>0.099</v>
      </c>
      <c r="K28" s="45" t="str">
        <f t="shared" si="1"/>
        <v>0.099</v>
      </c>
      <c r="L28" s="45" t="str">
        <f t="shared" si="1"/>
        <v>0.099</v>
      </c>
    </row>
    <row r="29" spans="2:12" x14ac:dyDescent="0.2">
      <c r="B29" s="27" t="s">
        <v>40</v>
      </c>
      <c r="C29" s="28" t="s">
        <v>25</v>
      </c>
      <c r="D29" s="28" t="s">
        <v>25</v>
      </c>
      <c r="E29" s="28" t="s">
        <v>25</v>
      </c>
      <c r="F29" s="28" t="s">
        <v>25</v>
      </c>
      <c r="G29" s="28" t="s">
        <v>25</v>
      </c>
      <c r="H29" s="28" t="s">
        <v>25</v>
      </c>
      <c r="I29" s="28" t="s">
        <v>25</v>
      </c>
      <c r="J29" s="28" t="s">
        <v>25</v>
      </c>
      <c r="K29" s="28" t="s">
        <v>25</v>
      </c>
      <c r="L29" s="28" t="s">
        <v>25</v>
      </c>
    </row>
    <row r="30" spans="2:12" x14ac:dyDescent="0.2">
      <c r="B30" s="27" t="s">
        <v>24</v>
      </c>
      <c r="C30" s="28" t="s">
        <v>25</v>
      </c>
      <c r="D30" s="28" t="s">
        <v>25</v>
      </c>
      <c r="E30" s="28" t="s">
        <v>25</v>
      </c>
      <c r="F30" s="28" t="s">
        <v>25</v>
      </c>
      <c r="G30" s="28" t="s">
        <v>25</v>
      </c>
      <c r="H30" s="28" t="s">
        <v>25</v>
      </c>
      <c r="I30" s="28" t="s">
        <v>25</v>
      </c>
      <c r="J30" s="28" t="s">
        <v>25</v>
      </c>
      <c r="K30" s="28" t="s">
        <v>25</v>
      </c>
      <c r="L30" s="28" t="s">
        <v>25</v>
      </c>
    </row>
    <row r="31" spans="2:12" x14ac:dyDescent="0.2">
      <c r="B31" s="29" t="s">
        <v>35</v>
      </c>
      <c r="C31" s="30" t="s">
        <v>25</v>
      </c>
      <c r="D31" s="30" t="s">
        <v>25</v>
      </c>
      <c r="E31" s="30" t="s">
        <v>25</v>
      </c>
      <c r="F31" s="30" t="s">
        <v>25</v>
      </c>
      <c r="G31" s="30" t="s">
        <v>25</v>
      </c>
      <c r="H31" s="30" t="s">
        <v>25</v>
      </c>
      <c r="I31" s="30" t="s">
        <v>25</v>
      </c>
      <c r="J31" s="30" t="s">
        <v>25</v>
      </c>
      <c r="K31" s="30" t="s">
        <v>25</v>
      </c>
      <c r="L31" s="30" t="s">
        <v>25</v>
      </c>
    </row>
    <row r="32" spans="2:12" ht="93" customHeight="1" x14ac:dyDescent="0.2">
      <c r="B32" s="68" t="s">
        <v>69</v>
      </c>
      <c r="C32" s="68"/>
      <c r="D32" s="68"/>
      <c r="E32" s="68"/>
      <c r="F32" s="68"/>
      <c r="G32" s="68"/>
      <c r="H32" s="68"/>
      <c r="I32" s="68"/>
      <c r="J32" s="68"/>
      <c r="K32" s="68"/>
      <c r="L32" s="68"/>
    </row>
  </sheetData>
  <mergeCells count="2">
    <mergeCell ref="B32:L32"/>
    <mergeCell ref="B2:L2"/>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C5558-3086-0E4A-8F4E-680162034BC2}">
  <dimension ref="B2:L156"/>
  <sheetViews>
    <sheetView showGridLines="0" topLeftCell="A3" workbookViewId="0">
      <selection activeCell="B3" sqref="B3"/>
    </sheetView>
  </sheetViews>
  <sheetFormatPr baseColWidth="10" defaultColWidth="11" defaultRowHeight="16" x14ac:dyDescent="0.2"/>
  <cols>
    <col min="2" max="2" width="57.1640625" customWidth="1"/>
  </cols>
  <sheetData>
    <row r="2" spans="2:12" x14ac:dyDescent="0.2">
      <c r="B2" s="69" t="s">
        <v>78</v>
      </c>
      <c r="C2" s="69"/>
      <c r="D2" s="69"/>
      <c r="E2" s="69"/>
      <c r="F2" s="69"/>
      <c r="G2" s="69"/>
      <c r="H2" s="69"/>
      <c r="I2" s="69"/>
      <c r="J2" s="69"/>
      <c r="K2" s="69"/>
      <c r="L2" s="69"/>
    </row>
    <row r="3" spans="2:12" ht="51" customHeight="1" thickBot="1" x14ac:dyDescent="0.25">
      <c r="B3" s="33" t="s">
        <v>47</v>
      </c>
      <c r="C3" s="12" t="s">
        <v>28</v>
      </c>
      <c r="D3" s="12" t="s">
        <v>29</v>
      </c>
      <c r="E3" s="12" t="s">
        <v>30</v>
      </c>
      <c r="F3" s="12" t="s">
        <v>31</v>
      </c>
      <c r="G3" s="12" t="s">
        <v>32</v>
      </c>
      <c r="H3" s="12" t="s">
        <v>33</v>
      </c>
      <c r="I3" s="12" t="s">
        <v>34</v>
      </c>
      <c r="J3" s="12" t="s">
        <v>36</v>
      </c>
      <c r="K3" s="12" t="s">
        <v>37</v>
      </c>
      <c r="L3" s="12" t="s">
        <v>54</v>
      </c>
    </row>
    <row r="4" spans="2:12" ht="23" customHeight="1" thickTop="1" x14ac:dyDescent="0.2">
      <c r="B4" s="31" t="s">
        <v>49</v>
      </c>
      <c r="C4" s="25"/>
      <c r="D4" s="25"/>
      <c r="E4" s="25"/>
      <c r="F4" s="25"/>
      <c r="G4" s="25"/>
      <c r="H4" s="25"/>
      <c r="I4" s="25"/>
      <c r="J4" s="25"/>
      <c r="K4" s="25"/>
    </row>
    <row r="5" spans="2:12" x14ac:dyDescent="0.2">
      <c r="B5" s="6" t="s">
        <v>46</v>
      </c>
      <c r="C5" s="45" t="str">
        <f>"0.026*"</f>
        <v>0.026*</v>
      </c>
      <c r="D5" s="45" t="str">
        <f>""</f>
        <v/>
      </c>
      <c r="E5" s="45" t="str">
        <f>""</f>
        <v/>
      </c>
      <c r="F5" s="46" t="str">
        <f>""</f>
        <v/>
      </c>
      <c r="G5" s="46" t="str">
        <f>""</f>
        <v/>
      </c>
      <c r="H5" s="46" t="str">
        <f>""</f>
        <v/>
      </c>
      <c r="I5" s="46" t="str">
        <f>""</f>
        <v/>
      </c>
      <c r="J5" s="46" t="str">
        <f>""</f>
        <v/>
      </c>
      <c r="K5" s="46" t="str">
        <f>""</f>
        <v/>
      </c>
      <c r="L5" s="46" t="str">
        <f>""</f>
        <v/>
      </c>
    </row>
    <row r="6" spans="2:12" x14ac:dyDescent="0.2">
      <c r="B6" s="6"/>
      <c r="C6" s="45" t="str">
        <f>"[0.015]"</f>
        <v>[0.015]</v>
      </c>
      <c r="D6" s="45" t="str">
        <f>""</f>
        <v/>
      </c>
      <c r="E6" s="45" t="str">
        <f>""</f>
        <v/>
      </c>
      <c r="F6" s="46" t="str">
        <f>""</f>
        <v/>
      </c>
      <c r="G6" s="46" t="str">
        <f>""</f>
        <v/>
      </c>
      <c r="H6" s="46" t="str">
        <f>""</f>
        <v/>
      </c>
      <c r="I6" s="46" t="str">
        <f>""</f>
        <v/>
      </c>
      <c r="J6" s="46" t="str">
        <f>""</f>
        <v/>
      </c>
      <c r="K6" s="46" t="str">
        <f>""</f>
        <v/>
      </c>
      <c r="L6" s="46" t="str">
        <f>""</f>
        <v/>
      </c>
    </row>
    <row r="7" spans="2:12" x14ac:dyDescent="0.2">
      <c r="B7" s="9" t="s">
        <v>62</v>
      </c>
      <c r="C7" s="45" t="str">
        <f>"0.039**"</f>
        <v>0.039**</v>
      </c>
      <c r="D7" s="45" t="str">
        <f>""</f>
        <v/>
      </c>
      <c r="E7" s="45" t="str">
        <f>""</f>
        <v/>
      </c>
      <c r="F7" s="46" t="str">
        <f>""</f>
        <v/>
      </c>
      <c r="G7" s="46" t="str">
        <f>""</f>
        <v/>
      </c>
      <c r="H7" s="46" t="str">
        <f>""</f>
        <v/>
      </c>
      <c r="I7" s="46" t="str">
        <f>""</f>
        <v/>
      </c>
      <c r="J7" s="46" t="str">
        <f>""</f>
        <v/>
      </c>
      <c r="K7" s="46" t="str">
        <f>""</f>
        <v/>
      </c>
      <c r="L7" s="46" t="str">
        <f>""</f>
        <v/>
      </c>
    </row>
    <row r="8" spans="2:12" x14ac:dyDescent="0.2">
      <c r="B8" s="6"/>
      <c r="C8" s="45" t="str">
        <f>"[0.015]"</f>
        <v>[0.015]</v>
      </c>
      <c r="D8" s="45" t="str">
        <f>""</f>
        <v/>
      </c>
      <c r="E8" s="45" t="str">
        <f>""</f>
        <v/>
      </c>
      <c r="F8" s="46" t="str">
        <f>""</f>
        <v/>
      </c>
      <c r="G8" s="46" t="str">
        <f>""</f>
        <v/>
      </c>
      <c r="H8" s="46" t="str">
        <f>""</f>
        <v/>
      </c>
      <c r="I8" s="46" t="str">
        <f>""</f>
        <v/>
      </c>
      <c r="J8" s="46" t="str">
        <f>""</f>
        <v/>
      </c>
      <c r="K8" s="46" t="str">
        <f>""</f>
        <v/>
      </c>
      <c r="L8" s="46" t="str">
        <f>""</f>
        <v/>
      </c>
    </row>
    <row r="9" spans="2:12" x14ac:dyDescent="0.2">
      <c r="B9" s="37" t="s">
        <v>44</v>
      </c>
      <c r="C9" s="45" t="str">
        <f>""</f>
        <v/>
      </c>
      <c r="D9" s="32" t="str">
        <f>"0.317***"</f>
        <v>0.317***</v>
      </c>
      <c r="E9" s="45" t="str">
        <f>""</f>
        <v/>
      </c>
      <c r="F9" s="46" t="str">
        <f>""</f>
        <v/>
      </c>
      <c r="G9" s="46" t="str">
        <f>""</f>
        <v/>
      </c>
      <c r="H9" s="46" t="str">
        <f>""</f>
        <v/>
      </c>
      <c r="I9" s="46" t="str">
        <f>""</f>
        <v/>
      </c>
      <c r="J9" s="46" t="str">
        <f>""</f>
        <v/>
      </c>
      <c r="K9" s="46" t="str">
        <f>""</f>
        <v/>
      </c>
      <c r="L9" s="46" t="str">
        <f>""</f>
        <v/>
      </c>
    </row>
    <row r="10" spans="2:12" x14ac:dyDescent="0.2">
      <c r="B10" s="6" t="str">
        <f>""</f>
        <v/>
      </c>
      <c r="C10" s="45" t="str">
        <f>""</f>
        <v/>
      </c>
      <c r="D10" s="32" t="str">
        <f>"[0.101]"</f>
        <v>[0.101]</v>
      </c>
      <c r="E10" s="45" t="str">
        <f>""</f>
        <v/>
      </c>
      <c r="F10" s="46" t="str">
        <f>""</f>
        <v/>
      </c>
      <c r="G10" s="46" t="str">
        <f>""</f>
        <v/>
      </c>
      <c r="H10" s="46" t="str">
        <f>""</f>
        <v/>
      </c>
      <c r="I10" s="46" t="str">
        <f>""</f>
        <v/>
      </c>
      <c r="J10" s="46" t="str">
        <f>""</f>
        <v/>
      </c>
      <c r="K10" s="46" t="str">
        <f>""</f>
        <v/>
      </c>
      <c r="L10" s="46" t="str">
        <f>""</f>
        <v/>
      </c>
    </row>
    <row r="11" spans="2:12" x14ac:dyDescent="0.2">
      <c r="B11" s="37" t="s">
        <v>63</v>
      </c>
      <c r="C11" s="45" t="str">
        <f>""</f>
        <v/>
      </c>
      <c r="D11" s="32" t="str">
        <f>"0.377***"</f>
        <v>0.377***</v>
      </c>
      <c r="E11" s="45" t="str">
        <f>""</f>
        <v/>
      </c>
      <c r="F11" s="46" t="str">
        <f>""</f>
        <v/>
      </c>
      <c r="G11" s="46" t="str">
        <f>""</f>
        <v/>
      </c>
      <c r="H11" s="46" t="str">
        <f>""</f>
        <v/>
      </c>
      <c r="I11" s="46" t="str">
        <f>""</f>
        <v/>
      </c>
      <c r="J11" s="46" t="str">
        <f>""</f>
        <v/>
      </c>
      <c r="K11" s="46" t="str">
        <f>""</f>
        <v/>
      </c>
      <c r="L11" s="46" t="str">
        <f>""</f>
        <v/>
      </c>
    </row>
    <row r="12" spans="2:12" x14ac:dyDescent="0.2">
      <c r="B12" s="8"/>
      <c r="C12" s="48" t="str">
        <f>""</f>
        <v/>
      </c>
      <c r="D12" s="50" t="str">
        <f>"[0.114]"</f>
        <v>[0.114]</v>
      </c>
      <c r="E12" s="48" t="str">
        <f>""</f>
        <v/>
      </c>
      <c r="F12" s="49" t="str">
        <f>""</f>
        <v/>
      </c>
      <c r="G12" s="49" t="str">
        <f>""</f>
        <v/>
      </c>
      <c r="H12" s="49" t="str">
        <f>""</f>
        <v/>
      </c>
      <c r="I12" s="49" t="str">
        <f>""</f>
        <v/>
      </c>
      <c r="J12" s="49" t="str">
        <f>""</f>
        <v/>
      </c>
      <c r="K12" s="49" t="str">
        <f>""</f>
        <v/>
      </c>
      <c r="L12" s="49" t="str">
        <f>""</f>
        <v/>
      </c>
    </row>
    <row r="13" spans="2:12" ht="25" customHeight="1" x14ac:dyDescent="0.2">
      <c r="B13" s="51" t="s">
        <v>48</v>
      </c>
      <c r="C13" s="45"/>
      <c r="D13" s="45"/>
      <c r="E13" s="45"/>
      <c r="F13" s="42"/>
      <c r="G13" s="42"/>
      <c r="H13" s="42"/>
      <c r="I13" s="42"/>
      <c r="J13" s="42"/>
      <c r="K13" s="42"/>
      <c r="L13" s="42"/>
    </row>
    <row r="14" spans="2:12" ht="18" customHeight="1" x14ac:dyDescent="0.2">
      <c r="B14" s="11" t="str">
        <f>"Loss of land (yes=1) for a household in a given year"</f>
        <v>Loss of land (yes=1) for a household in a given year</v>
      </c>
      <c r="C14" s="45" t="str">
        <f>""</f>
        <v/>
      </c>
      <c r="D14" s="45" t="str">
        <f>""</f>
        <v/>
      </c>
      <c r="E14" s="45" t="str">
        <f>"0.000"</f>
        <v>0.000</v>
      </c>
      <c r="F14" s="45" t="str">
        <f>""</f>
        <v/>
      </c>
      <c r="G14" s="45" t="str">
        <f>""</f>
        <v/>
      </c>
      <c r="H14" s="45" t="str">
        <f>""</f>
        <v/>
      </c>
      <c r="I14" s="45" t="str">
        <f>""</f>
        <v/>
      </c>
      <c r="J14" s="45" t="str">
        <f>""</f>
        <v/>
      </c>
      <c r="K14" s="45" t="str">
        <f>""</f>
        <v/>
      </c>
      <c r="L14" s="45" t="str">
        <f>""</f>
        <v/>
      </c>
    </row>
    <row r="15" spans="2:12" ht="14" customHeight="1" x14ac:dyDescent="0.2">
      <c r="B15" s="11" t="str">
        <f>""</f>
        <v/>
      </c>
      <c r="C15" s="45" t="str">
        <f>""</f>
        <v/>
      </c>
      <c r="D15" s="45" t="str">
        <f>""</f>
        <v/>
      </c>
      <c r="E15" s="45" t="str">
        <f>"[0.022]"</f>
        <v>[0.022]</v>
      </c>
      <c r="F15" s="45" t="str">
        <f>""</f>
        <v/>
      </c>
      <c r="G15" s="45" t="str">
        <f>""</f>
        <v/>
      </c>
      <c r="H15" s="45" t="str">
        <f>""</f>
        <v/>
      </c>
      <c r="I15" s="45" t="str">
        <f>""</f>
        <v/>
      </c>
      <c r="J15" s="45" t="str">
        <f>""</f>
        <v/>
      </c>
      <c r="K15" s="45" t="str">
        <f>""</f>
        <v/>
      </c>
      <c r="L15" s="45" t="str">
        <f>""</f>
        <v/>
      </c>
    </row>
    <row r="16" spans="2:12" ht="14" customHeight="1" x14ac:dyDescent="0.2">
      <c r="B16" s="11" t="str">
        <f>"Lag Loss of land (yes=1) for a household in a given year"</f>
        <v>Lag Loss of land (yes=1) for a household in a given year</v>
      </c>
      <c r="C16" s="45" t="str">
        <f>""</f>
        <v/>
      </c>
      <c r="D16" s="45" t="str">
        <f>""</f>
        <v/>
      </c>
      <c r="E16" s="45" t="str">
        <f>"-0.043**"</f>
        <v>-0.043**</v>
      </c>
      <c r="F16" s="45" t="str">
        <f>""</f>
        <v/>
      </c>
      <c r="G16" s="45" t="str">
        <f>""</f>
        <v/>
      </c>
      <c r="H16" s="45" t="str">
        <f>""</f>
        <v/>
      </c>
      <c r="I16" s="45" t="str">
        <f>""</f>
        <v/>
      </c>
      <c r="J16" s="45" t="str">
        <f>""</f>
        <v/>
      </c>
      <c r="K16" s="45" t="str">
        <f>""</f>
        <v/>
      </c>
      <c r="L16" s="45" t="str">
        <f>""</f>
        <v/>
      </c>
    </row>
    <row r="17" spans="2:12" ht="14" customHeight="1" x14ac:dyDescent="0.2">
      <c r="B17" s="11"/>
      <c r="C17" s="45" t="str">
        <f>""</f>
        <v/>
      </c>
      <c r="D17" s="45" t="str">
        <f>""</f>
        <v/>
      </c>
      <c r="E17" s="45" t="str">
        <f>"[0.021]"</f>
        <v>[0.021]</v>
      </c>
      <c r="F17" s="45" t="str">
        <f>""</f>
        <v/>
      </c>
      <c r="G17" s="45" t="str">
        <f>""</f>
        <v/>
      </c>
      <c r="H17" s="45" t="str">
        <f>""</f>
        <v/>
      </c>
      <c r="I17" s="45" t="str">
        <f>""</f>
        <v/>
      </c>
      <c r="J17" s="45" t="str">
        <f>""</f>
        <v/>
      </c>
      <c r="K17" s="45" t="str">
        <f>""</f>
        <v/>
      </c>
      <c r="L17" s="45" t="str">
        <f>""</f>
        <v/>
      </c>
    </row>
    <row r="18" spans="2:12" x14ac:dyDescent="0.2">
      <c r="B18" s="11" t="str">
        <f>"Theft of crops (yes=1) for a household in a given year"</f>
        <v>Theft of crops (yes=1) for a household in a given year</v>
      </c>
      <c r="C18" s="45" t="str">
        <f>""</f>
        <v/>
      </c>
      <c r="D18" s="45" t="str">
        <f>""</f>
        <v/>
      </c>
      <c r="E18" s="45" t="str">
        <f>""</f>
        <v/>
      </c>
      <c r="F18" s="45" t="str">
        <f>"0.010"</f>
        <v>0.010</v>
      </c>
      <c r="G18" s="45" t="str">
        <f>""</f>
        <v/>
      </c>
      <c r="H18" s="45" t="str">
        <f>""</f>
        <v/>
      </c>
      <c r="I18" s="45" t="str">
        <f>""</f>
        <v/>
      </c>
      <c r="J18" s="45" t="str">
        <f>""</f>
        <v/>
      </c>
      <c r="K18" s="45" t="str">
        <f>""</f>
        <v/>
      </c>
      <c r="L18" s="45" t="str">
        <f>""</f>
        <v/>
      </c>
    </row>
    <row r="19" spans="2:12" x14ac:dyDescent="0.2">
      <c r="B19" s="11" t="str">
        <f>""</f>
        <v/>
      </c>
      <c r="C19" s="45" t="str">
        <f>""</f>
        <v/>
      </c>
      <c r="D19" s="45" t="str">
        <f>""</f>
        <v/>
      </c>
      <c r="E19" s="45" t="str">
        <f>""</f>
        <v/>
      </c>
      <c r="F19" s="45" t="str">
        <f>"[0.012]"</f>
        <v>[0.012]</v>
      </c>
      <c r="G19" s="45" t="str">
        <f>""</f>
        <v/>
      </c>
      <c r="H19" s="45" t="str">
        <f>""</f>
        <v/>
      </c>
      <c r="I19" s="45" t="str">
        <f>""</f>
        <v/>
      </c>
      <c r="J19" s="45" t="str">
        <f>""</f>
        <v/>
      </c>
      <c r="K19" s="45" t="str">
        <f>""</f>
        <v/>
      </c>
      <c r="L19" s="45" t="str">
        <f>""</f>
        <v/>
      </c>
    </row>
    <row r="20" spans="2:12" x14ac:dyDescent="0.2">
      <c r="B20" s="11" t="str">
        <f>"Lag Theft of crops (yes=1) for a household in a given year"</f>
        <v>Lag Theft of crops (yes=1) for a household in a given year</v>
      </c>
      <c r="C20" s="45" t="str">
        <f>""</f>
        <v/>
      </c>
      <c r="D20" s="45" t="str">
        <f>""</f>
        <v/>
      </c>
      <c r="E20" s="45" t="str">
        <f>""</f>
        <v/>
      </c>
      <c r="F20" s="45" t="str">
        <f>"-0.009"</f>
        <v>-0.009</v>
      </c>
      <c r="G20" s="45" t="str">
        <f>""</f>
        <v/>
      </c>
      <c r="H20" s="45" t="str">
        <f>""</f>
        <v/>
      </c>
      <c r="I20" s="45" t="str">
        <f>""</f>
        <v/>
      </c>
      <c r="J20" s="45" t="str">
        <f>""</f>
        <v/>
      </c>
      <c r="K20" s="45" t="str">
        <f>""</f>
        <v/>
      </c>
      <c r="L20" s="45" t="str">
        <f>""</f>
        <v/>
      </c>
    </row>
    <row r="21" spans="2:12" x14ac:dyDescent="0.2">
      <c r="B21" s="11"/>
      <c r="C21" s="45" t="str">
        <f>""</f>
        <v/>
      </c>
      <c r="D21" s="45" t="str">
        <f>""</f>
        <v/>
      </c>
      <c r="E21" s="45" t="str">
        <f>""</f>
        <v/>
      </c>
      <c r="F21" s="45" t="str">
        <f>"[0.011]"</f>
        <v>[0.011]</v>
      </c>
      <c r="G21" s="45" t="str">
        <f>""</f>
        <v/>
      </c>
      <c r="H21" s="45" t="str">
        <f>""</f>
        <v/>
      </c>
      <c r="I21" s="45" t="str">
        <f>""</f>
        <v/>
      </c>
      <c r="J21" s="45" t="str">
        <f>""</f>
        <v/>
      </c>
      <c r="K21" s="45" t="str">
        <f>""</f>
        <v/>
      </c>
      <c r="L21" s="45" t="str">
        <f>""</f>
        <v/>
      </c>
    </row>
    <row r="22" spans="2:12" x14ac:dyDescent="0.2">
      <c r="B22" s="13" t="str">
        <f>"Theft of money (yes=1) for a household in a given year"</f>
        <v>Theft of money (yes=1) for a household in a given year</v>
      </c>
      <c r="C22" s="45" t="str">
        <f>""</f>
        <v/>
      </c>
      <c r="D22" s="45" t="str">
        <f>""</f>
        <v/>
      </c>
      <c r="E22" s="45" t="str">
        <f>""</f>
        <v/>
      </c>
      <c r="F22" s="45" t="str">
        <f>""</f>
        <v/>
      </c>
      <c r="G22" s="45" t="str">
        <f>"0.066***"</f>
        <v>0.066***</v>
      </c>
      <c r="H22" s="45" t="str">
        <f>""</f>
        <v/>
      </c>
      <c r="I22" s="45" t="str">
        <f>""</f>
        <v/>
      </c>
      <c r="J22" s="45" t="str">
        <f>""</f>
        <v/>
      </c>
      <c r="K22" s="45" t="str">
        <f>""</f>
        <v/>
      </c>
      <c r="L22" s="45" t="str">
        <f>""</f>
        <v/>
      </c>
    </row>
    <row r="23" spans="2:12" x14ac:dyDescent="0.2">
      <c r="B23" s="11" t="str">
        <f>""</f>
        <v/>
      </c>
      <c r="C23" s="45" t="str">
        <f>""</f>
        <v/>
      </c>
      <c r="D23" s="45" t="str">
        <f>""</f>
        <v/>
      </c>
      <c r="E23" s="45" t="str">
        <f>""</f>
        <v/>
      </c>
      <c r="F23" s="45" t="str">
        <f>""</f>
        <v/>
      </c>
      <c r="G23" s="45" t="str">
        <f>"[0.021]"</f>
        <v>[0.021]</v>
      </c>
      <c r="H23" s="45" t="str">
        <f>""</f>
        <v/>
      </c>
      <c r="I23" s="45" t="str">
        <f>""</f>
        <v/>
      </c>
      <c r="J23" s="45" t="str">
        <f>""</f>
        <v/>
      </c>
      <c r="K23" s="45" t="str">
        <f>""</f>
        <v/>
      </c>
      <c r="L23" s="45" t="str">
        <f>""</f>
        <v/>
      </c>
    </row>
    <row r="24" spans="2:12" x14ac:dyDescent="0.2">
      <c r="B24" s="13" t="str">
        <f>"Lag Theft of money (yes=1) for a household in a given year"</f>
        <v>Lag Theft of money (yes=1) for a household in a given year</v>
      </c>
      <c r="C24" s="45" t="str">
        <f>""</f>
        <v/>
      </c>
      <c r="D24" s="45" t="str">
        <f>""</f>
        <v/>
      </c>
      <c r="E24" s="45" t="str">
        <f>""</f>
        <v/>
      </c>
      <c r="F24" s="45" t="str">
        <f>""</f>
        <v/>
      </c>
      <c r="G24" s="45" t="str">
        <f>"-0.018"</f>
        <v>-0.018</v>
      </c>
      <c r="H24" s="45" t="str">
        <f>""</f>
        <v/>
      </c>
      <c r="I24" s="45" t="str">
        <f>""</f>
        <v/>
      </c>
      <c r="J24" s="45" t="str">
        <f>""</f>
        <v/>
      </c>
      <c r="K24" s="45" t="str">
        <f>""</f>
        <v/>
      </c>
      <c r="L24" s="45" t="str">
        <f>""</f>
        <v/>
      </c>
    </row>
    <row r="25" spans="2:12" x14ac:dyDescent="0.2">
      <c r="B25" s="11"/>
      <c r="C25" s="45" t="str">
        <f>""</f>
        <v/>
      </c>
      <c r="D25" s="45" t="str">
        <f>""</f>
        <v/>
      </c>
      <c r="E25" s="45" t="str">
        <f>""</f>
        <v/>
      </c>
      <c r="F25" s="45" t="str">
        <f>""</f>
        <v/>
      </c>
      <c r="G25" s="45" t="str">
        <f>"[0.015]"</f>
        <v>[0.015]</v>
      </c>
      <c r="H25" s="45" t="str">
        <f>""</f>
        <v/>
      </c>
      <c r="I25" s="45" t="str">
        <f>""</f>
        <v/>
      </c>
      <c r="J25" s="45" t="str">
        <f>""</f>
        <v/>
      </c>
      <c r="K25" s="45" t="str">
        <f>""</f>
        <v/>
      </c>
      <c r="L25" s="45" t="str">
        <f>""</f>
        <v/>
      </c>
    </row>
    <row r="26" spans="2:12" x14ac:dyDescent="0.2">
      <c r="B26" s="11" t="str">
        <f>"Theft or destruction of goods (yes=1) for a household in a given year"</f>
        <v>Theft or destruction of goods (yes=1) for a household in a given year</v>
      </c>
      <c r="C26" s="45" t="str">
        <f>""</f>
        <v/>
      </c>
      <c r="D26" s="45" t="str">
        <f>""</f>
        <v/>
      </c>
      <c r="E26" s="45" t="str">
        <f>""</f>
        <v/>
      </c>
      <c r="F26" s="45" t="str">
        <f>""</f>
        <v/>
      </c>
      <c r="G26" s="45" t="str">
        <f>""</f>
        <v/>
      </c>
      <c r="H26" s="45" t="str">
        <f>"0.060***"</f>
        <v>0.060***</v>
      </c>
      <c r="I26" s="45" t="str">
        <f>""</f>
        <v/>
      </c>
      <c r="J26" s="45" t="str">
        <f>""</f>
        <v/>
      </c>
      <c r="K26" s="45" t="str">
        <f>""</f>
        <v/>
      </c>
      <c r="L26" s="45" t="str">
        <f>""</f>
        <v/>
      </c>
    </row>
    <row r="27" spans="2:12" x14ac:dyDescent="0.2">
      <c r="B27" s="11"/>
      <c r="C27" s="45" t="str">
        <f>""</f>
        <v/>
      </c>
      <c r="D27" s="45" t="str">
        <f>""</f>
        <v/>
      </c>
      <c r="E27" s="45" t="str">
        <f>""</f>
        <v/>
      </c>
      <c r="F27" s="45" t="str">
        <f>""</f>
        <v/>
      </c>
      <c r="G27" s="45" t="str">
        <f>""</f>
        <v/>
      </c>
      <c r="H27" s="45" t="str">
        <f>"[0.022]"</f>
        <v>[0.022]</v>
      </c>
      <c r="I27" s="45" t="str">
        <f>""</f>
        <v/>
      </c>
      <c r="J27" s="45" t="str">
        <f>""</f>
        <v/>
      </c>
      <c r="K27" s="45" t="str">
        <f>""</f>
        <v/>
      </c>
      <c r="L27" s="45" t="str">
        <f>""</f>
        <v/>
      </c>
    </row>
    <row r="28" spans="2:12" x14ac:dyDescent="0.2">
      <c r="B28" s="11" t="str">
        <f>"Lag Theft or destruction of goods (yes=1) for a household in a given year"</f>
        <v>Lag Theft or destruction of goods (yes=1) for a household in a given year</v>
      </c>
      <c r="C28" s="45" t="str">
        <f>""</f>
        <v/>
      </c>
      <c r="D28" s="45" t="str">
        <f>""</f>
        <v/>
      </c>
      <c r="E28" s="45" t="str">
        <f>""</f>
        <v/>
      </c>
      <c r="F28" s="45" t="str">
        <f>""</f>
        <v/>
      </c>
      <c r="G28" s="45" t="str">
        <f>""</f>
        <v/>
      </c>
      <c r="H28" s="45" t="str">
        <f>"-0.003"</f>
        <v>-0.003</v>
      </c>
      <c r="I28" s="45" t="str">
        <f>""</f>
        <v/>
      </c>
      <c r="J28" s="45" t="str">
        <f>""</f>
        <v/>
      </c>
      <c r="K28" s="45" t="str">
        <f>""</f>
        <v/>
      </c>
      <c r="L28" s="45" t="str">
        <f>""</f>
        <v/>
      </c>
    </row>
    <row r="29" spans="2:12" x14ac:dyDescent="0.2">
      <c r="B29" s="11"/>
      <c r="C29" s="45" t="str">
        <f>""</f>
        <v/>
      </c>
      <c r="D29" s="45" t="str">
        <f>""</f>
        <v/>
      </c>
      <c r="E29" s="45" t="str">
        <f>""</f>
        <v/>
      </c>
      <c r="F29" s="45" t="str">
        <f>""</f>
        <v/>
      </c>
      <c r="G29" s="45" t="str">
        <f>""</f>
        <v/>
      </c>
      <c r="H29" s="45" t="str">
        <f>"[0.018]"</f>
        <v>[0.018]</v>
      </c>
      <c r="I29" s="45" t="str">
        <f>""</f>
        <v/>
      </c>
      <c r="J29" s="45" t="str">
        <f>""</f>
        <v/>
      </c>
      <c r="K29" s="45" t="str">
        <f>""</f>
        <v/>
      </c>
      <c r="L29" s="45" t="str">
        <f>""</f>
        <v/>
      </c>
    </row>
    <row r="30" spans="2:12" x14ac:dyDescent="0.2">
      <c r="B30" s="11" t="str">
        <f>"Destruction of house (yes=1) for a household in a given year"</f>
        <v>Destruction of house (yes=1) for a household in a given year</v>
      </c>
      <c r="C30" s="45" t="str">
        <f>""</f>
        <v/>
      </c>
      <c r="D30" s="45" t="str">
        <f>""</f>
        <v/>
      </c>
      <c r="E30" s="45" t="str">
        <f>""</f>
        <v/>
      </c>
      <c r="F30" s="45" t="str">
        <f>""</f>
        <v/>
      </c>
      <c r="G30" s="45" t="str">
        <f>""</f>
        <v/>
      </c>
      <c r="H30" s="45" t="str">
        <f>""</f>
        <v/>
      </c>
      <c r="I30" s="45" t="str">
        <f>"0.087***"</f>
        <v>0.087***</v>
      </c>
      <c r="J30" s="45" t="str">
        <f>""</f>
        <v/>
      </c>
      <c r="K30" s="45" t="str">
        <f>""</f>
        <v/>
      </c>
      <c r="L30" s="45" t="str">
        <f>""</f>
        <v/>
      </c>
    </row>
    <row r="31" spans="2:12" x14ac:dyDescent="0.2">
      <c r="B31" s="11"/>
      <c r="C31" s="45" t="str">
        <f>""</f>
        <v/>
      </c>
      <c r="D31" s="45" t="str">
        <f>""</f>
        <v/>
      </c>
      <c r="E31" s="45" t="str">
        <f>""</f>
        <v/>
      </c>
      <c r="F31" s="45" t="str">
        <f>""</f>
        <v/>
      </c>
      <c r="G31" s="45" t="str">
        <f>""</f>
        <v/>
      </c>
      <c r="H31" s="45" t="str">
        <f>""</f>
        <v/>
      </c>
      <c r="I31" s="45" t="str">
        <f>"[0.032]"</f>
        <v>[0.032]</v>
      </c>
      <c r="J31" s="45" t="str">
        <f>""</f>
        <v/>
      </c>
      <c r="K31" s="45" t="str">
        <f>""</f>
        <v/>
      </c>
      <c r="L31" s="45" t="str">
        <f>""</f>
        <v/>
      </c>
    </row>
    <row r="32" spans="2:12" x14ac:dyDescent="0.2">
      <c r="B32" s="11" t="str">
        <f>"Lag Destruction of house (yes=1) for a household in a given year"</f>
        <v>Lag Destruction of house (yes=1) for a household in a given year</v>
      </c>
      <c r="C32" s="45" t="str">
        <f>""</f>
        <v/>
      </c>
      <c r="D32" s="45" t="str">
        <f>""</f>
        <v/>
      </c>
      <c r="E32" s="45" t="str">
        <f>""</f>
        <v/>
      </c>
      <c r="F32" s="45" t="str">
        <f>""</f>
        <v/>
      </c>
      <c r="G32" s="45" t="str">
        <f>""</f>
        <v/>
      </c>
      <c r="H32" s="45" t="str">
        <f>""</f>
        <v/>
      </c>
      <c r="I32" s="45" t="str">
        <f>"-0.026"</f>
        <v>-0.026</v>
      </c>
      <c r="J32" s="45" t="str">
        <f>""</f>
        <v/>
      </c>
      <c r="K32" s="45" t="str">
        <f>""</f>
        <v/>
      </c>
      <c r="L32" s="45" t="str">
        <f>""</f>
        <v/>
      </c>
    </row>
    <row r="33" spans="2:12" x14ac:dyDescent="0.2">
      <c r="B33" s="11"/>
      <c r="C33" s="45" t="str">
        <f>""</f>
        <v/>
      </c>
      <c r="D33" s="45" t="str">
        <f>""</f>
        <v/>
      </c>
      <c r="E33" s="45" t="str">
        <f>""</f>
        <v/>
      </c>
      <c r="F33" s="45" t="str">
        <f>""</f>
        <v/>
      </c>
      <c r="G33" s="45" t="str">
        <f>""</f>
        <v/>
      </c>
      <c r="H33" s="45" t="str">
        <f>""</f>
        <v/>
      </c>
      <c r="I33" s="45" t="str">
        <f>"[0.018]"</f>
        <v>[0.018]</v>
      </c>
      <c r="J33" s="45" t="str">
        <f>""</f>
        <v/>
      </c>
      <c r="K33" s="45" t="str">
        <f>""</f>
        <v/>
      </c>
      <c r="L33" s="45" t="str">
        <f>""</f>
        <v/>
      </c>
    </row>
    <row r="34" spans="2:12" x14ac:dyDescent="0.2">
      <c r="B34" s="16" t="s">
        <v>50</v>
      </c>
      <c r="C34" s="45" t="str">
        <f>""</f>
        <v/>
      </c>
      <c r="D34" s="45" t="str">
        <f>""</f>
        <v/>
      </c>
      <c r="E34" s="45" t="str">
        <f>""</f>
        <v/>
      </c>
      <c r="F34" s="45" t="str">
        <f>""</f>
        <v/>
      </c>
      <c r="G34" s="45" t="str">
        <f>""</f>
        <v/>
      </c>
      <c r="H34" s="45" t="str">
        <f>""</f>
        <v/>
      </c>
      <c r="I34" s="45" t="str">
        <f>""</f>
        <v/>
      </c>
      <c r="J34" s="45" t="str">
        <f>"0.002"</f>
        <v>0.002</v>
      </c>
      <c r="K34" s="45" t="str">
        <f>""</f>
        <v/>
      </c>
      <c r="L34" s="45" t="str">
        <f>""</f>
        <v/>
      </c>
    </row>
    <row r="35" spans="2:12" x14ac:dyDescent="0.2">
      <c r="C35" s="45" t="str">
        <f>""</f>
        <v/>
      </c>
      <c r="D35" s="45" t="str">
        <f>""</f>
        <v/>
      </c>
      <c r="E35" s="45" t="str">
        <f>""</f>
        <v/>
      </c>
      <c r="F35" s="45" t="str">
        <f>""</f>
        <v/>
      </c>
      <c r="G35" s="45" t="str">
        <f>""</f>
        <v/>
      </c>
      <c r="H35" s="45" t="str">
        <f>""</f>
        <v/>
      </c>
      <c r="I35" s="45" t="str">
        <f>""</f>
        <v/>
      </c>
      <c r="J35" s="45" t="str">
        <f>"[0.003]"</f>
        <v>[0.003]</v>
      </c>
      <c r="K35" s="45" t="str">
        <f>""</f>
        <v/>
      </c>
      <c r="L35" s="45" t="str">
        <f>""</f>
        <v/>
      </c>
    </row>
    <row r="36" spans="2:12" x14ac:dyDescent="0.2">
      <c r="B36" s="16" t="s">
        <v>64</v>
      </c>
      <c r="C36" s="45" t="str">
        <f>""</f>
        <v/>
      </c>
      <c r="D36" s="45" t="str">
        <f>""</f>
        <v/>
      </c>
      <c r="E36" s="45" t="str">
        <f>""</f>
        <v/>
      </c>
      <c r="F36" s="45" t="str">
        <f>""</f>
        <v/>
      </c>
      <c r="G36" s="45" t="str">
        <f>""</f>
        <v/>
      </c>
      <c r="H36" s="45" t="str">
        <f>""</f>
        <v/>
      </c>
      <c r="I36" s="45" t="str">
        <f>""</f>
        <v/>
      </c>
      <c r="J36" s="45" t="str">
        <f>"-0.005*"</f>
        <v>-0.005*</v>
      </c>
      <c r="K36" s="45" t="str">
        <f>""</f>
        <v/>
      </c>
      <c r="L36" s="45" t="str">
        <f>""</f>
        <v/>
      </c>
    </row>
    <row r="37" spans="2:12" x14ac:dyDescent="0.2">
      <c r="C37" s="45" t="str">
        <f>""</f>
        <v/>
      </c>
      <c r="D37" s="45" t="str">
        <f>""</f>
        <v/>
      </c>
      <c r="E37" s="45" t="str">
        <f>""</f>
        <v/>
      </c>
      <c r="F37" s="45" t="str">
        <f>""</f>
        <v/>
      </c>
      <c r="G37" s="45" t="str">
        <f>""</f>
        <v/>
      </c>
      <c r="H37" s="45" t="str">
        <f>""</f>
        <v/>
      </c>
      <c r="I37" s="45" t="str">
        <f>""</f>
        <v/>
      </c>
      <c r="J37" s="45" t="str">
        <f>"[0.003]"</f>
        <v>[0.003]</v>
      </c>
      <c r="K37" s="45" t="str">
        <f>""</f>
        <v/>
      </c>
      <c r="L37" s="45" t="str">
        <f>""</f>
        <v/>
      </c>
    </row>
    <row r="38" spans="2:12" x14ac:dyDescent="0.2">
      <c r="B38" s="16" t="s">
        <v>51</v>
      </c>
      <c r="C38" s="45" t="str">
        <f>""</f>
        <v/>
      </c>
      <c r="D38" s="45" t="str">
        <f>""</f>
        <v/>
      </c>
      <c r="E38" s="45" t="str">
        <f>""</f>
        <v/>
      </c>
      <c r="F38" s="45" t="str">
        <f>""</f>
        <v/>
      </c>
      <c r="G38" s="45" t="str">
        <f>""</f>
        <v/>
      </c>
      <c r="H38" s="45" t="str">
        <f>""</f>
        <v/>
      </c>
      <c r="I38" s="45" t="str">
        <f>""</f>
        <v/>
      </c>
      <c r="J38" s="45" t="str">
        <f>""</f>
        <v/>
      </c>
      <c r="K38" s="45" t="str">
        <f>"0.012***"</f>
        <v>0.012***</v>
      </c>
      <c r="L38" s="45" t="str">
        <f>""</f>
        <v/>
      </c>
    </row>
    <row r="39" spans="2:12" x14ac:dyDescent="0.2">
      <c r="B39" s="16"/>
      <c r="C39" s="45" t="str">
        <f>""</f>
        <v/>
      </c>
      <c r="D39" s="45" t="str">
        <f>""</f>
        <v/>
      </c>
      <c r="E39" s="45" t="str">
        <f>""</f>
        <v/>
      </c>
      <c r="F39" s="45" t="str">
        <f>""</f>
        <v/>
      </c>
      <c r="G39" s="45" t="str">
        <f>""</f>
        <v/>
      </c>
      <c r="H39" s="45" t="str">
        <f>""</f>
        <v/>
      </c>
      <c r="I39" s="45" t="str">
        <f>""</f>
        <v/>
      </c>
      <c r="J39" s="45" t="str">
        <f>""</f>
        <v/>
      </c>
      <c r="K39" s="45" t="str">
        <f>"[0.003]"</f>
        <v>[0.003]</v>
      </c>
      <c r="L39" s="45" t="str">
        <f>""</f>
        <v/>
      </c>
    </row>
    <row r="40" spans="2:12" x14ac:dyDescent="0.2">
      <c r="B40" s="16" t="s">
        <v>65</v>
      </c>
      <c r="C40" s="45" t="str">
        <f>""</f>
        <v/>
      </c>
      <c r="D40" s="45" t="str">
        <f>""</f>
        <v/>
      </c>
      <c r="E40" s="45" t="str">
        <f>""</f>
        <v/>
      </c>
      <c r="F40" s="45" t="str">
        <f>""</f>
        <v/>
      </c>
      <c r="G40" s="45" t="str">
        <f>""</f>
        <v/>
      </c>
      <c r="H40" s="45" t="str">
        <f>""</f>
        <v/>
      </c>
      <c r="I40" s="45" t="str">
        <f>""</f>
        <v/>
      </c>
      <c r="J40" s="45" t="str">
        <f>""</f>
        <v/>
      </c>
      <c r="K40" s="45" t="str">
        <f>"-0.003"</f>
        <v>-0.003</v>
      </c>
      <c r="L40" s="45" t="str">
        <f>""</f>
        <v/>
      </c>
    </row>
    <row r="41" spans="2:12" x14ac:dyDescent="0.2">
      <c r="B41" s="16"/>
      <c r="C41" s="45" t="str">
        <f>""</f>
        <v/>
      </c>
      <c r="D41" s="45" t="str">
        <f>""</f>
        <v/>
      </c>
      <c r="E41" s="45" t="str">
        <f>""</f>
        <v/>
      </c>
      <c r="F41" s="45" t="str">
        <f>""</f>
        <v/>
      </c>
      <c r="G41" s="45" t="str">
        <f>""</f>
        <v/>
      </c>
      <c r="H41" s="45" t="str">
        <f>""</f>
        <v/>
      </c>
      <c r="I41" s="45" t="str">
        <f>""</f>
        <v/>
      </c>
      <c r="J41" s="45" t="str">
        <f>""</f>
        <v/>
      </c>
      <c r="K41" s="45" t="str">
        <f>"[0.002]"</f>
        <v>[0.002]</v>
      </c>
      <c r="L41" s="45" t="str">
        <f>""</f>
        <v/>
      </c>
    </row>
    <row r="42" spans="2:12" x14ac:dyDescent="0.2">
      <c r="B42" s="16" t="s">
        <v>52</v>
      </c>
      <c r="C42" s="45" t="str">
        <f>""</f>
        <v/>
      </c>
      <c r="D42" s="45" t="str">
        <f>""</f>
        <v/>
      </c>
      <c r="E42" s="45" t="str">
        <f>""</f>
        <v/>
      </c>
      <c r="F42" s="45" t="str">
        <f>""</f>
        <v/>
      </c>
      <c r="G42" s="45" t="str">
        <f>""</f>
        <v/>
      </c>
      <c r="H42" s="45" t="str">
        <f>""</f>
        <v/>
      </c>
      <c r="I42" s="45" t="str">
        <f>""</f>
        <v/>
      </c>
      <c r="J42" s="45" t="str">
        <f>""</f>
        <v/>
      </c>
      <c r="K42" s="45" t="str">
        <f>""</f>
        <v/>
      </c>
      <c r="L42" s="45" t="str">
        <f>"0.010***"</f>
        <v>0.010***</v>
      </c>
    </row>
    <row r="43" spans="2:12" x14ac:dyDescent="0.2">
      <c r="B43" s="16"/>
      <c r="C43" s="45" t="str">
        <f>""</f>
        <v/>
      </c>
      <c r="D43" s="45" t="str">
        <f>""</f>
        <v/>
      </c>
      <c r="E43" s="45" t="str">
        <f>""</f>
        <v/>
      </c>
      <c r="F43" s="45" t="str">
        <f>""</f>
        <v/>
      </c>
      <c r="G43" s="45" t="str">
        <f>""</f>
        <v/>
      </c>
      <c r="H43" s="45" t="str">
        <f>""</f>
        <v/>
      </c>
      <c r="I43" s="45" t="str">
        <f>""</f>
        <v/>
      </c>
      <c r="J43" s="45" t="str">
        <f>""</f>
        <v/>
      </c>
      <c r="K43" s="45" t="str">
        <f>""</f>
        <v/>
      </c>
      <c r="L43" s="45" t="str">
        <f>"[0.003]"</f>
        <v>[0.003]</v>
      </c>
    </row>
    <row r="44" spans="2:12" x14ac:dyDescent="0.2">
      <c r="B44" s="16" t="s">
        <v>66</v>
      </c>
      <c r="C44" s="45" t="str">
        <f>""</f>
        <v/>
      </c>
      <c r="D44" s="45" t="str">
        <f>""</f>
        <v/>
      </c>
      <c r="E44" s="45" t="str">
        <f>""</f>
        <v/>
      </c>
      <c r="F44" s="45" t="str">
        <f>""</f>
        <v/>
      </c>
      <c r="G44" s="45" t="str">
        <f>""</f>
        <v/>
      </c>
      <c r="H44" s="45" t="str">
        <f>""</f>
        <v/>
      </c>
      <c r="I44" s="45" t="str">
        <f>""</f>
        <v/>
      </c>
      <c r="J44" s="45" t="str">
        <f>""</f>
        <v/>
      </c>
      <c r="K44" s="45" t="str">
        <f>""</f>
        <v/>
      </c>
      <c r="L44" s="45" t="str">
        <f>"-0.003"</f>
        <v>-0.003</v>
      </c>
    </row>
    <row r="45" spans="2:12" x14ac:dyDescent="0.2">
      <c r="C45" s="45" t="str">
        <f>""</f>
        <v/>
      </c>
      <c r="D45" s="45" t="str">
        <f>""</f>
        <v/>
      </c>
      <c r="E45" s="45" t="str">
        <f>""</f>
        <v/>
      </c>
      <c r="F45" s="45" t="str">
        <f>""</f>
        <v/>
      </c>
      <c r="G45" s="45" t="str">
        <f>""</f>
        <v/>
      </c>
      <c r="H45" s="45" t="str">
        <f>""</f>
        <v/>
      </c>
      <c r="I45" s="45" t="str">
        <f>""</f>
        <v/>
      </c>
      <c r="J45" s="45" t="str">
        <f>""</f>
        <v/>
      </c>
      <c r="K45" s="45" t="str">
        <f>""</f>
        <v/>
      </c>
      <c r="L45" s="45" t="str">
        <f>"[0.002]"</f>
        <v>[0.002]</v>
      </c>
    </row>
    <row r="46" spans="2:12" x14ac:dyDescent="0.2">
      <c r="B46" s="26" t="s">
        <v>27</v>
      </c>
      <c r="C46" s="47" t="str">
        <f t="shared" ref="C46:L46" si="0">"7848"</f>
        <v>7848</v>
      </c>
      <c r="D46" s="47" t="str">
        <f t="shared" si="0"/>
        <v>7848</v>
      </c>
      <c r="E46" s="47" t="str">
        <f t="shared" si="0"/>
        <v>7848</v>
      </c>
      <c r="F46" s="47" t="str">
        <f t="shared" si="0"/>
        <v>7848</v>
      </c>
      <c r="G46" s="47" t="str">
        <f t="shared" si="0"/>
        <v>7848</v>
      </c>
      <c r="H46" s="47" t="str">
        <f t="shared" si="0"/>
        <v>7848</v>
      </c>
      <c r="I46" s="47" t="str">
        <f t="shared" si="0"/>
        <v>7848</v>
      </c>
      <c r="J46" s="47" t="str">
        <f t="shared" si="0"/>
        <v>7848</v>
      </c>
      <c r="K46" s="47" t="str">
        <f t="shared" si="0"/>
        <v>7848</v>
      </c>
      <c r="L46" s="47" t="str">
        <f t="shared" si="0"/>
        <v>7848</v>
      </c>
    </row>
    <row r="47" spans="2:12" x14ac:dyDescent="0.2">
      <c r="B47" s="23" t="s">
        <v>45</v>
      </c>
      <c r="C47" s="45" t="str">
        <f t="shared" ref="C47:L47" si="1">"0.099"</f>
        <v>0.099</v>
      </c>
      <c r="D47" s="45" t="str">
        <f t="shared" si="1"/>
        <v>0.099</v>
      </c>
      <c r="E47" s="45" t="str">
        <f t="shared" si="1"/>
        <v>0.099</v>
      </c>
      <c r="F47" s="45" t="str">
        <f t="shared" si="1"/>
        <v>0.099</v>
      </c>
      <c r="G47" s="45" t="str">
        <f t="shared" si="1"/>
        <v>0.099</v>
      </c>
      <c r="H47" s="45" t="str">
        <f t="shared" si="1"/>
        <v>0.099</v>
      </c>
      <c r="I47" s="45" t="str">
        <f t="shared" si="1"/>
        <v>0.099</v>
      </c>
      <c r="J47" s="45" t="str">
        <f t="shared" si="1"/>
        <v>0.099</v>
      </c>
      <c r="K47" s="45" t="str">
        <f t="shared" si="1"/>
        <v>0.099</v>
      </c>
      <c r="L47" s="45" t="str">
        <f t="shared" si="1"/>
        <v>0.099</v>
      </c>
    </row>
    <row r="48" spans="2:12" x14ac:dyDescent="0.2">
      <c r="B48" s="27" t="s">
        <v>40</v>
      </c>
      <c r="C48" s="28" t="s">
        <v>25</v>
      </c>
      <c r="D48" s="28" t="s">
        <v>25</v>
      </c>
      <c r="E48" s="28" t="s">
        <v>25</v>
      </c>
      <c r="F48" s="28" t="s">
        <v>25</v>
      </c>
      <c r="G48" s="28" t="s">
        <v>25</v>
      </c>
      <c r="H48" s="28" t="s">
        <v>25</v>
      </c>
      <c r="I48" s="28" t="s">
        <v>25</v>
      </c>
      <c r="J48" s="28" t="s">
        <v>25</v>
      </c>
      <c r="K48" s="28" t="s">
        <v>25</v>
      </c>
      <c r="L48" s="28" t="s">
        <v>25</v>
      </c>
    </row>
    <row r="49" spans="2:12" x14ac:dyDescent="0.2">
      <c r="B49" s="27" t="s">
        <v>24</v>
      </c>
      <c r="C49" s="28" t="s">
        <v>25</v>
      </c>
      <c r="D49" s="28" t="s">
        <v>25</v>
      </c>
      <c r="E49" s="28" t="s">
        <v>25</v>
      </c>
      <c r="F49" s="28" t="s">
        <v>25</v>
      </c>
      <c r="G49" s="28" t="s">
        <v>25</v>
      </c>
      <c r="H49" s="28" t="s">
        <v>25</v>
      </c>
      <c r="I49" s="28" t="s">
        <v>25</v>
      </c>
      <c r="J49" s="28" t="s">
        <v>25</v>
      </c>
      <c r="K49" s="28" t="s">
        <v>25</v>
      </c>
      <c r="L49" s="28" t="s">
        <v>25</v>
      </c>
    </row>
    <row r="50" spans="2:12" x14ac:dyDescent="0.2">
      <c r="B50" s="29" t="s">
        <v>35</v>
      </c>
      <c r="C50" s="30" t="s">
        <v>25</v>
      </c>
      <c r="D50" s="30" t="s">
        <v>25</v>
      </c>
      <c r="E50" s="30" t="s">
        <v>25</v>
      </c>
      <c r="F50" s="30" t="s">
        <v>25</v>
      </c>
      <c r="G50" s="30" t="s">
        <v>25</v>
      </c>
      <c r="H50" s="30" t="s">
        <v>25</v>
      </c>
      <c r="I50" s="30" t="s">
        <v>25</v>
      </c>
      <c r="J50" s="30" t="s">
        <v>25</v>
      </c>
      <c r="K50" s="30" t="s">
        <v>25</v>
      </c>
      <c r="L50" s="30" t="s">
        <v>25</v>
      </c>
    </row>
    <row r="51" spans="2:12" ht="93" customHeight="1" x14ac:dyDescent="0.2">
      <c r="B51" s="68" t="s">
        <v>58</v>
      </c>
      <c r="C51" s="68"/>
      <c r="D51" s="68"/>
      <c r="E51" s="68"/>
      <c r="F51" s="68"/>
      <c r="G51" s="68"/>
      <c r="H51" s="68"/>
      <c r="I51" s="68"/>
      <c r="J51" s="68"/>
      <c r="K51" s="68"/>
      <c r="L51" s="68"/>
    </row>
    <row r="52" spans="2:12" ht="93" customHeight="1" x14ac:dyDescent="0.2">
      <c r="B52" s="53"/>
      <c r="C52" s="53"/>
      <c r="D52" s="53"/>
      <c r="E52" s="53"/>
      <c r="F52" s="53"/>
      <c r="G52" s="53"/>
      <c r="H52" s="53"/>
      <c r="I52" s="53"/>
      <c r="J52" s="53"/>
      <c r="K52" s="53"/>
      <c r="L52" s="53"/>
    </row>
    <row r="53" spans="2:12" ht="93" customHeight="1" x14ac:dyDescent="0.2">
      <c r="B53" s="53"/>
      <c r="C53" s="53"/>
      <c r="D53" s="53"/>
      <c r="E53" s="53"/>
      <c r="F53" s="53"/>
      <c r="G53" s="53"/>
      <c r="H53" s="53"/>
      <c r="I53" s="53"/>
      <c r="J53" s="53"/>
      <c r="K53" s="53"/>
      <c r="L53" s="53"/>
    </row>
    <row r="54" spans="2:12" ht="93" customHeight="1" x14ac:dyDescent="0.2">
      <c r="B54" s="53"/>
      <c r="C54" s="53"/>
      <c r="D54" s="53"/>
      <c r="E54" s="53"/>
      <c r="F54" s="53"/>
      <c r="G54" s="53"/>
      <c r="H54" s="53"/>
      <c r="I54" s="53"/>
      <c r="J54" s="53"/>
      <c r="K54" s="53"/>
      <c r="L54" s="53"/>
    </row>
    <row r="55" spans="2:12" ht="93" customHeight="1" x14ac:dyDescent="0.2">
      <c r="B55" s="53"/>
      <c r="C55" s="53"/>
      <c r="D55" s="53"/>
      <c r="E55" s="53"/>
      <c r="F55" s="53"/>
      <c r="G55" s="53"/>
      <c r="H55" s="53"/>
      <c r="I55" s="53"/>
      <c r="J55" s="53"/>
      <c r="K55" s="53"/>
      <c r="L55" s="53"/>
    </row>
    <row r="56" spans="2:12" ht="93" customHeight="1" x14ac:dyDescent="0.2">
      <c r="B56" s="53"/>
      <c r="C56" s="53"/>
      <c r="D56" s="53"/>
      <c r="E56" s="53"/>
      <c r="F56" s="53"/>
      <c r="G56" s="53"/>
      <c r="H56" s="53"/>
      <c r="I56" s="53"/>
      <c r="J56" s="53"/>
      <c r="K56" s="53"/>
      <c r="L56" s="53"/>
    </row>
    <row r="57" spans="2:12" ht="93" customHeight="1" x14ac:dyDescent="0.2">
      <c r="B57" s="53"/>
      <c r="C57" s="53"/>
      <c r="D57" s="53"/>
      <c r="E57" s="53"/>
      <c r="F57" s="53"/>
      <c r="G57" s="53"/>
      <c r="H57" s="53"/>
      <c r="I57" s="53"/>
      <c r="J57" s="53"/>
      <c r="K57" s="53"/>
      <c r="L57" s="53"/>
    </row>
    <row r="58" spans="2:12" ht="93" customHeight="1" x14ac:dyDescent="0.2">
      <c r="B58" s="53"/>
      <c r="C58" s="53"/>
      <c r="D58" s="53"/>
      <c r="E58" s="53"/>
      <c r="F58" s="53"/>
      <c r="G58" s="53"/>
      <c r="H58" s="53"/>
      <c r="I58" s="53"/>
      <c r="J58" s="53"/>
      <c r="K58" s="53"/>
      <c r="L58" s="53"/>
    </row>
    <row r="59" spans="2:12" ht="93" customHeight="1" x14ac:dyDescent="0.2">
      <c r="B59" s="53"/>
      <c r="C59" s="53"/>
      <c r="D59" s="53"/>
      <c r="E59" s="53"/>
      <c r="F59" s="53"/>
      <c r="G59" s="53"/>
      <c r="H59" s="53"/>
      <c r="I59" s="53"/>
      <c r="J59" s="53"/>
      <c r="K59" s="53"/>
      <c r="L59" s="53"/>
    </row>
    <row r="60" spans="2:12" ht="93" customHeight="1" x14ac:dyDescent="0.2">
      <c r="B60" s="53"/>
      <c r="C60" s="53"/>
      <c r="D60" s="53"/>
      <c r="E60" s="53"/>
      <c r="F60" s="53"/>
      <c r="G60" s="53"/>
      <c r="H60" s="53"/>
      <c r="I60" s="53"/>
      <c r="J60" s="53"/>
      <c r="K60" s="53"/>
      <c r="L60" s="53"/>
    </row>
    <row r="61" spans="2:12" ht="93" customHeight="1" x14ac:dyDescent="0.2">
      <c r="B61" s="53"/>
      <c r="C61" s="53"/>
      <c r="D61" s="53"/>
      <c r="E61" s="53"/>
      <c r="F61" s="53"/>
      <c r="G61" s="53"/>
      <c r="H61" s="53"/>
      <c r="I61" s="53"/>
      <c r="J61" s="53"/>
      <c r="K61" s="53"/>
      <c r="L61" s="53"/>
    </row>
    <row r="62" spans="2:12" ht="93" customHeight="1" x14ac:dyDescent="0.2">
      <c r="B62" s="53"/>
      <c r="C62" s="53"/>
      <c r="D62" s="53"/>
      <c r="E62" s="53"/>
      <c r="F62" s="53"/>
      <c r="G62" s="53"/>
      <c r="H62" s="53"/>
      <c r="I62" s="53"/>
      <c r="J62" s="53"/>
      <c r="K62" s="53"/>
      <c r="L62" s="53"/>
    </row>
    <row r="63" spans="2:12" ht="93" customHeight="1" x14ac:dyDescent="0.2">
      <c r="B63" s="53"/>
      <c r="C63" s="53"/>
      <c r="D63" s="53"/>
      <c r="E63" s="53"/>
      <c r="F63" s="53"/>
      <c r="G63" s="53"/>
      <c r="H63" s="53"/>
      <c r="I63" s="53"/>
      <c r="J63" s="53"/>
      <c r="K63" s="53"/>
      <c r="L63" s="53"/>
    </row>
    <row r="64" spans="2:12" ht="93" customHeight="1" x14ac:dyDescent="0.2">
      <c r="B64" s="53"/>
      <c r="C64" s="53"/>
      <c r="D64" s="53"/>
      <c r="E64" s="53"/>
      <c r="F64" s="53"/>
      <c r="G64" s="53"/>
      <c r="H64" s="53"/>
      <c r="I64" s="53"/>
      <c r="J64" s="53"/>
      <c r="K64" s="53"/>
      <c r="L64" s="53"/>
    </row>
    <row r="65" spans="2:12" ht="93" customHeight="1" x14ac:dyDescent="0.2">
      <c r="B65" s="53"/>
      <c r="C65" s="53"/>
      <c r="D65" s="53"/>
      <c r="E65" s="53"/>
      <c r="F65" s="53"/>
      <c r="G65" s="53"/>
      <c r="H65" s="53"/>
      <c r="I65" s="53"/>
      <c r="J65" s="53"/>
      <c r="K65" s="53"/>
      <c r="L65" s="53"/>
    </row>
    <row r="66" spans="2:12" ht="93" customHeight="1" x14ac:dyDescent="0.2">
      <c r="B66" s="53"/>
      <c r="C66" s="53"/>
      <c r="D66" s="53"/>
      <c r="E66" s="53"/>
      <c r="F66" s="53"/>
      <c r="G66" s="53"/>
      <c r="H66" s="53"/>
      <c r="I66" s="53"/>
      <c r="J66" s="53"/>
      <c r="K66" s="53"/>
      <c r="L66" s="53"/>
    </row>
    <row r="67" spans="2:12" ht="93" customHeight="1" x14ac:dyDescent="0.2">
      <c r="B67" s="53"/>
      <c r="C67" s="53"/>
      <c r="D67" s="53"/>
      <c r="E67" s="53"/>
      <c r="F67" s="53"/>
      <c r="G67" s="53"/>
      <c r="H67" s="53"/>
      <c r="I67" s="53"/>
      <c r="J67" s="53"/>
      <c r="K67" s="53"/>
      <c r="L67" s="53"/>
    </row>
    <row r="68" spans="2:12" ht="93" customHeight="1" x14ac:dyDescent="0.2">
      <c r="B68" s="53"/>
      <c r="C68" s="53"/>
      <c r="D68" s="53"/>
      <c r="E68" s="53"/>
      <c r="F68" s="53"/>
      <c r="G68" s="53"/>
      <c r="H68" s="53"/>
      <c r="I68" s="53"/>
      <c r="J68" s="53"/>
      <c r="K68" s="53"/>
      <c r="L68" s="53"/>
    </row>
    <row r="69" spans="2:12" ht="93" customHeight="1" x14ac:dyDescent="0.2">
      <c r="B69" s="53"/>
      <c r="C69" s="53"/>
      <c r="D69" s="53"/>
      <c r="E69" s="53"/>
      <c r="F69" s="53"/>
      <c r="G69" s="53"/>
      <c r="H69" s="53"/>
      <c r="I69" s="53"/>
      <c r="J69" s="53"/>
      <c r="K69" s="53"/>
      <c r="L69" s="53"/>
    </row>
    <row r="70" spans="2:12" ht="93" customHeight="1" x14ac:dyDescent="0.2">
      <c r="B70" s="53"/>
      <c r="C70" s="53"/>
      <c r="D70" s="53"/>
      <c r="E70" s="53"/>
      <c r="F70" s="53"/>
      <c r="G70" s="53"/>
      <c r="H70" s="53"/>
      <c r="I70" s="53"/>
      <c r="J70" s="53"/>
      <c r="K70" s="53"/>
      <c r="L70" s="53"/>
    </row>
    <row r="71" spans="2:12" ht="93" customHeight="1" x14ac:dyDescent="0.2">
      <c r="B71" s="53"/>
      <c r="C71" s="53"/>
      <c r="D71" s="53"/>
      <c r="E71" s="53"/>
      <c r="F71" s="53"/>
      <c r="G71" s="53"/>
      <c r="H71" s="53"/>
      <c r="I71" s="53"/>
      <c r="J71" s="53"/>
      <c r="K71" s="53"/>
      <c r="L71" s="53"/>
    </row>
    <row r="72" spans="2:12" ht="93" customHeight="1" x14ac:dyDescent="0.2">
      <c r="B72" s="53"/>
      <c r="C72" s="53"/>
      <c r="D72" s="53"/>
      <c r="E72" s="53"/>
      <c r="F72" s="53"/>
      <c r="G72" s="53"/>
      <c r="H72" s="53"/>
      <c r="I72" s="53"/>
      <c r="J72" s="53"/>
      <c r="K72" s="53"/>
      <c r="L72" s="53"/>
    </row>
    <row r="73" spans="2:12" ht="93" customHeight="1" x14ac:dyDescent="0.2">
      <c r="B73" s="53"/>
      <c r="C73" s="53"/>
      <c r="D73" s="53"/>
      <c r="E73" s="53"/>
      <c r="F73" s="53"/>
      <c r="G73" s="53"/>
      <c r="H73" s="53"/>
      <c r="I73" s="53"/>
      <c r="J73" s="53"/>
      <c r="K73" s="53"/>
      <c r="L73" s="53"/>
    </row>
    <row r="74" spans="2:12" ht="93" customHeight="1" x14ac:dyDescent="0.2">
      <c r="B74" s="53"/>
      <c r="C74" s="53"/>
      <c r="D74" s="53"/>
      <c r="E74" s="53"/>
      <c r="F74" s="53"/>
      <c r="G74" s="53"/>
      <c r="H74" s="53"/>
      <c r="I74" s="53"/>
      <c r="J74" s="53"/>
      <c r="K74" s="53"/>
      <c r="L74" s="53"/>
    </row>
    <row r="75" spans="2:12" ht="93" customHeight="1" x14ac:dyDescent="0.2">
      <c r="B75" s="53"/>
      <c r="C75" s="53"/>
      <c r="D75" s="53"/>
      <c r="E75" s="53"/>
      <c r="F75" s="53"/>
      <c r="G75" s="53"/>
      <c r="H75" s="53"/>
      <c r="I75" s="53"/>
      <c r="J75" s="53"/>
      <c r="K75" s="53"/>
      <c r="L75" s="53"/>
    </row>
    <row r="76" spans="2:12" ht="93" customHeight="1" x14ac:dyDescent="0.2">
      <c r="B76" s="53"/>
      <c r="C76" s="53"/>
      <c r="D76" s="53"/>
      <c r="E76" s="53"/>
      <c r="F76" s="53"/>
      <c r="G76" s="53"/>
      <c r="H76" s="53"/>
      <c r="I76" s="53"/>
      <c r="J76" s="53"/>
      <c r="K76" s="53"/>
      <c r="L76" s="53"/>
    </row>
    <row r="77" spans="2:12" ht="93" customHeight="1" x14ac:dyDescent="0.2">
      <c r="B77" s="53"/>
      <c r="C77" s="53"/>
      <c r="D77" s="53"/>
      <c r="E77" s="53"/>
      <c r="F77" s="53"/>
      <c r="G77" s="53"/>
      <c r="H77" s="53"/>
      <c r="I77" s="53"/>
      <c r="J77" s="53"/>
      <c r="K77" s="53"/>
      <c r="L77" s="53"/>
    </row>
    <row r="78" spans="2:12" ht="93" customHeight="1" x14ac:dyDescent="0.2">
      <c r="B78" s="53"/>
      <c r="C78" s="53"/>
      <c r="D78" s="53"/>
      <c r="E78" s="53"/>
      <c r="F78" s="53"/>
      <c r="G78" s="53"/>
      <c r="H78" s="53"/>
      <c r="I78" s="53"/>
      <c r="J78" s="53"/>
      <c r="K78" s="53"/>
      <c r="L78" s="53"/>
    </row>
    <row r="79" spans="2:12" ht="93" customHeight="1" x14ac:dyDescent="0.2">
      <c r="B79" s="53"/>
      <c r="C79" s="53"/>
      <c r="D79" s="53"/>
      <c r="E79" s="53"/>
      <c r="F79" s="53"/>
      <c r="G79" s="53"/>
      <c r="H79" s="53"/>
      <c r="I79" s="53"/>
      <c r="J79" s="53"/>
      <c r="K79" s="53"/>
      <c r="L79" s="53"/>
    </row>
    <row r="80" spans="2:12" ht="93" customHeight="1" x14ac:dyDescent="0.2">
      <c r="B80" s="53"/>
      <c r="C80" s="53"/>
      <c r="D80" s="53"/>
      <c r="E80" s="53"/>
      <c r="F80" s="53"/>
      <c r="G80" s="53"/>
      <c r="H80" s="53"/>
      <c r="I80" s="53"/>
      <c r="J80" s="53"/>
      <c r="K80" s="53"/>
      <c r="L80" s="53"/>
    </row>
    <row r="81" spans="2:12" ht="93" customHeight="1" x14ac:dyDescent="0.2">
      <c r="B81" s="53"/>
      <c r="C81" s="53"/>
      <c r="D81" s="53"/>
      <c r="E81" s="53"/>
      <c r="F81" s="53"/>
      <c r="G81" s="53"/>
      <c r="H81" s="53"/>
      <c r="I81" s="53"/>
      <c r="J81" s="53"/>
      <c r="K81" s="53"/>
      <c r="L81" s="53"/>
    </row>
    <row r="82" spans="2:12" ht="93" customHeight="1" x14ac:dyDescent="0.2">
      <c r="B82" s="53"/>
      <c r="C82" s="53"/>
      <c r="D82" s="53"/>
      <c r="E82" s="53"/>
      <c r="F82" s="53"/>
      <c r="G82" s="53"/>
      <c r="H82" s="53"/>
      <c r="I82" s="53"/>
      <c r="J82" s="53"/>
      <c r="K82" s="53"/>
      <c r="L82" s="53"/>
    </row>
    <row r="83" spans="2:12" ht="93" customHeight="1" x14ac:dyDescent="0.2">
      <c r="B83" s="53"/>
      <c r="C83" s="53"/>
      <c r="D83" s="53"/>
      <c r="E83" s="53"/>
      <c r="F83" s="53"/>
      <c r="G83" s="53"/>
      <c r="H83" s="53"/>
      <c r="I83" s="53"/>
      <c r="J83" s="53"/>
      <c r="K83" s="53"/>
      <c r="L83" s="53"/>
    </row>
    <row r="84" spans="2:12" ht="93" customHeight="1" x14ac:dyDescent="0.2">
      <c r="B84" s="53"/>
      <c r="C84" s="53"/>
      <c r="D84" s="53"/>
      <c r="E84" s="53"/>
      <c r="F84" s="53"/>
      <c r="G84" s="53"/>
      <c r="H84" s="53"/>
      <c r="I84" s="53"/>
      <c r="J84" s="53"/>
      <c r="K84" s="53"/>
      <c r="L84" s="53"/>
    </row>
    <row r="85" spans="2:12" ht="93" customHeight="1" x14ac:dyDescent="0.2">
      <c r="B85" s="53"/>
      <c r="C85" s="53"/>
      <c r="D85" s="53"/>
      <c r="E85" s="53"/>
      <c r="F85" s="53"/>
      <c r="G85" s="53"/>
      <c r="H85" s="53"/>
      <c r="I85" s="53"/>
      <c r="J85" s="53"/>
      <c r="K85" s="53"/>
      <c r="L85" s="53"/>
    </row>
    <row r="86" spans="2:12" ht="93" customHeight="1" x14ac:dyDescent="0.2">
      <c r="B86" s="53"/>
      <c r="C86" s="53"/>
      <c r="D86" s="53"/>
      <c r="E86" s="53"/>
      <c r="F86" s="53"/>
      <c r="G86" s="53"/>
      <c r="H86" s="53"/>
      <c r="I86" s="53"/>
      <c r="J86" s="53"/>
      <c r="K86" s="53"/>
      <c r="L86" s="53"/>
    </row>
    <row r="87" spans="2:12" ht="93" customHeight="1" x14ac:dyDescent="0.2">
      <c r="B87" s="53"/>
      <c r="C87" s="53"/>
      <c r="D87" s="53"/>
      <c r="E87" s="53"/>
      <c r="F87" s="53"/>
      <c r="G87" s="53"/>
      <c r="H87" s="53"/>
      <c r="I87" s="53"/>
      <c r="J87" s="53"/>
      <c r="K87" s="53"/>
      <c r="L87" s="53"/>
    </row>
    <row r="88" spans="2:12" ht="93" customHeight="1" x14ac:dyDescent="0.2">
      <c r="B88" s="53"/>
      <c r="C88" s="53"/>
      <c r="D88" s="53"/>
      <c r="E88" s="53"/>
      <c r="F88" s="53"/>
      <c r="G88" s="53"/>
      <c r="H88" s="53"/>
      <c r="I88" s="53"/>
      <c r="J88" s="53"/>
      <c r="K88" s="53"/>
      <c r="L88" s="53"/>
    </row>
    <row r="89" spans="2:12" ht="93" customHeight="1" x14ac:dyDescent="0.2">
      <c r="B89" s="53"/>
      <c r="C89" s="53"/>
      <c r="D89" s="53"/>
      <c r="E89" s="53"/>
      <c r="F89" s="53"/>
      <c r="G89" s="53"/>
      <c r="H89" s="53"/>
      <c r="I89" s="53"/>
      <c r="J89" s="53"/>
      <c r="K89" s="53"/>
      <c r="L89" s="53"/>
    </row>
    <row r="90" spans="2:12" ht="93" customHeight="1" x14ac:dyDescent="0.2">
      <c r="B90" s="53"/>
      <c r="C90" s="53"/>
      <c r="D90" s="53"/>
      <c r="E90" s="53"/>
      <c r="F90" s="53"/>
      <c r="G90" s="53"/>
      <c r="H90" s="53"/>
      <c r="I90" s="53"/>
      <c r="J90" s="53"/>
      <c r="K90" s="53"/>
      <c r="L90" s="53"/>
    </row>
    <row r="91" spans="2:12" ht="93" customHeight="1" x14ac:dyDescent="0.2">
      <c r="B91" s="53"/>
      <c r="C91" s="53"/>
      <c r="D91" s="53"/>
      <c r="E91" s="53"/>
      <c r="F91" s="53"/>
      <c r="G91" s="53"/>
      <c r="H91" s="53"/>
      <c r="I91" s="53"/>
      <c r="J91" s="53"/>
      <c r="K91" s="53"/>
      <c r="L91" s="53"/>
    </row>
    <row r="92" spans="2:12" ht="93" customHeight="1" x14ac:dyDescent="0.2">
      <c r="B92" s="53"/>
      <c r="C92" s="53"/>
      <c r="D92" s="53"/>
      <c r="E92" s="53"/>
      <c r="F92" s="53"/>
      <c r="G92" s="53"/>
      <c r="H92" s="53"/>
      <c r="I92" s="53"/>
      <c r="J92" s="53"/>
      <c r="K92" s="53"/>
      <c r="L92" s="53"/>
    </row>
    <row r="93" spans="2:12" ht="93" customHeight="1" x14ac:dyDescent="0.2">
      <c r="B93" s="53"/>
      <c r="C93" s="53"/>
      <c r="D93" s="53"/>
      <c r="E93" s="53"/>
      <c r="F93" s="53"/>
      <c r="G93" s="53"/>
      <c r="H93" s="53"/>
      <c r="I93" s="53"/>
      <c r="J93" s="53"/>
      <c r="K93" s="53"/>
      <c r="L93" s="53"/>
    </row>
    <row r="94" spans="2:12" ht="93" customHeight="1" x14ac:dyDescent="0.2">
      <c r="B94" s="53"/>
      <c r="C94" s="53"/>
      <c r="D94" s="53"/>
      <c r="E94" s="53"/>
      <c r="F94" s="53"/>
      <c r="G94" s="53"/>
      <c r="H94" s="53"/>
      <c r="I94" s="53"/>
      <c r="J94" s="53"/>
      <c r="K94" s="53"/>
      <c r="L94" s="53"/>
    </row>
    <row r="95" spans="2:12" ht="93" customHeight="1" x14ac:dyDescent="0.2">
      <c r="B95" s="53"/>
      <c r="C95" s="53"/>
      <c r="D95" s="53"/>
      <c r="E95" s="53"/>
      <c r="F95" s="53"/>
      <c r="G95" s="53"/>
      <c r="H95" s="53"/>
      <c r="I95" s="53"/>
      <c r="J95" s="53"/>
      <c r="K95" s="53"/>
      <c r="L95" s="53"/>
    </row>
    <row r="96" spans="2:12" ht="93" customHeight="1" x14ac:dyDescent="0.2">
      <c r="B96" s="53"/>
      <c r="C96" s="53"/>
      <c r="D96" s="53"/>
      <c r="E96" s="53"/>
      <c r="F96" s="53"/>
      <c r="G96" s="53"/>
      <c r="H96" s="53"/>
      <c r="I96" s="53"/>
      <c r="J96" s="53"/>
      <c r="K96" s="53"/>
      <c r="L96" s="53"/>
    </row>
    <row r="97" spans="2:12" ht="93" customHeight="1" x14ac:dyDescent="0.2">
      <c r="B97" s="53"/>
      <c r="C97" s="53"/>
      <c r="D97" s="53"/>
      <c r="E97" s="53"/>
      <c r="F97" s="53"/>
      <c r="G97" s="53"/>
      <c r="H97" s="53"/>
      <c r="I97" s="53"/>
      <c r="J97" s="53"/>
      <c r="K97" s="53"/>
      <c r="L97" s="53"/>
    </row>
    <row r="98" spans="2:12" ht="93" customHeight="1" x14ac:dyDescent="0.2">
      <c r="B98" s="53"/>
      <c r="C98" s="53"/>
      <c r="D98" s="53"/>
      <c r="E98" s="53"/>
      <c r="F98" s="53"/>
      <c r="G98" s="53"/>
      <c r="H98" s="53"/>
      <c r="I98" s="53"/>
      <c r="J98" s="53"/>
      <c r="K98" s="53"/>
      <c r="L98" s="53"/>
    </row>
    <row r="99" spans="2:12" ht="93" customHeight="1" x14ac:dyDescent="0.2">
      <c r="B99" s="53"/>
      <c r="C99" s="53"/>
      <c r="D99" s="53"/>
      <c r="E99" s="53"/>
      <c r="F99" s="53"/>
      <c r="G99" s="53"/>
      <c r="H99" s="53"/>
      <c r="I99" s="53"/>
      <c r="J99" s="53"/>
      <c r="K99" s="53"/>
      <c r="L99" s="53"/>
    </row>
    <row r="100" spans="2:12" ht="93" customHeight="1" x14ac:dyDescent="0.2">
      <c r="B100" s="53"/>
      <c r="C100" s="53"/>
      <c r="D100" s="53"/>
      <c r="E100" s="53"/>
      <c r="F100" s="53"/>
      <c r="G100" s="53"/>
      <c r="H100" s="53"/>
      <c r="I100" s="53"/>
      <c r="J100" s="53"/>
      <c r="K100" s="53"/>
      <c r="L100" s="53"/>
    </row>
    <row r="101" spans="2:12" ht="93" customHeight="1" x14ac:dyDescent="0.2">
      <c r="B101" s="53"/>
      <c r="C101" s="53"/>
      <c r="D101" s="53"/>
      <c r="E101" s="53"/>
      <c r="F101" s="53"/>
      <c r="G101" s="53"/>
      <c r="H101" s="53"/>
      <c r="I101" s="53"/>
      <c r="J101" s="53"/>
      <c r="K101" s="53"/>
      <c r="L101" s="53"/>
    </row>
    <row r="102" spans="2:12" ht="93" customHeight="1" x14ac:dyDescent="0.2">
      <c r="B102" s="53"/>
      <c r="C102" s="53"/>
      <c r="D102" s="53"/>
      <c r="E102" s="53"/>
      <c r="F102" s="53"/>
      <c r="G102" s="53"/>
      <c r="H102" s="53"/>
      <c r="I102" s="53"/>
      <c r="J102" s="53"/>
      <c r="K102" s="53"/>
      <c r="L102" s="53"/>
    </row>
    <row r="103" spans="2:12" ht="93" customHeight="1" x14ac:dyDescent="0.2">
      <c r="B103" s="53"/>
      <c r="C103" s="53"/>
      <c r="D103" s="53"/>
      <c r="E103" s="53"/>
      <c r="F103" s="53"/>
      <c r="G103" s="53"/>
      <c r="H103" s="53"/>
      <c r="I103" s="53"/>
      <c r="J103" s="53"/>
      <c r="K103" s="53"/>
      <c r="L103" s="53"/>
    </row>
    <row r="104" spans="2:12" ht="93" customHeight="1" x14ac:dyDescent="0.2">
      <c r="B104" s="53"/>
      <c r="C104" s="53"/>
      <c r="D104" s="53"/>
      <c r="E104" s="53"/>
      <c r="F104" s="53"/>
      <c r="G104" s="53"/>
      <c r="H104" s="53"/>
      <c r="I104" s="53"/>
      <c r="J104" s="53"/>
      <c r="K104" s="53"/>
      <c r="L104" s="53"/>
    </row>
    <row r="107" spans="2:12" x14ac:dyDescent="0.2">
      <c r="B107" s="69" t="s">
        <v>67</v>
      </c>
      <c r="C107" s="69"/>
      <c r="D107" s="69"/>
      <c r="E107" s="69"/>
      <c r="F107" s="69"/>
      <c r="G107" s="69"/>
      <c r="H107" s="69"/>
      <c r="I107" s="69"/>
      <c r="J107" s="69"/>
      <c r="K107" s="69"/>
      <c r="L107" s="69"/>
    </row>
    <row r="108" spans="2:12" ht="33" thickBot="1" x14ac:dyDescent="0.25">
      <c r="B108" s="33" t="s">
        <v>68</v>
      </c>
      <c r="C108" s="12" t="s">
        <v>28</v>
      </c>
      <c r="D108" s="12" t="s">
        <v>29</v>
      </c>
      <c r="E108" s="12" t="s">
        <v>30</v>
      </c>
      <c r="F108" s="12" t="s">
        <v>31</v>
      </c>
      <c r="G108" s="12" t="s">
        <v>32</v>
      </c>
      <c r="H108" s="12" t="s">
        <v>33</v>
      </c>
      <c r="I108" s="12" t="s">
        <v>34</v>
      </c>
      <c r="J108" s="12" t="s">
        <v>36</v>
      </c>
      <c r="K108" s="12" t="s">
        <v>37</v>
      </c>
      <c r="L108" s="12" t="s">
        <v>54</v>
      </c>
    </row>
    <row r="109" spans="2:12" ht="17" thickTop="1" x14ac:dyDescent="0.2">
      <c r="B109" s="31" t="s">
        <v>49</v>
      </c>
      <c r="C109" s="25"/>
      <c r="D109" s="25"/>
      <c r="E109" s="25"/>
      <c r="F109" s="25"/>
      <c r="G109" s="25"/>
      <c r="H109" s="25"/>
      <c r="I109" s="25"/>
      <c r="J109" s="25"/>
      <c r="K109" s="25"/>
    </row>
    <row r="110" spans="2:12" x14ac:dyDescent="0.2">
      <c r="B110" s="6" t="s">
        <v>46</v>
      </c>
      <c r="C110" s="45" t="str">
        <f>"0.036**"</f>
        <v>0.036**</v>
      </c>
      <c r="D110" s="45" t="str">
        <f>""</f>
        <v/>
      </c>
      <c r="E110" s="45" t="str">
        <f>""</f>
        <v/>
      </c>
      <c r="F110" s="46" t="str">
        <f>""</f>
        <v/>
      </c>
      <c r="G110" s="46" t="str">
        <f>""</f>
        <v/>
      </c>
      <c r="H110" s="46" t="str">
        <f>""</f>
        <v/>
      </c>
      <c r="I110" s="46" t="str">
        <f>""</f>
        <v/>
      </c>
      <c r="J110" s="46" t="str">
        <f>""</f>
        <v/>
      </c>
      <c r="K110" s="46" t="str">
        <f>""</f>
        <v/>
      </c>
      <c r="L110" s="46" t="str">
        <f>""</f>
        <v/>
      </c>
    </row>
    <row r="111" spans="2:12" x14ac:dyDescent="0.2">
      <c r="B111" s="6"/>
      <c r="C111" s="45" t="str">
        <f>"[0.015]"</f>
        <v>[0.015]</v>
      </c>
      <c r="D111" s="45" t="str">
        <f>""</f>
        <v/>
      </c>
      <c r="E111" s="45" t="str">
        <f>""</f>
        <v/>
      </c>
      <c r="F111" s="46" t="str">
        <f>""</f>
        <v/>
      </c>
      <c r="G111" s="46" t="str">
        <f>""</f>
        <v/>
      </c>
      <c r="H111" s="46" t="str">
        <f>""</f>
        <v/>
      </c>
      <c r="I111" s="46" t="str">
        <f>""</f>
        <v/>
      </c>
      <c r="J111" s="46" t="str">
        <f>""</f>
        <v/>
      </c>
      <c r="K111" s="46" t="str">
        <f>""</f>
        <v/>
      </c>
      <c r="L111" s="46" t="str">
        <f>""</f>
        <v/>
      </c>
    </row>
    <row r="112" spans="2:12" x14ac:dyDescent="0.2">
      <c r="B112" s="9" t="s">
        <v>62</v>
      </c>
      <c r="C112" s="45" t="str">
        <f>"0.019"</f>
        <v>0.019</v>
      </c>
      <c r="D112" s="45" t="str">
        <f>""</f>
        <v/>
      </c>
      <c r="E112" s="45" t="str">
        <f>""</f>
        <v/>
      </c>
      <c r="F112" s="46" t="str">
        <f>""</f>
        <v/>
      </c>
      <c r="G112" s="46" t="str">
        <f>""</f>
        <v/>
      </c>
      <c r="H112" s="46" t="str">
        <f>""</f>
        <v/>
      </c>
      <c r="I112" s="46" t="str">
        <f>""</f>
        <v/>
      </c>
      <c r="J112" s="46" t="str">
        <f>""</f>
        <v/>
      </c>
      <c r="K112" s="46" t="str">
        <f>""</f>
        <v/>
      </c>
      <c r="L112" s="46" t="str">
        <f>""</f>
        <v/>
      </c>
    </row>
    <row r="113" spans="2:12" x14ac:dyDescent="0.2">
      <c r="B113" s="6"/>
      <c r="C113" s="45" t="str">
        <f>"[0.013]"</f>
        <v>[0.013]</v>
      </c>
      <c r="D113" s="45" t="str">
        <f>""</f>
        <v/>
      </c>
      <c r="E113" s="45" t="str">
        <f>""</f>
        <v/>
      </c>
      <c r="F113" s="46" t="str">
        <f>""</f>
        <v/>
      </c>
      <c r="G113" s="46" t="str">
        <f>""</f>
        <v/>
      </c>
      <c r="H113" s="46" t="str">
        <f>""</f>
        <v/>
      </c>
      <c r="I113" s="46" t="str">
        <f>""</f>
        <v/>
      </c>
      <c r="J113" s="46" t="str">
        <f>""</f>
        <v/>
      </c>
      <c r="K113" s="46" t="str">
        <f>""</f>
        <v/>
      </c>
      <c r="L113" s="46" t="str">
        <f>""</f>
        <v/>
      </c>
    </row>
    <row r="114" spans="2:12" x14ac:dyDescent="0.2">
      <c r="B114" s="37" t="s">
        <v>44</v>
      </c>
      <c r="C114" s="45" t="str">
        <f>""</f>
        <v/>
      </c>
      <c r="D114" s="32" t="str">
        <f>"0.282***"</f>
        <v>0.282***</v>
      </c>
      <c r="E114" s="45" t="str">
        <f>""</f>
        <v/>
      </c>
      <c r="F114" s="46" t="str">
        <f>""</f>
        <v/>
      </c>
      <c r="G114" s="46" t="str">
        <f>""</f>
        <v/>
      </c>
      <c r="H114" s="46" t="str">
        <f>""</f>
        <v/>
      </c>
      <c r="I114" s="46" t="str">
        <f>""</f>
        <v/>
      </c>
      <c r="J114" s="46" t="str">
        <f>""</f>
        <v/>
      </c>
      <c r="K114" s="46" t="str">
        <f>""</f>
        <v/>
      </c>
      <c r="L114" s="46" t="str">
        <f>""</f>
        <v/>
      </c>
    </row>
    <row r="115" spans="2:12" x14ac:dyDescent="0.2">
      <c r="B115" s="6" t="str">
        <f>""</f>
        <v/>
      </c>
      <c r="C115" s="45" t="str">
        <f>""</f>
        <v/>
      </c>
      <c r="D115" s="32" t="str">
        <f>"[0.076]"</f>
        <v>[0.076]</v>
      </c>
      <c r="E115" s="45" t="str">
        <f>""</f>
        <v/>
      </c>
      <c r="F115" s="46" t="str">
        <f>""</f>
        <v/>
      </c>
      <c r="G115" s="46" t="str">
        <f>""</f>
        <v/>
      </c>
      <c r="H115" s="46" t="str">
        <f>""</f>
        <v/>
      </c>
      <c r="I115" s="46" t="str">
        <f>""</f>
        <v/>
      </c>
      <c r="J115" s="46" t="str">
        <f>""</f>
        <v/>
      </c>
      <c r="K115" s="46" t="str">
        <f>""</f>
        <v/>
      </c>
      <c r="L115" s="46" t="str">
        <f>""</f>
        <v/>
      </c>
    </row>
    <row r="116" spans="2:12" x14ac:dyDescent="0.2">
      <c r="B116" s="37" t="s">
        <v>63</v>
      </c>
      <c r="C116" s="45" t="str">
        <f>""</f>
        <v/>
      </c>
      <c r="D116" s="32" t="str">
        <f>"0.009"</f>
        <v>0.009</v>
      </c>
      <c r="E116" s="45" t="str">
        <f>""</f>
        <v/>
      </c>
      <c r="F116" s="46" t="str">
        <f>""</f>
        <v/>
      </c>
      <c r="G116" s="46" t="str">
        <f>""</f>
        <v/>
      </c>
      <c r="H116" s="46" t="str">
        <f>""</f>
        <v/>
      </c>
      <c r="I116" s="46" t="str">
        <f>""</f>
        <v/>
      </c>
      <c r="J116" s="46" t="str">
        <f>""</f>
        <v/>
      </c>
      <c r="K116" s="46" t="str">
        <f>""</f>
        <v/>
      </c>
      <c r="L116" s="46" t="str">
        <f>""</f>
        <v/>
      </c>
    </row>
    <row r="117" spans="2:12" x14ac:dyDescent="0.2">
      <c r="B117" s="8"/>
      <c r="C117" s="48" t="str">
        <f>""</f>
        <v/>
      </c>
      <c r="D117" s="50" t="str">
        <f>"[0.111]"</f>
        <v>[0.111]</v>
      </c>
      <c r="E117" s="48" t="str">
        <f>""</f>
        <v/>
      </c>
      <c r="F117" s="49" t="str">
        <f>""</f>
        <v/>
      </c>
      <c r="G117" s="49" t="str">
        <f>""</f>
        <v/>
      </c>
      <c r="H117" s="49" t="str">
        <f>""</f>
        <v/>
      </c>
      <c r="I117" s="49" t="str">
        <f>""</f>
        <v/>
      </c>
      <c r="J117" s="49" t="str">
        <f>""</f>
        <v/>
      </c>
      <c r="K117" s="49" t="str">
        <f>""</f>
        <v/>
      </c>
      <c r="L117" s="49" t="str">
        <f>""</f>
        <v/>
      </c>
    </row>
    <row r="118" spans="2:12" x14ac:dyDescent="0.2">
      <c r="B118" s="51" t="s">
        <v>48</v>
      </c>
      <c r="C118" s="45"/>
      <c r="D118" s="45"/>
      <c r="E118" s="45"/>
      <c r="F118" s="42"/>
      <c r="G118" s="42"/>
      <c r="H118" s="42"/>
      <c r="I118" s="42"/>
      <c r="J118" s="42"/>
      <c r="K118" s="42"/>
      <c r="L118" s="42"/>
    </row>
    <row r="119" spans="2:12" x14ac:dyDescent="0.2">
      <c r="B119" s="11" t="str">
        <f>"Loss of land (yes=1) for a household in a given year"</f>
        <v>Loss of land (yes=1) for a household in a given year</v>
      </c>
      <c r="C119" s="45" t="str">
        <f>""</f>
        <v/>
      </c>
      <c r="D119" s="45" t="str">
        <f>""</f>
        <v/>
      </c>
      <c r="E119" s="45" t="str">
        <f>"-0.003"</f>
        <v>-0.003</v>
      </c>
      <c r="F119" s="45" t="str">
        <f>""</f>
        <v/>
      </c>
      <c r="G119" s="45" t="str">
        <f>""</f>
        <v/>
      </c>
      <c r="H119" s="45" t="str">
        <f>""</f>
        <v/>
      </c>
      <c r="I119" s="45" t="str">
        <f>""</f>
        <v/>
      </c>
      <c r="J119" s="45" t="str">
        <f>""</f>
        <v/>
      </c>
      <c r="K119" s="45" t="str">
        <f>""</f>
        <v/>
      </c>
      <c r="L119" s="45" t="str">
        <f>""</f>
        <v/>
      </c>
    </row>
    <row r="120" spans="2:12" x14ac:dyDescent="0.2">
      <c r="B120" s="11" t="str">
        <f>""</f>
        <v/>
      </c>
      <c r="C120" s="45" t="str">
        <f>""</f>
        <v/>
      </c>
      <c r="D120" s="45" t="str">
        <f>""</f>
        <v/>
      </c>
      <c r="E120" s="45" t="str">
        <f>"[0.022]"</f>
        <v>[0.022]</v>
      </c>
      <c r="F120" s="45" t="str">
        <f>""</f>
        <v/>
      </c>
      <c r="G120" s="45" t="str">
        <f>""</f>
        <v/>
      </c>
      <c r="H120" s="45" t="str">
        <f>""</f>
        <v/>
      </c>
      <c r="I120" s="45" t="str">
        <f>""</f>
        <v/>
      </c>
      <c r="J120" s="45" t="str">
        <f>""</f>
        <v/>
      </c>
      <c r="K120" s="45" t="str">
        <f>""</f>
        <v/>
      </c>
      <c r="L120" s="45" t="str">
        <f>""</f>
        <v/>
      </c>
    </row>
    <row r="121" spans="2:12" x14ac:dyDescent="0.2">
      <c r="B121" s="11" t="str">
        <f>"Lag Loss of land (yes=1) for a household in a given year"</f>
        <v>Lag Loss of land (yes=1) for a household in a given year</v>
      </c>
      <c r="C121" s="45" t="str">
        <f>""</f>
        <v/>
      </c>
      <c r="D121" s="45" t="str">
        <f>""</f>
        <v/>
      </c>
      <c r="E121" s="45" t="str">
        <f>"-0.006"</f>
        <v>-0.006</v>
      </c>
      <c r="F121" s="45" t="str">
        <f>""</f>
        <v/>
      </c>
      <c r="G121" s="45" t="str">
        <f>""</f>
        <v/>
      </c>
      <c r="H121" s="45" t="str">
        <f>""</f>
        <v/>
      </c>
      <c r="I121" s="45" t="str">
        <f>""</f>
        <v/>
      </c>
      <c r="J121" s="45" t="str">
        <f>""</f>
        <v/>
      </c>
      <c r="K121" s="45" t="str">
        <f>""</f>
        <v/>
      </c>
      <c r="L121" s="45" t="str">
        <f>""</f>
        <v/>
      </c>
    </row>
    <row r="122" spans="2:12" x14ac:dyDescent="0.2">
      <c r="B122" s="11"/>
      <c r="C122" s="45" t="str">
        <f>""</f>
        <v/>
      </c>
      <c r="D122" s="45" t="str">
        <f>""</f>
        <v/>
      </c>
      <c r="E122" s="45" t="str">
        <f>"[0.028]"</f>
        <v>[0.028]</v>
      </c>
      <c r="F122" s="45" t="str">
        <f>""</f>
        <v/>
      </c>
      <c r="G122" s="45" t="str">
        <f>""</f>
        <v/>
      </c>
      <c r="H122" s="45" t="str">
        <f>""</f>
        <v/>
      </c>
      <c r="I122" s="45" t="str">
        <f>""</f>
        <v/>
      </c>
      <c r="J122" s="45" t="str">
        <f>""</f>
        <v/>
      </c>
      <c r="K122" s="45" t="str">
        <f>""</f>
        <v/>
      </c>
      <c r="L122" s="45" t="str">
        <f>""</f>
        <v/>
      </c>
    </row>
    <row r="123" spans="2:12" x14ac:dyDescent="0.2">
      <c r="B123" s="11" t="str">
        <f>"Theft of crops (yes=1) for a household in a given year"</f>
        <v>Theft of crops (yes=1) for a household in a given year</v>
      </c>
      <c r="C123" s="45" t="str">
        <f>""</f>
        <v/>
      </c>
      <c r="D123" s="45" t="str">
        <f>""</f>
        <v/>
      </c>
      <c r="E123" s="45" t="str">
        <f>""</f>
        <v/>
      </c>
      <c r="F123" s="45" t="str">
        <f>"0.009"</f>
        <v>0.009</v>
      </c>
      <c r="G123" s="45" t="str">
        <f>""</f>
        <v/>
      </c>
      <c r="H123" s="45" t="str">
        <f>""</f>
        <v/>
      </c>
      <c r="I123" s="45" t="str">
        <f>""</f>
        <v/>
      </c>
      <c r="J123" s="45" t="str">
        <f>""</f>
        <v/>
      </c>
      <c r="K123" s="45" t="str">
        <f>""</f>
        <v/>
      </c>
      <c r="L123" s="45" t="str">
        <f>""</f>
        <v/>
      </c>
    </row>
    <row r="124" spans="2:12" x14ac:dyDescent="0.2">
      <c r="B124" s="11" t="str">
        <f>""</f>
        <v/>
      </c>
      <c r="C124" s="45" t="str">
        <f>""</f>
        <v/>
      </c>
      <c r="D124" s="45" t="str">
        <f>""</f>
        <v/>
      </c>
      <c r="E124" s="45" t="str">
        <f>""</f>
        <v/>
      </c>
      <c r="F124" s="45" t="str">
        <f>"[0.016]"</f>
        <v>[0.016]</v>
      </c>
      <c r="G124" s="45" t="str">
        <f>""</f>
        <v/>
      </c>
      <c r="H124" s="45" t="str">
        <f>""</f>
        <v/>
      </c>
      <c r="I124" s="45" t="str">
        <f>""</f>
        <v/>
      </c>
      <c r="J124" s="45" t="str">
        <f>""</f>
        <v/>
      </c>
      <c r="K124" s="45" t="str">
        <f>""</f>
        <v/>
      </c>
      <c r="L124" s="45" t="str">
        <f>""</f>
        <v/>
      </c>
    </row>
    <row r="125" spans="2:12" x14ac:dyDescent="0.2">
      <c r="B125" s="11" t="str">
        <f>"Lag Theft of crops (yes=1) for a household in a given year"</f>
        <v>Lag Theft of crops (yes=1) for a household in a given year</v>
      </c>
      <c r="C125" s="45" t="str">
        <f>""</f>
        <v/>
      </c>
      <c r="D125" s="45" t="str">
        <f>""</f>
        <v/>
      </c>
      <c r="E125" s="45" t="str">
        <f>""</f>
        <v/>
      </c>
      <c r="F125" s="45" t="str">
        <f>"-0.002"</f>
        <v>-0.002</v>
      </c>
      <c r="G125" s="45" t="str">
        <f>""</f>
        <v/>
      </c>
      <c r="H125" s="45" t="str">
        <f>""</f>
        <v/>
      </c>
      <c r="I125" s="45" t="str">
        <f>""</f>
        <v/>
      </c>
      <c r="J125" s="45" t="str">
        <f>""</f>
        <v/>
      </c>
      <c r="K125" s="45" t="str">
        <f>""</f>
        <v/>
      </c>
      <c r="L125" s="45" t="str">
        <f>""</f>
        <v/>
      </c>
    </row>
    <row r="126" spans="2:12" x14ac:dyDescent="0.2">
      <c r="B126" s="11"/>
      <c r="C126" s="45" t="str">
        <f>""</f>
        <v/>
      </c>
      <c r="D126" s="45" t="str">
        <f>""</f>
        <v/>
      </c>
      <c r="E126" s="45" t="str">
        <f>""</f>
        <v/>
      </c>
      <c r="F126" s="45" t="str">
        <f>"[0.016]"</f>
        <v>[0.016]</v>
      </c>
      <c r="G126" s="45" t="str">
        <f>""</f>
        <v/>
      </c>
      <c r="H126" s="45" t="str">
        <f>""</f>
        <v/>
      </c>
      <c r="I126" s="45" t="str">
        <f>""</f>
        <v/>
      </c>
      <c r="J126" s="45" t="str">
        <f>""</f>
        <v/>
      </c>
      <c r="K126" s="45" t="str">
        <f>""</f>
        <v/>
      </c>
      <c r="L126" s="45" t="str">
        <f>""</f>
        <v/>
      </c>
    </row>
    <row r="127" spans="2:12" x14ac:dyDescent="0.2">
      <c r="B127" s="13" t="str">
        <f>"Theft of money (yes=1) for a household in a given year"</f>
        <v>Theft of money (yes=1) for a household in a given year</v>
      </c>
      <c r="C127" s="45" t="str">
        <f>""</f>
        <v/>
      </c>
      <c r="D127" s="45" t="str">
        <f>""</f>
        <v/>
      </c>
      <c r="E127" s="45" t="str">
        <f>""</f>
        <v/>
      </c>
      <c r="F127" s="45" t="str">
        <f>""</f>
        <v/>
      </c>
      <c r="G127" s="45" t="str">
        <f>"0.064**"</f>
        <v>0.064**</v>
      </c>
      <c r="H127" s="45" t="str">
        <f>""</f>
        <v/>
      </c>
      <c r="I127" s="45" t="str">
        <f>""</f>
        <v/>
      </c>
      <c r="J127" s="45" t="str">
        <f>""</f>
        <v/>
      </c>
      <c r="K127" s="45" t="str">
        <f>""</f>
        <v/>
      </c>
      <c r="L127" s="45" t="str">
        <f>""</f>
        <v/>
      </c>
    </row>
    <row r="128" spans="2:12" x14ac:dyDescent="0.2">
      <c r="B128" s="11" t="str">
        <f>""</f>
        <v/>
      </c>
      <c r="C128" s="45" t="str">
        <f>""</f>
        <v/>
      </c>
      <c r="D128" s="45" t="str">
        <f>""</f>
        <v/>
      </c>
      <c r="E128" s="45" t="str">
        <f>""</f>
        <v/>
      </c>
      <c r="F128" s="45" t="str">
        <f>""</f>
        <v/>
      </c>
      <c r="G128" s="45" t="str">
        <f>"[0.029]"</f>
        <v>[0.029]</v>
      </c>
      <c r="H128" s="45" t="str">
        <f>""</f>
        <v/>
      </c>
      <c r="I128" s="45" t="str">
        <f>""</f>
        <v/>
      </c>
      <c r="J128" s="45" t="str">
        <f>""</f>
        <v/>
      </c>
      <c r="K128" s="45" t="str">
        <f>""</f>
        <v/>
      </c>
      <c r="L128" s="45" t="str">
        <f>""</f>
        <v/>
      </c>
    </row>
    <row r="129" spans="2:12" x14ac:dyDescent="0.2">
      <c r="B129" s="13" t="str">
        <f>"Lag Theft of money (yes=1) for a household in a given year"</f>
        <v>Lag Theft of money (yes=1) for a household in a given year</v>
      </c>
      <c r="C129" s="45" t="str">
        <f>""</f>
        <v/>
      </c>
      <c r="D129" s="45" t="str">
        <f>""</f>
        <v/>
      </c>
      <c r="E129" s="45" t="str">
        <f>""</f>
        <v/>
      </c>
      <c r="F129" s="45" t="str">
        <f>""</f>
        <v/>
      </c>
      <c r="G129" s="45" t="str">
        <f>"-0.006"</f>
        <v>-0.006</v>
      </c>
      <c r="H129" s="45" t="str">
        <f>""</f>
        <v/>
      </c>
      <c r="I129" s="45" t="str">
        <f>""</f>
        <v/>
      </c>
      <c r="J129" s="45" t="str">
        <f>""</f>
        <v/>
      </c>
      <c r="K129" s="45" t="str">
        <f>""</f>
        <v/>
      </c>
      <c r="L129" s="45" t="str">
        <f>""</f>
        <v/>
      </c>
    </row>
    <row r="130" spans="2:12" x14ac:dyDescent="0.2">
      <c r="B130" s="11"/>
      <c r="C130" s="45" t="str">
        <f>""</f>
        <v/>
      </c>
      <c r="D130" s="45" t="str">
        <f>""</f>
        <v/>
      </c>
      <c r="E130" s="45" t="str">
        <f>""</f>
        <v/>
      </c>
      <c r="F130" s="45" t="str">
        <f>""</f>
        <v/>
      </c>
      <c r="G130" s="45" t="str">
        <f>"[0.028]"</f>
        <v>[0.028]</v>
      </c>
      <c r="H130" s="45" t="str">
        <f>""</f>
        <v/>
      </c>
      <c r="I130" s="45" t="str">
        <f>""</f>
        <v/>
      </c>
      <c r="J130" s="45" t="str">
        <f>""</f>
        <v/>
      </c>
      <c r="K130" s="45" t="str">
        <f>""</f>
        <v/>
      </c>
      <c r="L130" s="45" t="str">
        <f>""</f>
        <v/>
      </c>
    </row>
    <row r="131" spans="2:12" x14ac:dyDescent="0.2">
      <c r="B131" s="11" t="str">
        <f>"Theft or destruction of goods (yes=1) for a household in a given year"</f>
        <v>Theft or destruction of goods (yes=1) for a household in a given year</v>
      </c>
      <c r="C131" s="45" t="str">
        <f>""</f>
        <v/>
      </c>
      <c r="D131" s="45" t="str">
        <f>""</f>
        <v/>
      </c>
      <c r="E131" s="45" t="str">
        <f>""</f>
        <v/>
      </c>
      <c r="F131" s="45" t="str">
        <f>""</f>
        <v/>
      </c>
      <c r="G131" s="45" t="str">
        <f>""</f>
        <v/>
      </c>
      <c r="H131" s="45" t="str">
        <f>"0.086***"</f>
        <v>0.086***</v>
      </c>
      <c r="I131" s="45" t="str">
        <f>""</f>
        <v/>
      </c>
      <c r="J131" s="45" t="str">
        <f>""</f>
        <v/>
      </c>
      <c r="K131" s="45" t="str">
        <f>""</f>
        <v/>
      </c>
      <c r="L131" s="45" t="str">
        <f>""</f>
        <v/>
      </c>
    </row>
    <row r="132" spans="2:12" x14ac:dyDescent="0.2">
      <c r="B132" s="11"/>
      <c r="C132" s="45" t="str">
        <f>""</f>
        <v/>
      </c>
      <c r="D132" s="45" t="str">
        <f>""</f>
        <v/>
      </c>
      <c r="E132" s="45" t="str">
        <f>""</f>
        <v/>
      </c>
      <c r="F132" s="45" t="str">
        <f>""</f>
        <v/>
      </c>
      <c r="G132" s="45" t="str">
        <f>""</f>
        <v/>
      </c>
      <c r="H132" s="45" t="str">
        <f>"[0.026]"</f>
        <v>[0.026]</v>
      </c>
      <c r="I132" s="45" t="str">
        <f>""</f>
        <v/>
      </c>
      <c r="J132" s="45" t="str">
        <f>""</f>
        <v/>
      </c>
      <c r="K132" s="45" t="str">
        <f>""</f>
        <v/>
      </c>
      <c r="L132" s="45" t="str">
        <f>""</f>
        <v/>
      </c>
    </row>
    <row r="133" spans="2:12" x14ac:dyDescent="0.2">
      <c r="B133" s="11" t="str">
        <f>"Lag Theft or destruction of goods (yes=1) for a household in a given year"</f>
        <v>Lag Theft or destruction of goods (yes=1) for a household in a given year</v>
      </c>
      <c r="C133" s="45" t="str">
        <f>""</f>
        <v/>
      </c>
      <c r="D133" s="45" t="str">
        <f>""</f>
        <v/>
      </c>
      <c r="E133" s="45" t="str">
        <f>""</f>
        <v/>
      </c>
      <c r="F133" s="45" t="str">
        <f>""</f>
        <v/>
      </c>
      <c r="G133" s="45" t="str">
        <f>""</f>
        <v/>
      </c>
      <c r="H133" s="45" t="str">
        <f>"-0.043*"</f>
        <v>-0.043*</v>
      </c>
      <c r="I133" s="45" t="str">
        <f>""</f>
        <v/>
      </c>
      <c r="J133" s="45" t="str">
        <f>""</f>
        <v/>
      </c>
      <c r="K133" s="45" t="str">
        <f>""</f>
        <v/>
      </c>
      <c r="L133" s="45" t="str">
        <f>""</f>
        <v/>
      </c>
    </row>
    <row r="134" spans="2:12" x14ac:dyDescent="0.2">
      <c r="B134" s="11"/>
      <c r="C134" s="45" t="str">
        <f>""</f>
        <v/>
      </c>
      <c r="D134" s="45" t="str">
        <f>""</f>
        <v/>
      </c>
      <c r="E134" s="45" t="str">
        <f>""</f>
        <v/>
      </c>
      <c r="F134" s="45" t="str">
        <f>""</f>
        <v/>
      </c>
      <c r="G134" s="45" t="str">
        <f>""</f>
        <v/>
      </c>
      <c r="H134" s="45" t="str">
        <f>"[0.022]"</f>
        <v>[0.022]</v>
      </c>
      <c r="I134" s="45" t="str">
        <f>""</f>
        <v/>
      </c>
      <c r="J134" s="45" t="str">
        <f>""</f>
        <v/>
      </c>
      <c r="K134" s="45" t="str">
        <f>""</f>
        <v/>
      </c>
      <c r="L134" s="45" t="str">
        <f>""</f>
        <v/>
      </c>
    </row>
    <row r="135" spans="2:12" x14ac:dyDescent="0.2">
      <c r="B135" s="11" t="str">
        <f>"Destruction of house (yes=1) for a household in a given year"</f>
        <v>Destruction of house (yes=1) for a household in a given year</v>
      </c>
      <c r="C135" s="45" t="str">
        <f>""</f>
        <v/>
      </c>
      <c r="D135" s="45" t="str">
        <f>""</f>
        <v/>
      </c>
      <c r="E135" s="45" t="str">
        <f>""</f>
        <v/>
      </c>
      <c r="F135" s="45" t="str">
        <f>""</f>
        <v/>
      </c>
      <c r="G135" s="45" t="str">
        <f>""</f>
        <v/>
      </c>
      <c r="H135" s="45" t="str">
        <f>""</f>
        <v/>
      </c>
      <c r="I135" s="45" t="str">
        <f>"0.140***"</f>
        <v>0.140***</v>
      </c>
      <c r="J135" s="45" t="str">
        <f>""</f>
        <v/>
      </c>
      <c r="K135" s="45" t="str">
        <f>""</f>
        <v/>
      </c>
      <c r="L135" s="45" t="str">
        <f>""</f>
        <v/>
      </c>
    </row>
    <row r="136" spans="2:12" x14ac:dyDescent="0.2">
      <c r="B136" s="11"/>
      <c r="C136" s="45" t="str">
        <f>""</f>
        <v/>
      </c>
      <c r="D136" s="45" t="str">
        <f>""</f>
        <v/>
      </c>
      <c r="E136" s="45" t="str">
        <f>""</f>
        <v/>
      </c>
      <c r="F136" s="45" t="str">
        <f>""</f>
        <v/>
      </c>
      <c r="G136" s="45" t="str">
        <f>""</f>
        <v/>
      </c>
      <c r="H136" s="45" t="str">
        <f>""</f>
        <v/>
      </c>
      <c r="I136" s="45" t="str">
        <f>"[0.042]"</f>
        <v>[0.042]</v>
      </c>
      <c r="J136" s="45" t="str">
        <f>""</f>
        <v/>
      </c>
      <c r="K136" s="45" t="str">
        <f>""</f>
        <v/>
      </c>
      <c r="L136" s="45" t="str">
        <f>""</f>
        <v/>
      </c>
    </row>
    <row r="137" spans="2:12" ht="19" customHeight="1" x14ac:dyDescent="0.2">
      <c r="B137" s="11" t="str">
        <f>"Lag Destruction of house (yes=1) for a household in a given year"</f>
        <v>Lag Destruction of house (yes=1) for a household in a given year</v>
      </c>
      <c r="C137" s="45" t="str">
        <f>""</f>
        <v/>
      </c>
      <c r="D137" s="45" t="str">
        <f>""</f>
        <v/>
      </c>
      <c r="E137" s="45" t="str">
        <f>""</f>
        <v/>
      </c>
      <c r="F137" s="45" t="str">
        <f>""</f>
        <v/>
      </c>
      <c r="G137" s="45" t="str">
        <f>""</f>
        <v/>
      </c>
      <c r="H137" s="45" t="str">
        <f>""</f>
        <v/>
      </c>
      <c r="I137" s="45" t="str">
        <f>"-0.095***"</f>
        <v>-0.095***</v>
      </c>
      <c r="J137" s="45" t="str">
        <f>""</f>
        <v/>
      </c>
      <c r="K137" s="45" t="str">
        <f>""</f>
        <v/>
      </c>
      <c r="L137" s="45" t="str">
        <f>""</f>
        <v/>
      </c>
    </row>
    <row r="138" spans="2:12" x14ac:dyDescent="0.2">
      <c r="B138" s="11"/>
      <c r="C138" s="45" t="str">
        <f>""</f>
        <v/>
      </c>
      <c r="D138" s="45" t="str">
        <f>""</f>
        <v/>
      </c>
      <c r="E138" s="45" t="str">
        <f>""</f>
        <v/>
      </c>
      <c r="F138" s="45" t="str">
        <f>""</f>
        <v/>
      </c>
      <c r="G138" s="45" t="str">
        <f>""</f>
        <v/>
      </c>
      <c r="H138" s="45" t="str">
        <f>""</f>
        <v/>
      </c>
      <c r="I138" s="45" t="str">
        <f>"[0.033]"</f>
        <v>[0.033]</v>
      </c>
      <c r="J138" s="45" t="str">
        <f>""</f>
        <v/>
      </c>
      <c r="K138" s="45" t="str">
        <f>""</f>
        <v/>
      </c>
      <c r="L138" s="45" t="str">
        <f>""</f>
        <v/>
      </c>
    </row>
    <row r="139" spans="2:12" x14ac:dyDescent="0.2">
      <c r="B139" s="16" t="s">
        <v>50</v>
      </c>
      <c r="C139" s="45" t="str">
        <f>""</f>
        <v/>
      </c>
      <c r="D139" s="45" t="str">
        <f>""</f>
        <v/>
      </c>
      <c r="E139" s="45" t="str">
        <f>""</f>
        <v/>
      </c>
      <c r="F139" s="45" t="str">
        <f>""</f>
        <v/>
      </c>
      <c r="G139" s="45" t="str">
        <f>""</f>
        <v/>
      </c>
      <c r="H139" s="45" t="str">
        <f>""</f>
        <v/>
      </c>
      <c r="I139" s="45" t="str">
        <f>""</f>
        <v/>
      </c>
      <c r="J139" s="45" t="str">
        <f>"0.001"</f>
        <v>0.001</v>
      </c>
      <c r="K139" s="45" t="str">
        <f>""</f>
        <v/>
      </c>
      <c r="L139" s="45" t="str">
        <f>""</f>
        <v/>
      </c>
    </row>
    <row r="140" spans="2:12" x14ac:dyDescent="0.2">
      <c r="C140" s="45" t="str">
        <f>""</f>
        <v/>
      </c>
      <c r="D140" s="45" t="str">
        <f>""</f>
        <v/>
      </c>
      <c r="E140" s="45" t="str">
        <f>""</f>
        <v/>
      </c>
      <c r="F140" s="45" t="str">
        <f>""</f>
        <v/>
      </c>
      <c r="G140" s="45" t="str">
        <f>""</f>
        <v/>
      </c>
      <c r="H140" s="45" t="str">
        <f>""</f>
        <v/>
      </c>
      <c r="I140" s="45" t="str">
        <f>""</f>
        <v/>
      </c>
      <c r="J140" s="45" t="str">
        <f>"[0.004]"</f>
        <v>[0.004]</v>
      </c>
      <c r="K140" s="45" t="str">
        <f>""</f>
        <v/>
      </c>
      <c r="L140" s="45" t="str">
        <f>""</f>
        <v/>
      </c>
    </row>
    <row r="141" spans="2:12" x14ac:dyDescent="0.2">
      <c r="B141" s="16" t="s">
        <v>64</v>
      </c>
      <c r="C141" s="45" t="str">
        <f>""</f>
        <v/>
      </c>
      <c r="D141" s="45" t="str">
        <f>""</f>
        <v/>
      </c>
      <c r="E141" s="45" t="str">
        <f>""</f>
        <v/>
      </c>
      <c r="F141" s="45" t="str">
        <f>""</f>
        <v/>
      </c>
      <c r="G141" s="45" t="str">
        <f>""</f>
        <v/>
      </c>
      <c r="H141" s="45" t="str">
        <f>""</f>
        <v/>
      </c>
      <c r="I141" s="45" t="str">
        <f>""</f>
        <v/>
      </c>
      <c r="J141" s="45" t="str">
        <f>"-0.001"</f>
        <v>-0.001</v>
      </c>
      <c r="K141" s="45" t="str">
        <f>""</f>
        <v/>
      </c>
      <c r="L141" s="45" t="str">
        <f>""</f>
        <v/>
      </c>
    </row>
    <row r="142" spans="2:12" x14ac:dyDescent="0.2">
      <c r="C142" s="45" t="str">
        <f>""</f>
        <v/>
      </c>
      <c r="D142" s="45" t="str">
        <f>""</f>
        <v/>
      </c>
      <c r="E142" s="45" t="str">
        <f>""</f>
        <v/>
      </c>
      <c r="F142" s="45" t="str">
        <f>""</f>
        <v/>
      </c>
      <c r="G142" s="45" t="str">
        <f>""</f>
        <v/>
      </c>
      <c r="H142" s="45" t="str">
        <f>""</f>
        <v/>
      </c>
      <c r="I142" s="45" t="str">
        <f>""</f>
        <v/>
      </c>
      <c r="J142" s="45" t="str">
        <f>"[0.004]"</f>
        <v>[0.004]</v>
      </c>
      <c r="K142" s="45" t="str">
        <f>""</f>
        <v/>
      </c>
      <c r="L142" s="45" t="str">
        <f>""</f>
        <v/>
      </c>
    </row>
    <row r="143" spans="2:12" x14ac:dyDescent="0.2">
      <c r="B143" s="16" t="s">
        <v>51</v>
      </c>
      <c r="C143" s="45" t="str">
        <f>""</f>
        <v/>
      </c>
      <c r="D143" s="45" t="str">
        <f>""</f>
        <v/>
      </c>
      <c r="E143" s="45" t="str">
        <f>""</f>
        <v/>
      </c>
      <c r="F143" s="45" t="str">
        <f>""</f>
        <v/>
      </c>
      <c r="G143" s="45" t="str">
        <f>""</f>
        <v/>
      </c>
      <c r="H143" s="45" t="str">
        <f>""</f>
        <v/>
      </c>
      <c r="I143" s="45" t="str">
        <f>""</f>
        <v/>
      </c>
      <c r="J143" s="45" t="str">
        <f>""</f>
        <v/>
      </c>
      <c r="K143" s="45" t="str">
        <f>"0.016***"</f>
        <v>0.016***</v>
      </c>
      <c r="L143" s="45" t="str">
        <f>""</f>
        <v/>
      </c>
    </row>
    <row r="144" spans="2:12" x14ac:dyDescent="0.2">
      <c r="B144" s="16"/>
      <c r="C144" s="45" t="str">
        <f>""</f>
        <v/>
      </c>
      <c r="D144" s="45" t="str">
        <f>""</f>
        <v/>
      </c>
      <c r="E144" s="45" t="str">
        <f>""</f>
        <v/>
      </c>
      <c r="F144" s="45" t="str">
        <f>""</f>
        <v/>
      </c>
      <c r="G144" s="45" t="str">
        <f>""</f>
        <v/>
      </c>
      <c r="H144" s="45" t="str">
        <f>""</f>
        <v/>
      </c>
      <c r="I144" s="45" t="str">
        <f>""</f>
        <v/>
      </c>
      <c r="J144" s="45" t="str">
        <f>""</f>
        <v/>
      </c>
      <c r="K144" s="45" t="str">
        <f>"[0.004]"</f>
        <v>[0.004]</v>
      </c>
      <c r="L144" s="45" t="str">
        <f>""</f>
        <v/>
      </c>
    </row>
    <row r="145" spans="2:12" x14ac:dyDescent="0.2">
      <c r="B145" s="16" t="s">
        <v>65</v>
      </c>
      <c r="C145" s="45" t="str">
        <f>""</f>
        <v/>
      </c>
      <c r="D145" s="45" t="str">
        <f>""</f>
        <v/>
      </c>
      <c r="E145" s="45" t="str">
        <f>""</f>
        <v/>
      </c>
      <c r="F145" s="45" t="str">
        <f>""</f>
        <v/>
      </c>
      <c r="G145" s="45" t="str">
        <f>""</f>
        <v/>
      </c>
      <c r="H145" s="45" t="str">
        <f>""</f>
        <v/>
      </c>
      <c r="I145" s="45" t="str">
        <f>""</f>
        <v/>
      </c>
      <c r="J145" s="45" t="str">
        <f>""</f>
        <v/>
      </c>
      <c r="K145" s="45" t="str">
        <f>"-0.007**"</f>
        <v>-0.007**</v>
      </c>
      <c r="L145" s="45" t="str">
        <f>""</f>
        <v/>
      </c>
    </row>
    <row r="146" spans="2:12" x14ac:dyDescent="0.2">
      <c r="B146" s="16"/>
      <c r="C146" s="45" t="str">
        <f>""</f>
        <v/>
      </c>
      <c r="D146" s="45" t="str">
        <f>""</f>
        <v/>
      </c>
      <c r="E146" s="45" t="str">
        <f>""</f>
        <v/>
      </c>
      <c r="F146" s="45" t="str">
        <f>""</f>
        <v/>
      </c>
      <c r="G146" s="45" t="str">
        <f>""</f>
        <v/>
      </c>
      <c r="H146" s="45" t="str">
        <f>""</f>
        <v/>
      </c>
      <c r="I146" s="45" t="str">
        <f>""</f>
        <v/>
      </c>
      <c r="J146" s="45" t="str">
        <f>""</f>
        <v/>
      </c>
      <c r="K146" s="45" t="str">
        <f>"[0.003]"</f>
        <v>[0.003]</v>
      </c>
      <c r="L146" s="45" t="str">
        <f>""</f>
        <v/>
      </c>
    </row>
    <row r="147" spans="2:12" x14ac:dyDescent="0.2">
      <c r="B147" s="16" t="s">
        <v>52</v>
      </c>
      <c r="C147" s="45" t="str">
        <f>""</f>
        <v/>
      </c>
      <c r="D147" s="45" t="str">
        <f>""</f>
        <v/>
      </c>
      <c r="E147" s="45" t="str">
        <f>""</f>
        <v/>
      </c>
      <c r="F147" s="45" t="str">
        <f>""</f>
        <v/>
      </c>
      <c r="G147" s="45" t="str">
        <f>""</f>
        <v/>
      </c>
      <c r="H147" s="45" t="str">
        <f>""</f>
        <v/>
      </c>
      <c r="I147" s="45" t="str">
        <f>""</f>
        <v/>
      </c>
      <c r="J147" s="45" t="str">
        <f>""</f>
        <v/>
      </c>
      <c r="K147" s="45" t="str">
        <f>""</f>
        <v/>
      </c>
      <c r="L147" s="45" t="str">
        <f>"0.013***"</f>
        <v>0.013***</v>
      </c>
    </row>
    <row r="148" spans="2:12" x14ac:dyDescent="0.2">
      <c r="B148" s="16"/>
      <c r="C148" s="45" t="str">
        <f>""</f>
        <v/>
      </c>
      <c r="D148" s="45" t="str">
        <f>""</f>
        <v/>
      </c>
      <c r="E148" s="45" t="str">
        <f>""</f>
        <v/>
      </c>
      <c r="F148" s="45" t="str">
        <f>""</f>
        <v/>
      </c>
      <c r="G148" s="45" t="str">
        <f>""</f>
        <v/>
      </c>
      <c r="H148" s="45" t="str">
        <f>""</f>
        <v/>
      </c>
      <c r="I148" s="45" t="str">
        <f>""</f>
        <v/>
      </c>
      <c r="J148" s="45" t="str">
        <f>""</f>
        <v/>
      </c>
      <c r="K148" s="45" t="str">
        <f>""</f>
        <v/>
      </c>
      <c r="L148" s="45" t="str">
        <f>"[0.004]"</f>
        <v>[0.004]</v>
      </c>
    </row>
    <row r="149" spans="2:12" x14ac:dyDescent="0.2">
      <c r="B149" s="16" t="s">
        <v>66</v>
      </c>
      <c r="C149" s="45" t="str">
        <f>""</f>
        <v/>
      </c>
      <c r="D149" s="45" t="str">
        <f>""</f>
        <v/>
      </c>
      <c r="E149" s="45" t="str">
        <f>""</f>
        <v/>
      </c>
      <c r="F149" s="45" t="str">
        <f>""</f>
        <v/>
      </c>
      <c r="G149" s="45" t="str">
        <f>""</f>
        <v/>
      </c>
      <c r="H149" s="45" t="str">
        <f>""</f>
        <v/>
      </c>
      <c r="I149" s="45" t="str">
        <f>""</f>
        <v/>
      </c>
      <c r="J149" s="45" t="str">
        <f>""</f>
        <v/>
      </c>
      <c r="K149" s="45" t="str">
        <f>""</f>
        <v/>
      </c>
      <c r="L149" s="45" t="str">
        <f>"-0.006*"</f>
        <v>-0.006*</v>
      </c>
    </row>
    <row r="150" spans="2:12" x14ac:dyDescent="0.2">
      <c r="C150" s="45" t="str">
        <f>""</f>
        <v/>
      </c>
      <c r="D150" s="45" t="str">
        <f>""</f>
        <v/>
      </c>
      <c r="E150" s="45" t="str">
        <f>""</f>
        <v/>
      </c>
      <c r="F150" s="45" t="str">
        <f>""</f>
        <v/>
      </c>
      <c r="G150" s="45" t="str">
        <f>""</f>
        <v/>
      </c>
      <c r="H150" s="45" t="str">
        <f>""</f>
        <v/>
      </c>
      <c r="I150" s="45" t="str">
        <f>""</f>
        <v/>
      </c>
      <c r="J150" s="45" t="str">
        <f>""</f>
        <v/>
      </c>
      <c r="K150" s="45" t="str">
        <f>""</f>
        <v/>
      </c>
      <c r="L150" s="45" t="str">
        <f>"[0.003]"</f>
        <v>[0.003]</v>
      </c>
    </row>
    <row r="151" spans="2:12" x14ac:dyDescent="0.2">
      <c r="B151" s="26" t="s">
        <v>27</v>
      </c>
      <c r="C151" s="47" t="str">
        <f>"8720"</f>
        <v>8720</v>
      </c>
      <c r="D151" s="47" t="str">
        <f>"8720"</f>
        <v>8720</v>
      </c>
      <c r="E151" s="47" t="str">
        <f t="shared" ref="E151:L151" si="2">"8417"</f>
        <v>8417</v>
      </c>
      <c r="F151" s="47" t="str">
        <f t="shared" si="2"/>
        <v>8417</v>
      </c>
      <c r="G151" s="47" t="str">
        <f t="shared" si="2"/>
        <v>8417</v>
      </c>
      <c r="H151" s="47" t="str">
        <f t="shared" si="2"/>
        <v>8417</v>
      </c>
      <c r="I151" s="47" t="str">
        <f t="shared" si="2"/>
        <v>8417</v>
      </c>
      <c r="J151" s="47" t="str">
        <f t="shared" si="2"/>
        <v>8417</v>
      </c>
      <c r="K151" s="47" t="str">
        <f t="shared" si="2"/>
        <v>8417</v>
      </c>
      <c r="L151" s="47" t="str">
        <f t="shared" si="2"/>
        <v>8417</v>
      </c>
    </row>
    <row r="152" spans="2:12" x14ac:dyDescent="0.2">
      <c r="B152" s="23" t="s">
        <v>45</v>
      </c>
      <c r="C152" s="45" t="str">
        <f t="shared" ref="C152:L152" si="3">"0.099"</f>
        <v>0.099</v>
      </c>
      <c r="D152" s="45" t="str">
        <f t="shared" si="3"/>
        <v>0.099</v>
      </c>
      <c r="E152" s="45" t="str">
        <f t="shared" si="3"/>
        <v>0.099</v>
      </c>
      <c r="F152" s="45" t="str">
        <f t="shared" si="3"/>
        <v>0.099</v>
      </c>
      <c r="G152" s="45" t="str">
        <f t="shared" si="3"/>
        <v>0.099</v>
      </c>
      <c r="H152" s="45" t="str">
        <f t="shared" si="3"/>
        <v>0.099</v>
      </c>
      <c r="I152" s="45" t="str">
        <f t="shared" si="3"/>
        <v>0.099</v>
      </c>
      <c r="J152" s="45" t="str">
        <f t="shared" si="3"/>
        <v>0.099</v>
      </c>
      <c r="K152" s="45" t="str">
        <f t="shared" si="3"/>
        <v>0.099</v>
      </c>
      <c r="L152" s="45" t="str">
        <f t="shared" si="3"/>
        <v>0.099</v>
      </c>
    </row>
    <row r="153" spans="2:12" x14ac:dyDescent="0.2">
      <c r="B153" s="27" t="s">
        <v>40</v>
      </c>
      <c r="C153" s="28" t="s">
        <v>25</v>
      </c>
      <c r="D153" s="28" t="s">
        <v>25</v>
      </c>
      <c r="E153" s="28" t="s">
        <v>25</v>
      </c>
      <c r="F153" s="28" t="s">
        <v>25</v>
      </c>
      <c r="G153" s="28" t="s">
        <v>25</v>
      </c>
      <c r="H153" s="28" t="s">
        <v>25</v>
      </c>
      <c r="I153" s="28" t="s">
        <v>25</v>
      </c>
      <c r="J153" s="28" t="s">
        <v>25</v>
      </c>
      <c r="K153" s="28" t="s">
        <v>25</v>
      </c>
      <c r="L153" s="28" t="s">
        <v>25</v>
      </c>
    </row>
    <row r="154" spans="2:12" x14ac:dyDescent="0.2">
      <c r="B154" s="27" t="s">
        <v>24</v>
      </c>
      <c r="C154" s="28" t="s">
        <v>25</v>
      </c>
      <c r="D154" s="28" t="s">
        <v>25</v>
      </c>
      <c r="E154" s="28" t="s">
        <v>25</v>
      </c>
      <c r="F154" s="28" t="s">
        <v>25</v>
      </c>
      <c r="G154" s="28" t="s">
        <v>25</v>
      </c>
      <c r="H154" s="28" t="s">
        <v>25</v>
      </c>
      <c r="I154" s="28" t="s">
        <v>25</v>
      </c>
      <c r="J154" s="28" t="s">
        <v>25</v>
      </c>
      <c r="K154" s="28" t="s">
        <v>25</v>
      </c>
      <c r="L154" s="28" t="s">
        <v>25</v>
      </c>
    </row>
    <row r="155" spans="2:12" x14ac:dyDescent="0.2">
      <c r="B155" s="29" t="s">
        <v>35</v>
      </c>
      <c r="C155" s="30" t="s">
        <v>25</v>
      </c>
      <c r="D155" s="30" t="s">
        <v>25</v>
      </c>
      <c r="E155" s="30" t="s">
        <v>25</v>
      </c>
      <c r="F155" s="30" t="s">
        <v>25</v>
      </c>
      <c r="G155" s="30" t="s">
        <v>25</v>
      </c>
      <c r="H155" s="30" t="s">
        <v>25</v>
      </c>
      <c r="I155" s="30" t="s">
        <v>25</v>
      </c>
      <c r="J155" s="30" t="s">
        <v>25</v>
      </c>
      <c r="K155" s="30" t="s">
        <v>25</v>
      </c>
      <c r="L155" s="30" t="s">
        <v>25</v>
      </c>
    </row>
    <row r="156" spans="2:12" x14ac:dyDescent="0.2">
      <c r="B156" s="68" t="s">
        <v>58</v>
      </c>
      <c r="C156" s="68"/>
      <c r="D156" s="68"/>
      <c r="E156" s="68"/>
      <c r="F156" s="68"/>
      <c r="G156" s="68"/>
      <c r="H156" s="68"/>
      <c r="I156" s="68"/>
      <c r="J156" s="68"/>
      <c r="K156" s="68"/>
      <c r="L156" s="68"/>
    </row>
  </sheetData>
  <mergeCells count="4">
    <mergeCell ref="B2:L2"/>
    <mergeCell ref="B51:L51"/>
    <mergeCell ref="B107:L107"/>
    <mergeCell ref="B156:L156"/>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67D7-AF39-A24A-A42D-7FB657E18590}">
  <dimension ref="B2:F20"/>
  <sheetViews>
    <sheetView showGridLines="0" workbookViewId="0">
      <selection activeCell="C3" sqref="C3:F3"/>
    </sheetView>
  </sheetViews>
  <sheetFormatPr baseColWidth="10" defaultColWidth="11" defaultRowHeight="16" x14ac:dyDescent="0.2"/>
  <cols>
    <col min="2" max="2" width="56.1640625" customWidth="1"/>
  </cols>
  <sheetData>
    <row r="2" spans="2:6" x14ac:dyDescent="0.2">
      <c r="B2" s="67" t="s">
        <v>79</v>
      </c>
      <c r="C2" s="67"/>
      <c r="D2" s="67"/>
      <c r="E2" s="67"/>
      <c r="F2" s="67"/>
    </row>
    <row r="3" spans="2:6" ht="37" customHeight="1" thickBot="1" x14ac:dyDescent="0.25">
      <c r="B3" s="33" t="s">
        <v>47</v>
      </c>
      <c r="C3" s="12" t="s">
        <v>28</v>
      </c>
      <c r="D3" s="12" t="s">
        <v>29</v>
      </c>
      <c r="E3" s="12" t="s">
        <v>30</v>
      </c>
      <c r="F3" s="12" t="s">
        <v>31</v>
      </c>
    </row>
    <row r="4" spans="2:6" ht="17" thickTop="1" x14ac:dyDescent="0.2">
      <c r="B4" s="31" t="s">
        <v>49</v>
      </c>
      <c r="C4" s="25"/>
      <c r="E4" s="25"/>
    </row>
    <row r="5" spans="2:6" x14ac:dyDescent="0.2">
      <c r="B5" s="6" t="s">
        <v>46</v>
      </c>
      <c r="C5" s="43" t="str">
        <f t="shared" ref="C5:D5" si="0">"0.038**"</f>
        <v>0.038**</v>
      </c>
      <c r="D5" t="str">
        <f t="shared" si="0"/>
        <v>0.038**</v>
      </c>
      <c r="E5" s="43" t="str">
        <f>""</f>
        <v/>
      </c>
      <c r="F5" t="str">
        <f>""</f>
        <v/>
      </c>
    </row>
    <row r="6" spans="2:6" x14ac:dyDescent="0.2">
      <c r="B6" s="9"/>
      <c r="C6" s="43" t="str">
        <f t="shared" ref="C6:D6" si="1">"[0.016]"</f>
        <v>[0.016]</v>
      </c>
      <c r="D6" t="str">
        <f t="shared" si="1"/>
        <v>[0.016]</v>
      </c>
      <c r="E6" s="43" t="str">
        <f>""</f>
        <v/>
      </c>
      <c r="F6" t="str">
        <f>""</f>
        <v/>
      </c>
    </row>
    <row r="7" spans="2:6" x14ac:dyDescent="0.2">
      <c r="B7" s="37" t="s">
        <v>44</v>
      </c>
      <c r="C7" s="43"/>
      <c r="E7" s="43" t="str">
        <f>"0.292***"</f>
        <v>0.292***</v>
      </c>
      <c r="F7" t="str">
        <f>"0.291***"</f>
        <v>0.291***</v>
      </c>
    </row>
    <row r="8" spans="2:6" x14ac:dyDescent="0.2">
      <c r="B8" s="6" t="str">
        <f>""</f>
        <v/>
      </c>
      <c r="C8" s="43"/>
      <c r="E8" s="43" t="str">
        <f>"[0.088]"</f>
        <v>[0.088]</v>
      </c>
      <c r="F8" t="str">
        <f>"[0.088]"</f>
        <v>[0.088]</v>
      </c>
    </row>
    <row r="9" spans="2:6" x14ac:dyDescent="0.2">
      <c r="B9" s="6"/>
      <c r="C9" s="43"/>
      <c r="E9" s="43"/>
    </row>
    <row r="10" spans="2:6" x14ac:dyDescent="0.2">
      <c r="B10" s="44" t="s">
        <v>48</v>
      </c>
      <c r="C10" s="35"/>
      <c r="D10" s="35"/>
      <c r="E10" s="35"/>
      <c r="F10" s="35"/>
    </row>
    <row r="11" spans="2:6" x14ac:dyDescent="0.2">
      <c r="B11" s="16" t="s">
        <v>51</v>
      </c>
      <c r="C11" t="str">
        <f>"0.011***"</f>
        <v>0.011***</v>
      </c>
      <c r="D11" t="str">
        <f>""</f>
        <v/>
      </c>
      <c r="E11" t="str">
        <f>"0.011***"</f>
        <v>0.011***</v>
      </c>
      <c r="F11" t="str">
        <f>""</f>
        <v/>
      </c>
    </row>
    <row r="12" spans="2:6" x14ac:dyDescent="0.2">
      <c r="C12" t="str">
        <f>"[0.003]"</f>
        <v>[0.003]</v>
      </c>
      <c r="D12" t="str">
        <f>""</f>
        <v/>
      </c>
      <c r="E12" t="str">
        <f>"[0.003]"</f>
        <v>[0.003]</v>
      </c>
      <c r="F12" t="str">
        <f>""</f>
        <v/>
      </c>
    </row>
    <row r="13" spans="2:6" x14ac:dyDescent="0.2">
      <c r="B13" s="16" t="s">
        <v>52</v>
      </c>
      <c r="C13" t="str">
        <f>""</f>
        <v/>
      </c>
      <c r="D13" t="str">
        <f>"0.009***"</f>
        <v>0.009***</v>
      </c>
      <c r="E13" t="str">
        <f>""</f>
        <v/>
      </c>
      <c r="F13" t="str">
        <f>"0.009***"</f>
        <v>0.009***</v>
      </c>
    </row>
    <row r="14" spans="2:6" x14ac:dyDescent="0.2">
      <c r="B14" s="16"/>
      <c r="C14" t="str">
        <f>""</f>
        <v/>
      </c>
      <c r="D14" t="str">
        <f>"[0.003]"</f>
        <v>[0.003]</v>
      </c>
      <c r="E14" t="str">
        <f>""</f>
        <v/>
      </c>
      <c r="F14" t="str">
        <f>"[0.003]"</f>
        <v>[0.003]</v>
      </c>
    </row>
    <row r="15" spans="2:6" x14ac:dyDescent="0.2">
      <c r="B15" s="26" t="s">
        <v>27</v>
      </c>
      <c r="C15" s="36" t="str">
        <f t="shared" ref="C15:F15" si="2">"8720"</f>
        <v>8720</v>
      </c>
      <c r="D15" s="36" t="str">
        <f t="shared" si="2"/>
        <v>8720</v>
      </c>
      <c r="E15" s="36" t="str">
        <f t="shared" si="2"/>
        <v>8720</v>
      </c>
      <c r="F15" s="36" t="str">
        <f t="shared" si="2"/>
        <v>8720</v>
      </c>
    </row>
    <row r="16" spans="2:6" x14ac:dyDescent="0.2">
      <c r="B16" s="23" t="s">
        <v>45</v>
      </c>
      <c r="C16" s="24" t="str">
        <f t="shared" ref="C16:F16" si="3">"0.099"</f>
        <v>0.099</v>
      </c>
      <c r="D16" s="24" t="str">
        <f t="shared" si="3"/>
        <v>0.099</v>
      </c>
      <c r="E16" s="24" t="str">
        <f t="shared" si="3"/>
        <v>0.099</v>
      </c>
      <c r="F16" s="24" t="str">
        <f t="shared" si="3"/>
        <v>0.099</v>
      </c>
    </row>
    <row r="17" spans="2:6" x14ac:dyDescent="0.2">
      <c r="B17" s="27" t="s">
        <v>40</v>
      </c>
      <c r="C17" s="28" t="s">
        <v>25</v>
      </c>
      <c r="D17" s="28" t="s">
        <v>25</v>
      </c>
      <c r="E17" s="28" t="s">
        <v>25</v>
      </c>
      <c r="F17" s="28" t="s">
        <v>25</v>
      </c>
    </row>
    <row r="18" spans="2:6" x14ac:dyDescent="0.2">
      <c r="B18" s="27" t="s">
        <v>24</v>
      </c>
      <c r="C18" s="28" t="s">
        <v>25</v>
      </c>
      <c r="D18" s="28" t="s">
        <v>25</v>
      </c>
      <c r="E18" s="28" t="s">
        <v>25</v>
      </c>
      <c r="F18" s="28" t="s">
        <v>25</v>
      </c>
    </row>
    <row r="19" spans="2:6" x14ac:dyDescent="0.2">
      <c r="B19" s="29" t="s">
        <v>35</v>
      </c>
      <c r="C19" s="30" t="s">
        <v>25</v>
      </c>
      <c r="D19" s="30" t="s">
        <v>25</v>
      </c>
      <c r="E19" s="30" t="s">
        <v>25</v>
      </c>
      <c r="F19" s="30" t="s">
        <v>25</v>
      </c>
    </row>
    <row r="20" spans="2:6" ht="84" customHeight="1" x14ac:dyDescent="0.2">
      <c r="B20" s="68" t="s">
        <v>58</v>
      </c>
      <c r="C20" s="68"/>
      <c r="D20" s="68"/>
      <c r="E20" s="68"/>
      <c r="F20" s="68"/>
    </row>
  </sheetData>
  <mergeCells count="2">
    <mergeCell ref="B2:F2"/>
    <mergeCell ref="B20:F20"/>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0A686-C86E-4349-9396-454EA9BA45CB}">
  <dimension ref="B2:H35"/>
  <sheetViews>
    <sheetView showGridLines="0" topLeftCell="B5" workbookViewId="0">
      <selection activeCell="E26" sqref="E26"/>
    </sheetView>
  </sheetViews>
  <sheetFormatPr baseColWidth="10" defaultColWidth="11" defaultRowHeight="16" x14ac:dyDescent="0.2"/>
  <cols>
    <col min="2" max="2" width="68.83203125" customWidth="1"/>
  </cols>
  <sheetData>
    <row r="2" spans="2:8" x14ac:dyDescent="0.2">
      <c r="B2" s="67" t="s">
        <v>80</v>
      </c>
      <c r="C2" s="67"/>
      <c r="D2" s="67"/>
      <c r="E2" s="67"/>
      <c r="F2" s="67"/>
      <c r="G2" s="67"/>
      <c r="H2" s="67"/>
    </row>
    <row r="3" spans="2:8" ht="37" customHeight="1" thickBot="1" x14ac:dyDescent="0.25">
      <c r="B3" s="33" t="s">
        <v>47</v>
      </c>
      <c r="C3" s="12" t="s">
        <v>28</v>
      </c>
      <c r="D3" s="12" t="s">
        <v>29</v>
      </c>
      <c r="E3" s="54" t="s">
        <v>30</v>
      </c>
      <c r="F3" s="12" t="s">
        <v>31</v>
      </c>
      <c r="G3" s="12" t="s">
        <v>32</v>
      </c>
      <c r="H3" s="12" t="s">
        <v>33</v>
      </c>
    </row>
    <row r="4" spans="2:8" ht="17" thickTop="1" x14ac:dyDescent="0.2">
      <c r="B4" s="25" t="s">
        <v>49</v>
      </c>
      <c r="C4" s="25"/>
      <c r="D4" s="25"/>
      <c r="E4" s="25"/>
      <c r="F4" s="25"/>
      <c r="H4" s="25"/>
    </row>
    <row r="5" spans="2:8" x14ac:dyDescent="0.2">
      <c r="B5" s="6" t="s">
        <v>46</v>
      </c>
      <c r="C5" t="str">
        <f>"0.036**"</f>
        <v>0.036**</v>
      </c>
      <c r="D5" t="str">
        <f>"0.038**"</f>
        <v>0.038**</v>
      </c>
      <c r="E5" t="str">
        <f>""</f>
        <v/>
      </c>
      <c r="F5" t="str">
        <f>""</f>
        <v/>
      </c>
      <c r="G5" t="str">
        <f>""</f>
        <v/>
      </c>
      <c r="H5" t="str">
        <f>""</f>
        <v/>
      </c>
    </row>
    <row r="6" spans="2:8" x14ac:dyDescent="0.2">
      <c r="B6" s="9"/>
      <c r="C6" t="str">
        <f>"[0.016]"</f>
        <v>[0.016]</v>
      </c>
      <c r="D6" t="str">
        <f>"[0.016]"</f>
        <v>[0.016]</v>
      </c>
      <c r="E6" t="str">
        <f>""</f>
        <v/>
      </c>
      <c r="F6" t="str">
        <f>""</f>
        <v/>
      </c>
      <c r="G6" t="str">
        <f>""</f>
        <v/>
      </c>
      <c r="H6" t="str">
        <f>""</f>
        <v/>
      </c>
    </row>
    <row r="7" spans="2:8" x14ac:dyDescent="0.2">
      <c r="B7" s="37" t="s">
        <v>44</v>
      </c>
      <c r="C7" t="str">
        <f>""</f>
        <v/>
      </c>
      <c r="D7" t="str">
        <f>""</f>
        <v/>
      </c>
      <c r="E7" t="str">
        <f>"0.288***"</f>
        <v>0.288***</v>
      </c>
      <c r="F7" t="str">
        <f>"0.282***"</f>
        <v>0.282***</v>
      </c>
      <c r="G7" t="str">
        <f>""</f>
        <v/>
      </c>
      <c r="H7" t="str">
        <f>""</f>
        <v/>
      </c>
    </row>
    <row r="8" spans="2:8" x14ac:dyDescent="0.2">
      <c r="B8" s="9"/>
      <c r="C8" t="str">
        <f>""</f>
        <v/>
      </c>
      <c r="D8" t="str">
        <f>""</f>
        <v/>
      </c>
      <c r="E8" t="str">
        <f>"[0.087]"</f>
        <v>[0.087]</v>
      </c>
      <c r="F8" t="str">
        <f>"[0.095]"</f>
        <v>[0.095]</v>
      </c>
      <c r="G8" t="str">
        <f>""</f>
        <v/>
      </c>
      <c r="H8" t="str">
        <f>""</f>
        <v/>
      </c>
    </row>
    <row r="9" spans="2:8" x14ac:dyDescent="0.2">
      <c r="B9" s="37" t="s">
        <v>77</v>
      </c>
      <c r="C9" t="str">
        <f>""</f>
        <v/>
      </c>
      <c r="D9" t="str">
        <f>""</f>
        <v/>
      </c>
      <c r="E9" t="str">
        <f>""</f>
        <v/>
      </c>
      <c r="F9" t="str">
        <f>""</f>
        <v/>
      </c>
      <c r="G9" t="str">
        <f>"0.030*"</f>
        <v>0.030*</v>
      </c>
      <c r="H9" t="str">
        <f>"0.033**"</f>
        <v>0.033**</v>
      </c>
    </row>
    <row r="10" spans="2:8" x14ac:dyDescent="0.2">
      <c r="B10" s="6" t="str">
        <f>""</f>
        <v/>
      </c>
      <c r="C10" t="str">
        <f>""</f>
        <v/>
      </c>
      <c r="D10" t="str">
        <f>""</f>
        <v/>
      </c>
      <c r="E10" t="str">
        <f>""</f>
        <v/>
      </c>
      <c r="F10" t="str">
        <f>""</f>
        <v/>
      </c>
      <c r="G10" t="str">
        <f>"[0.016]"</f>
        <v>[0.016]</v>
      </c>
      <c r="H10" t="str">
        <f>"[0.017]"</f>
        <v>[0.017]</v>
      </c>
    </row>
    <row r="11" spans="2:8" x14ac:dyDescent="0.2">
      <c r="B11" s="6"/>
      <c r="C11" s="43"/>
      <c r="D11" s="43"/>
      <c r="E11" s="43"/>
      <c r="F11" s="43"/>
      <c r="H11" s="43"/>
    </row>
    <row r="12" spans="2:8" x14ac:dyDescent="0.2">
      <c r="B12" s="61" t="s">
        <v>48</v>
      </c>
      <c r="C12" s="35"/>
      <c r="D12" s="35"/>
      <c r="E12" s="35"/>
      <c r="F12" s="35"/>
      <c r="G12" s="35"/>
      <c r="H12" s="35"/>
    </row>
    <row r="13" spans="2:8" x14ac:dyDescent="0.2">
      <c r="B13" s="11" t="str">
        <f>"Index of  household Losss (all) - PCA - above the mean (yes=1)"</f>
        <v>Index of  household Losss (all) - PCA - above the mean (yes=1)</v>
      </c>
      <c r="C13" t="str">
        <f>"0.019*"</f>
        <v>0.019*</v>
      </c>
      <c r="D13" t="str">
        <f>""</f>
        <v/>
      </c>
      <c r="E13" t="str">
        <f>"0.019*"</f>
        <v>0.019*</v>
      </c>
      <c r="F13" t="str">
        <f>""</f>
        <v/>
      </c>
      <c r="G13" t="str">
        <f>"0.019*"</f>
        <v>0.019*</v>
      </c>
      <c r="H13" t="str">
        <f>""</f>
        <v/>
      </c>
    </row>
    <row r="14" spans="2:8" x14ac:dyDescent="0.2">
      <c r="B14" s="11" t="str">
        <f>""</f>
        <v/>
      </c>
      <c r="C14" t="str">
        <f>"[0.011]"</f>
        <v>[0.011]</v>
      </c>
      <c r="D14" t="str">
        <f>""</f>
        <v/>
      </c>
      <c r="E14" t="str">
        <f>"[0.011]"</f>
        <v>[0.011]</v>
      </c>
      <c r="F14" t="str">
        <f>""</f>
        <v/>
      </c>
      <c r="G14" t="str">
        <f>"[0.011]"</f>
        <v>[0.011]</v>
      </c>
      <c r="H14" t="str">
        <f>""</f>
        <v/>
      </c>
    </row>
    <row r="15" spans="2:8" x14ac:dyDescent="0.2">
      <c r="B15" s="13" t="str">
        <f>"Index of  household Losss (all) - PCA"</f>
        <v>Index of  household Losss (all) - PCA</v>
      </c>
      <c r="C15" t="str">
        <f>""</f>
        <v/>
      </c>
      <c r="D15" t="str">
        <f>"0.008***"</f>
        <v>0.008***</v>
      </c>
      <c r="E15" t="str">
        <f>""</f>
        <v/>
      </c>
      <c r="F15" t="str">
        <f>"0.009***"</f>
        <v>0.009***</v>
      </c>
      <c r="G15" t="str">
        <f>""</f>
        <v/>
      </c>
      <c r="H15" t="str">
        <f>"0.009***"</f>
        <v>0.009***</v>
      </c>
    </row>
    <row r="16" spans="2:8" x14ac:dyDescent="0.2">
      <c r="B16" s="11" t="str">
        <f>""</f>
        <v/>
      </c>
      <c r="C16" t="str">
        <f>""</f>
        <v/>
      </c>
      <c r="D16" t="str">
        <f>"[0.003]"</f>
        <v>[0.003]</v>
      </c>
      <c r="E16" t="str">
        <f>""</f>
        <v/>
      </c>
      <c r="F16" t="str">
        <f>"[0.003]"</f>
        <v>[0.003]</v>
      </c>
      <c r="G16" t="str">
        <f>""</f>
        <v/>
      </c>
      <c r="H16" t="str">
        <f>"[0.003]"</f>
        <v>[0.003]</v>
      </c>
    </row>
    <row r="17" spans="2:8" x14ac:dyDescent="0.2">
      <c r="B17" s="61" t="s">
        <v>76</v>
      </c>
      <c r="C17" s="35"/>
      <c r="D17" s="35"/>
      <c r="E17" s="35"/>
      <c r="F17" s="35"/>
      <c r="G17" s="35"/>
      <c r="H17" s="35"/>
    </row>
    <row r="18" spans="2:8" ht="32" x14ac:dyDescent="0.2">
      <c r="B18" s="59" t="str">
        <f>"Violence in a given year (yes=1)*Index of  household Losss (all) - PCA - above the mean"</f>
        <v>Violence in a given year (yes=1)*Index of  household Losss (all) - PCA - above the mean</v>
      </c>
      <c r="C18" t="str">
        <f>"0.018"</f>
        <v>0.018</v>
      </c>
      <c r="D18" t="str">
        <f>""</f>
        <v/>
      </c>
      <c r="E18" t="str">
        <f>""</f>
        <v/>
      </c>
      <c r="F18" t="str">
        <f>""</f>
        <v/>
      </c>
      <c r="G18" t="str">
        <f>""</f>
        <v/>
      </c>
      <c r="H18" t="str">
        <f>""</f>
        <v/>
      </c>
    </row>
    <row r="19" spans="2:8" x14ac:dyDescent="0.2">
      <c r="B19" s="59"/>
      <c r="C19" t="str">
        <f>"[0.038]"</f>
        <v>[0.038]</v>
      </c>
      <c r="D19" t="str">
        <f>""</f>
        <v/>
      </c>
      <c r="E19" t="str">
        <f>""</f>
        <v/>
      </c>
      <c r="F19" t="str">
        <f>""</f>
        <v/>
      </c>
      <c r="G19" t="str">
        <f>""</f>
        <v/>
      </c>
      <c r="H19" t="str">
        <f>""</f>
        <v/>
      </c>
    </row>
    <row r="20" spans="2:8" x14ac:dyDescent="0.2">
      <c r="B20" s="59" t="str">
        <f>"Violence in a given year (yes=1)*Index of  household Losss (all) - PCA"</f>
        <v>Violence in a given year (yes=1)*Index of  household Losss (all) - PCA</v>
      </c>
      <c r="C20" t="str">
        <f>""</f>
        <v/>
      </c>
      <c r="D20" t="str">
        <f>"0.002"</f>
        <v>0.002</v>
      </c>
      <c r="E20" t="str">
        <f>""</f>
        <v/>
      </c>
      <c r="F20" t="str">
        <f>""</f>
        <v/>
      </c>
      <c r="G20" t="str">
        <f>""</f>
        <v/>
      </c>
      <c r="H20" t="str">
        <f>""</f>
        <v/>
      </c>
    </row>
    <row r="21" spans="2:8" x14ac:dyDescent="0.2">
      <c r="B21" s="59"/>
      <c r="C21" t="str">
        <f>""</f>
        <v/>
      </c>
      <c r="D21" t="str">
        <f>"[0.009]"</f>
        <v>[0.009]</v>
      </c>
      <c r="E21" t="str">
        <f>""</f>
        <v/>
      </c>
      <c r="F21" t="str">
        <f>""</f>
        <v/>
      </c>
      <c r="G21" t="str">
        <f>""</f>
        <v/>
      </c>
      <c r="H21" t="str">
        <f>""</f>
        <v/>
      </c>
    </row>
    <row r="22" spans="2:8" ht="32" x14ac:dyDescent="0.2">
      <c r="B22" s="59" t="str">
        <f>"Number of casualties in a given year*Index of  household Losss (all) - PCA - above the mean (yes=1)"</f>
        <v>Number of casualties in a given year*Index of  household Losss (all) - PCA - above the mean (yes=1)</v>
      </c>
      <c r="C22" t="str">
        <f>""</f>
        <v/>
      </c>
      <c r="D22" t="str">
        <f>""</f>
        <v/>
      </c>
      <c r="E22" t="str">
        <f>"0.038"</f>
        <v>0.038</v>
      </c>
      <c r="F22" t="str">
        <f>""</f>
        <v/>
      </c>
      <c r="G22" t="str">
        <f>""</f>
        <v/>
      </c>
      <c r="H22" t="str">
        <f>""</f>
        <v/>
      </c>
    </row>
    <row r="23" spans="2:8" x14ac:dyDescent="0.2">
      <c r="B23" s="59"/>
      <c r="C23" t="str">
        <f>""</f>
        <v/>
      </c>
      <c r="D23" t="str">
        <f>""</f>
        <v/>
      </c>
      <c r="E23" t="str">
        <f>"[0.042]"</f>
        <v>[0.042]</v>
      </c>
      <c r="F23" t="str">
        <f>""</f>
        <v/>
      </c>
      <c r="G23" t="str">
        <f>""</f>
        <v/>
      </c>
      <c r="H23" t="str">
        <f>""</f>
        <v/>
      </c>
    </row>
    <row r="24" spans="2:8" x14ac:dyDescent="0.2">
      <c r="B24" s="59" t="str">
        <f>"Number of casualties in a given year*Index of  household Losss (all) - PCA"</f>
        <v>Number of casualties in a given year*Index of  household Losss (all) - PCA</v>
      </c>
      <c r="C24" t="str">
        <f>""</f>
        <v/>
      </c>
      <c r="D24" t="str">
        <f>""</f>
        <v/>
      </c>
      <c r="E24" t="str">
        <f>""</f>
        <v/>
      </c>
      <c r="F24" t="str">
        <f>"0.097"</f>
        <v>0.097</v>
      </c>
      <c r="G24" t="str">
        <f>""</f>
        <v/>
      </c>
      <c r="H24" t="str">
        <f>""</f>
        <v/>
      </c>
    </row>
    <row r="25" spans="2:8" x14ac:dyDescent="0.2">
      <c r="B25" s="60"/>
      <c r="C25" t="str">
        <f>""</f>
        <v/>
      </c>
      <c r="D25" t="str">
        <f>""</f>
        <v/>
      </c>
      <c r="E25" t="str">
        <f>""</f>
        <v/>
      </c>
      <c r="F25" t="str">
        <f>"[0.122]"</f>
        <v>[0.122]</v>
      </c>
      <c r="G25" t="str">
        <f>""</f>
        <v/>
      </c>
      <c r="H25" t="str">
        <f>""</f>
        <v/>
      </c>
    </row>
    <row r="26" spans="2:8" ht="32" x14ac:dyDescent="0.2">
      <c r="B26" s="59" t="str">
        <f>"Number of casualties in a given year above mean (yes=1)*Index of  household Losss (all) - PCA - above the mean (yes=1)"</f>
        <v>Number of casualties in a given year above mean (yes=1)*Index of  household Losss (all) - PCA - above the mean (yes=1)</v>
      </c>
      <c r="C26" t="str">
        <f>""</f>
        <v/>
      </c>
      <c r="D26" t="str">
        <f>""</f>
        <v/>
      </c>
      <c r="E26" t="str">
        <f>""</f>
        <v/>
      </c>
      <c r="F26" t="str">
        <f>""</f>
        <v/>
      </c>
      <c r="G26" t="str">
        <f>"0.346***"</f>
        <v>0.346***</v>
      </c>
      <c r="H26" t="str">
        <f>""</f>
        <v/>
      </c>
    </row>
    <row r="27" spans="2:8" x14ac:dyDescent="0.2">
      <c r="B27" s="60"/>
      <c r="C27" t="str">
        <f>""</f>
        <v/>
      </c>
      <c r="D27" t="str">
        <f>""</f>
        <v/>
      </c>
      <c r="E27" t="str">
        <f>""</f>
        <v/>
      </c>
      <c r="F27" t="str">
        <f>""</f>
        <v/>
      </c>
      <c r="G27" t="str">
        <f>"[0.082]"</f>
        <v>[0.082]</v>
      </c>
      <c r="H27" t="str">
        <f>""</f>
        <v/>
      </c>
    </row>
    <row r="28" spans="2:8" ht="32" x14ac:dyDescent="0.2">
      <c r="B28" s="59" t="str">
        <f>"Number of casualties in a given year above mean (yes=1)*Index of  household Losss (all) - PCA"</f>
        <v>Number of casualties in a given year above mean (yes=1)*Index of  household Losss (all) - PCA</v>
      </c>
      <c r="C28" t="str">
        <f>""</f>
        <v/>
      </c>
      <c r="D28" t="str">
        <f>""</f>
        <v/>
      </c>
      <c r="E28" t="str">
        <f>""</f>
        <v/>
      </c>
      <c r="F28" t="str">
        <f>""</f>
        <v/>
      </c>
      <c r="G28" t="str">
        <f>""</f>
        <v/>
      </c>
      <c r="H28" t="str">
        <f>"-0.000"</f>
        <v>-0.000</v>
      </c>
    </row>
    <row r="29" spans="2:8" x14ac:dyDescent="0.2">
      <c r="B29" s="52"/>
      <c r="C29" t="str">
        <f>""</f>
        <v/>
      </c>
      <c r="D29" t="str">
        <f>""</f>
        <v/>
      </c>
      <c r="E29" t="str">
        <f>""</f>
        <v/>
      </c>
      <c r="F29" t="str">
        <f>""</f>
        <v/>
      </c>
      <c r="G29" t="str">
        <f>""</f>
        <v/>
      </c>
      <c r="H29" t="str">
        <f>"[0.010]"</f>
        <v>[0.010]</v>
      </c>
    </row>
    <row r="30" spans="2:8" x14ac:dyDescent="0.2">
      <c r="B30" s="26" t="s">
        <v>27</v>
      </c>
      <c r="C30" s="36" t="str">
        <f t="shared" ref="C30:H30" si="0">"8720"</f>
        <v>8720</v>
      </c>
      <c r="D30" s="36" t="str">
        <f t="shared" si="0"/>
        <v>8720</v>
      </c>
      <c r="E30" s="36" t="str">
        <f t="shared" si="0"/>
        <v>8720</v>
      </c>
      <c r="F30" s="36" t="str">
        <f t="shared" si="0"/>
        <v>8720</v>
      </c>
      <c r="G30" s="36" t="str">
        <f t="shared" si="0"/>
        <v>8720</v>
      </c>
      <c r="H30" s="36" t="str">
        <f t="shared" si="0"/>
        <v>8720</v>
      </c>
    </row>
    <row r="31" spans="2:8" x14ac:dyDescent="0.2">
      <c r="B31" s="23" t="s">
        <v>45</v>
      </c>
      <c r="C31" s="24" t="str">
        <f t="shared" ref="C31:H31" si="1">"0.099"</f>
        <v>0.099</v>
      </c>
      <c r="D31" s="24" t="str">
        <f t="shared" si="1"/>
        <v>0.099</v>
      </c>
      <c r="E31" s="24" t="str">
        <f t="shared" si="1"/>
        <v>0.099</v>
      </c>
      <c r="F31" s="24" t="str">
        <f t="shared" si="1"/>
        <v>0.099</v>
      </c>
      <c r="G31" s="24" t="str">
        <f t="shared" si="1"/>
        <v>0.099</v>
      </c>
      <c r="H31" s="24" t="str">
        <f t="shared" si="1"/>
        <v>0.099</v>
      </c>
    </row>
    <row r="32" spans="2:8" x14ac:dyDescent="0.2">
      <c r="B32" s="23" t="s">
        <v>26</v>
      </c>
      <c r="C32" s="28" t="s">
        <v>25</v>
      </c>
      <c r="D32" s="28" t="s">
        <v>25</v>
      </c>
      <c r="E32" s="28" t="s">
        <v>25</v>
      </c>
      <c r="F32" s="28" t="s">
        <v>25</v>
      </c>
      <c r="G32" s="28" t="s">
        <v>25</v>
      </c>
      <c r="H32" s="28" t="s">
        <v>25</v>
      </c>
    </row>
    <row r="33" spans="2:8" x14ac:dyDescent="0.2">
      <c r="B33" s="27" t="s">
        <v>24</v>
      </c>
      <c r="C33" s="28" t="s">
        <v>25</v>
      </c>
      <c r="D33" s="28" t="s">
        <v>25</v>
      </c>
      <c r="E33" s="28" t="s">
        <v>25</v>
      </c>
      <c r="F33" s="28" t="s">
        <v>25</v>
      </c>
      <c r="G33" s="28" t="s">
        <v>25</v>
      </c>
      <c r="H33" s="28" t="s">
        <v>25</v>
      </c>
    </row>
    <row r="34" spans="2:8" x14ac:dyDescent="0.2">
      <c r="B34" s="29" t="s">
        <v>35</v>
      </c>
      <c r="C34" s="30" t="s">
        <v>25</v>
      </c>
      <c r="D34" s="30" t="s">
        <v>25</v>
      </c>
      <c r="E34" s="30" t="s">
        <v>25</v>
      </c>
      <c r="F34" s="30" t="s">
        <v>25</v>
      </c>
      <c r="G34" s="30" t="s">
        <v>25</v>
      </c>
      <c r="H34" s="30" t="s">
        <v>25</v>
      </c>
    </row>
    <row r="35" spans="2:8" ht="84" customHeight="1" x14ac:dyDescent="0.2">
      <c r="B35" s="68" t="s">
        <v>70</v>
      </c>
      <c r="C35" s="68"/>
      <c r="D35" s="68"/>
      <c r="E35" s="68"/>
      <c r="F35" s="68"/>
      <c r="G35" s="68"/>
      <c r="H35" s="68"/>
    </row>
  </sheetData>
  <mergeCells count="2">
    <mergeCell ref="B2:H2"/>
    <mergeCell ref="B35:H35"/>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2CE32-8A76-EE4B-A8E0-C28EA5B8A7BA}">
  <dimension ref="B2:H58"/>
  <sheetViews>
    <sheetView showGridLines="0" topLeftCell="B1" workbookViewId="0">
      <selection activeCell="C3" sqref="C3:H3"/>
    </sheetView>
  </sheetViews>
  <sheetFormatPr baseColWidth="10" defaultColWidth="11" defaultRowHeight="16" x14ac:dyDescent="0.2"/>
  <cols>
    <col min="2" max="2" width="68.83203125" customWidth="1"/>
  </cols>
  <sheetData>
    <row r="2" spans="2:8" x14ac:dyDescent="0.2">
      <c r="B2" s="67" t="s">
        <v>85</v>
      </c>
      <c r="C2" s="67"/>
      <c r="D2" s="67"/>
      <c r="E2" s="67"/>
      <c r="F2" s="67"/>
      <c r="G2" s="67"/>
      <c r="H2" s="67"/>
    </row>
    <row r="3" spans="2:8" ht="37" customHeight="1" thickBot="1" x14ac:dyDescent="0.25">
      <c r="B3" s="33" t="s">
        <v>47</v>
      </c>
      <c r="C3" s="12" t="s">
        <v>28</v>
      </c>
      <c r="D3" s="12" t="s">
        <v>29</v>
      </c>
      <c r="E3" s="54" t="s">
        <v>30</v>
      </c>
      <c r="F3" s="12" t="s">
        <v>31</v>
      </c>
      <c r="G3" s="12" t="s">
        <v>32</v>
      </c>
      <c r="H3" s="12" t="s">
        <v>33</v>
      </c>
    </row>
    <row r="4" spans="2:8" ht="17" thickTop="1" x14ac:dyDescent="0.2">
      <c r="B4" s="25" t="s">
        <v>49</v>
      </c>
      <c r="C4" s="25"/>
      <c r="D4" s="25"/>
      <c r="E4" s="25"/>
      <c r="F4" s="25"/>
      <c r="H4" s="25"/>
    </row>
    <row r="5" spans="2:8" x14ac:dyDescent="0.2">
      <c r="B5" s="6" t="s">
        <v>46</v>
      </c>
      <c r="C5" t="str">
        <f>"0.022"</f>
        <v>0.022</v>
      </c>
      <c r="D5" t="str">
        <f>"0.025*"</f>
        <v>0.025*</v>
      </c>
      <c r="E5" t="str">
        <f>""</f>
        <v/>
      </c>
      <c r="F5" t="str">
        <f>""</f>
        <v/>
      </c>
      <c r="G5" t="str">
        <f>""</f>
        <v/>
      </c>
      <c r="H5" t="str">
        <f>""</f>
        <v/>
      </c>
    </row>
    <row r="6" spans="2:8" x14ac:dyDescent="0.2">
      <c r="B6" s="9"/>
      <c r="C6" t="str">
        <f>"[0.015]"</f>
        <v>[0.015]</v>
      </c>
      <c r="D6" t="str">
        <f>"[0.014]"</f>
        <v>[0.014]</v>
      </c>
      <c r="E6" t="str">
        <f>""</f>
        <v/>
      </c>
      <c r="F6" t="str">
        <f>""</f>
        <v/>
      </c>
      <c r="G6" t="str">
        <f>""</f>
        <v/>
      </c>
      <c r="H6" t="str">
        <f>""</f>
        <v/>
      </c>
    </row>
    <row r="7" spans="2:8" x14ac:dyDescent="0.2">
      <c r="B7" s="9" t="s">
        <v>81</v>
      </c>
      <c r="C7" t="str">
        <f>"0.034**"</f>
        <v>0.034**</v>
      </c>
      <c r="D7" t="str">
        <f>"0.037**"</f>
        <v>0.037**</v>
      </c>
      <c r="E7" t="str">
        <f>""</f>
        <v/>
      </c>
      <c r="F7" t="str">
        <f>""</f>
        <v/>
      </c>
      <c r="G7" t="str">
        <f>""</f>
        <v/>
      </c>
      <c r="H7" t="str">
        <f>""</f>
        <v/>
      </c>
    </row>
    <row r="8" spans="2:8" x14ac:dyDescent="0.2">
      <c r="B8" s="9"/>
      <c r="C8" t="str">
        <f>"[0.015]"</f>
        <v>[0.015]</v>
      </c>
      <c r="D8" t="str">
        <f>"[0.015]"</f>
        <v>[0.015]</v>
      </c>
      <c r="E8" t="str">
        <f>""</f>
        <v/>
      </c>
      <c r="F8" t="str">
        <f>""</f>
        <v/>
      </c>
      <c r="G8" t="str">
        <f>""</f>
        <v/>
      </c>
      <c r="H8" t="str">
        <f>""</f>
        <v/>
      </c>
    </row>
    <row r="9" spans="2:8" x14ac:dyDescent="0.2">
      <c r="B9" s="37" t="s">
        <v>44</v>
      </c>
      <c r="C9" t="str">
        <f>""</f>
        <v/>
      </c>
      <c r="D9" t="str">
        <f>""</f>
        <v/>
      </c>
      <c r="E9" t="str">
        <f>"0.316***"</f>
        <v>0.316***</v>
      </c>
      <c r="F9" t="str">
        <f>"0.314***"</f>
        <v>0.314***</v>
      </c>
      <c r="G9" t="str">
        <f>""</f>
        <v/>
      </c>
      <c r="H9" t="str">
        <f>""</f>
        <v/>
      </c>
    </row>
    <row r="10" spans="2:8" x14ac:dyDescent="0.2">
      <c r="B10" s="9"/>
      <c r="C10" t="str">
        <f>""</f>
        <v/>
      </c>
      <c r="D10" t="str">
        <f>""</f>
        <v/>
      </c>
      <c r="E10" t="str">
        <f>"[0.096]"</f>
        <v>[0.096]</v>
      </c>
      <c r="F10" t="str">
        <f>"[0.110]"</f>
        <v>[0.110]</v>
      </c>
      <c r="G10" t="str">
        <f>""</f>
        <v/>
      </c>
      <c r="H10" t="str">
        <f>""</f>
        <v/>
      </c>
    </row>
    <row r="11" spans="2:8" x14ac:dyDescent="0.2">
      <c r="B11" s="9" t="s">
        <v>82</v>
      </c>
      <c r="C11" t="str">
        <f>""</f>
        <v/>
      </c>
      <c r="D11" t="str">
        <f>""</f>
        <v/>
      </c>
      <c r="E11" t="str">
        <f>"0.381***"</f>
        <v>0.381***</v>
      </c>
      <c r="F11" t="str">
        <f>"0.372***"</f>
        <v>0.372***</v>
      </c>
      <c r="G11" t="str">
        <f>""</f>
        <v/>
      </c>
      <c r="H11" t="str">
        <f>""</f>
        <v/>
      </c>
    </row>
    <row r="12" spans="2:8" x14ac:dyDescent="0.2">
      <c r="B12" s="9"/>
      <c r="C12" t="str">
        <f>""</f>
        <v/>
      </c>
      <c r="D12" t="str">
        <f>""</f>
        <v/>
      </c>
      <c r="E12" t="str">
        <f>"[0.141]"</f>
        <v>[0.141]</v>
      </c>
      <c r="F12" t="str">
        <f>"[0.129]"</f>
        <v>[0.129]</v>
      </c>
      <c r="G12" t="str">
        <f>""</f>
        <v/>
      </c>
      <c r="H12" t="str">
        <f>""</f>
        <v/>
      </c>
    </row>
    <row r="13" spans="2:8" x14ac:dyDescent="0.2">
      <c r="B13" s="37" t="s">
        <v>77</v>
      </c>
      <c r="C13" t="str">
        <f>""</f>
        <v/>
      </c>
      <c r="D13" t="str">
        <f>""</f>
        <v/>
      </c>
      <c r="E13" t="str">
        <f>""</f>
        <v/>
      </c>
      <c r="F13" t="str">
        <f>""</f>
        <v/>
      </c>
      <c r="G13" t="str">
        <f>"0.010"</f>
        <v>0.010</v>
      </c>
      <c r="H13" t="str">
        <f>"0.016"</f>
        <v>0.016</v>
      </c>
    </row>
    <row r="14" spans="2:8" x14ac:dyDescent="0.2">
      <c r="B14" s="6" t="str">
        <f>""</f>
        <v/>
      </c>
      <c r="C14" t="str">
        <f>""</f>
        <v/>
      </c>
      <c r="D14" t="str">
        <f>""</f>
        <v/>
      </c>
      <c r="E14" t="str">
        <f>""</f>
        <v/>
      </c>
      <c r="F14" t="str">
        <f>""</f>
        <v/>
      </c>
      <c r="G14" t="str">
        <f>"[0.012]"</f>
        <v>[0.012]</v>
      </c>
      <c r="H14" t="str">
        <f>"[0.013]"</f>
        <v>[0.013]</v>
      </c>
    </row>
    <row r="15" spans="2:8" x14ac:dyDescent="0.2">
      <c r="B15" s="37" t="s">
        <v>83</v>
      </c>
      <c r="C15" t="str">
        <f>""</f>
        <v/>
      </c>
      <c r="D15" t="str">
        <f>""</f>
        <v/>
      </c>
      <c r="E15" t="str">
        <f>""</f>
        <v/>
      </c>
      <c r="F15" t="str">
        <f>""</f>
        <v/>
      </c>
      <c r="G15" t="str">
        <f>"0.034**"</f>
        <v>0.034**</v>
      </c>
      <c r="H15" t="str">
        <f>"0.035**"</f>
        <v>0.035**</v>
      </c>
    </row>
    <row r="16" spans="2:8" x14ac:dyDescent="0.2">
      <c r="B16" s="6"/>
      <c r="C16" t="str">
        <f>""</f>
        <v/>
      </c>
      <c r="D16" t="str">
        <f>""</f>
        <v/>
      </c>
      <c r="E16" t="str">
        <f>""</f>
        <v/>
      </c>
      <c r="F16" t="str">
        <f>""</f>
        <v/>
      </c>
      <c r="G16" t="str">
        <f>"[0.016]"</f>
        <v>[0.016]</v>
      </c>
      <c r="H16" t="str">
        <f>"[0.016]"</f>
        <v>[0.016]</v>
      </c>
    </row>
    <row r="17" spans="2:8" x14ac:dyDescent="0.2">
      <c r="B17" s="6"/>
      <c r="C17" s="43"/>
      <c r="D17" s="43"/>
      <c r="E17" s="43"/>
      <c r="F17" s="43"/>
      <c r="H17" s="43"/>
    </row>
    <row r="18" spans="2:8" x14ac:dyDescent="0.2">
      <c r="B18" s="61" t="s">
        <v>48</v>
      </c>
      <c r="C18" s="35"/>
      <c r="D18" s="35"/>
      <c r="E18" s="35"/>
      <c r="F18" s="35"/>
      <c r="G18" s="35"/>
      <c r="H18" s="35"/>
    </row>
    <row r="19" spans="2:8" x14ac:dyDescent="0.2">
      <c r="B19" s="11" t="str">
        <f>"Index of  household Losss (all) - PCA - above the mean (yes=1)"</f>
        <v>Index of  household Losss (all) - PCA - above the mean (yes=1)</v>
      </c>
      <c r="C19" t="str">
        <f>"0.022**"</f>
        <v>0.022**</v>
      </c>
      <c r="D19" t="str">
        <f>""</f>
        <v/>
      </c>
      <c r="E19" t="str">
        <f>"0.024**"</f>
        <v>0.024**</v>
      </c>
      <c r="F19" t="str">
        <f>""</f>
        <v/>
      </c>
      <c r="G19" t="str">
        <f>"0.023**"</f>
        <v>0.023**</v>
      </c>
      <c r="H19" t="str">
        <f>""</f>
        <v/>
      </c>
    </row>
    <row r="20" spans="2:8" x14ac:dyDescent="0.2">
      <c r="B20" s="11" t="str">
        <f>""</f>
        <v/>
      </c>
      <c r="C20" t="str">
        <f>"[0.011]"</f>
        <v>[0.011]</v>
      </c>
      <c r="D20" t="str">
        <f>""</f>
        <v/>
      </c>
      <c r="E20" t="str">
        <f>"[0.011]"</f>
        <v>[0.011]</v>
      </c>
      <c r="F20" t="str">
        <f>""</f>
        <v/>
      </c>
      <c r="G20" t="str">
        <f>"[0.011]"</f>
        <v>[0.011]</v>
      </c>
      <c r="H20" t="str">
        <f>""</f>
        <v/>
      </c>
    </row>
    <row r="21" spans="2:8" x14ac:dyDescent="0.2">
      <c r="B21" s="11" t="s">
        <v>84</v>
      </c>
      <c r="C21" t="str">
        <f>"-0.018**"</f>
        <v>-0.018**</v>
      </c>
      <c r="D21" t="str">
        <f>""</f>
        <v/>
      </c>
      <c r="E21" t="str">
        <f>"-0.014"</f>
        <v>-0.014</v>
      </c>
      <c r="F21" t="str">
        <f>""</f>
        <v/>
      </c>
      <c r="G21" t="str">
        <f>"-0.015*"</f>
        <v>-0.015*</v>
      </c>
      <c r="H21" t="str">
        <f>""</f>
        <v/>
      </c>
    </row>
    <row r="22" spans="2:8" x14ac:dyDescent="0.2">
      <c r="B22" s="11"/>
      <c r="C22" t="str">
        <f>"[0.009]"</f>
        <v>[0.009]</v>
      </c>
      <c r="D22" t="str">
        <f>""</f>
        <v/>
      </c>
      <c r="E22" t="str">
        <f>"[0.009]"</f>
        <v>[0.009]</v>
      </c>
      <c r="F22" t="str">
        <f>""</f>
        <v/>
      </c>
      <c r="G22" t="str">
        <f>"[0.009]"</f>
        <v>[0.009]</v>
      </c>
      <c r="H22" t="str">
        <f>""</f>
        <v/>
      </c>
    </row>
    <row r="23" spans="2:8" x14ac:dyDescent="0.2">
      <c r="B23" s="13" t="str">
        <f>"Index of  household Losss (all) - PCA"</f>
        <v>Index of  household Losss (all) - PCA</v>
      </c>
      <c r="C23" t="str">
        <f>""</f>
        <v/>
      </c>
      <c r="D23" t="str">
        <f>"0.011***"</f>
        <v>0.011***</v>
      </c>
      <c r="E23" t="str">
        <f>""</f>
        <v/>
      </c>
      <c r="F23" t="str">
        <f>"0.011***"</f>
        <v>0.011***</v>
      </c>
      <c r="G23" t="str">
        <f>""</f>
        <v/>
      </c>
      <c r="H23" t="str">
        <f>"0.011***"</f>
        <v>0.011***</v>
      </c>
    </row>
    <row r="24" spans="2:8" x14ac:dyDescent="0.2">
      <c r="B24" s="13"/>
      <c r="C24" t="str">
        <f>""</f>
        <v/>
      </c>
      <c r="D24" t="str">
        <f>"[0.004]"</f>
        <v>[0.004]</v>
      </c>
      <c r="E24" t="str">
        <f>""</f>
        <v/>
      </c>
      <c r="F24" t="str">
        <f>"[0.004]"</f>
        <v>[0.004]</v>
      </c>
      <c r="G24" t="str">
        <f>""</f>
        <v/>
      </c>
      <c r="H24" t="str">
        <f>"[0.004]"</f>
        <v>[0.004]</v>
      </c>
    </row>
    <row r="25" spans="2:8" x14ac:dyDescent="0.2">
      <c r="B25" s="13" t="str">
        <f>"Lag. Index of  household Losss (all) - PCA"</f>
        <v>Lag. Index of  household Losss (all) - PCA</v>
      </c>
      <c r="C25" t="str">
        <f>""</f>
        <v/>
      </c>
      <c r="D25" t="str">
        <f>"-0.003"</f>
        <v>-0.003</v>
      </c>
      <c r="E25" t="str">
        <f>""</f>
        <v/>
      </c>
      <c r="F25" t="str">
        <f>"-0.002"</f>
        <v>-0.002</v>
      </c>
      <c r="G25" t="str">
        <f>""</f>
        <v/>
      </c>
      <c r="H25" t="str">
        <f>"-0.003"</f>
        <v>-0.003</v>
      </c>
    </row>
    <row r="26" spans="2:8" x14ac:dyDescent="0.2">
      <c r="B26" s="13"/>
      <c r="C26" t="str">
        <f>""</f>
        <v/>
      </c>
      <c r="D26" t="str">
        <f>"[0.003]"</f>
        <v>[0.003]</v>
      </c>
      <c r="E26" t="str">
        <f>""</f>
        <v/>
      </c>
      <c r="F26" t="str">
        <f>"[0.003]"</f>
        <v>[0.003]</v>
      </c>
      <c r="G26" t="str">
        <f>""</f>
        <v/>
      </c>
      <c r="H26" t="str">
        <f>"[0.003]"</f>
        <v>[0.003]</v>
      </c>
    </row>
    <row r="27" spans="2:8" x14ac:dyDescent="0.2">
      <c r="B27" s="11" t="str">
        <f>""</f>
        <v/>
      </c>
      <c r="C27" t="str">
        <f>""</f>
        <v/>
      </c>
      <c r="E27" t="str">
        <f>""</f>
        <v/>
      </c>
      <c r="G27" t="str">
        <f>""</f>
        <v/>
      </c>
    </row>
    <row r="28" spans="2:8" x14ac:dyDescent="0.2">
      <c r="B28" s="61" t="s">
        <v>76</v>
      </c>
      <c r="C28" s="35"/>
      <c r="D28" s="35"/>
      <c r="E28" s="35"/>
      <c r="F28" s="35"/>
      <c r="G28" s="35"/>
      <c r="H28" s="35"/>
    </row>
    <row r="29" spans="2:8" ht="32" x14ac:dyDescent="0.2">
      <c r="B29" s="59" t="str">
        <f>"Violence in a given year (yes=1)*Index of  household Losss (all) - PCA - above the mean"</f>
        <v>Violence in a given year (yes=1)*Index of  household Losss (all) - PCA - above the mean</v>
      </c>
      <c r="C29" t="str">
        <f>"0.033"</f>
        <v>0.033</v>
      </c>
      <c r="D29" t="str">
        <f>""</f>
        <v/>
      </c>
      <c r="E29" t="str">
        <f>""</f>
        <v/>
      </c>
      <c r="F29" t="str">
        <f>""</f>
        <v/>
      </c>
      <c r="G29" t="str">
        <f>""</f>
        <v/>
      </c>
      <c r="H29" t="str">
        <f>""</f>
        <v/>
      </c>
    </row>
    <row r="30" spans="2:8" x14ac:dyDescent="0.2">
      <c r="B30" s="59"/>
      <c r="C30" t="str">
        <f>"[0.044]"</f>
        <v>[0.044]</v>
      </c>
      <c r="D30" t="str">
        <f>""</f>
        <v/>
      </c>
      <c r="E30" t="str">
        <f>""</f>
        <v/>
      </c>
      <c r="F30" t="str">
        <f>""</f>
        <v/>
      </c>
      <c r="G30" t="str">
        <f>""</f>
        <v/>
      </c>
      <c r="H30" t="str">
        <f>""</f>
        <v/>
      </c>
    </row>
    <row r="31" spans="2:8" ht="32" x14ac:dyDescent="0.2">
      <c r="B31" s="59" t="str">
        <f>"Lag. Violence in a given year (yes=1)*Index of  household Losss (all) - PCA - above the mean"</f>
        <v>Lag. Violence in a given year (yes=1)*Index of  household Losss (all) - PCA - above the mean</v>
      </c>
      <c r="C31" t="str">
        <f>"0.053"</f>
        <v>0.053</v>
      </c>
      <c r="D31" t="str">
        <f>""</f>
        <v/>
      </c>
      <c r="E31" t="str">
        <f>""</f>
        <v/>
      </c>
      <c r="F31" t="str">
        <f>""</f>
        <v/>
      </c>
      <c r="G31" t="str">
        <f>""</f>
        <v/>
      </c>
      <c r="H31" t="str">
        <f>""</f>
        <v/>
      </c>
    </row>
    <row r="32" spans="2:8" x14ac:dyDescent="0.2">
      <c r="B32" s="59"/>
      <c r="C32" t="str">
        <f>"[0.039]"</f>
        <v>[0.039]</v>
      </c>
      <c r="D32" t="str">
        <f>""</f>
        <v/>
      </c>
      <c r="E32" t="str">
        <f>""</f>
        <v/>
      </c>
      <c r="F32" t="str">
        <f>""</f>
        <v/>
      </c>
      <c r="G32" t="str">
        <f>""</f>
        <v/>
      </c>
      <c r="H32" t="str">
        <f>""</f>
        <v/>
      </c>
    </row>
    <row r="33" spans="2:8" x14ac:dyDescent="0.2">
      <c r="B33" s="59" t="str">
        <f>"Violence in a given year (yes=1)*Index of  household Losss (all) - PCA"</f>
        <v>Violence in a given year (yes=1)*Index of  household Losss (all) - PCA</v>
      </c>
      <c r="C33" t="str">
        <f>""</f>
        <v/>
      </c>
      <c r="D33" t="str">
        <f>"0.003"</f>
        <v>0.003</v>
      </c>
      <c r="E33" t="str">
        <f>""</f>
        <v/>
      </c>
      <c r="F33" t="str">
        <f>""</f>
        <v/>
      </c>
      <c r="G33" t="str">
        <f>""</f>
        <v/>
      </c>
      <c r="H33" t="str">
        <f>""</f>
        <v/>
      </c>
    </row>
    <row r="34" spans="2:8" x14ac:dyDescent="0.2">
      <c r="B34" s="59"/>
      <c r="C34" t="str">
        <f>""</f>
        <v/>
      </c>
      <c r="D34" t="str">
        <f>"[0.009]"</f>
        <v>[0.009]</v>
      </c>
      <c r="E34" t="str">
        <f>""</f>
        <v/>
      </c>
      <c r="F34" t="str">
        <f>""</f>
        <v/>
      </c>
      <c r="G34" t="str">
        <f>""</f>
        <v/>
      </c>
      <c r="H34" t="str">
        <f>""</f>
        <v/>
      </c>
    </row>
    <row r="35" spans="2:8" x14ac:dyDescent="0.2">
      <c r="B35" s="59" t="str">
        <f>"Lag. Violence in a given year (yes=1)*Index of  household Losss (all) - PCA"</f>
        <v>Lag. Violence in a given year (yes=1)*Index of  household Losss (all) - PCA</v>
      </c>
      <c r="C35" t="str">
        <f>""</f>
        <v/>
      </c>
      <c r="D35" t="str">
        <f>"0.006"</f>
        <v>0.006</v>
      </c>
      <c r="E35" t="str">
        <f>""</f>
        <v/>
      </c>
      <c r="F35" t="str">
        <f>""</f>
        <v/>
      </c>
      <c r="G35" t="str">
        <f>""</f>
        <v/>
      </c>
      <c r="H35" t="str">
        <f>""</f>
        <v/>
      </c>
    </row>
    <row r="36" spans="2:8" x14ac:dyDescent="0.2">
      <c r="B36" s="59"/>
      <c r="C36" t="str">
        <f>""</f>
        <v/>
      </c>
      <c r="D36" t="str">
        <f>"[0.009]"</f>
        <v>[0.009]</v>
      </c>
      <c r="E36" t="str">
        <f>""</f>
        <v/>
      </c>
      <c r="F36" t="str">
        <f>""</f>
        <v/>
      </c>
      <c r="G36" t="str">
        <f>""</f>
        <v/>
      </c>
      <c r="H36" t="str">
        <f>""</f>
        <v/>
      </c>
    </row>
    <row r="37" spans="2:8" ht="32" x14ac:dyDescent="0.2">
      <c r="B37" s="59" t="str">
        <f>"Number of casualties in a given year*Index of  household Losss (all) - PCA - above the mean (yes=1)"</f>
        <v>Number of casualties in a given year*Index of  household Losss (all) - PCA - above the mean (yes=1)</v>
      </c>
      <c r="C37" t="str">
        <f>""</f>
        <v/>
      </c>
      <c r="D37" t="str">
        <f>""</f>
        <v/>
      </c>
      <c r="E37" t="str">
        <f>"0.021"</f>
        <v>0.021</v>
      </c>
      <c r="F37" t="str">
        <f>""</f>
        <v/>
      </c>
      <c r="G37" t="str">
        <f>""</f>
        <v/>
      </c>
      <c r="H37" t="str">
        <f>""</f>
        <v/>
      </c>
    </row>
    <row r="38" spans="2:8" x14ac:dyDescent="0.2">
      <c r="B38" s="59"/>
      <c r="C38" t="str">
        <f>""</f>
        <v/>
      </c>
      <c r="D38" t="str">
        <f>""</f>
        <v/>
      </c>
      <c r="E38" t="str">
        <f>"[0.044]"</f>
        <v>[0.044]</v>
      </c>
      <c r="F38" t="str">
        <f>""</f>
        <v/>
      </c>
      <c r="G38" t="str">
        <f>""</f>
        <v/>
      </c>
      <c r="H38" t="str">
        <f>""</f>
        <v/>
      </c>
    </row>
    <row r="39" spans="2:8" ht="32" x14ac:dyDescent="0.2">
      <c r="B39" s="59" t="str">
        <f>"Lag. Number of casualties in a given year*Index of  household Losss (all) - PCA - above the mean (yes=1)"</f>
        <v>Lag. Number of casualties in a given year*Index of  household Losss (all) - PCA - above the mean (yes=1)</v>
      </c>
      <c r="C39" t="str">
        <f>""</f>
        <v/>
      </c>
      <c r="D39" t="str">
        <f>""</f>
        <v/>
      </c>
      <c r="E39" t="str">
        <f>"-0.010"</f>
        <v>-0.010</v>
      </c>
      <c r="F39" t="str">
        <f>""</f>
        <v/>
      </c>
      <c r="G39" t="str">
        <f>""</f>
        <v/>
      </c>
      <c r="H39" t="str">
        <f>""</f>
        <v/>
      </c>
    </row>
    <row r="40" spans="2:8" x14ac:dyDescent="0.2">
      <c r="B40" s="59"/>
      <c r="C40" t="str">
        <f>""</f>
        <v/>
      </c>
      <c r="D40" t="str">
        <f>""</f>
        <v/>
      </c>
      <c r="E40" t="str">
        <f>"[0.061]"</f>
        <v>[0.061]</v>
      </c>
      <c r="F40" t="str">
        <f>""</f>
        <v/>
      </c>
      <c r="G40" t="str">
        <f>""</f>
        <v/>
      </c>
      <c r="H40" t="str">
        <f>""</f>
        <v/>
      </c>
    </row>
    <row r="41" spans="2:8" x14ac:dyDescent="0.2">
      <c r="B41" s="59" t="str">
        <f>"Number of casualties in a given year*Index of  household Losss (all) - PCA"</f>
        <v>Number of casualties in a given year*Index of  household Losss (all) - PCA</v>
      </c>
      <c r="C41" t="str">
        <f>""</f>
        <v/>
      </c>
      <c r="D41" t="str">
        <f>""</f>
        <v/>
      </c>
      <c r="E41" t="str">
        <f>""</f>
        <v/>
      </c>
      <c r="F41" t="str">
        <f>"0.036"</f>
        <v>0.036</v>
      </c>
      <c r="G41" t="str">
        <f>""</f>
        <v/>
      </c>
      <c r="H41" t="str">
        <f>""</f>
        <v/>
      </c>
    </row>
    <row r="42" spans="2:8" x14ac:dyDescent="0.2">
      <c r="B42" s="60"/>
      <c r="C42" t="str">
        <f>""</f>
        <v/>
      </c>
      <c r="D42" t="str">
        <f>""</f>
        <v/>
      </c>
      <c r="E42" t="str">
        <f>""</f>
        <v/>
      </c>
      <c r="F42" t="str">
        <f>"[0.154]"</f>
        <v>[0.154]</v>
      </c>
      <c r="G42" t="str">
        <f>""</f>
        <v/>
      </c>
      <c r="H42" t="str">
        <f>""</f>
        <v/>
      </c>
    </row>
    <row r="43" spans="2:8" x14ac:dyDescent="0.2">
      <c r="B43" s="59" t="str">
        <f>"Lag. Number of casualties in a given year*Index of  household Losss (all) - PCA"</f>
        <v>Lag. Number of casualties in a given year*Index of  household Losss (all) - PCA</v>
      </c>
      <c r="C43" t="str">
        <f>""</f>
        <v/>
      </c>
      <c r="D43" t="str">
        <f>""</f>
        <v/>
      </c>
      <c r="E43" t="str">
        <f>""</f>
        <v/>
      </c>
      <c r="F43" t="str">
        <f>"0.043"</f>
        <v>0.043</v>
      </c>
      <c r="G43" t="str">
        <f>""</f>
        <v/>
      </c>
      <c r="H43" t="str">
        <f>""</f>
        <v/>
      </c>
    </row>
    <row r="44" spans="2:8" x14ac:dyDescent="0.2">
      <c r="B44" s="60"/>
      <c r="C44" t="str">
        <f>""</f>
        <v/>
      </c>
      <c r="D44" t="str">
        <f>""</f>
        <v/>
      </c>
      <c r="E44" t="str">
        <f>""</f>
        <v/>
      </c>
      <c r="F44" t="str">
        <f>"[0.230]"</f>
        <v>[0.230]</v>
      </c>
      <c r="G44" t="str">
        <f>""</f>
        <v/>
      </c>
      <c r="H44" t="str">
        <f>""</f>
        <v/>
      </c>
    </row>
    <row r="45" spans="2:8" ht="32" x14ac:dyDescent="0.2">
      <c r="B45" s="59" t="str">
        <f>"Number of casualties in a given year above mean (yes=1)*Index of  household Losss (all) - PCA - above the mean (yes=1)"</f>
        <v>Number of casualties in a given year above mean (yes=1)*Index of  household Losss (all) - PCA - above the mean (yes=1)</v>
      </c>
      <c r="C45" t="str">
        <f>""</f>
        <v/>
      </c>
      <c r="D45" t="str">
        <f>""</f>
        <v/>
      </c>
      <c r="E45" t="str">
        <f>""</f>
        <v/>
      </c>
      <c r="F45" t="str">
        <f>""</f>
        <v/>
      </c>
      <c r="G45" t="str">
        <f>"0.354***"</f>
        <v>0.354***</v>
      </c>
      <c r="H45" t="str">
        <f>""</f>
        <v/>
      </c>
    </row>
    <row r="46" spans="2:8" x14ac:dyDescent="0.2">
      <c r="B46" s="60"/>
      <c r="C46" t="str">
        <f>""</f>
        <v/>
      </c>
      <c r="D46" t="str">
        <f>""</f>
        <v/>
      </c>
      <c r="E46" t="str">
        <f>""</f>
        <v/>
      </c>
      <c r="F46" t="str">
        <f>""</f>
        <v/>
      </c>
      <c r="G46" t="str">
        <f>"[0.099]"</f>
        <v>[0.099]</v>
      </c>
      <c r="H46" t="str">
        <f>""</f>
        <v/>
      </c>
    </row>
    <row r="47" spans="2:8" ht="32" x14ac:dyDescent="0.2">
      <c r="B47" s="59" t="str">
        <f>"Lag Number of casualties in a given year above mean (yes=1)*Index of  household Losss (all) - PCA - above the mean (yes=1)"</f>
        <v>Lag Number of casualties in a given year above mean (yes=1)*Index of  household Losss (all) - PCA - above the mean (yes=1)</v>
      </c>
      <c r="C47" t="str">
        <f>""</f>
        <v/>
      </c>
      <c r="D47" t="str">
        <f>""</f>
        <v/>
      </c>
      <c r="E47" t="str">
        <f>""</f>
        <v/>
      </c>
      <c r="F47" t="str">
        <f>""</f>
        <v/>
      </c>
      <c r="G47" t="str">
        <f>"0.370***"</f>
        <v>0.370***</v>
      </c>
      <c r="H47" t="str">
        <f>""</f>
        <v/>
      </c>
    </row>
    <row r="48" spans="2:8" x14ac:dyDescent="0.2">
      <c r="B48" s="60"/>
      <c r="C48" t="str">
        <f>""</f>
        <v/>
      </c>
      <c r="D48" t="str">
        <f>""</f>
        <v/>
      </c>
      <c r="E48" t="str">
        <f>""</f>
        <v/>
      </c>
      <c r="F48" t="str">
        <f>""</f>
        <v/>
      </c>
      <c r="G48" t="str">
        <f>"[0.133]"</f>
        <v>[0.133]</v>
      </c>
      <c r="H48" t="str">
        <f>""</f>
        <v/>
      </c>
    </row>
    <row r="49" spans="2:8" ht="32" x14ac:dyDescent="0.2">
      <c r="B49" s="59" t="str">
        <f>"Number of casualties in a given year above mean (yes=1)*Index of  household Losss (all) - PCA"</f>
        <v>Number of casualties in a given year above mean (yes=1)*Index of  household Losss (all) - PCA</v>
      </c>
      <c r="C49" t="str">
        <f>""</f>
        <v/>
      </c>
      <c r="D49" t="str">
        <f>""</f>
        <v/>
      </c>
      <c r="E49" t="str">
        <f>""</f>
        <v/>
      </c>
      <c r="F49" t="str">
        <f>""</f>
        <v/>
      </c>
      <c r="G49" t="str">
        <f>""</f>
        <v/>
      </c>
      <c r="H49" t="str">
        <f>"-0.001"</f>
        <v>-0.001</v>
      </c>
    </row>
    <row r="50" spans="2:8" x14ac:dyDescent="0.2">
      <c r="B50" s="59"/>
      <c r="C50" t="str">
        <f>""</f>
        <v/>
      </c>
      <c r="D50" t="str">
        <f>""</f>
        <v/>
      </c>
      <c r="E50" t="str">
        <f>""</f>
        <v/>
      </c>
      <c r="F50" t="str">
        <f>""</f>
        <v/>
      </c>
      <c r="G50" t="str">
        <f>""</f>
        <v/>
      </c>
      <c r="H50" t="str">
        <f>"[0.008]"</f>
        <v>[0.008]</v>
      </c>
    </row>
    <row r="51" spans="2:8" ht="32" x14ac:dyDescent="0.2">
      <c r="B51" s="59" t="str">
        <f>"Lag. Number of casualties in a given year above mean (yes=1)*Index of  household Losss (all) - PCA"</f>
        <v>Lag. Number of casualties in a given year above mean (yes=1)*Index of  household Losss (all) - PCA</v>
      </c>
      <c r="C51" t="str">
        <f>""</f>
        <v/>
      </c>
      <c r="D51" t="str">
        <f>""</f>
        <v/>
      </c>
      <c r="E51" t="str">
        <f>""</f>
        <v/>
      </c>
      <c r="F51" t="str">
        <f>""</f>
        <v/>
      </c>
      <c r="G51" t="str">
        <f>""</f>
        <v/>
      </c>
      <c r="H51" t="str">
        <f>"0.012"</f>
        <v>0.012</v>
      </c>
    </row>
    <row r="52" spans="2:8" x14ac:dyDescent="0.2">
      <c r="B52" s="52"/>
      <c r="C52" t="str">
        <f>""</f>
        <v/>
      </c>
      <c r="D52" t="str">
        <f>""</f>
        <v/>
      </c>
      <c r="E52" t="str">
        <f>""</f>
        <v/>
      </c>
      <c r="F52" t="str">
        <f>""</f>
        <v/>
      </c>
      <c r="G52" t="str">
        <f>""</f>
        <v/>
      </c>
      <c r="H52" t="str">
        <f>"[0.011]"</f>
        <v>[0.011]</v>
      </c>
    </row>
    <row r="53" spans="2:8" x14ac:dyDescent="0.2">
      <c r="B53" s="26" t="s">
        <v>27</v>
      </c>
      <c r="C53" s="36" t="str">
        <f t="shared" ref="C53:H53" si="0">"7848"</f>
        <v>7848</v>
      </c>
      <c r="D53" s="36" t="str">
        <f t="shared" si="0"/>
        <v>7848</v>
      </c>
      <c r="E53" s="36" t="str">
        <f t="shared" si="0"/>
        <v>7848</v>
      </c>
      <c r="F53" s="36" t="str">
        <f t="shared" si="0"/>
        <v>7848</v>
      </c>
      <c r="G53" s="36" t="str">
        <f t="shared" si="0"/>
        <v>7848</v>
      </c>
      <c r="H53" s="36" t="str">
        <f t="shared" si="0"/>
        <v>7848</v>
      </c>
    </row>
    <row r="54" spans="2:8" x14ac:dyDescent="0.2">
      <c r="B54" s="23" t="s">
        <v>45</v>
      </c>
      <c r="C54" s="24" t="str">
        <f t="shared" ref="C54:H54" si="1">"0.099"</f>
        <v>0.099</v>
      </c>
      <c r="D54" s="24" t="str">
        <f t="shared" si="1"/>
        <v>0.099</v>
      </c>
      <c r="E54" s="24" t="str">
        <f t="shared" si="1"/>
        <v>0.099</v>
      </c>
      <c r="F54" s="24" t="str">
        <f t="shared" si="1"/>
        <v>0.099</v>
      </c>
      <c r="G54" s="24" t="str">
        <f t="shared" si="1"/>
        <v>0.099</v>
      </c>
      <c r="H54" s="24" t="str">
        <f t="shared" si="1"/>
        <v>0.099</v>
      </c>
    </row>
    <row r="55" spans="2:8" x14ac:dyDescent="0.2">
      <c r="B55" s="23" t="s">
        <v>26</v>
      </c>
      <c r="C55" s="28" t="s">
        <v>25</v>
      </c>
      <c r="D55" s="28" t="s">
        <v>25</v>
      </c>
      <c r="E55" s="28" t="s">
        <v>25</v>
      </c>
      <c r="F55" s="28" t="s">
        <v>25</v>
      </c>
      <c r="G55" s="28" t="s">
        <v>25</v>
      </c>
      <c r="H55" s="28" t="s">
        <v>25</v>
      </c>
    </row>
    <row r="56" spans="2:8" x14ac:dyDescent="0.2">
      <c r="B56" s="27" t="s">
        <v>24</v>
      </c>
      <c r="C56" s="28" t="s">
        <v>25</v>
      </c>
      <c r="D56" s="28" t="s">
        <v>25</v>
      </c>
      <c r="E56" s="28" t="s">
        <v>25</v>
      </c>
      <c r="F56" s="28" t="s">
        <v>25</v>
      </c>
      <c r="G56" s="28" t="s">
        <v>25</v>
      </c>
      <c r="H56" s="28" t="s">
        <v>25</v>
      </c>
    </row>
    <row r="57" spans="2:8" x14ac:dyDescent="0.2">
      <c r="B57" s="29" t="s">
        <v>35</v>
      </c>
      <c r="C57" s="30" t="s">
        <v>25</v>
      </c>
      <c r="D57" s="30" t="s">
        <v>25</v>
      </c>
      <c r="E57" s="30" t="s">
        <v>25</v>
      </c>
      <c r="F57" s="30" t="s">
        <v>25</v>
      </c>
      <c r="G57" s="30" t="s">
        <v>25</v>
      </c>
      <c r="H57" s="30" t="s">
        <v>25</v>
      </c>
    </row>
    <row r="58" spans="2:8" ht="84" customHeight="1" x14ac:dyDescent="0.2">
      <c r="B58" s="68" t="s">
        <v>70</v>
      </c>
      <c r="C58" s="68"/>
      <c r="D58" s="68"/>
      <c r="E58" s="68"/>
      <c r="F58" s="68"/>
      <c r="G58" s="68"/>
      <c r="H58" s="68"/>
    </row>
  </sheetData>
  <mergeCells count="2">
    <mergeCell ref="B2:H2"/>
    <mergeCell ref="B58:H58"/>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 1</vt:lpstr>
      <vt:lpstr>Table 2</vt:lpstr>
      <vt:lpstr>Table 3</vt:lpstr>
      <vt:lpstr>Table 4</vt:lpstr>
      <vt:lpstr>Table 5</vt:lpstr>
      <vt:lpstr>Table 6</vt:lpstr>
      <vt:lpstr>Table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Muñoz Mora</dc:creator>
  <cp:lastModifiedBy>Juan Carlos Muñoz-Mora</cp:lastModifiedBy>
  <cp:lastPrinted>2015-07-27T04:43:22Z</cp:lastPrinted>
  <dcterms:created xsi:type="dcterms:W3CDTF">2012-01-15T19:29:59Z</dcterms:created>
  <dcterms:modified xsi:type="dcterms:W3CDTF">2018-05-30T15:50:12Z</dcterms:modified>
</cp:coreProperties>
</file>