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juancarlosmunoz/Dropbox/Documents/Projects_papers/2018/Akresh_etal_2018/results/"/>
    </mc:Choice>
  </mc:AlternateContent>
  <xr:revisionPtr revIDLastSave="0" documentId="10_ncr:8100000_{1E696C3C-3398-5748-9E4B-0895866E9A52}" xr6:coauthVersionLast="32" xr6:coauthVersionMax="32" xr10:uidLastSave="{00000000-0000-0000-0000-000000000000}"/>
  <bookViews>
    <workbookView xWindow="0" yWindow="460" windowWidth="28800" windowHeight="17540" xr2:uid="{00000000-000D-0000-FFFF-FFFF00000000}"/>
  </bookViews>
  <sheets>
    <sheet name="Appendix_Outline" sheetId="36" r:id="rId1"/>
    <sheet name="Table A1" sheetId="15" r:id="rId2"/>
    <sheet name="Table A2" sheetId="17" r:id="rId3"/>
    <sheet name="Table A3" sheetId="30" r:id="rId4"/>
    <sheet name="Table A4" sheetId="20" r:id="rId5"/>
    <sheet name="Table A5" sheetId="2" r:id="rId6"/>
    <sheet name="Table A6" sheetId="21" r:id="rId7"/>
    <sheet name="Table A7" sheetId="22" r:id="rId8"/>
    <sheet name="Table A8" sheetId="24" r:id="rId9"/>
    <sheet name="Table A9" sheetId="31" r:id="rId10"/>
    <sheet name="Table A10" sheetId="34" r:id="rId11"/>
    <sheet name="Table A11" sheetId="35" r:id="rId12"/>
    <sheet name="Table A12" sheetId="12" r:id="rId13"/>
    <sheet name="Table A13" sheetId="11" r:id="rId14"/>
    <sheet name="Table A14" sheetId="13" r:id="rId15"/>
    <sheet name="Table A15" sheetId="32" r:id="rId16"/>
    <sheet name="Table A16" sheetId="33" r:id="rId17"/>
    <sheet name="Table A17" sheetId="37" r:id="rId18"/>
    <sheet name="Table A18" sheetId="38" r:id="rId19"/>
  </sheets>
  <definedNames>
    <definedName name="_xlnm._FilterDatabase" localSheetId="11" hidden="1">'Table A11'!$C$5:$K$26</definedName>
    <definedName name="_xlnm._FilterDatabase" localSheetId="12" hidden="1">'Table A12'!$C$6:$K$31</definedName>
    <definedName name="_xlnm._FilterDatabase" localSheetId="13" hidden="1">'Table A13'!$C$6:$K$31</definedName>
    <definedName name="_xlnm._FilterDatabase" localSheetId="14" hidden="1">'Table A14'!$C$6:$K$31</definedName>
    <definedName name="_xlnm._FilterDatabase" localSheetId="16" hidden="1">'Table A16'!$C$5:$K$26</definedName>
    <definedName name="_xlnm._FilterDatabase" localSheetId="2" hidden="1">'Table A2'!$C$5:$K$26</definedName>
    <definedName name="_xlnm._FilterDatabase" localSheetId="3" hidden="1">'Table A3'!#REF!</definedName>
    <definedName name="_xlnm._FilterDatabase" localSheetId="4" hidden="1">'Table A4'!#REF!</definedName>
    <definedName name="_xlnm._FilterDatabase" localSheetId="5" hidden="1">'Table A5'!#REF!</definedName>
    <definedName name="_xlnm._FilterDatabase" localSheetId="6" hidden="1">'Table A6'!#REF!</definedName>
    <definedName name="_xlnm._FilterDatabase" localSheetId="8" hidden="1">'Table A8'!$C$5:$K$25</definedName>
    <definedName name="_xlnm._FilterDatabase" localSheetId="9" hidden="1">'Table A9'!#REF!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8" i="38" l="1"/>
  <c r="Q28" i="38"/>
  <c r="P28" i="38"/>
  <c r="O28" i="38"/>
  <c r="N28" i="38"/>
  <c r="M28" i="38"/>
  <c r="L28" i="38"/>
  <c r="K28" i="38"/>
  <c r="J28" i="38"/>
  <c r="I28" i="38"/>
  <c r="H28" i="38"/>
  <c r="G28" i="38"/>
  <c r="F28" i="38"/>
  <c r="E28" i="38"/>
  <c r="D28" i="38"/>
  <c r="C28" i="38"/>
  <c r="R27" i="38"/>
  <c r="Q27" i="38"/>
  <c r="P27" i="38"/>
  <c r="O27" i="38"/>
  <c r="N27" i="38"/>
  <c r="M27" i="38"/>
  <c r="L27" i="38"/>
  <c r="K27" i="38"/>
  <c r="J27" i="38"/>
  <c r="I27" i="38"/>
  <c r="H27" i="38"/>
  <c r="G27" i="38"/>
  <c r="F27" i="38"/>
  <c r="E27" i="38"/>
  <c r="D27" i="38"/>
  <c r="C27" i="38"/>
  <c r="R26" i="38"/>
  <c r="Q26" i="38"/>
  <c r="P26" i="38"/>
  <c r="O26" i="38"/>
  <c r="N26" i="38"/>
  <c r="M26" i="38"/>
  <c r="L26" i="38"/>
  <c r="K26" i="38"/>
  <c r="J26" i="38"/>
  <c r="I26" i="38"/>
  <c r="H26" i="38"/>
  <c r="G26" i="38"/>
  <c r="F26" i="38"/>
  <c r="E26" i="38"/>
  <c r="D26" i="38"/>
  <c r="C26" i="38"/>
  <c r="R25" i="38"/>
  <c r="Q25" i="38"/>
  <c r="P25" i="38"/>
  <c r="O25" i="38"/>
  <c r="N25" i="38"/>
  <c r="M25" i="38"/>
  <c r="L25" i="38"/>
  <c r="K25" i="38"/>
  <c r="J25" i="38"/>
  <c r="I25" i="38"/>
  <c r="H25" i="38"/>
  <c r="G25" i="38"/>
  <c r="F25" i="38"/>
  <c r="E25" i="38"/>
  <c r="D25" i="38"/>
  <c r="C25" i="38"/>
  <c r="R24" i="38"/>
  <c r="Q24" i="38"/>
  <c r="P24" i="38"/>
  <c r="O24" i="38"/>
  <c r="N24" i="38"/>
  <c r="M24" i="38"/>
  <c r="L24" i="38"/>
  <c r="K24" i="38"/>
  <c r="J24" i="38"/>
  <c r="I24" i="38"/>
  <c r="H24" i="38"/>
  <c r="G24" i="38"/>
  <c r="F24" i="38"/>
  <c r="E24" i="38"/>
  <c r="D24" i="38"/>
  <c r="C24" i="38"/>
  <c r="R23" i="38"/>
  <c r="Q23" i="38"/>
  <c r="P23" i="38"/>
  <c r="O23" i="38"/>
  <c r="N23" i="38"/>
  <c r="M23" i="38"/>
  <c r="L23" i="38"/>
  <c r="K23" i="38"/>
  <c r="J23" i="38"/>
  <c r="I23" i="38"/>
  <c r="H23" i="38"/>
  <c r="G23" i="38"/>
  <c r="F23" i="38"/>
  <c r="E23" i="38"/>
  <c r="D23" i="38"/>
  <c r="C23" i="38"/>
  <c r="R22" i="38"/>
  <c r="Q22" i="38"/>
  <c r="P22" i="38"/>
  <c r="O22" i="38"/>
  <c r="N22" i="38"/>
  <c r="M22" i="38"/>
  <c r="L22" i="38"/>
  <c r="K22" i="38"/>
  <c r="J22" i="38"/>
  <c r="I22" i="38"/>
  <c r="H22" i="38"/>
  <c r="G22" i="38"/>
  <c r="F22" i="38"/>
  <c r="E22" i="38"/>
  <c r="D22" i="38"/>
  <c r="C22" i="38"/>
  <c r="R21" i="38"/>
  <c r="Q21" i="38"/>
  <c r="P21" i="38"/>
  <c r="O21" i="38"/>
  <c r="N21" i="38"/>
  <c r="M21" i="38"/>
  <c r="L21" i="38"/>
  <c r="K21" i="38"/>
  <c r="J21" i="38"/>
  <c r="I21" i="38"/>
  <c r="H21" i="38"/>
  <c r="G21" i="38"/>
  <c r="F21" i="38"/>
  <c r="E21" i="38"/>
  <c r="D21" i="38"/>
  <c r="C21" i="38"/>
  <c r="R20" i="38"/>
  <c r="Q20" i="38"/>
  <c r="P20" i="38"/>
  <c r="O20" i="38"/>
  <c r="N20" i="38"/>
  <c r="M20" i="38"/>
  <c r="L20" i="38"/>
  <c r="K20" i="38"/>
  <c r="J20" i="38"/>
  <c r="I20" i="38"/>
  <c r="H20" i="38"/>
  <c r="G20" i="38"/>
  <c r="F20" i="38"/>
  <c r="E20" i="38"/>
  <c r="D20" i="38"/>
  <c r="C20" i="38"/>
  <c r="R19" i="38"/>
  <c r="Q19" i="38"/>
  <c r="P19" i="38"/>
  <c r="O19" i="38"/>
  <c r="N19" i="38"/>
  <c r="M19" i="38"/>
  <c r="L19" i="38"/>
  <c r="K19" i="38"/>
  <c r="J19" i="38"/>
  <c r="I19" i="38"/>
  <c r="H19" i="38"/>
  <c r="G19" i="38"/>
  <c r="F19" i="38"/>
  <c r="E19" i="38"/>
  <c r="D19" i="38"/>
  <c r="C19" i="38"/>
  <c r="B19" i="38"/>
  <c r="R18" i="38"/>
  <c r="Q18" i="38"/>
  <c r="P18" i="38"/>
  <c r="O18" i="38"/>
  <c r="N18" i="38"/>
  <c r="M18" i="38"/>
  <c r="L18" i="38"/>
  <c r="K18" i="38"/>
  <c r="J18" i="38"/>
  <c r="I18" i="38"/>
  <c r="H18" i="38"/>
  <c r="G18" i="38"/>
  <c r="F18" i="38"/>
  <c r="E18" i="38"/>
  <c r="D18" i="38"/>
  <c r="C18" i="38"/>
  <c r="R17" i="38"/>
  <c r="Q17" i="38"/>
  <c r="P17" i="38"/>
  <c r="O17" i="38"/>
  <c r="N17" i="38"/>
  <c r="M17" i="38"/>
  <c r="L17" i="38"/>
  <c r="K17" i="38"/>
  <c r="J17" i="38"/>
  <c r="I17" i="38"/>
  <c r="H17" i="38"/>
  <c r="G17" i="38"/>
  <c r="F17" i="38"/>
  <c r="E17" i="38"/>
  <c r="D17" i="38"/>
  <c r="C17" i="38"/>
  <c r="B17" i="38"/>
  <c r="R16" i="38"/>
  <c r="Q16" i="38"/>
  <c r="P16" i="38"/>
  <c r="O16" i="38"/>
  <c r="N16" i="38"/>
  <c r="M16" i="38"/>
  <c r="L16" i="38"/>
  <c r="K16" i="38"/>
  <c r="J16" i="38"/>
  <c r="I16" i="38"/>
  <c r="H16" i="38"/>
  <c r="G16" i="38"/>
  <c r="F16" i="38"/>
  <c r="E16" i="38"/>
  <c r="D16" i="38"/>
  <c r="C16" i="38"/>
  <c r="B16" i="38"/>
  <c r="R15" i="38"/>
  <c r="Q15" i="38"/>
  <c r="P15" i="38"/>
  <c r="O15" i="38"/>
  <c r="N15" i="38"/>
  <c r="M15" i="38"/>
  <c r="L15" i="38"/>
  <c r="K15" i="38"/>
  <c r="J15" i="38"/>
  <c r="I15" i="38"/>
  <c r="H15" i="38"/>
  <c r="G15" i="38"/>
  <c r="F15" i="38"/>
  <c r="E15" i="38"/>
  <c r="D15" i="38"/>
  <c r="C15" i="38"/>
  <c r="B15" i="38"/>
  <c r="R14" i="38"/>
  <c r="Q14" i="38"/>
  <c r="P14" i="38"/>
  <c r="O14" i="38"/>
  <c r="N14" i="38"/>
  <c r="M14" i="38"/>
  <c r="L14" i="38"/>
  <c r="K14" i="38"/>
  <c r="J14" i="38"/>
  <c r="I14" i="38"/>
  <c r="H14" i="38"/>
  <c r="G14" i="38"/>
  <c r="F14" i="38"/>
  <c r="E14" i="38"/>
  <c r="D14" i="38"/>
  <c r="C14" i="38"/>
  <c r="B14" i="38"/>
  <c r="R13" i="38"/>
  <c r="Q13" i="38"/>
  <c r="P13" i="38"/>
  <c r="O13" i="38"/>
  <c r="N13" i="38"/>
  <c r="M13" i="38"/>
  <c r="L13" i="38"/>
  <c r="K13" i="38"/>
  <c r="J13" i="38"/>
  <c r="I13" i="38"/>
  <c r="H13" i="38"/>
  <c r="G13" i="38"/>
  <c r="F13" i="38"/>
  <c r="E13" i="38"/>
  <c r="D13" i="38"/>
  <c r="C13" i="38"/>
  <c r="B13" i="38"/>
  <c r="R12" i="38"/>
  <c r="Q12" i="38"/>
  <c r="P12" i="38"/>
  <c r="O12" i="38"/>
  <c r="N12" i="38"/>
  <c r="M12" i="38"/>
  <c r="L12" i="38"/>
  <c r="K12" i="38"/>
  <c r="J12" i="38"/>
  <c r="I12" i="38"/>
  <c r="H12" i="38"/>
  <c r="G12" i="38"/>
  <c r="F12" i="38"/>
  <c r="E12" i="38"/>
  <c r="D12" i="38"/>
  <c r="C12" i="38"/>
  <c r="B12" i="38"/>
  <c r="R11" i="38"/>
  <c r="Q11" i="38"/>
  <c r="P11" i="38"/>
  <c r="O11" i="38"/>
  <c r="N11" i="38"/>
  <c r="M11" i="38"/>
  <c r="L11" i="38"/>
  <c r="K11" i="38"/>
  <c r="J11" i="38"/>
  <c r="I11" i="38"/>
  <c r="H11" i="38"/>
  <c r="G11" i="38"/>
  <c r="F11" i="38"/>
  <c r="E11" i="38"/>
  <c r="D11" i="38"/>
  <c r="C11" i="38"/>
  <c r="B11" i="38"/>
  <c r="R8" i="38"/>
  <c r="Q8" i="38"/>
  <c r="P8" i="38"/>
  <c r="O8" i="38"/>
  <c r="N8" i="38"/>
  <c r="M8" i="38"/>
  <c r="L8" i="38"/>
  <c r="K8" i="38"/>
  <c r="B8" i="38"/>
  <c r="R7" i="38"/>
  <c r="Q7" i="38"/>
  <c r="P7" i="38"/>
  <c r="O7" i="38"/>
  <c r="N7" i="38"/>
  <c r="M7" i="38"/>
  <c r="L7" i="38"/>
  <c r="K7" i="38"/>
  <c r="R6" i="38"/>
  <c r="Q6" i="38"/>
  <c r="P6" i="38"/>
  <c r="O6" i="38"/>
  <c r="N6" i="38"/>
  <c r="M6" i="38"/>
  <c r="L6" i="38"/>
  <c r="K6" i="38"/>
  <c r="J6" i="38"/>
  <c r="I6" i="38"/>
  <c r="H6" i="38"/>
  <c r="G6" i="38"/>
  <c r="F6" i="38"/>
  <c r="E6" i="38"/>
  <c r="D6" i="38"/>
  <c r="C6" i="38"/>
  <c r="R5" i="38"/>
  <c r="Q5" i="38"/>
  <c r="P5" i="38"/>
  <c r="O5" i="38"/>
  <c r="N5" i="38"/>
  <c r="M5" i="38"/>
  <c r="L5" i="38"/>
  <c r="K5" i="38"/>
  <c r="J5" i="38"/>
  <c r="I5" i="38"/>
  <c r="H5" i="38"/>
  <c r="G5" i="38"/>
  <c r="F5" i="38"/>
  <c r="E5" i="38"/>
  <c r="D5" i="38"/>
  <c r="C5" i="38"/>
  <c r="R28" i="37" l="1"/>
  <c r="Q28" i="37"/>
  <c r="P28" i="37"/>
  <c r="O28" i="37"/>
  <c r="N28" i="37"/>
  <c r="M28" i="37"/>
  <c r="L28" i="37"/>
  <c r="K28" i="37"/>
  <c r="J28" i="37"/>
  <c r="I28" i="37"/>
  <c r="H28" i="37"/>
  <c r="G28" i="37"/>
  <c r="F28" i="37"/>
  <c r="E28" i="37"/>
  <c r="D28" i="37"/>
  <c r="C28" i="37"/>
  <c r="R27" i="37"/>
  <c r="Q27" i="37"/>
  <c r="P27" i="37"/>
  <c r="O27" i="37"/>
  <c r="N27" i="37"/>
  <c r="M27" i="37"/>
  <c r="L27" i="37"/>
  <c r="K27" i="37"/>
  <c r="J27" i="37"/>
  <c r="I27" i="37"/>
  <c r="H27" i="37"/>
  <c r="G27" i="37"/>
  <c r="F27" i="37"/>
  <c r="E27" i="37"/>
  <c r="D27" i="37"/>
  <c r="C27" i="37"/>
  <c r="R26" i="37"/>
  <c r="Q26" i="37"/>
  <c r="P26" i="37"/>
  <c r="O26" i="37"/>
  <c r="N26" i="37"/>
  <c r="M26" i="37"/>
  <c r="L26" i="37"/>
  <c r="K26" i="37"/>
  <c r="J26" i="37"/>
  <c r="I26" i="37"/>
  <c r="H26" i="37"/>
  <c r="G26" i="37"/>
  <c r="F26" i="37"/>
  <c r="E26" i="37"/>
  <c r="D26" i="37"/>
  <c r="C26" i="37"/>
  <c r="R25" i="37"/>
  <c r="Q25" i="37"/>
  <c r="P25" i="37"/>
  <c r="O25" i="37"/>
  <c r="N25" i="37"/>
  <c r="M25" i="37"/>
  <c r="L25" i="37"/>
  <c r="K25" i="37"/>
  <c r="J25" i="37"/>
  <c r="I25" i="37"/>
  <c r="H25" i="37"/>
  <c r="G25" i="37"/>
  <c r="F25" i="37"/>
  <c r="E25" i="37"/>
  <c r="D25" i="37"/>
  <c r="C25" i="37"/>
  <c r="R24" i="37"/>
  <c r="Q24" i="37"/>
  <c r="P24" i="37"/>
  <c r="O24" i="37"/>
  <c r="N24" i="37"/>
  <c r="M24" i="37"/>
  <c r="L24" i="37"/>
  <c r="K24" i="37"/>
  <c r="J24" i="37"/>
  <c r="I24" i="37"/>
  <c r="H24" i="37"/>
  <c r="G24" i="37"/>
  <c r="F24" i="37"/>
  <c r="E24" i="37"/>
  <c r="D24" i="37"/>
  <c r="C24" i="37"/>
  <c r="R23" i="37"/>
  <c r="Q23" i="37"/>
  <c r="P23" i="37"/>
  <c r="O23" i="37"/>
  <c r="N23" i="37"/>
  <c r="M23" i="37"/>
  <c r="L23" i="37"/>
  <c r="K23" i="37"/>
  <c r="J23" i="37"/>
  <c r="I23" i="37"/>
  <c r="H23" i="37"/>
  <c r="G23" i="37"/>
  <c r="F23" i="37"/>
  <c r="E23" i="37"/>
  <c r="D23" i="37"/>
  <c r="C23" i="37"/>
  <c r="R22" i="37"/>
  <c r="Q22" i="37"/>
  <c r="P22" i="37"/>
  <c r="O22" i="37"/>
  <c r="N22" i="37"/>
  <c r="M22" i="37"/>
  <c r="L22" i="37"/>
  <c r="K22" i="37"/>
  <c r="J22" i="37"/>
  <c r="I22" i="37"/>
  <c r="H22" i="37"/>
  <c r="G22" i="37"/>
  <c r="F22" i="37"/>
  <c r="E22" i="37"/>
  <c r="D22" i="37"/>
  <c r="C22" i="37"/>
  <c r="R21" i="37"/>
  <c r="Q21" i="37"/>
  <c r="P21" i="37"/>
  <c r="O21" i="37"/>
  <c r="N21" i="37"/>
  <c r="M21" i="37"/>
  <c r="L21" i="37"/>
  <c r="K21" i="37"/>
  <c r="J21" i="37"/>
  <c r="I21" i="37"/>
  <c r="H21" i="37"/>
  <c r="G21" i="37"/>
  <c r="F21" i="37"/>
  <c r="E21" i="37"/>
  <c r="D21" i="37"/>
  <c r="C21" i="37"/>
  <c r="R20" i="37"/>
  <c r="Q20" i="37"/>
  <c r="P20" i="37"/>
  <c r="O20" i="37"/>
  <c r="N20" i="37"/>
  <c r="M20" i="37"/>
  <c r="L20" i="37"/>
  <c r="K20" i="37"/>
  <c r="J20" i="37"/>
  <c r="I20" i="37"/>
  <c r="H20" i="37"/>
  <c r="G20" i="37"/>
  <c r="F20" i="37"/>
  <c r="E20" i="37"/>
  <c r="D20" i="37"/>
  <c r="C20" i="37"/>
  <c r="R19" i="37"/>
  <c r="Q19" i="37"/>
  <c r="P19" i="37"/>
  <c r="O19" i="37"/>
  <c r="N19" i="37"/>
  <c r="M19" i="37"/>
  <c r="L19" i="37"/>
  <c r="K19" i="37"/>
  <c r="J19" i="37"/>
  <c r="I19" i="37"/>
  <c r="H19" i="37"/>
  <c r="G19" i="37"/>
  <c r="F19" i="37"/>
  <c r="E19" i="37"/>
  <c r="D19" i="37"/>
  <c r="C19" i="37"/>
  <c r="B19" i="37"/>
  <c r="R18" i="37"/>
  <c r="Q18" i="37"/>
  <c r="P18" i="37"/>
  <c r="O18" i="37"/>
  <c r="N18" i="37"/>
  <c r="M18" i="37"/>
  <c r="L18" i="37"/>
  <c r="K18" i="37"/>
  <c r="J18" i="37"/>
  <c r="I18" i="37"/>
  <c r="H18" i="37"/>
  <c r="G18" i="37"/>
  <c r="F18" i="37"/>
  <c r="E18" i="37"/>
  <c r="D18" i="37"/>
  <c r="C18" i="37"/>
  <c r="R17" i="37"/>
  <c r="Q17" i="37"/>
  <c r="P17" i="37"/>
  <c r="O17" i="37"/>
  <c r="N17" i="37"/>
  <c r="M17" i="37"/>
  <c r="L17" i="37"/>
  <c r="K17" i="37"/>
  <c r="J17" i="37"/>
  <c r="I17" i="37"/>
  <c r="H17" i="37"/>
  <c r="G17" i="37"/>
  <c r="F17" i="37"/>
  <c r="E17" i="37"/>
  <c r="D17" i="37"/>
  <c r="C17" i="37"/>
  <c r="B17" i="37"/>
  <c r="R16" i="37"/>
  <c r="Q16" i="37"/>
  <c r="P16" i="37"/>
  <c r="O16" i="37"/>
  <c r="N16" i="37"/>
  <c r="M16" i="37"/>
  <c r="L16" i="37"/>
  <c r="K16" i="37"/>
  <c r="J16" i="37"/>
  <c r="I16" i="37"/>
  <c r="H16" i="37"/>
  <c r="G16" i="37"/>
  <c r="F16" i="37"/>
  <c r="E16" i="37"/>
  <c r="D16" i="37"/>
  <c r="C16" i="37"/>
  <c r="B16" i="37"/>
  <c r="R15" i="37"/>
  <c r="Q15" i="37"/>
  <c r="P15" i="37"/>
  <c r="O15" i="37"/>
  <c r="N15" i="37"/>
  <c r="M15" i="37"/>
  <c r="L15" i="37"/>
  <c r="K15" i="37"/>
  <c r="J15" i="37"/>
  <c r="I15" i="37"/>
  <c r="H15" i="37"/>
  <c r="G15" i="37"/>
  <c r="F15" i="37"/>
  <c r="E15" i="37"/>
  <c r="D15" i="37"/>
  <c r="C15" i="37"/>
  <c r="B15" i="37"/>
  <c r="R14" i="37"/>
  <c r="Q14" i="37"/>
  <c r="P14" i="37"/>
  <c r="O14" i="37"/>
  <c r="N14" i="37"/>
  <c r="M14" i="37"/>
  <c r="L14" i="37"/>
  <c r="K14" i="37"/>
  <c r="J14" i="37"/>
  <c r="I14" i="37"/>
  <c r="H14" i="37"/>
  <c r="G14" i="37"/>
  <c r="F14" i="37"/>
  <c r="E14" i="37"/>
  <c r="D14" i="37"/>
  <c r="C14" i="37"/>
  <c r="B14" i="37"/>
  <c r="R13" i="37"/>
  <c r="Q13" i="37"/>
  <c r="P13" i="37"/>
  <c r="O13" i="37"/>
  <c r="N13" i="37"/>
  <c r="M13" i="37"/>
  <c r="L13" i="37"/>
  <c r="K13" i="37"/>
  <c r="J13" i="37"/>
  <c r="I13" i="37"/>
  <c r="H13" i="37"/>
  <c r="G13" i="37"/>
  <c r="F13" i="37"/>
  <c r="E13" i="37"/>
  <c r="D13" i="37"/>
  <c r="C13" i="37"/>
  <c r="B13" i="37"/>
  <c r="R12" i="37"/>
  <c r="Q12" i="37"/>
  <c r="P12" i="37"/>
  <c r="O12" i="37"/>
  <c r="N12" i="37"/>
  <c r="M12" i="37"/>
  <c r="L12" i="37"/>
  <c r="K12" i="37"/>
  <c r="J12" i="37"/>
  <c r="I12" i="37"/>
  <c r="H12" i="37"/>
  <c r="G12" i="37"/>
  <c r="F12" i="37"/>
  <c r="E12" i="37"/>
  <c r="D12" i="37"/>
  <c r="C12" i="37"/>
  <c r="B12" i="37"/>
  <c r="R11" i="37"/>
  <c r="Q11" i="37"/>
  <c r="P11" i="37"/>
  <c r="O11" i="37"/>
  <c r="N11" i="37"/>
  <c r="M11" i="37"/>
  <c r="L11" i="37"/>
  <c r="K11" i="37"/>
  <c r="J11" i="37"/>
  <c r="I11" i="37"/>
  <c r="H11" i="37"/>
  <c r="G11" i="37"/>
  <c r="F11" i="37"/>
  <c r="E11" i="37"/>
  <c r="D11" i="37"/>
  <c r="C11" i="37"/>
  <c r="B11" i="37"/>
  <c r="R8" i="37"/>
  <c r="Q8" i="37"/>
  <c r="P8" i="37"/>
  <c r="O8" i="37"/>
  <c r="N8" i="37"/>
  <c r="M8" i="37"/>
  <c r="L8" i="37"/>
  <c r="K8" i="37"/>
  <c r="J8" i="37"/>
  <c r="I8" i="37"/>
  <c r="H8" i="37"/>
  <c r="G8" i="37"/>
  <c r="F8" i="37"/>
  <c r="E8" i="37"/>
  <c r="D8" i="37"/>
  <c r="C8" i="37"/>
  <c r="B8" i="37"/>
  <c r="R7" i="37"/>
  <c r="Q7" i="37"/>
  <c r="P7" i="37"/>
  <c r="O7" i="37"/>
  <c r="N7" i="37"/>
  <c r="M7" i="37"/>
  <c r="L7" i="37"/>
  <c r="K7" i="37"/>
  <c r="J7" i="37"/>
  <c r="I7" i="37"/>
  <c r="H7" i="37"/>
  <c r="G7" i="37"/>
  <c r="F7" i="37"/>
  <c r="E7" i="37"/>
  <c r="D7" i="37"/>
  <c r="C7" i="37"/>
  <c r="R6" i="37"/>
  <c r="Q6" i="37"/>
  <c r="P6" i="37"/>
  <c r="O6" i="37"/>
  <c r="N6" i="37"/>
  <c r="M6" i="37"/>
  <c r="L6" i="37"/>
  <c r="K6" i="37"/>
  <c r="J6" i="37"/>
  <c r="I6" i="37"/>
  <c r="H6" i="37"/>
  <c r="G6" i="37"/>
  <c r="F6" i="37"/>
  <c r="E6" i="37"/>
  <c r="D6" i="37"/>
  <c r="C6" i="37"/>
  <c r="R5" i="37"/>
  <c r="Q5" i="37"/>
  <c r="P5" i="37"/>
  <c r="O5" i="37"/>
  <c r="N5" i="37"/>
  <c r="M5" i="37"/>
  <c r="L5" i="37"/>
  <c r="K5" i="37"/>
  <c r="J5" i="37"/>
  <c r="I5" i="37"/>
  <c r="H5" i="37"/>
  <c r="G5" i="37"/>
  <c r="F5" i="37"/>
  <c r="E5" i="37"/>
  <c r="D5" i="37"/>
  <c r="C5" i="37"/>
  <c r="C5" i="35" l="1"/>
  <c r="D5" i="35"/>
  <c r="C6" i="35"/>
  <c r="D6" i="35"/>
  <c r="C7" i="35"/>
  <c r="D7" i="35"/>
  <c r="B8" i="35"/>
  <c r="C8" i="35"/>
  <c r="D8" i="35"/>
  <c r="B11" i="35"/>
  <c r="E11" i="35"/>
  <c r="F11" i="35"/>
  <c r="G11" i="35"/>
  <c r="H11" i="35"/>
  <c r="I11" i="35"/>
  <c r="J11" i="35"/>
  <c r="K11" i="35"/>
  <c r="L11" i="35"/>
  <c r="B12" i="35"/>
  <c r="E12" i="35"/>
  <c r="F12" i="35"/>
  <c r="G12" i="35"/>
  <c r="H12" i="35"/>
  <c r="I12" i="35"/>
  <c r="J12" i="35"/>
  <c r="K12" i="35"/>
  <c r="L12" i="35"/>
  <c r="B13" i="35"/>
  <c r="E13" i="35"/>
  <c r="F13" i="35"/>
  <c r="G13" i="35"/>
  <c r="H13" i="35"/>
  <c r="I13" i="35"/>
  <c r="J13" i="35"/>
  <c r="K13" i="35"/>
  <c r="L13" i="35"/>
  <c r="B14" i="35"/>
  <c r="E14" i="35"/>
  <c r="F14" i="35"/>
  <c r="G14" i="35"/>
  <c r="H14" i="35"/>
  <c r="I14" i="35"/>
  <c r="J14" i="35"/>
  <c r="K14" i="35"/>
  <c r="L14" i="35"/>
  <c r="B15" i="35"/>
  <c r="E15" i="35"/>
  <c r="F15" i="35"/>
  <c r="G15" i="35"/>
  <c r="H15" i="35"/>
  <c r="I15" i="35"/>
  <c r="J15" i="35"/>
  <c r="K15" i="35"/>
  <c r="L15" i="35"/>
  <c r="B16" i="35"/>
  <c r="E16" i="35"/>
  <c r="F16" i="35"/>
  <c r="G16" i="35"/>
  <c r="H16" i="35"/>
  <c r="I16" i="35"/>
  <c r="J16" i="35"/>
  <c r="K16" i="35"/>
  <c r="L16" i="35"/>
  <c r="B17" i="35"/>
  <c r="E17" i="35"/>
  <c r="F17" i="35"/>
  <c r="G17" i="35"/>
  <c r="H17" i="35"/>
  <c r="I17" i="35"/>
  <c r="J17" i="35"/>
  <c r="K17" i="35"/>
  <c r="L17" i="35"/>
  <c r="E18" i="35"/>
  <c r="F18" i="35"/>
  <c r="G18" i="35"/>
  <c r="H18" i="35"/>
  <c r="I18" i="35"/>
  <c r="J18" i="35"/>
  <c r="K18" i="35"/>
  <c r="L18" i="35"/>
  <c r="B19" i="35"/>
  <c r="E19" i="35"/>
  <c r="F19" i="35"/>
  <c r="G19" i="35"/>
  <c r="H19" i="35"/>
  <c r="I19" i="35"/>
  <c r="J19" i="35"/>
  <c r="K19" i="35"/>
  <c r="L19" i="35"/>
  <c r="E20" i="35"/>
  <c r="F20" i="35"/>
  <c r="G20" i="35"/>
  <c r="H20" i="35"/>
  <c r="I20" i="35"/>
  <c r="J20" i="35"/>
  <c r="K20" i="35"/>
  <c r="L20" i="35"/>
  <c r="E21" i="35"/>
  <c r="F21" i="35"/>
  <c r="G21" i="35"/>
  <c r="H21" i="35"/>
  <c r="I21" i="35"/>
  <c r="J21" i="35"/>
  <c r="K21" i="35"/>
  <c r="L21" i="35"/>
  <c r="E22" i="35"/>
  <c r="F22" i="35"/>
  <c r="G22" i="35"/>
  <c r="H22" i="35"/>
  <c r="I22" i="35"/>
  <c r="J22" i="35"/>
  <c r="K22" i="35"/>
  <c r="L22" i="35"/>
  <c r="E23" i="35"/>
  <c r="F23" i="35"/>
  <c r="G23" i="35"/>
  <c r="H23" i="35"/>
  <c r="I23" i="35"/>
  <c r="J23" i="35"/>
  <c r="K23" i="35"/>
  <c r="L23" i="35"/>
  <c r="E24" i="35"/>
  <c r="F24" i="35"/>
  <c r="G24" i="35"/>
  <c r="H24" i="35"/>
  <c r="I24" i="35"/>
  <c r="J24" i="35"/>
  <c r="K24" i="35"/>
  <c r="L24" i="35"/>
  <c r="E25" i="35"/>
  <c r="F25" i="35"/>
  <c r="G25" i="35"/>
  <c r="H25" i="35"/>
  <c r="I25" i="35"/>
  <c r="J25" i="35"/>
  <c r="K25" i="35"/>
  <c r="L25" i="35"/>
  <c r="E26" i="35"/>
  <c r="F26" i="35"/>
  <c r="G26" i="35"/>
  <c r="H26" i="35"/>
  <c r="I26" i="35"/>
  <c r="J26" i="35"/>
  <c r="K26" i="35"/>
  <c r="L26" i="35"/>
  <c r="C27" i="35"/>
  <c r="D27" i="35"/>
  <c r="E27" i="35"/>
  <c r="F27" i="35"/>
  <c r="G27" i="35"/>
  <c r="H27" i="35"/>
  <c r="I27" i="35"/>
  <c r="J27" i="35"/>
  <c r="K27" i="35"/>
  <c r="L27" i="35"/>
  <c r="C28" i="35"/>
  <c r="D28" i="35"/>
  <c r="E28" i="35"/>
  <c r="F28" i="35"/>
  <c r="G28" i="35"/>
  <c r="H28" i="35"/>
  <c r="I28" i="35"/>
  <c r="J28" i="35"/>
  <c r="K28" i="35"/>
  <c r="L28" i="35"/>
  <c r="C4" i="34"/>
  <c r="D4" i="34"/>
  <c r="E4" i="34"/>
  <c r="F4" i="34"/>
  <c r="G4" i="34"/>
  <c r="H4" i="34"/>
  <c r="I4" i="34"/>
  <c r="J4" i="34"/>
  <c r="K4" i="34"/>
  <c r="L4" i="34"/>
  <c r="C5" i="34"/>
  <c r="D5" i="34"/>
  <c r="E5" i="34"/>
  <c r="F5" i="34"/>
  <c r="G5" i="34"/>
  <c r="H5" i="34"/>
  <c r="I5" i="34"/>
  <c r="J5" i="34"/>
  <c r="K5" i="34"/>
  <c r="L5" i="34"/>
  <c r="C6" i="34"/>
  <c r="D6" i="34"/>
  <c r="E6" i="34"/>
  <c r="F6" i="34"/>
  <c r="G6" i="34"/>
  <c r="H6" i="34"/>
  <c r="I6" i="34"/>
  <c r="J6" i="34"/>
  <c r="K6" i="34"/>
  <c r="L6" i="34"/>
  <c r="B7" i="34"/>
  <c r="C7" i="34"/>
  <c r="D7" i="34"/>
  <c r="E7" i="34"/>
  <c r="F7" i="34"/>
  <c r="G7" i="34"/>
  <c r="H7" i="34"/>
  <c r="I7" i="34"/>
  <c r="J7" i="34"/>
  <c r="K7" i="34"/>
  <c r="L7" i="34"/>
  <c r="B10" i="34"/>
  <c r="C10" i="34"/>
  <c r="D10" i="34"/>
  <c r="E10" i="34"/>
  <c r="F10" i="34"/>
  <c r="G10" i="34"/>
  <c r="H10" i="34"/>
  <c r="I10" i="34"/>
  <c r="J10" i="34"/>
  <c r="K10" i="34"/>
  <c r="L10" i="34"/>
  <c r="B11" i="34"/>
  <c r="C11" i="34"/>
  <c r="D11" i="34"/>
  <c r="E11" i="34"/>
  <c r="F11" i="34"/>
  <c r="G11" i="34"/>
  <c r="H11" i="34"/>
  <c r="I11" i="34"/>
  <c r="J11" i="34"/>
  <c r="K11" i="34"/>
  <c r="L11" i="34"/>
  <c r="B12" i="34"/>
  <c r="C12" i="34"/>
  <c r="D12" i="34"/>
  <c r="E12" i="34"/>
  <c r="F12" i="34"/>
  <c r="G12" i="34"/>
  <c r="H12" i="34"/>
  <c r="I12" i="34"/>
  <c r="J12" i="34"/>
  <c r="K12" i="34"/>
  <c r="L12" i="34"/>
  <c r="B13" i="34"/>
  <c r="C13" i="34"/>
  <c r="D13" i="34"/>
  <c r="E13" i="34"/>
  <c r="F13" i="34"/>
  <c r="G13" i="34"/>
  <c r="H13" i="34"/>
  <c r="I13" i="34"/>
  <c r="J13" i="34"/>
  <c r="K13" i="34"/>
  <c r="L13" i="34"/>
  <c r="B14" i="34"/>
  <c r="C14" i="34"/>
  <c r="D14" i="34"/>
  <c r="E14" i="34"/>
  <c r="F14" i="34"/>
  <c r="G14" i="34"/>
  <c r="H14" i="34"/>
  <c r="I14" i="34"/>
  <c r="J14" i="34"/>
  <c r="K14" i="34"/>
  <c r="L14" i="34"/>
  <c r="B15" i="34"/>
  <c r="C15" i="34"/>
  <c r="D15" i="34"/>
  <c r="E15" i="34"/>
  <c r="F15" i="34"/>
  <c r="G15" i="34"/>
  <c r="H15" i="34"/>
  <c r="I15" i="34"/>
  <c r="J15" i="34"/>
  <c r="K15" i="34"/>
  <c r="L15" i="34"/>
  <c r="B16" i="34"/>
  <c r="C16" i="34"/>
  <c r="D16" i="34"/>
  <c r="E16" i="34"/>
  <c r="F16" i="34"/>
  <c r="G16" i="34"/>
  <c r="H16" i="34"/>
  <c r="I16" i="34"/>
  <c r="J16" i="34"/>
  <c r="K16" i="34"/>
  <c r="L16" i="34"/>
  <c r="C17" i="34"/>
  <c r="D17" i="34"/>
  <c r="E17" i="34"/>
  <c r="F17" i="34"/>
  <c r="G17" i="34"/>
  <c r="H17" i="34"/>
  <c r="I17" i="34"/>
  <c r="J17" i="34"/>
  <c r="K17" i="34"/>
  <c r="L17" i="34"/>
  <c r="B18" i="34"/>
  <c r="C18" i="34"/>
  <c r="D18" i="34"/>
  <c r="E18" i="34"/>
  <c r="F18" i="34"/>
  <c r="G18" i="34"/>
  <c r="H18" i="34"/>
  <c r="I18" i="34"/>
  <c r="J18" i="34"/>
  <c r="K18" i="34"/>
  <c r="L18" i="34"/>
  <c r="C19" i="34"/>
  <c r="D19" i="34"/>
  <c r="E19" i="34"/>
  <c r="F19" i="34"/>
  <c r="G19" i="34"/>
  <c r="H19" i="34"/>
  <c r="I19" i="34"/>
  <c r="J19" i="34"/>
  <c r="K19" i="34"/>
  <c r="L19" i="34"/>
  <c r="C20" i="34"/>
  <c r="D20" i="34"/>
  <c r="E20" i="34"/>
  <c r="F20" i="34"/>
  <c r="G20" i="34"/>
  <c r="H20" i="34"/>
  <c r="I20" i="34"/>
  <c r="J20" i="34"/>
  <c r="K20" i="34"/>
  <c r="L20" i="34"/>
  <c r="C21" i="34"/>
  <c r="D21" i="34"/>
  <c r="E21" i="34"/>
  <c r="F21" i="34"/>
  <c r="G21" i="34"/>
  <c r="H21" i="34"/>
  <c r="I21" i="34"/>
  <c r="J21" i="34"/>
  <c r="K21" i="34"/>
  <c r="L21" i="34"/>
  <c r="C22" i="34"/>
  <c r="D22" i="34"/>
  <c r="E22" i="34"/>
  <c r="F22" i="34"/>
  <c r="G22" i="34"/>
  <c r="H22" i="34"/>
  <c r="I22" i="34"/>
  <c r="J22" i="34"/>
  <c r="K22" i="34"/>
  <c r="L22" i="34"/>
  <c r="C23" i="34"/>
  <c r="D23" i="34"/>
  <c r="E23" i="34"/>
  <c r="F23" i="34"/>
  <c r="G23" i="34"/>
  <c r="H23" i="34"/>
  <c r="I23" i="34"/>
  <c r="J23" i="34"/>
  <c r="K23" i="34"/>
  <c r="L23" i="34"/>
  <c r="C24" i="34"/>
  <c r="D24" i="34"/>
  <c r="E24" i="34"/>
  <c r="F24" i="34"/>
  <c r="G24" i="34"/>
  <c r="H24" i="34"/>
  <c r="I24" i="34"/>
  <c r="J24" i="34"/>
  <c r="K24" i="34"/>
  <c r="L24" i="34"/>
  <c r="C25" i="34"/>
  <c r="D25" i="34"/>
  <c r="E25" i="34"/>
  <c r="F25" i="34"/>
  <c r="G25" i="34"/>
  <c r="H25" i="34"/>
  <c r="I25" i="34"/>
  <c r="J25" i="34"/>
  <c r="K25" i="34"/>
  <c r="L25" i="34"/>
  <c r="C26" i="34"/>
  <c r="D26" i="34"/>
  <c r="E26" i="34"/>
  <c r="F26" i="34"/>
  <c r="G26" i="34"/>
  <c r="H26" i="34"/>
  <c r="I26" i="34"/>
  <c r="J26" i="34"/>
  <c r="K26" i="34"/>
  <c r="L26" i="34"/>
  <c r="C27" i="34"/>
  <c r="D27" i="34"/>
  <c r="E27" i="34"/>
  <c r="F27" i="34"/>
  <c r="G27" i="34"/>
  <c r="H27" i="34"/>
  <c r="I27" i="34"/>
  <c r="J27" i="34"/>
  <c r="K27" i="34"/>
  <c r="L27" i="34"/>
  <c r="C5" i="33"/>
  <c r="D5" i="33"/>
  <c r="E5" i="33"/>
  <c r="F5" i="33"/>
  <c r="G5" i="33"/>
  <c r="H5" i="33"/>
  <c r="I5" i="33"/>
  <c r="J5" i="33"/>
  <c r="K5" i="33"/>
  <c r="L5" i="33"/>
  <c r="C6" i="33"/>
  <c r="D6" i="33"/>
  <c r="E6" i="33"/>
  <c r="F6" i="33"/>
  <c r="G6" i="33"/>
  <c r="H6" i="33"/>
  <c r="I6" i="33"/>
  <c r="J6" i="33"/>
  <c r="K6" i="33"/>
  <c r="L6" i="33"/>
  <c r="C7" i="33"/>
  <c r="D7" i="33"/>
  <c r="E7" i="33"/>
  <c r="F7" i="33"/>
  <c r="G7" i="33"/>
  <c r="H7" i="33"/>
  <c r="I7" i="33"/>
  <c r="J7" i="33"/>
  <c r="K7" i="33"/>
  <c r="L7" i="33"/>
  <c r="B8" i="33"/>
  <c r="C8" i="33"/>
  <c r="D8" i="33"/>
  <c r="E8" i="33"/>
  <c r="F8" i="33"/>
  <c r="G8" i="33"/>
  <c r="H8" i="33"/>
  <c r="I8" i="33"/>
  <c r="J8" i="33"/>
  <c r="K8" i="33"/>
  <c r="L8" i="33"/>
  <c r="B11" i="33"/>
  <c r="C11" i="33"/>
  <c r="D11" i="33"/>
  <c r="E11" i="33"/>
  <c r="F11" i="33"/>
  <c r="G11" i="33"/>
  <c r="H11" i="33"/>
  <c r="I11" i="33"/>
  <c r="J11" i="33"/>
  <c r="K11" i="33"/>
  <c r="L11" i="33"/>
  <c r="B12" i="33"/>
  <c r="C12" i="33"/>
  <c r="D12" i="33"/>
  <c r="E12" i="33"/>
  <c r="F12" i="33"/>
  <c r="G12" i="33"/>
  <c r="H12" i="33"/>
  <c r="I12" i="33"/>
  <c r="J12" i="33"/>
  <c r="K12" i="33"/>
  <c r="L12" i="33"/>
  <c r="B13" i="33"/>
  <c r="C13" i="33"/>
  <c r="D13" i="33"/>
  <c r="E13" i="33"/>
  <c r="F13" i="33"/>
  <c r="G13" i="33"/>
  <c r="H13" i="33"/>
  <c r="I13" i="33"/>
  <c r="J13" i="33"/>
  <c r="K13" i="33"/>
  <c r="L13" i="33"/>
  <c r="B14" i="33"/>
  <c r="C14" i="33"/>
  <c r="D14" i="33"/>
  <c r="E14" i="33"/>
  <c r="F14" i="33"/>
  <c r="G14" i="33"/>
  <c r="H14" i="33"/>
  <c r="I14" i="33"/>
  <c r="J14" i="33"/>
  <c r="K14" i="33"/>
  <c r="L14" i="33"/>
  <c r="B15" i="33"/>
  <c r="C15" i="33"/>
  <c r="D15" i="33"/>
  <c r="E15" i="33"/>
  <c r="F15" i="33"/>
  <c r="G15" i="33"/>
  <c r="H15" i="33"/>
  <c r="I15" i="33"/>
  <c r="J15" i="33"/>
  <c r="K15" i="33"/>
  <c r="L15" i="33"/>
  <c r="B16" i="33"/>
  <c r="C16" i="33"/>
  <c r="D16" i="33"/>
  <c r="E16" i="33"/>
  <c r="F16" i="33"/>
  <c r="G16" i="33"/>
  <c r="H16" i="33"/>
  <c r="I16" i="33"/>
  <c r="J16" i="33"/>
  <c r="K16" i="33"/>
  <c r="L16" i="33"/>
  <c r="B17" i="33"/>
  <c r="C17" i="33"/>
  <c r="D17" i="33"/>
  <c r="E17" i="33"/>
  <c r="F17" i="33"/>
  <c r="G17" i="33"/>
  <c r="H17" i="33"/>
  <c r="I17" i="33"/>
  <c r="J17" i="33"/>
  <c r="K17" i="33"/>
  <c r="L17" i="33"/>
  <c r="C18" i="33"/>
  <c r="D18" i="33"/>
  <c r="E18" i="33"/>
  <c r="F18" i="33"/>
  <c r="G18" i="33"/>
  <c r="H18" i="33"/>
  <c r="I18" i="33"/>
  <c r="J18" i="33"/>
  <c r="K18" i="33"/>
  <c r="L18" i="33"/>
  <c r="B19" i="33"/>
  <c r="C19" i="33"/>
  <c r="D19" i="33"/>
  <c r="E19" i="33"/>
  <c r="F19" i="33"/>
  <c r="G19" i="33"/>
  <c r="H19" i="33"/>
  <c r="I19" i="33"/>
  <c r="J19" i="33"/>
  <c r="K19" i="33"/>
  <c r="L19" i="33"/>
  <c r="C20" i="33"/>
  <c r="D20" i="33"/>
  <c r="E20" i="33"/>
  <c r="F20" i="33"/>
  <c r="G20" i="33"/>
  <c r="H20" i="33"/>
  <c r="I20" i="33"/>
  <c r="J20" i="33"/>
  <c r="K20" i="33"/>
  <c r="L20" i="33"/>
  <c r="C21" i="33"/>
  <c r="D21" i="33"/>
  <c r="E21" i="33"/>
  <c r="F21" i="33"/>
  <c r="G21" i="33"/>
  <c r="H21" i="33"/>
  <c r="I21" i="33"/>
  <c r="J21" i="33"/>
  <c r="K21" i="33"/>
  <c r="L21" i="33"/>
  <c r="C22" i="33"/>
  <c r="D22" i="33"/>
  <c r="E22" i="33"/>
  <c r="F22" i="33"/>
  <c r="G22" i="33"/>
  <c r="H22" i="33"/>
  <c r="I22" i="33"/>
  <c r="J22" i="33"/>
  <c r="K22" i="33"/>
  <c r="L22" i="33"/>
  <c r="C23" i="33"/>
  <c r="D23" i="33"/>
  <c r="E23" i="33"/>
  <c r="F23" i="33"/>
  <c r="G23" i="33"/>
  <c r="H23" i="33"/>
  <c r="I23" i="33"/>
  <c r="J23" i="33"/>
  <c r="K23" i="33"/>
  <c r="L23" i="33"/>
  <c r="C24" i="33"/>
  <c r="D24" i="33"/>
  <c r="E24" i="33"/>
  <c r="F24" i="33"/>
  <c r="G24" i="33"/>
  <c r="H24" i="33"/>
  <c r="I24" i="33"/>
  <c r="J24" i="33"/>
  <c r="K24" i="33"/>
  <c r="L24" i="33"/>
  <c r="C25" i="33"/>
  <c r="D25" i="33"/>
  <c r="E25" i="33"/>
  <c r="F25" i="33"/>
  <c r="G25" i="33"/>
  <c r="H25" i="33"/>
  <c r="I25" i="33"/>
  <c r="J25" i="33"/>
  <c r="K25" i="33"/>
  <c r="L25" i="33"/>
  <c r="C26" i="33"/>
  <c r="D26" i="33"/>
  <c r="E26" i="33"/>
  <c r="F26" i="33"/>
  <c r="G26" i="33"/>
  <c r="H26" i="33"/>
  <c r="I26" i="33"/>
  <c r="J26" i="33"/>
  <c r="K26" i="33"/>
  <c r="L26" i="33"/>
  <c r="C27" i="33"/>
  <c r="D27" i="33"/>
  <c r="E27" i="33"/>
  <c r="F27" i="33"/>
  <c r="G27" i="33"/>
  <c r="H27" i="33"/>
  <c r="I27" i="33"/>
  <c r="J27" i="33"/>
  <c r="K27" i="33"/>
  <c r="L27" i="33"/>
  <c r="C28" i="33"/>
  <c r="D28" i="33"/>
  <c r="E28" i="33"/>
  <c r="F28" i="33"/>
  <c r="G28" i="33"/>
  <c r="H28" i="33"/>
  <c r="I28" i="33"/>
  <c r="J28" i="33"/>
  <c r="K28" i="33"/>
  <c r="L28" i="33"/>
  <c r="C6" i="32"/>
  <c r="D6" i="32"/>
  <c r="E6" i="32"/>
  <c r="F6" i="32"/>
  <c r="G6" i="32"/>
  <c r="H6" i="32"/>
  <c r="I6" i="32"/>
  <c r="J6" i="32"/>
  <c r="K6" i="32"/>
  <c r="L6" i="32"/>
  <c r="C7" i="32"/>
  <c r="D7" i="32"/>
  <c r="E7" i="32"/>
  <c r="F7" i="32"/>
  <c r="G7" i="32"/>
  <c r="H7" i="32"/>
  <c r="I7" i="32"/>
  <c r="J7" i="32"/>
  <c r="K7" i="32"/>
  <c r="L7" i="32"/>
  <c r="C8" i="32"/>
  <c r="D8" i="32"/>
  <c r="E8" i="32"/>
  <c r="F8" i="32"/>
  <c r="G8" i="32"/>
  <c r="H8" i="32"/>
  <c r="I8" i="32"/>
  <c r="J8" i="32"/>
  <c r="K8" i="32"/>
  <c r="L8" i="32"/>
  <c r="B9" i="32"/>
  <c r="C9" i="32"/>
  <c r="D9" i="32"/>
  <c r="E9" i="32"/>
  <c r="F9" i="32"/>
  <c r="G9" i="32"/>
  <c r="H9" i="32"/>
  <c r="I9" i="32"/>
  <c r="J9" i="32"/>
  <c r="K9" i="32"/>
  <c r="L9" i="32"/>
  <c r="B11" i="32"/>
  <c r="C11" i="32"/>
  <c r="D11" i="32"/>
  <c r="E11" i="32"/>
  <c r="F11" i="32"/>
  <c r="G11" i="32"/>
  <c r="H11" i="32"/>
  <c r="I11" i="32"/>
  <c r="J11" i="32"/>
  <c r="K11" i="32"/>
  <c r="L11" i="32"/>
  <c r="B12" i="32"/>
  <c r="C12" i="32"/>
  <c r="D12" i="32"/>
  <c r="E12" i="32"/>
  <c r="F12" i="32"/>
  <c r="G12" i="32"/>
  <c r="H12" i="32"/>
  <c r="I12" i="32"/>
  <c r="J12" i="32"/>
  <c r="K12" i="32"/>
  <c r="L12" i="32"/>
  <c r="B13" i="32"/>
  <c r="C13" i="32"/>
  <c r="D13" i="32"/>
  <c r="E13" i="32"/>
  <c r="F13" i="32"/>
  <c r="G13" i="32"/>
  <c r="H13" i="32"/>
  <c r="I13" i="32"/>
  <c r="J13" i="32"/>
  <c r="K13" i="32"/>
  <c r="L13" i="32"/>
  <c r="B14" i="32"/>
  <c r="C14" i="32"/>
  <c r="D14" i="32"/>
  <c r="E14" i="32"/>
  <c r="F14" i="32"/>
  <c r="G14" i="32"/>
  <c r="H14" i="32"/>
  <c r="I14" i="32"/>
  <c r="J14" i="32"/>
  <c r="K14" i="32"/>
  <c r="L14" i="32"/>
  <c r="B15" i="32"/>
  <c r="C15" i="32"/>
  <c r="D15" i="32"/>
  <c r="E15" i="32"/>
  <c r="F15" i="32"/>
  <c r="G15" i="32"/>
  <c r="H15" i="32"/>
  <c r="I15" i="32"/>
  <c r="J15" i="32"/>
  <c r="K15" i="32"/>
  <c r="L15" i="32"/>
  <c r="B16" i="32"/>
  <c r="C16" i="32"/>
  <c r="D16" i="32"/>
  <c r="E16" i="32"/>
  <c r="F16" i="32"/>
  <c r="G16" i="32"/>
  <c r="H16" i="32"/>
  <c r="I16" i="32"/>
  <c r="J16" i="32"/>
  <c r="K16" i="32"/>
  <c r="L16" i="32"/>
  <c r="B17" i="32"/>
  <c r="C17" i="32"/>
  <c r="D17" i="32"/>
  <c r="E17" i="32"/>
  <c r="F17" i="32"/>
  <c r="G17" i="32"/>
  <c r="H17" i="32"/>
  <c r="I17" i="32"/>
  <c r="J17" i="32"/>
  <c r="K17" i="32"/>
  <c r="L17" i="32"/>
  <c r="C18" i="32"/>
  <c r="D18" i="32"/>
  <c r="E18" i="32"/>
  <c r="F18" i="32"/>
  <c r="G18" i="32"/>
  <c r="H18" i="32"/>
  <c r="I18" i="32"/>
  <c r="J18" i="32"/>
  <c r="K18" i="32"/>
  <c r="L18" i="32"/>
  <c r="B19" i="32"/>
  <c r="C19" i="32"/>
  <c r="D19" i="32"/>
  <c r="E19" i="32"/>
  <c r="F19" i="32"/>
  <c r="G19" i="32"/>
  <c r="H19" i="32"/>
  <c r="I19" i="32"/>
  <c r="J19" i="32"/>
  <c r="K19" i="32"/>
  <c r="L19" i="32"/>
  <c r="C20" i="32"/>
  <c r="D20" i="32"/>
  <c r="E20" i="32"/>
  <c r="F20" i="32"/>
  <c r="G20" i="32"/>
  <c r="H20" i="32"/>
  <c r="I20" i="32"/>
  <c r="J20" i="32"/>
  <c r="K20" i="32"/>
  <c r="L20" i="32"/>
  <c r="C21" i="32"/>
  <c r="D21" i="32"/>
  <c r="E21" i="32"/>
  <c r="F21" i="32"/>
  <c r="G21" i="32"/>
  <c r="H21" i="32"/>
  <c r="I21" i="32"/>
  <c r="J21" i="32"/>
  <c r="K21" i="32"/>
  <c r="L21" i="32"/>
  <c r="C22" i="32"/>
  <c r="D22" i="32"/>
  <c r="E22" i="32"/>
  <c r="F22" i="32"/>
  <c r="G22" i="32"/>
  <c r="H22" i="32"/>
  <c r="I22" i="32"/>
  <c r="J22" i="32"/>
  <c r="K22" i="32"/>
  <c r="L22" i="32"/>
  <c r="C23" i="32"/>
  <c r="D23" i="32"/>
  <c r="E23" i="32"/>
  <c r="F23" i="32"/>
  <c r="G23" i="32"/>
  <c r="H23" i="32"/>
  <c r="I23" i="32"/>
  <c r="J23" i="32"/>
  <c r="K23" i="32"/>
  <c r="L23" i="32"/>
  <c r="C24" i="32"/>
  <c r="D24" i="32"/>
  <c r="E24" i="32"/>
  <c r="F24" i="32"/>
  <c r="G24" i="32"/>
  <c r="H24" i="32"/>
  <c r="I24" i="32"/>
  <c r="J24" i="32"/>
  <c r="K24" i="32"/>
  <c r="L24" i="32"/>
  <c r="C25" i="32"/>
  <c r="D25" i="32"/>
  <c r="E25" i="32"/>
  <c r="F25" i="32"/>
  <c r="G25" i="32"/>
  <c r="H25" i="32"/>
  <c r="I25" i="32"/>
  <c r="J25" i="32"/>
  <c r="K25" i="32"/>
  <c r="L25" i="32"/>
  <c r="C26" i="32"/>
  <c r="D26" i="32"/>
  <c r="E26" i="32"/>
  <c r="F26" i="32"/>
  <c r="G26" i="32"/>
  <c r="H26" i="32"/>
  <c r="I26" i="32"/>
  <c r="J26" i="32"/>
  <c r="K26" i="32"/>
  <c r="L26" i="32"/>
  <c r="C27" i="32"/>
  <c r="D27" i="32"/>
  <c r="E27" i="32"/>
  <c r="F27" i="32"/>
  <c r="G27" i="32"/>
  <c r="H27" i="32"/>
  <c r="I27" i="32"/>
  <c r="J27" i="32"/>
  <c r="K27" i="32"/>
  <c r="L27" i="32"/>
  <c r="C28" i="32"/>
  <c r="D28" i="32"/>
  <c r="E28" i="32"/>
  <c r="F28" i="32"/>
  <c r="G28" i="32"/>
  <c r="H28" i="32"/>
  <c r="I28" i="32"/>
  <c r="J28" i="32"/>
  <c r="K28" i="32"/>
  <c r="L28" i="32"/>
  <c r="H23" i="31" l="1"/>
  <c r="G23" i="31"/>
  <c r="F23" i="31"/>
  <c r="E23" i="31"/>
  <c r="D23" i="31"/>
  <c r="C23" i="31"/>
  <c r="H22" i="31"/>
  <c r="G22" i="31"/>
  <c r="F22" i="31"/>
  <c r="E22" i="31"/>
  <c r="D22" i="31"/>
  <c r="C22" i="31"/>
  <c r="H21" i="31"/>
  <c r="G21" i="31"/>
  <c r="F21" i="31"/>
  <c r="E21" i="31"/>
  <c r="D21" i="31"/>
  <c r="C21" i="31"/>
  <c r="H20" i="31"/>
  <c r="G20" i="31"/>
  <c r="F20" i="31"/>
  <c r="E20" i="31"/>
  <c r="D20" i="31"/>
  <c r="C20" i="31"/>
  <c r="H18" i="31"/>
  <c r="G18" i="31"/>
  <c r="F18" i="31"/>
  <c r="E18" i="31"/>
  <c r="D18" i="31"/>
  <c r="C18" i="31"/>
  <c r="H17" i="31"/>
  <c r="G17" i="31"/>
  <c r="F17" i="31"/>
  <c r="E17" i="31"/>
  <c r="D17" i="31"/>
  <c r="C17" i="31"/>
  <c r="H15" i="31"/>
  <c r="G15" i="31"/>
  <c r="F15" i="31"/>
  <c r="E15" i="31"/>
  <c r="D15" i="31"/>
  <c r="C15" i="31"/>
  <c r="H14" i="31"/>
  <c r="G14" i="31"/>
  <c r="F14" i="31"/>
  <c r="E14" i="31"/>
  <c r="D14" i="31"/>
  <c r="C14" i="31"/>
  <c r="H11" i="31"/>
  <c r="G11" i="31"/>
  <c r="F11" i="31"/>
  <c r="E11" i="31"/>
  <c r="D11" i="31"/>
  <c r="C11" i="31"/>
  <c r="H10" i="31"/>
  <c r="G10" i="31"/>
  <c r="F10" i="31"/>
  <c r="E10" i="31"/>
  <c r="D10" i="31"/>
  <c r="C10" i="31"/>
  <c r="H8" i="31"/>
  <c r="G8" i="31"/>
  <c r="F8" i="31"/>
  <c r="E8" i="31"/>
  <c r="D8" i="31"/>
  <c r="C8" i="31"/>
  <c r="H7" i="31"/>
  <c r="G7" i="31"/>
  <c r="F7" i="31"/>
  <c r="E7" i="31"/>
  <c r="D7" i="31"/>
  <c r="C7" i="31"/>
  <c r="H23" i="30"/>
  <c r="G23" i="30"/>
  <c r="F23" i="30"/>
  <c r="E23" i="30"/>
  <c r="D23" i="30"/>
  <c r="C23" i="30"/>
  <c r="H22" i="30"/>
  <c r="G22" i="30"/>
  <c r="F22" i="30"/>
  <c r="E22" i="30"/>
  <c r="D22" i="30"/>
  <c r="C22" i="30"/>
  <c r="H21" i="30"/>
  <c r="G21" i="30"/>
  <c r="F21" i="30"/>
  <c r="E21" i="30"/>
  <c r="D21" i="30"/>
  <c r="C21" i="30"/>
  <c r="H20" i="30"/>
  <c r="G20" i="30"/>
  <c r="F20" i="30"/>
  <c r="E20" i="30"/>
  <c r="D20" i="30"/>
  <c r="C20" i="30"/>
  <c r="H18" i="30"/>
  <c r="G18" i="30"/>
  <c r="F18" i="30"/>
  <c r="E18" i="30"/>
  <c r="D18" i="30"/>
  <c r="C18" i="30"/>
  <c r="H17" i="30"/>
  <c r="G17" i="30"/>
  <c r="F17" i="30"/>
  <c r="E17" i="30"/>
  <c r="D17" i="30"/>
  <c r="C17" i="30"/>
  <c r="H15" i="30"/>
  <c r="G15" i="30"/>
  <c r="F15" i="30"/>
  <c r="E15" i="30"/>
  <c r="D15" i="30"/>
  <c r="C15" i="30"/>
  <c r="H14" i="30"/>
  <c r="G14" i="30"/>
  <c r="F14" i="30"/>
  <c r="E14" i="30"/>
  <c r="D14" i="30"/>
  <c r="C14" i="30"/>
  <c r="H11" i="30"/>
  <c r="G11" i="30"/>
  <c r="F11" i="30"/>
  <c r="E11" i="30"/>
  <c r="D11" i="30"/>
  <c r="C11" i="30"/>
  <c r="H10" i="30"/>
  <c r="G10" i="30"/>
  <c r="F10" i="30"/>
  <c r="E10" i="30"/>
  <c r="D10" i="30"/>
  <c r="C10" i="30"/>
  <c r="H8" i="30"/>
  <c r="G8" i="30"/>
  <c r="F8" i="30"/>
  <c r="E8" i="30"/>
  <c r="D8" i="30"/>
  <c r="C8" i="30"/>
  <c r="H7" i="30"/>
  <c r="G7" i="30"/>
  <c r="F7" i="30"/>
  <c r="E7" i="30"/>
  <c r="D7" i="30"/>
  <c r="C7" i="30"/>
  <c r="L27" i="24" l="1"/>
  <c r="K27" i="24"/>
  <c r="J27" i="24"/>
  <c r="I27" i="24"/>
  <c r="H27" i="24"/>
  <c r="G27" i="24"/>
  <c r="F27" i="24"/>
  <c r="E27" i="24"/>
  <c r="D27" i="24"/>
  <c r="C27" i="24"/>
  <c r="L26" i="24"/>
  <c r="K26" i="24"/>
  <c r="J26" i="24"/>
  <c r="I26" i="24"/>
  <c r="H26" i="24"/>
  <c r="G26" i="24"/>
  <c r="F26" i="24"/>
  <c r="E26" i="24"/>
  <c r="D26" i="24"/>
  <c r="C26" i="24"/>
  <c r="L25" i="24"/>
  <c r="K25" i="24"/>
  <c r="J25" i="24"/>
  <c r="I25" i="24"/>
  <c r="H25" i="24"/>
  <c r="G25" i="24"/>
  <c r="F25" i="24"/>
  <c r="E25" i="24"/>
  <c r="D25" i="24"/>
  <c r="C25" i="24"/>
  <c r="L24" i="24"/>
  <c r="K24" i="24"/>
  <c r="J24" i="24"/>
  <c r="I24" i="24"/>
  <c r="H24" i="24"/>
  <c r="G24" i="24"/>
  <c r="F24" i="24"/>
  <c r="E24" i="24"/>
  <c r="D24" i="24"/>
  <c r="C24" i="24"/>
  <c r="L23" i="24"/>
  <c r="K23" i="24"/>
  <c r="J23" i="24"/>
  <c r="I23" i="24"/>
  <c r="H23" i="24"/>
  <c r="G23" i="24"/>
  <c r="F23" i="24"/>
  <c r="E23" i="24"/>
  <c r="D23" i="24"/>
  <c r="C23" i="24"/>
  <c r="L22" i="24"/>
  <c r="K22" i="24"/>
  <c r="J22" i="24"/>
  <c r="I22" i="24"/>
  <c r="H22" i="24"/>
  <c r="G22" i="24"/>
  <c r="F22" i="24"/>
  <c r="E22" i="24"/>
  <c r="D22" i="24"/>
  <c r="C22" i="24"/>
  <c r="L21" i="24"/>
  <c r="K21" i="24"/>
  <c r="J21" i="24"/>
  <c r="I21" i="24"/>
  <c r="H21" i="24"/>
  <c r="G21" i="24"/>
  <c r="F21" i="24"/>
  <c r="E21" i="24"/>
  <c r="D21" i="24"/>
  <c r="C21" i="24"/>
  <c r="L20" i="24"/>
  <c r="K20" i="24"/>
  <c r="J20" i="24"/>
  <c r="I20" i="24"/>
  <c r="H20" i="24"/>
  <c r="G20" i="24"/>
  <c r="F20" i="24"/>
  <c r="E20" i="24"/>
  <c r="D20" i="24"/>
  <c r="C20" i="24"/>
  <c r="L19" i="24"/>
  <c r="K19" i="24"/>
  <c r="J19" i="24"/>
  <c r="I19" i="24"/>
  <c r="H19" i="24"/>
  <c r="G19" i="24"/>
  <c r="F19" i="24"/>
  <c r="E19" i="24"/>
  <c r="D19" i="24"/>
  <c r="C19" i="24"/>
  <c r="L18" i="24"/>
  <c r="K18" i="24"/>
  <c r="J18" i="24"/>
  <c r="I18" i="24"/>
  <c r="H18" i="24"/>
  <c r="G18" i="24"/>
  <c r="F18" i="24"/>
  <c r="E18" i="24"/>
  <c r="D18" i="24"/>
  <c r="C18" i="24"/>
  <c r="L17" i="24"/>
  <c r="K17" i="24"/>
  <c r="J17" i="24"/>
  <c r="I17" i="24"/>
  <c r="H17" i="24"/>
  <c r="G17" i="24"/>
  <c r="F17" i="24"/>
  <c r="E17" i="24"/>
  <c r="D17" i="24"/>
  <c r="C17" i="24"/>
  <c r="L16" i="24"/>
  <c r="K16" i="24"/>
  <c r="J16" i="24"/>
  <c r="I16" i="24"/>
  <c r="H16" i="24"/>
  <c r="G16" i="24"/>
  <c r="F16" i="24"/>
  <c r="E16" i="24"/>
  <c r="D16" i="24"/>
  <c r="C16" i="24"/>
  <c r="L15" i="24"/>
  <c r="K15" i="24"/>
  <c r="J15" i="24"/>
  <c r="I15" i="24"/>
  <c r="H15" i="24"/>
  <c r="G15" i="24"/>
  <c r="F15" i="24"/>
  <c r="E15" i="24"/>
  <c r="D15" i="24"/>
  <c r="C15" i="24"/>
  <c r="L14" i="24"/>
  <c r="K14" i="24"/>
  <c r="J14" i="24"/>
  <c r="I14" i="24"/>
  <c r="H14" i="24"/>
  <c r="G14" i="24"/>
  <c r="F14" i="24"/>
  <c r="E14" i="24"/>
  <c r="D14" i="24"/>
  <c r="C14" i="24"/>
  <c r="L13" i="24"/>
  <c r="K13" i="24"/>
  <c r="J13" i="24"/>
  <c r="I13" i="24"/>
  <c r="H13" i="24"/>
  <c r="G13" i="24"/>
  <c r="F13" i="24"/>
  <c r="E13" i="24"/>
  <c r="D13" i="24"/>
  <c r="C13" i="24"/>
  <c r="L12" i="24"/>
  <c r="K12" i="24"/>
  <c r="J12" i="24"/>
  <c r="I12" i="24"/>
  <c r="H12" i="24"/>
  <c r="G12" i="24"/>
  <c r="F12" i="24"/>
  <c r="E12" i="24"/>
  <c r="D12" i="24"/>
  <c r="C12" i="24"/>
  <c r="L11" i="24"/>
  <c r="K11" i="24"/>
  <c r="J11" i="24"/>
  <c r="I11" i="24"/>
  <c r="H11" i="24"/>
  <c r="G11" i="24"/>
  <c r="F11" i="24"/>
  <c r="E11" i="24"/>
  <c r="D11" i="24"/>
  <c r="C11" i="24"/>
  <c r="L10" i="24"/>
  <c r="K10" i="24"/>
  <c r="J10" i="24"/>
  <c r="I10" i="24"/>
  <c r="H10" i="24"/>
  <c r="G10" i="24"/>
  <c r="F10" i="24"/>
  <c r="E10" i="24"/>
  <c r="D10" i="24"/>
  <c r="C10" i="24"/>
  <c r="L8" i="24"/>
  <c r="K8" i="24"/>
  <c r="J8" i="24"/>
  <c r="I8" i="24"/>
  <c r="H8" i="24"/>
  <c r="G8" i="24"/>
  <c r="F8" i="24"/>
  <c r="E8" i="24"/>
  <c r="D8" i="24"/>
  <c r="C8" i="24"/>
  <c r="L7" i="24"/>
  <c r="K7" i="24"/>
  <c r="J7" i="24"/>
  <c r="I7" i="24"/>
  <c r="H7" i="24"/>
  <c r="G7" i="24"/>
  <c r="F7" i="24"/>
  <c r="E7" i="24"/>
  <c r="D7" i="24"/>
  <c r="C7" i="24"/>
  <c r="L6" i="24"/>
  <c r="K6" i="24"/>
  <c r="J6" i="24"/>
  <c r="I6" i="24"/>
  <c r="H6" i="24"/>
  <c r="G6" i="24"/>
  <c r="F6" i="24"/>
  <c r="E6" i="24"/>
  <c r="D6" i="24"/>
  <c r="C6" i="24"/>
  <c r="L5" i="24"/>
  <c r="K5" i="24"/>
  <c r="J5" i="24"/>
  <c r="I5" i="24"/>
  <c r="H5" i="24"/>
  <c r="G5" i="24"/>
  <c r="F5" i="24"/>
  <c r="E5" i="24"/>
  <c r="D5" i="24"/>
  <c r="C5" i="24"/>
  <c r="L27" i="22"/>
  <c r="K27" i="22"/>
  <c r="J27" i="22"/>
  <c r="I27" i="22"/>
  <c r="H27" i="22"/>
  <c r="G27" i="22"/>
  <c r="F27" i="22"/>
  <c r="E27" i="22"/>
  <c r="D27" i="22"/>
  <c r="C27" i="22"/>
  <c r="L26" i="22"/>
  <c r="K26" i="22"/>
  <c r="J26" i="22"/>
  <c r="I26" i="22"/>
  <c r="H26" i="22"/>
  <c r="G26" i="22"/>
  <c r="F26" i="22"/>
  <c r="E26" i="22"/>
  <c r="D26" i="22"/>
  <c r="C26" i="22"/>
  <c r="L25" i="22"/>
  <c r="K25" i="22"/>
  <c r="J25" i="22"/>
  <c r="I25" i="22"/>
  <c r="H25" i="22"/>
  <c r="G25" i="22"/>
  <c r="F25" i="22"/>
  <c r="E25" i="22"/>
  <c r="D25" i="22"/>
  <c r="C25" i="22"/>
  <c r="L24" i="22"/>
  <c r="K24" i="22"/>
  <c r="J24" i="22"/>
  <c r="I24" i="22"/>
  <c r="H24" i="22"/>
  <c r="G24" i="22"/>
  <c r="F24" i="22"/>
  <c r="E24" i="22"/>
  <c r="D24" i="22"/>
  <c r="C24" i="22"/>
  <c r="L23" i="22"/>
  <c r="K23" i="22"/>
  <c r="J23" i="22"/>
  <c r="I23" i="22"/>
  <c r="H23" i="22"/>
  <c r="G23" i="22"/>
  <c r="F23" i="22"/>
  <c r="E23" i="22"/>
  <c r="D23" i="22"/>
  <c r="C23" i="22"/>
  <c r="L22" i="22"/>
  <c r="K22" i="22"/>
  <c r="J22" i="22"/>
  <c r="I22" i="22"/>
  <c r="H22" i="22"/>
  <c r="G22" i="22"/>
  <c r="F22" i="22"/>
  <c r="E22" i="22"/>
  <c r="D22" i="22"/>
  <c r="C22" i="22"/>
  <c r="L21" i="22"/>
  <c r="K21" i="22"/>
  <c r="J21" i="22"/>
  <c r="I21" i="22"/>
  <c r="H21" i="22"/>
  <c r="G21" i="22"/>
  <c r="F21" i="22"/>
  <c r="E21" i="22"/>
  <c r="D21" i="22"/>
  <c r="C21" i="22"/>
  <c r="L20" i="22"/>
  <c r="K20" i="22"/>
  <c r="J20" i="22"/>
  <c r="I20" i="22"/>
  <c r="H20" i="22"/>
  <c r="G20" i="22"/>
  <c r="F20" i="22"/>
  <c r="E20" i="22"/>
  <c r="D20" i="22"/>
  <c r="C20" i="22"/>
  <c r="L19" i="22"/>
  <c r="K19" i="22"/>
  <c r="J19" i="22"/>
  <c r="I19" i="22"/>
  <c r="H19" i="22"/>
  <c r="G19" i="22"/>
  <c r="F19" i="22"/>
  <c r="E19" i="22"/>
  <c r="D19" i="22"/>
  <c r="C19" i="22"/>
  <c r="L18" i="22"/>
  <c r="K18" i="22"/>
  <c r="J18" i="22"/>
  <c r="I18" i="22"/>
  <c r="H18" i="22"/>
  <c r="G18" i="22"/>
  <c r="F18" i="22"/>
  <c r="E18" i="22"/>
  <c r="D18" i="22"/>
  <c r="C18" i="22"/>
  <c r="L17" i="22"/>
  <c r="K17" i="22"/>
  <c r="J17" i="22"/>
  <c r="I17" i="22"/>
  <c r="H17" i="22"/>
  <c r="G17" i="22"/>
  <c r="F17" i="22"/>
  <c r="E17" i="22"/>
  <c r="D17" i="22"/>
  <c r="C17" i="22"/>
  <c r="L16" i="22"/>
  <c r="K16" i="22"/>
  <c r="J16" i="22"/>
  <c r="I16" i="22"/>
  <c r="H16" i="22"/>
  <c r="G16" i="22"/>
  <c r="F16" i="22"/>
  <c r="E16" i="22"/>
  <c r="D16" i="22"/>
  <c r="C16" i="22"/>
  <c r="L15" i="22"/>
  <c r="K15" i="22"/>
  <c r="J15" i="22"/>
  <c r="I15" i="22"/>
  <c r="H15" i="22"/>
  <c r="G15" i="22"/>
  <c r="F15" i="22"/>
  <c r="E15" i="22"/>
  <c r="D15" i="22"/>
  <c r="C15" i="22"/>
  <c r="L14" i="22"/>
  <c r="K14" i="22"/>
  <c r="J14" i="22"/>
  <c r="I14" i="22"/>
  <c r="H14" i="22"/>
  <c r="G14" i="22"/>
  <c r="F14" i="22"/>
  <c r="E14" i="22"/>
  <c r="D14" i="22"/>
  <c r="C14" i="22"/>
  <c r="L13" i="22"/>
  <c r="K13" i="22"/>
  <c r="J13" i="22"/>
  <c r="I13" i="22"/>
  <c r="H13" i="22"/>
  <c r="G13" i="22"/>
  <c r="F13" i="22"/>
  <c r="E13" i="22"/>
  <c r="D13" i="22"/>
  <c r="C13" i="22"/>
  <c r="L12" i="22"/>
  <c r="K12" i="22"/>
  <c r="J12" i="22"/>
  <c r="I12" i="22"/>
  <c r="H12" i="22"/>
  <c r="G12" i="22"/>
  <c r="F12" i="22"/>
  <c r="E12" i="22"/>
  <c r="D12" i="22"/>
  <c r="C12" i="22"/>
  <c r="L11" i="22"/>
  <c r="K11" i="22"/>
  <c r="J11" i="22"/>
  <c r="I11" i="22"/>
  <c r="H11" i="22"/>
  <c r="G11" i="22"/>
  <c r="F11" i="22"/>
  <c r="E11" i="22"/>
  <c r="D11" i="22"/>
  <c r="C11" i="22"/>
  <c r="L10" i="22"/>
  <c r="K10" i="22"/>
  <c r="J10" i="22"/>
  <c r="I10" i="22"/>
  <c r="H10" i="22"/>
  <c r="G10" i="22"/>
  <c r="F10" i="22"/>
  <c r="E10" i="22"/>
  <c r="D10" i="22"/>
  <c r="C10" i="22"/>
  <c r="L8" i="22"/>
  <c r="K8" i="22"/>
  <c r="J8" i="22"/>
  <c r="I8" i="22"/>
  <c r="H8" i="22"/>
  <c r="G8" i="22"/>
  <c r="F8" i="22"/>
  <c r="E8" i="22"/>
  <c r="D8" i="22"/>
  <c r="C8" i="22"/>
  <c r="L7" i="22"/>
  <c r="K7" i="22"/>
  <c r="J7" i="22"/>
  <c r="I7" i="22"/>
  <c r="H7" i="22"/>
  <c r="G7" i="22"/>
  <c r="F7" i="22"/>
  <c r="E7" i="22"/>
  <c r="D7" i="22"/>
  <c r="C7" i="22"/>
  <c r="L6" i="22"/>
  <c r="K6" i="22"/>
  <c r="J6" i="22"/>
  <c r="I6" i="22"/>
  <c r="H6" i="22"/>
  <c r="G6" i="22"/>
  <c r="F6" i="22"/>
  <c r="E6" i="22"/>
  <c r="D6" i="22"/>
  <c r="C6" i="22"/>
  <c r="L5" i="22"/>
  <c r="K5" i="22"/>
  <c r="J5" i="22"/>
  <c r="I5" i="22"/>
  <c r="H5" i="22"/>
  <c r="G5" i="22"/>
  <c r="F5" i="22"/>
  <c r="E5" i="22"/>
  <c r="D5" i="22"/>
  <c r="C5" i="22"/>
  <c r="B18" i="24" l="1"/>
  <c r="B16" i="24"/>
  <c r="B15" i="24"/>
  <c r="B14" i="24"/>
  <c r="B13" i="24"/>
  <c r="B12" i="24"/>
  <c r="B11" i="24"/>
  <c r="B10" i="24"/>
  <c r="B8" i="24"/>
  <c r="B18" i="22"/>
  <c r="B16" i="22"/>
  <c r="B15" i="22"/>
  <c r="B14" i="22"/>
  <c r="B13" i="22"/>
  <c r="B12" i="22"/>
  <c r="B11" i="22"/>
  <c r="B10" i="22"/>
  <c r="B8" i="22"/>
  <c r="V28" i="21"/>
  <c r="U28" i="21"/>
  <c r="T28" i="21"/>
  <c r="S28" i="21"/>
  <c r="R28" i="21"/>
  <c r="Q28" i="21"/>
  <c r="P28" i="21"/>
  <c r="O28" i="21"/>
  <c r="N28" i="21"/>
  <c r="M28" i="21"/>
  <c r="L28" i="21"/>
  <c r="K28" i="21"/>
  <c r="J28" i="21"/>
  <c r="I28" i="21"/>
  <c r="H28" i="21"/>
  <c r="G28" i="21"/>
  <c r="F28" i="21"/>
  <c r="E28" i="21"/>
  <c r="D28" i="21"/>
  <c r="C28" i="21"/>
  <c r="V27" i="21"/>
  <c r="U27" i="21"/>
  <c r="T27" i="21"/>
  <c r="S27" i="21"/>
  <c r="R27" i="21"/>
  <c r="Q27" i="21"/>
  <c r="P27" i="21"/>
  <c r="O27" i="21"/>
  <c r="N27" i="21"/>
  <c r="M27" i="21"/>
  <c r="L27" i="21"/>
  <c r="K27" i="21"/>
  <c r="J27" i="21"/>
  <c r="I27" i="21"/>
  <c r="H27" i="21"/>
  <c r="G27" i="21"/>
  <c r="F27" i="21"/>
  <c r="E27" i="21"/>
  <c r="D27" i="21"/>
  <c r="C27" i="21"/>
  <c r="V26" i="21"/>
  <c r="U26" i="21"/>
  <c r="T26" i="21"/>
  <c r="S26" i="21"/>
  <c r="R26" i="21"/>
  <c r="Q26" i="21"/>
  <c r="P26" i="21"/>
  <c r="O26" i="21"/>
  <c r="N26" i="21"/>
  <c r="M26" i="21"/>
  <c r="L26" i="21"/>
  <c r="K26" i="21"/>
  <c r="J26" i="21"/>
  <c r="I26" i="21"/>
  <c r="H26" i="21"/>
  <c r="G26" i="21"/>
  <c r="F26" i="21"/>
  <c r="E26" i="21"/>
  <c r="D26" i="21"/>
  <c r="C26" i="21"/>
  <c r="V25" i="21"/>
  <c r="U25" i="21"/>
  <c r="T25" i="21"/>
  <c r="S25" i="21"/>
  <c r="R25" i="21"/>
  <c r="Q25" i="21"/>
  <c r="P25" i="21"/>
  <c r="O25" i="21"/>
  <c r="N25" i="21"/>
  <c r="M25" i="21"/>
  <c r="L25" i="21"/>
  <c r="K25" i="21"/>
  <c r="J25" i="21"/>
  <c r="I25" i="21"/>
  <c r="H25" i="21"/>
  <c r="G25" i="21"/>
  <c r="F25" i="21"/>
  <c r="E25" i="21"/>
  <c r="D25" i="21"/>
  <c r="C25" i="21"/>
  <c r="V24" i="21"/>
  <c r="U24" i="21"/>
  <c r="T24" i="21"/>
  <c r="S24" i="21"/>
  <c r="R24" i="21"/>
  <c r="Q24" i="21"/>
  <c r="P24" i="21"/>
  <c r="O24" i="21"/>
  <c r="N24" i="21"/>
  <c r="M24" i="21"/>
  <c r="L24" i="21"/>
  <c r="K24" i="21"/>
  <c r="J24" i="21"/>
  <c r="I24" i="21"/>
  <c r="H24" i="21"/>
  <c r="G24" i="21"/>
  <c r="F24" i="21"/>
  <c r="E24" i="21"/>
  <c r="D24" i="21"/>
  <c r="C24" i="21"/>
  <c r="V23" i="21"/>
  <c r="U23" i="21"/>
  <c r="T23" i="21"/>
  <c r="S23" i="21"/>
  <c r="R23" i="21"/>
  <c r="Q23" i="21"/>
  <c r="P23" i="21"/>
  <c r="O23" i="21"/>
  <c r="N23" i="21"/>
  <c r="M23" i="21"/>
  <c r="L23" i="21"/>
  <c r="K23" i="21"/>
  <c r="J23" i="21"/>
  <c r="I23" i="21"/>
  <c r="H23" i="21"/>
  <c r="G23" i="21"/>
  <c r="F23" i="21"/>
  <c r="E23" i="21"/>
  <c r="D23" i="21"/>
  <c r="C23" i="21"/>
  <c r="V22" i="21"/>
  <c r="U22" i="21"/>
  <c r="T22" i="21"/>
  <c r="S22" i="21"/>
  <c r="R22" i="21"/>
  <c r="Q22" i="21"/>
  <c r="P22" i="21"/>
  <c r="O22" i="21"/>
  <c r="N22" i="21"/>
  <c r="M22" i="21"/>
  <c r="L22" i="21"/>
  <c r="K22" i="21"/>
  <c r="J22" i="21"/>
  <c r="I22" i="21"/>
  <c r="H22" i="21"/>
  <c r="G22" i="21"/>
  <c r="F22" i="21"/>
  <c r="E22" i="21"/>
  <c r="D22" i="21"/>
  <c r="C22" i="21"/>
  <c r="V21" i="21"/>
  <c r="U21" i="21"/>
  <c r="T21" i="21"/>
  <c r="S21" i="21"/>
  <c r="R21" i="21"/>
  <c r="Q21" i="21"/>
  <c r="P21" i="21"/>
  <c r="O21" i="21"/>
  <c r="N21" i="21"/>
  <c r="M21" i="21"/>
  <c r="L21" i="21"/>
  <c r="K21" i="21"/>
  <c r="J21" i="21"/>
  <c r="I21" i="21"/>
  <c r="H21" i="21"/>
  <c r="G21" i="21"/>
  <c r="F21" i="21"/>
  <c r="E21" i="21"/>
  <c r="D21" i="21"/>
  <c r="C21" i="21"/>
  <c r="V20" i="21"/>
  <c r="U20" i="21"/>
  <c r="T20" i="21"/>
  <c r="S20" i="21"/>
  <c r="R20" i="21"/>
  <c r="Q20" i="21"/>
  <c r="P20" i="21"/>
  <c r="O20" i="21"/>
  <c r="N20" i="21"/>
  <c r="M20" i="21"/>
  <c r="L20" i="21"/>
  <c r="K20" i="21"/>
  <c r="J20" i="21"/>
  <c r="I20" i="21"/>
  <c r="H20" i="21"/>
  <c r="G20" i="21"/>
  <c r="F20" i="21"/>
  <c r="E20" i="21"/>
  <c r="D20" i="21"/>
  <c r="C20" i="21"/>
  <c r="V19" i="21"/>
  <c r="U19" i="21"/>
  <c r="T19" i="21"/>
  <c r="S19" i="21"/>
  <c r="R19" i="21"/>
  <c r="Q19" i="21"/>
  <c r="P19" i="21"/>
  <c r="O19" i="21"/>
  <c r="N19" i="21"/>
  <c r="M19" i="21"/>
  <c r="L19" i="21"/>
  <c r="K19" i="21"/>
  <c r="J19" i="21"/>
  <c r="I19" i="21"/>
  <c r="H19" i="21"/>
  <c r="G19" i="21"/>
  <c r="F19" i="21"/>
  <c r="E19" i="21"/>
  <c r="D19" i="21"/>
  <c r="C19" i="21"/>
  <c r="V18" i="21"/>
  <c r="U18" i="21"/>
  <c r="T18" i="21"/>
  <c r="S18" i="21"/>
  <c r="R18" i="21"/>
  <c r="Q18" i="21"/>
  <c r="P18" i="21"/>
  <c r="O18" i="21"/>
  <c r="N18" i="21"/>
  <c r="M18" i="21"/>
  <c r="L18" i="21"/>
  <c r="K18" i="21"/>
  <c r="J18" i="21"/>
  <c r="I18" i="21"/>
  <c r="H18" i="21"/>
  <c r="G18" i="21"/>
  <c r="F18" i="21"/>
  <c r="E18" i="21"/>
  <c r="D18" i="21"/>
  <c r="C18" i="21"/>
  <c r="V17" i="21"/>
  <c r="U17" i="21"/>
  <c r="T17" i="21"/>
  <c r="S17" i="21"/>
  <c r="R17" i="21"/>
  <c r="Q17" i="21"/>
  <c r="P17" i="21"/>
  <c r="O17" i="21"/>
  <c r="N17" i="21"/>
  <c r="M17" i="21"/>
  <c r="L17" i="21"/>
  <c r="K17" i="21"/>
  <c r="J17" i="21"/>
  <c r="I17" i="21"/>
  <c r="H17" i="21"/>
  <c r="G17" i="21"/>
  <c r="F17" i="21"/>
  <c r="E17" i="21"/>
  <c r="D17" i="21"/>
  <c r="C17" i="21"/>
  <c r="V16" i="21"/>
  <c r="U16" i="21"/>
  <c r="T16" i="21"/>
  <c r="S16" i="21"/>
  <c r="R16" i="21"/>
  <c r="Q16" i="21"/>
  <c r="P16" i="21"/>
  <c r="O16" i="21"/>
  <c r="N16" i="21"/>
  <c r="M16" i="21"/>
  <c r="L16" i="21"/>
  <c r="K16" i="21"/>
  <c r="J16" i="21"/>
  <c r="I16" i="21"/>
  <c r="H16" i="21"/>
  <c r="G16" i="21"/>
  <c r="F16" i="21"/>
  <c r="E16" i="21"/>
  <c r="D16" i="21"/>
  <c r="C16" i="21"/>
  <c r="V15" i="21"/>
  <c r="U15" i="21"/>
  <c r="T15" i="21"/>
  <c r="S15" i="21"/>
  <c r="R15" i="21"/>
  <c r="Q15" i="21"/>
  <c r="P15" i="21"/>
  <c r="O15" i="21"/>
  <c r="N15" i="21"/>
  <c r="M15" i="21"/>
  <c r="L15" i="21"/>
  <c r="K15" i="21"/>
  <c r="J15" i="21"/>
  <c r="I15" i="21"/>
  <c r="H15" i="21"/>
  <c r="G15" i="21"/>
  <c r="F15" i="21"/>
  <c r="E15" i="21"/>
  <c r="D15" i="21"/>
  <c r="C15" i="21"/>
  <c r="V14" i="21"/>
  <c r="U14" i="21"/>
  <c r="T14" i="21"/>
  <c r="S14" i="21"/>
  <c r="R14" i="21"/>
  <c r="Q14" i="21"/>
  <c r="P14" i="21"/>
  <c r="O14" i="21"/>
  <c r="N14" i="21"/>
  <c r="M14" i="21"/>
  <c r="L14" i="21"/>
  <c r="K14" i="21"/>
  <c r="J14" i="21"/>
  <c r="I14" i="21"/>
  <c r="H14" i="21"/>
  <c r="G14" i="21"/>
  <c r="F14" i="21"/>
  <c r="E14" i="21"/>
  <c r="D14" i="21"/>
  <c r="C14" i="21"/>
  <c r="V13" i="21"/>
  <c r="U13" i="21"/>
  <c r="T13" i="21"/>
  <c r="S13" i="21"/>
  <c r="R13" i="21"/>
  <c r="Q13" i="21"/>
  <c r="P13" i="21"/>
  <c r="O13" i="21"/>
  <c r="N13" i="21"/>
  <c r="M13" i="21"/>
  <c r="L13" i="21"/>
  <c r="K13" i="21"/>
  <c r="J13" i="21"/>
  <c r="I13" i="21"/>
  <c r="H13" i="21"/>
  <c r="G13" i="21"/>
  <c r="F13" i="21"/>
  <c r="E13" i="21"/>
  <c r="D13" i="21"/>
  <c r="C13" i="21"/>
  <c r="V12" i="21"/>
  <c r="U12" i="21"/>
  <c r="T12" i="21"/>
  <c r="S12" i="21"/>
  <c r="R12" i="21"/>
  <c r="Q12" i="21"/>
  <c r="P12" i="21"/>
  <c r="O12" i="21"/>
  <c r="N12" i="21"/>
  <c r="M12" i="21"/>
  <c r="L12" i="21"/>
  <c r="K12" i="21"/>
  <c r="J12" i="21"/>
  <c r="I12" i="21"/>
  <c r="H12" i="21"/>
  <c r="G12" i="21"/>
  <c r="F12" i="21"/>
  <c r="E12" i="21"/>
  <c r="D12" i="21"/>
  <c r="C12" i="21"/>
  <c r="V11" i="21"/>
  <c r="U11" i="21"/>
  <c r="T11" i="21"/>
  <c r="S11" i="21"/>
  <c r="R11" i="21"/>
  <c r="Q11" i="21"/>
  <c r="P11" i="21"/>
  <c r="O11" i="21"/>
  <c r="N11" i="21"/>
  <c r="M11" i="21"/>
  <c r="L11" i="21"/>
  <c r="K11" i="21"/>
  <c r="J11" i="21"/>
  <c r="I11" i="21"/>
  <c r="H11" i="21"/>
  <c r="G11" i="21"/>
  <c r="F11" i="21"/>
  <c r="E11" i="21"/>
  <c r="D11" i="21"/>
  <c r="C11" i="21"/>
  <c r="V9" i="21"/>
  <c r="U9" i="21"/>
  <c r="T9" i="21"/>
  <c r="S9" i="21"/>
  <c r="R9" i="21"/>
  <c r="Q9" i="21"/>
  <c r="P9" i="21"/>
  <c r="O9" i="21"/>
  <c r="N9" i="21"/>
  <c r="M9" i="21"/>
  <c r="L9" i="21"/>
  <c r="K9" i="21"/>
  <c r="J9" i="21"/>
  <c r="I9" i="21"/>
  <c r="H9" i="21"/>
  <c r="G9" i="21"/>
  <c r="F9" i="21"/>
  <c r="E9" i="21"/>
  <c r="D9" i="21"/>
  <c r="C9" i="21"/>
  <c r="V8" i="21"/>
  <c r="U8" i="21"/>
  <c r="T8" i="21"/>
  <c r="S8" i="21"/>
  <c r="R8" i="21"/>
  <c r="Q8" i="21"/>
  <c r="P8" i="21"/>
  <c r="O8" i="21"/>
  <c r="N8" i="21"/>
  <c r="M8" i="21"/>
  <c r="L8" i="21"/>
  <c r="K8" i="21"/>
  <c r="J8" i="21"/>
  <c r="I8" i="21"/>
  <c r="H8" i="21"/>
  <c r="G8" i="21"/>
  <c r="F8" i="21"/>
  <c r="E8" i="21"/>
  <c r="D8" i="21"/>
  <c r="C8" i="21"/>
  <c r="V7" i="21"/>
  <c r="U7" i="21"/>
  <c r="T7" i="21"/>
  <c r="S7" i="21"/>
  <c r="R7" i="21"/>
  <c r="Q7" i="21"/>
  <c r="P7" i="21"/>
  <c r="O7" i="21"/>
  <c r="N7" i="21"/>
  <c r="M7" i="21"/>
  <c r="L7" i="21"/>
  <c r="K7" i="21"/>
  <c r="J7" i="21"/>
  <c r="I7" i="21"/>
  <c r="H7" i="21"/>
  <c r="G7" i="21"/>
  <c r="F7" i="21"/>
  <c r="E7" i="21"/>
  <c r="D7" i="21"/>
  <c r="C7" i="21"/>
  <c r="V6" i="21"/>
  <c r="U6" i="21"/>
  <c r="T6" i="21"/>
  <c r="S6" i="21"/>
  <c r="R6" i="21"/>
  <c r="Q6" i="21"/>
  <c r="P6" i="21"/>
  <c r="O6" i="21"/>
  <c r="N6" i="21"/>
  <c r="M6" i="21"/>
  <c r="L6" i="21"/>
  <c r="K6" i="21"/>
  <c r="J6" i="21"/>
  <c r="I6" i="21"/>
  <c r="H6" i="21"/>
  <c r="G6" i="21"/>
  <c r="F6" i="21"/>
  <c r="E6" i="21"/>
  <c r="D6" i="21"/>
  <c r="C6" i="21"/>
  <c r="B19" i="21"/>
  <c r="B17" i="21"/>
  <c r="B16" i="21"/>
  <c r="B15" i="21"/>
  <c r="B14" i="21"/>
  <c r="B13" i="21"/>
  <c r="B12" i="21"/>
  <c r="B11" i="21"/>
  <c r="B9" i="21"/>
  <c r="D9" i="20"/>
  <c r="D8" i="20"/>
  <c r="V28" i="20"/>
  <c r="U28" i="20"/>
  <c r="T28" i="20"/>
  <c r="S28" i="20"/>
  <c r="R28" i="20"/>
  <c r="Q28" i="20"/>
  <c r="P28" i="20"/>
  <c r="O28" i="20"/>
  <c r="N28" i="20"/>
  <c r="M28" i="20"/>
  <c r="L28" i="20"/>
  <c r="K28" i="20"/>
  <c r="J28" i="20"/>
  <c r="I28" i="20"/>
  <c r="H28" i="20"/>
  <c r="G28" i="20"/>
  <c r="F28" i="20"/>
  <c r="E28" i="20"/>
  <c r="D28" i="20"/>
  <c r="C28" i="20"/>
  <c r="V27" i="20"/>
  <c r="U27" i="20"/>
  <c r="T27" i="20"/>
  <c r="S27" i="20"/>
  <c r="R27" i="20"/>
  <c r="Q27" i="20"/>
  <c r="P27" i="20"/>
  <c r="O27" i="20"/>
  <c r="N27" i="20"/>
  <c r="M27" i="20"/>
  <c r="L27" i="20"/>
  <c r="K27" i="20"/>
  <c r="J27" i="20"/>
  <c r="I27" i="20"/>
  <c r="H27" i="20"/>
  <c r="G27" i="20"/>
  <c r="F27" i="20"/>
  <c r="E27" i="20"/>
  <c r="D27" i="20"/>
  <c r="C27" i="20"/>
  <c r="V26" i="20"/>
  <c r="U26" i="20"/>
  <c r="T26" i="20"/>
  <c r="S26" i="20"/>
  <c r="R26" i="20"/>
  <c r="Q26" i="20"/>
  <c r="P26" i="20"/>
  <c r="O26" i="20"/>
  <c r="N26" i="20"/>
  <c r="M26" i="20"/>
  <c r="L26" i="20"/>
  <c r="K26" i="20"/>
  <c r="J26" i="20"/>
  <c r="I26" i="20"/>
  <c r="H26" i="20"/>
  <c r="G26" i="20"/>
  <c r="F26" i="20"/>
  <c r="E26" i="20"/>
  <c r="D26" i="20"/>
  <c r="C26" i="20"/>
  <c r="V25" i="20"/>
  <c r="U25" i="20"/>
  <c r="T25" i="20"/>
  <c r="S25" i="20"/>
  <c r="R25" i="20"/>
  <c r="Q25" i="20"/>
  <c r="P25" i="20"/>
  <c r="O25" i="20"/>
  <c r="N25" i="20"/>
  <c r="M25" i="20"/>
  <c r="L25" i="20"/>
  <c r="K25" i="20"/>
  <c r="J25" i="20"/>
  <c r="I25" i="20"/>
  <c r="H25" i="20"/>
  <c r="G25" i="20"/>
  <c r="F25" i="20"/>
  <c r="E25" i="20"/>
  <c r="D25" i="20"/>
  <c r="C25" i="20"/>
  <c r="V24" i="20"/>
  <c r="U24" i="20"/>
  <c r="T24" i="20"/>
  <c r="S24" i="20"/>
  <c r="R24" i="20"/>
  <c r="Q24" i="20"/>
  <c r="P24" i="20"/>
  <c r="O24" i="20"/>
  <c r="N24" i="20"/>
  <c r="M24" i="20"/>
  <c r="L24" i="20"/>
  <c r="K24" i="20"/>
  <c r="J24" i="20"/>
  <c r="I24" i="20"/>
  <c r="H24" i="20"/>
  <c r="G24" i="20"/>
  <c r="F24" i="20"/>
  <c r="E24" i="20"/>
  <c r="D24" i="20"/>
  <c r="C24" i="20"/>
  <c r="V23" i="20"/>
  <c r="U23" i="20"/>
  <c r="T23" i="20"/>
  <c r="S23" i="20"/>
  <c r="R23" i="20"/>
  <c r="Q23" i="20"/>
  <c r="P23" i="20"/>
  <c r="O23" i="20"/>
  <c r="N23" i="20"/>
  <c r="M23" i="20"/>
  <c r="L23" i="20"/>
  <c r="K23" i="20"/>
  <c r="J23" i="20"/>
  <c r="I23" i="20"/>
  <c r="H23" i="20"/>
  <c r="G23" i="20"/>
  <c r="F23" i="20"/>
  <c r="E23" i="20"/>
  <c r="D23" i="20"/>
  <c r="C23" i="20"/>
  <c r="V22" i="20"/>
  <c r="U22" i="20"/>
  <c r="T22" i="20"/>
  <c r="S22" i="20"/>
  <c r="R22" i="20"/>
  <c r="Q22" i="20"/>
  <c r="P22" i="20"/>
  <c r="O22" i="20"/>
  <c r="N22" i="20"/>
  <c r="M22" i="20"/>
  <c r="L22" i="20"/>
  <c r="K22" i="20"/>
  <c r="J22" i="20"/>
  <c r="I22" i="20"/>
  <c r="H22" i="20"/>
  <c r="G22" i="20"/>
  <c r="F22" i="20"/>
  <c r="E22" i="20"/>
  <c r="D22" i="20"/>
  <c r="C22" i="20"/>
  <c r="V21" i="20"/>
  <c r="U21" i="20"/>
  <c r="T21" i="20"/>
  <c r="S21" i="20"/>
  <c r="R21" i="20"/>
  <c r="Q21" i="20"/>
  <c r="P21" i="20"/>
  <c r="O21" i="20"/>
  <c r="N21" i="20"/>
  <c r="M21" i="20"/>
  <c r="L21" i="20"/>
  <c r="K21" i="20"/>
  <c r="J21" i="20"/>
  <c r="I21" i="20"/>
  <c r="H21" i="20"/>
  <c r="G21" i="20"/>
  <c r="F21" i="20"/>
  <c r="E21" i="20"/>
  <c r="D21" i="20"/>
  <c r="C21" i="20"/>
  <c r="V20" i="20"/>
  <c r="U20" i="20"/>
  <c r="T20" i="20"/>
  <c r="S20" i="20"/>
  <c r="R20" i="20"/>
  <c r="Q20" i="20"/>
  <c r="P20" i="20"/>
  <c r="O20" i="20"/>
  <c r="N20" i="20"/>
  <c r="M20" i="20"/>
  <c r="L20" i="20"/>
  <c r="K20" i="20"/>
  <c r="J20" i="20"/>
  <c r="I20" i="20"/>
  <c r="H20" i="20"/>
  <c r="G20" i="20"/>
  <c r="F20" i="20"/>
  <c r="E20" i="20"/>
  <c r="D20" i="20"/>
  <c r="C20" i="20"/>
  <c r="V19" i="20"/>
  <c r="U19" i="20"/>
  <c r="T19" i="20"/>
  <c r="S19" i="20"/>
  <c r="R19" i="20"/>
  <c r="Q19" i="20"/>
  <c r="P19" i="20"/>
  <c r="O19" i="20"/>
  <c r="N19" i="20"/>
  <c r="M19" i="20"/>
  <c r="L19" i="20"/>
  <c r="K19" i="20"/>
  <c r="J19" i="20"/>
  <c r="I19" i="20"/>
  <c r="H19" i="20"/>
  <c r="G19" i="20"/>
  <c r="F19" i="20"/>
  <c r="E19" i="20"/>
  <c r="D19" i="20"/>
  <c r="C19" i="20"/>
  <c r="V18" i="20"/>
  <c r="U18" i="20"/>
  <c r="T18" i="20"/>
  <c r="S18" i="20"/>
  <c r="R18" i="20"/>
  <c r="Q18" i="20"/>
  <c r="P18" i="20"/>
  <c r="O18" i="20"/>
  <c r="N18" i="20"/>
  <c r="M18" i="20"/>
  <c r="L18" i="20"/>
  <c r="K18" i="20"/>
  <c r="J18" i="20"/>
  <c r="I18" i="20"/>
  <c r="H18" i="20"/>
  <c r="G18" i="20"/>
  <c r="F18" i="20"/>
  <c r="E18" i="20"/>
  <c r="D18" i="20"/>
  <c r="C18" i="20"/>
  <c r="V17" i="20"/>
  <c r="U17" i="20"/>
  <c r="T17" i="20"/>
  <c r="S17" i="20"/>
  <c r="R17" i="20"/>
  <c r="Q17" i="20"/>
  <c r="P17" i="20"/>
  <c r="O17" i="20"/>
  <c r="N17" i="20"/>
  <c r="M17" i="20"/>
  <c r="L17" i="20"/>
  <c r="K17" i="20"/>
  <c r="J17" i="20"/>
  <c r="I17" i="20"/>
  <c r="H17" i="20"/>
  <c r="G17" i="20"/>
  <c r="F17" i="20"/>
  <c r="E17" i="20"/>
  <c r="D17" i="20"/>
  <c r="C17" i="20"/>
  <c r="V16" i="20"/>
  <c r="U16" i="20"/>
  <c r="T16" i="20"/>
  <c r="S16" i="20"/>
  <c r="R16" i="20"/>
  <c r="Q16" i="20"/>
  <c r="P16" i="20"/>
  <c r="O16" i="20"/>
  <c r="N16" i="20"/>
  <c r="M16" i="20"/>
  <c r="L16" i="20"/>
  <c r="K16" i="20"/>
  <c r="J16" i="20"/>
  <c r="I16" i="20"/>
  <c r="H16" i="20"/>
  <c r="G16" i="20"/>
  <c r="F16" i="20"/>
  <c r="E16" i="20"/>
  <c r="D16" i="20"/>
  <c r="C16" i="20"/>
  <c r="V15" i="20"/>
  <c r="U15" i="20"/>
  <c r="T15" i="20"/>
  <c r="S15" i="20"/>
  <c r="R15" i="20"/>
  <c r="Q15" i="20"/>
  <c r="P15" i="20"/>
  <c r="O15" i="20"/>
  <c r="N15" i="20"/>
  <c r="M15" i="20"/>
  <c r="L15" i="20"/>
  <c r="K15" i="20"/>
  <c r="J15" i="20"/>
  <c r="I15" i="20"/>
  <c r="H15" i="20"/>
  <c r="G15" i="20"/>
  <c r="F15" i="20"/>
  <c r="E15" i="20"/>
  <c r="D15" i="20"/>
  <c r="C15" i="20"/>
  <c r="V14" i="20"/>
  <c r="U14" i="20"/>
  <c r="T14" i="20"/>
  <c r="S14" i="20"/>
  <c r="R14" i="20"/>
  <c r="Q14" i="20"/>
  <c r="P14" i="20"/>
  <c r="O14" i="20"/>
  <c r="N14" i="20"/>
  <c r="M14" i="20"/>
  <c r="L14" i="20"/>
  <c r="K14" i="20"/>
  <c r="J14" i="20"/>
  <c r="I14" i="20"/>
  <c r="H14" i="20"/>
  <c r="G14" i="20"/>
  <c r="F14" i="20"/>
  <c r="E14" i="20"/>
  <c r="D14" i="20"/>
  <c r="C14" i="20"/>
  <c r="V13" i="20"/>
  <c r="U13" i="20"/>
  <c r="T13" i="20"/>
  <c r="S13" i="20"/>
  <c r="R13" i="20"/>
  <c r="Q13" i="20"/>
  <c r="P13" i="20"/>
  <c r="O13" i="20"/>
  <c r="N13" i="20"/>
  <c r="M13" i="20"/>
  <c r="L13" i="20"/>
  <c r="K13" i="20"/>
  <c r="J13" i="20"/>
  <c r="I13" i="20"/>
  <c r="H13" i="20"/>
  <c r="G13" i="20"/>
  <c r="F13" i="20"/>
  <c r="E13" i="20"/>
  <c r="D13" i="20"/>
  <c r="C13" i="20"/>
  <c r="V12" i="20"/>
  <c r="U12" i="20"/>
  <c r="T12" i="20"/>
  <c r="S12" i="20"/>
  <c r="R12" i="20"/>
  <c r="Q12" i="20"/>
  <c r="P12" i="20"/>
  <c r="O12" i="20"/>
  <c r="N12" i="20"/>
  <c r="M12" i="20"/>
  <c r="L12" i="20"/>
  <c r="K12" i="20"/>
  <c r="J12" i="20"/>
  <c r="I12" i="20"/>
  <c r="H12" i="20"/>
  <c r="G12" i="20"/>
  <c r="F12" i="20"/>
  <c r="E12" i="20"/>
  <c r="D12" i="20"/>
  <c r="C12" i="20"/>
  <c r="V11" i="20"/>
  <c r="U11" i="20"/>
  <c r="T11" i="20"/>
  <c r="S11" i="20"/>
  <c r="R11" i="20"/>
  <c r="Q11" i="20"/>
  <c r="P11" i="20"/>
  <c r="O11" i="20"/>
  <c r="N11" i="20"/>
  <c r="M11" i="20"/>
  <c r="L11" i="20"/>
  <c r="K11" i="20"/>
  <c r="J11" i="20"/>
  <c r="I11" i="20"/>
  <c r="H11" i="20"/>
  <c r="G11" i="20"/>
  <c r="F11" i="20"/>
  <c r="E11" i="20"/>
  <c r="D11" i="20"/>
  <c r="C11" i="20"/>
  <c r="V9" i="20"/>
  <c r="U9" i="20"/>
  <c r="T9" i="20"/>
  <c r="S9" i="20"/>
  <c r="R9" i="20"/>
  <c r="Q9" i="20"/>
  <c r="P9" i="20"/>
  <c r="O9" i="20"/>
  <c r="N9" i="20"/>
  <c r="M9" i="20"/>
  <c r="L9" i="20"/>
  <c r="K9" i="20"/>
  <c r="J9" i="20"/>
  <c r="I9" i="20"/>
  <c r="H9" i="20"/>
  <c r="G9" i="20"/>
  <c r="F9" i="20"/>
  <c r="E9" i="20"/>
  <c r="C9" i="20"/>
  <c r="V8" i="20"/>
  <c r="U8" i="20"/>
  <c r="T8" i="20"/>
  <c r="S8" i="20"/>
  <c r="R8" i="20"/>
  <c r="Q8" i="20"/>
  <c r="P8" i="20"/>
  <c r="O8" i="20"/>
  <c r="N8" i="20"/>
  <c r="M8" i="20"/>
  <c r="L8" i="20"/>
  <c r="K8" i="20"/>
  <c r="J8" i="20"/>
  <c r="I8" i="20"/>
  <c r="H8" i="20"/>
  <c r="G8" i="20"/>
  <c r="F8" i="20"/>
  <c r="E8" i="20"/>
  <c r="C8" i="20"/>
  <c r="V7" i="20"/>
  <c r="U7" i="20"/>
  <c r="T7" i="20"/>
  <c r="S7" i="20"/>
  <c r="R7" i="20"/>
  <c r="Q7" i="20"/>
  <c r="P7" i="20"/>
  <c r="O7" i="20"/>
  <c r="N7" i="20"/>
  <c r="M7" i="20"/>
  <c r="L7" i="20"/>
  <c r="K7" i="20"/>
  <c r="J7" i="20"/>
  <c r="I7" i="20"/>
  <c r="H7" i="20"/>
  <c r="G7" i="20"/>
  <c r="F7" i="20"/>
  <c r="E7" i="20"/>
  <c r="D7" i="20"/>
  <c r="C7" i="20"/>
  <c r="V6" i="20"/>
  <c r="U6" i="20"/>
  <c r="T6" i="20"/>
  <c r="S6" i="20"/>
  <c r="R6" i="20"/>
  <c r="Q6" i="20"/>
  <c r="P6" i="20"/>
  <c r="O6" i="20"/>
  <c r="N6" i="20"/>
  <c r="M6" i="20"/>
  <c r="L6" i="20"/>
  <c r="K6" i="20"/>
  <c r="J6" i="20"/>
  <c r="I6" i="20"/>
  <c r="H6" i="20"/>
  <c r="G6" i="20"/>
  <c r="F6" i="20"/>
  <c r="E6" i="20"/>
  <c r="D6" i="20"/>
  <c r="C6" i="20"/>
  <c r="B19" i="20"/>
  <c r="B17" i="20"/>
  <c r="B16" i="20"/>
  <c r="B15" i="20"/>
  <c r="B14" i="20"/>
  <c r="B13" i="20"/>
  <c r="B12" i="20"/>
  <c r="B11" i="20"/>
  <c r="B9" i="20"/>
  <c r="V28" i="2" l="1"/>
  <c r="U28" i="2"/>
  <c r="T28" i="2"/>
  <c r="S28" i="2"/>
  <c r="R28" i="2"/>
  <c r="Q28" i="2"/>
  <c r="P28" i="2"/>
  <c r="O28" i="2"/>
  <c r="N28" i="2"/>
  <c r="M28" i="2"/>
  <c r="L28" i="2"/>
  <c r="K28" i="2"/>
  <c r="J28" i="2"/>
  <c r="I28" i="2"/>
  <c r="H28" i="2"/>
  <c r="G28" i="2"/>
  <c r="F28" i="2"/>
  <c r="E28" i="2"/>
  <c r="D28" i="2"/>
  <c r="C28" i="2"/>
  <c r="V27" i="2"/>
  <c r="U27" i="2"/>
  <c r="T27" i="2"/>
  <c r="S27" i="2"/>
  <c r="R27" i="2"/>
  <c r="Q27" i="2"/>
  <c r="P27" i="2"/>
  <c r="O27" i="2"/>
  <c r="N27" i="2"/>
  <c r="M27" i="2"/>
  <c r="L27" i="2"/>
  <c r="K27" i="2"/>
  <c r="J27" i="2"/>
  <c r="I27" i="2"/>
  <c r="H27" i="2"/>
  <c r="G27" i="2"/>
  <c r="F27" i="2"/>
  <c r="E27" i="2"/>
  <c r="D27" i="2"/>
  <c r="C27" i="2"/>
  <c r="V26" i="2"/>
  <c r="U26" i="2"/>
  <c r="T26" i="2"/>
  <c r="S26" i="2"/>
  <c r="R26" i="2"/>
  <c r="Q26" i="2"/>
  <c r="P26" i="2"/>
  <c r="O26" i="2"/>
  <c r="N26" i="2"/>
  <c r="M26" i="2"/>
  <c r="L26" i="2"/>
  <c r="K26" i="2"/>
  <c r="J26" i="2"/>
  <c r="I26" i="2"/>
  <c r="H26" i="2"/>
  <c r="G26" i="2"/>
  <c r="F26" i="2"/>
  <c r="E26" i="2"/>
  <c r="D26" i="2"/>
  <c r="C26" i="2"/>
  <c r="V25" i="2"/>
  <c r="U25" i="2"/>
  <c r="T25" i="2"/>
  <c r="S25" i="2"/>
  <c r="R25" i="2"/>
  <c r="Q25" i="2"/>
  <c r="P25" i="2"/>
  <c r="O25" i="2"/>
  <c r="N25" i="2"/>
  <c r="M25" i="2"/>
  <c r="L25" i="2"/>
  <c r="K25" i="2"/>
  <c r="J25" i="2"/>
  <c r="I25" i="2"/>
  <c r="H25" i="2"/>
  <c r="G25" i="2"/>
  <c r="F25" i="2"/>
  <c r="E25" i="2"/>
  <c r="D25" i="2"/>
  <c r="C25" i="2"/>
  <c r="V24" i="2"/>
  <c r="U24" i="2"/>
  <c r="T24" i="2"/>
  <c r="S24" i="2"/>
  <c r="R24" i="2"/>
  <c r="Q24" i="2"/>
  <c r="P24" i="2"/>
  <c r="O24" i="2"/>
  <c r="N24" i="2"/>
  <c r="M24" i="2"/>
  <c r="L24" i="2"/>
  <c r="K24" i="2"/>
  <c r="J24" i="2"/>
  <c r="I24" i="2"/>
  <c r="H24" i="2"/>
  <c r="G24" i="2"/>
  <c r="F24" i="2"/>
  <c r="E24" i="2"/>
  <c r="D24" i="2"/>
  <c r="C24" i="2"/>
  <c r="V23" i="2"/>
  <c r="U23" i="2"/>
  <c r="T23" i="2"/>
  <c r="S23" i="2"/>
  <c r="R23" i="2"/>
  <c r="Q23" i="2"/>
  <c r="P23" i="2"/>
  <c r="O23" i="2"/>
  <c r="N23" i="2"/>
  <c r="M23" i="2"/>
  <c r="L23" i="2"/>
  <c r="K23" i="2"/>
  <c r="J23" i="2"/>
  <c r="I23" i="2"/>
  <c r="H23" i="2"/>
  <c r="G23" i="2"/>
  <c r="F23" i="2"/>
  <c r="E23" i="2"/>
  <c r="D23" i="2"/>
  <c r="C23" i="2"/>
  <c r="V22" i="2"/>
  <c r="U22" i="2"/>
  <c r="T22" i="2"/>
  <c r="S22" i="2"/>
  <c r="R22" i="2"/>
  <c r="Q22" i="2"/>
  <c r="P22" i="2"/>
  <c r="O22" i="2"/>
  <c r="N22" i="2"/>
  <c r="M22" i="2"/>
  <c r="L22" i="2"/>
  <c r="K22" i="2"/>
  <c r="J22" i="2"/>
  <c r="I22" i="2"/>
  <c r="H22" i="2"/>
  <c r="G22" i="2"/>
  <c r="F22" i="2"/>
  <c r="E22" i="2"/>
  <c r="D22" i="2"/>
  <c r="C22" i="2"/>
  <c r="V21" i="2"/>
  <c r="U21" i="2"/>
  <c r="T21" i="2"/>
  <c r="S21" i="2"/>
  <c r="R21" i="2"/>
  <c r="Q21" i="2"/>
  <c r="P21" i="2"/>
  <c r="O21" i="2"/>
  <c r="N21" i="2"/>
  <c r="M21" i="2"/>
  <c r="L21" i="2"/>
  <c r="K21" i="2"/>
  <c r="J21" i="2"/>
  <c r="I21" i="2"/>
  <c r="H21" i="2"/>
  <c r="G21" i="2"/>
  <c r="F21" i="2"/>
  <c r="E21" i="2"/>
  <c r="D21" i="2"/>
  <c r="C21" i="2"/>
  <c r="V20" i="2"/>
  <c r="U20" i="2"/>
  <c r="T20" i="2"/>
  <c r="S20" i="2"/>
  <c r="R20" i="2"/>
  <c r="Q20" i="2"/>
  <c r="P20" i="2"/>
  <c r="O20" i="2"/>
  <c r="N20" i="2"/>
  <c r="M20" i="2"/>
  <c r="L20" i="2"/>
  <c r="K20" i="2"/>
  <c r="J20" i="2"/>
  <c r="I20" i="2"/>
  <c r="H20" i="2"/>
  <c r="G20" i="2"/>
  <c r="F20" i="2"/>
  <c r="E20" i="2"/>
  <c r="D20" i="2"/>
  <c r="C20" i="2"/>
  <c r="V19" i="2"/>
  <c r="U19" i="2"/>
  <c r="T19" i="2"/>
  <c r="S19" i="2"/>
  <c r="R19" i="2"/>
  <c r="Q19" i="2"/>
  <c r="P19" i="2"/>
  <c r="O19" i="2"/>
  <c r="N19" i="2"/>
  <c r="M19" i="2"/>
  <c r="L19" i="2"/>
  <c r="K19" i="2"/>
  <c r="J19" i="2"/>
  <c r="I19" i="2"/>
  <c r="H19" i="2"/>
  <c r="G19" i="2"/>
  <c r="F19" i="2"/>
  <c r="E19" i="2"/>
  <c r="D19" i="2"/>
  <c r="C19" i="2"/>
  <c r="V18" i="2"/>
  <c r="U18" i="2"/>
  <c r="T18" i="2"/>
  <c r="S18" i="2"/>
  <c r="R18" i="2"/>
  <c r="Q18" i="2"/>
  <c r="P18" i="2"/>
  <c r="O18" i="2"/>
  <c r="N18" i="2"/>
  <c r="M18" i="2"/>
  <c r="L18" i="2"/>
  <c r="K18" i="2"/>
  <c r="J18" i="2"/>
  <c r="I18" i="2"/>
  <c r="H18" i="2"/>
  <c r="G18" i="2"/>
  <c r="F18" i="2"/>
  <c r="E18" i="2"/>
  <c r="D18" i="2"/>
  <c r="C18" i="2"/>
  <c r="V17" i="2"/>
  <c r="U17" i="2"/>
  <c r="T17" i="2"/>
  <c r="S17" i="2"/>
  <c r="R17" i="2"/>
  <c r="Q17" i="2"/>
  <c r="P17" i="2"/>
  <c r="O17" i="2"/>
  <c r="N17" i="2"/>
  <c r="M17" i="2"/>
  <c r="L17" i="2"/>
  <c r="K17" i="2"/>
  <c r="J17" i="2"/>
  <c r="I17" i="2"/>
  <c r="H17" i="2"/>
  <c r="G17" i="2"/>
  <c r="F17" i="2"/>
  <c r="E17" i="2"/>
  <c r="D17" i="2"/>
  <c r="C17" i="2"/>
  <c r="V16" i="2"/>
  <c r="U16" i="2"/>
  <c r="T16" i="2"/>
  <c r="S16" i="2"/>
  <c r="R16" i="2"/>
  <c r="Q16" i="2"/>
  <c r="P16" i="2"/>
  <c r="O16" i="2"/>
  <c r="N16" i="2"/>
  <c r="M16" i="2"/>
  <c r="L16" i="2"/>
  <c r="K16" i="2"/>
  <c r="J16" i="2"/>
  <c r="I16" i="2"/>
  <c r="H16" i="2"/>
  <c r="G16" i="2"/>
  <c r="F16" i="2"/>
  <c r="E16" i="2"/>
  <c r="D16" i="2"/>
  <c r="C16" i="2"/>
  <c r="V15" i="2"/>
  <c r="U15" i="2"/>
  <c r="T15" i="2"/>
  <c r="S15" i="2"/>
  <c r="R15" i="2"/>
  <c r="Q15" i="2"/>
  <c r="P15" i="2"/>
  <c r="O15" i="2"/>
  <c r="N15" i="2"/>
  <c r="M15" i="2"/>
  <c r="L15" i="2"/>
  <c r="K15" i="2"/>
  <c r="J15" i="2"/>
  <c r="I15" i="2"/>
  <c r="H15" i="2"/>
  <c r="G15" i="2"/>
  <c r="F15" i="2"/>
  <c r="E15" i="2"/>
  <c r="D15" i="2"/>
  <c r="C15" i="2"/>
  <c r="V14" i="2"/>
  <c r="U14" i="2"/>
  <c r="T14" i="2"/>
  <c r="S14" i="2"/>
  <c r="R14" i="2"/>
  <c r="Q14" i="2"/>
  <c r="P14" i="2"/>
  <c r="O14" i="2"/>
  <c r="N14" i="2"/>
  <c r="M14" i="2"/>
  <c r="L14" i="2"/>
  <c r="K14" i="2"/>
  <c r="J14" i="2"/>
  <c r="I14" i="2"/>
  <c r="H14" i="2"/>
  <c r="G14" i="2"/>
  <c r="F14" i="2"/>
  <c r="E14" i="2"/>
  <c r="D14" i="2"/>
  <c r="C14" i="2"/>
  <c r="V13" i="2"/>
  <c r="U13" i="2"/>
  <c r="T13" i="2"/>
  <c r="S13" i="2"/>
  <c r="R13" i="2"/>
  <c r="Q13" i="2"/>
  <c r="P13" i="2"/>
  <c r="O13" i="2"/>
  <c r="N13" i="2"/>
  <c r="M13" i="2"/>
  <c r="L13" i="2"/>
  <c r="K13" i="2"/>
  <c r="J13" i="2"/>
  <c r="I13" i="2"/>
  <c r="H13" i="2"/>
  <c r="G13" i="2"/>
  <c r="F13" i="2"/>
  <c r="E13" i="2"/>
  <c r="D13" i="2"/>
  <c r="C13" i="2"/>
  <c r="V12" i="2"/>
  <c r="U12" i="2"/>
  <c r="T12" i="2"/>
  <c r="S12" i="2"/>
  <c r="R12" i="2"/>
  <c r="Q12" i="2"/>
  <c r="P12" i="2"/>
  <c r="O12" i="2"/>
  <c r="N12" i="2"/>
  <c r="M12" i="2"/>
  <c r="L12" i="2"/>
  <c r="K12" i="2"/>
  <c r="J12" i="2"/>
  <c r="I12" i="2"/>
  <c r="H12" i="2"/>
  <c r="G12" i="2"/>
  <c r="F12" i="2"/>
  <c r="E12" i="2"/>
  <c r="D12" i="2"/>
  <c r="C12" i="2"/>
  <c r="V11" i="2"/>
  <c r="U11" i="2"/>
  <c r="T11" i="2"/>
  <c r="S11" i="2"/>
  <c r="R11" i="2"/>
  <c r="Q11" i="2"/>
  <c r="P11" i="2"/>
  <c r="O11" i="2"/>
  <c r="N11" i="2"/>
  <c r="M11" i="2"/>
  <c r="L11" i="2"/>
  <c r="K11" i="2"/>
  <c r="J11" i="2"/>
  <c r="I11" i="2"/>
  <c r="H11" i="2"/>
  <c r="G11" i="2"/>
  <c r="F11" i="2"/>
  <c r="E11" i="2"/>
  <c r="D11" i="2"/>
  <c r="C11" i="2"/>
  <c r="V9" i="2"/>
  <c r="U9" i="2"/>
  <c r="T9" i="2"/>
  <c r="S9" i="2"/>
  <c r="R9" i="2"/>
  <c r="Q9" i="2"/>
  <c r="P9" i="2"/>
  <c r="O9" i="2"/>
  <c r="N9" i="2"/>
  <c r="M9" i="2"/>
  <c r="L9" i="2"/>
  <c r="K9" i="2"/>
  <c r="J9" i="2"/>
  <c r="I9" i="2"/>
  <c r="H9" i="2"/>
  <c r="G9" i="2"/>
  <c r="F9" i="2"/>
  <c r="E9" i="2"/>
  <c r="D9" i="2"/>
  <c r="C9" i="2"/>
  <c r="V8" i="2"/>
  <c r="U8" i="2"/>
  <c r="T8" i="2"/>
  <c r="S8" i="2"/>
  <c r="R8" i="2"/>
  <c r="Q8" i="2"/>
  <c r="P8" i="2"/>
  <c r="O8" i="2"/>
  <c r="N8" i="2"/>
  <c r="M8" i="2"/>
  <c r="L8" i="2"/>
  <c r="K8" i="2"/>
  <c r="J8" i="2"/>
  <c r="I8" i="2"/>
  <c r="H8" i="2"/>
  <c r="G8" i="2"/>
  <c r="F8" i="2"/>
  <c r="E8" i="2"/>
  <c r="D8" i="2"/>
  <c r="C8" i="2"/>
  <c r="V7" i="2"/>
  <c r="U7" i="2"/>
  <c r="T7" i="2"/>
  <c r="S7" i="2"/>
  <c r="R7" i="2"/>
  <c r="Q7" i="2"/>
  <c r="P7" i="2"/>
  <c r="O7" i="2"/>
  <c r="N7" i="2"/>
  <c r="M7" i="2"/>
  <c r="L7" i="2"/>
  <c r="K7" i="2"/>
  <c r="J7" i="2"/>
  <c r="I7" i="2"/>
  <c r="H7" i="2"/>
  <c r="G7" i="2"/>
  <c r="F7" i="2"/>
  <c r="E7" i="2"/>
  <c r="D7" i="2"/>
  <c r="C7" i="2"/>
  <c r="V6" i="2"/>
  <c r="U6" i="2"/>
  <c r="T6" i="2"/>
  <c r="S6" i="2"/>
  <c r="R6" i="2"/>
  <c r="Q6" i="2"/>
  <c r="P6" i="2"/>
  <c r="O6" i="2"/>
  <c r="N6" i="2"/>
  <c r="M6" i="2"/>
  <c r="L6" i="2"/>
  <c r="K6" i="2"/>
  <c r="J6" i="2"/>
  <c r="I6" i="2"/>
  <c r="H6" i="2"/>
  <c r="G6" i="2"/>
  <c r="F6" i="2"/>
  <c r="E6" i="2"/>
  <c r="D6" i="2"/>
  <c r="C6" i="2"/>
  <c r="B19" i="2"/>
  <c r="B17" i="2"/>
  <c r="B16" i="2"/>
  <c r="B15" i="2"/>
  <c r="B14" i="2"/>
  <c r="B13" i="2"/>
  <c r="B12" i="2"/>
  <c r="B11" i="2"/>
  <c r="B9" i="2"/>
  <c r="D8" i="17" l="1"/>
  <c r="D7" i="17"/>
  <c r="L28" i="17"/>
  <c r="K28" i="17"/>
  <c r="J28" i="17"/>
  <c r="I28" i="17"/>
  <c r="H28" i="17"/>
  <c r="G28" i="17"/>
  <c r="F28" i="17"/>
  <c r="E28" i="17"/>
  <c r="D28" i="17"/>
  <c r="C28" i="17"/>
  <c r="L27" i="17"/>
  <c r="K27" i="17"/>
  <c r="J27" i="17"/>
  <c r="I27" i="17"/>
  <c r="H27" i="17"/>
  <c r="G27" i="17"/>
  <c r="F27" i="17"/>
  <c r="E27" i="17"/>
  <c r="D27" i="17"/>
  <c r="C27" i="17"/>
  <c r="L26" i="17"/>
  <c r="K26" i="17"/>
  <c r="J26" i="17"/>
  <c r="I26" i="17"/>
  <c r="H26" i="17"/>
  <c r="G26" i="17"/>
  <c r="F26" i="17"/>
  <c r="E26" i="17"/>
  <c r="D26" i="17"/>
  <c r="C26" i="17"/>
  <c r="L25" i="17"/>
  <c r="K25" i="17"/>
  <c r="J25" i="17"/>
  <c r="I25" i="17"/>
  <c r="H25" i="17"/>
  <c r="G25" i="17"/>
  <c r="F25" i="17"/>
  <c r="E25" i="17"/>
  <c r="D25" i="17"/>
  <c r="C25" i="17"/>
  <c r="L24" i="17"/>
  <c r="K24" i="17"/>
  <c r="J24" i="17"/>
  <c r="I24" i="17"/>
  <c r="H24" i="17"/>
  <c r="G24" i="17"/>
  <c r="F24" i="17"/>
  <c r="E24" i="17"/>
  <c r="D24" i="17"/>
  <c r="C24" i="17"/>
  <c r="L23" i="17"/>
  <c r="K23" i="17"/>
  <c r="J23" i="17"/>
  <c r="I23" i="17"/>
  <c r="H23" i="17"/>
  <c r="G23" i="17"/>
  <c r="F23" i="17"/>
  <c r="E23" i="17"/>
  <c r="D23" i="17"/>
  <c r="C23" i="17"/>
  <c r="L22" i="17"/>
  <c r="K22" i="17"/>
  <c r="J22" i="17"/>
  <c r="I22" i="17"/>
  <c r="H22" i="17"/>
  <c r="G22" i="17"/>
  <c r="F22" i="17"/>
  <c r="E22" i="17"/>
  <c r="D22" i="17"/>
  <c r="C22" i="17"/>
  <c r="L21" i="17"/>
  <c r="K21" i="17"/>
  <c r="J21" i="17"/>
  <c r="I21" i="17"/>
  <c r="H21" i="17"/>
  <c r="G21" i="17"/>
  <c r="F21" i="17"/>
  <c r="E21" i="17"/>
  <c r="D21" i="17"/>
  <c r="C21" i="17"/>
  <c r="L20" i="17"/>
  <c r="K20" i="17"/>
  <c r="J20" i="17"/>
  <c r="I20" i="17"/>
  <c r="H20" i="17"/>
  <c r="G20" i="17"/>
  <c r="F20" i="17"/>
  <c r="E20" i="17"/>
  <c r="D20" i="17"/>
  <c r="C20" i="17"/>
  <c r="L19" i="17"/>
  <c r="K19" i="17"/>
  <c r="J19" i="17"/>
  <c r="I19" i="17"/>
  <c r="H19" i="17"/>
  <c r="G19" i="17"/>
  <c r="F19" i="17"/>
  <c r="E19" i="17"/>
  <c r="D19" i="17"/>
  <c r="C19" i="17"/>
  <c r="L18" i="17"/>
  <c r="K18" i="17"/>
  <c r="J18" i="17"/>
  <c r="I18" i="17"/>
  <c r="H18" i="17"/>
  <c r="G18" i="17"/>
  <c r="F18" i="17"/>
  <c r="E18" i="17"/>
  <c r="D18" i="17"/>
  <c r="C18" i="17"/>
  <c r="L17" i="17"/>
  <c r="K17" i="17"/>
  <c r="J17" i="17"/>
  <c r="I17" i="17"/>
  <c r="H17" i="17"/>
  <c r="G17" i="17"/>
  <c r="F17" i="17"/>
  <c r="E17" i="17"/>
  <c r="D17" i="17"/>
  <c r="C17" i="17"/>
  <c r="L16" i="17"/>
  <c r="K16" i="17"/>
  <c r="J16" i="17"/>
  <c r="I16" i="17"/>
  <c r="H16" i="17"/>
  <c r="G16" i="17"/>
  <c r="F16" i="17"/>
  <c r="E16" i="17"/>
  <c r="D16" i="17"/>
  <c r="C16" i="17"/>
  <c r="L15" i="17"/>
  <c r="K15" i="17"/>
  <c r="J15" i="17"/>
  <c r="I15" i="17"/>
  <c r="H15" i="17"/>
  <c r="G15" i="17"/>
  <c r="F15" i="17"/>
  <c r="E15" i="17"/>
  <c r="D15" i="17"/>
  <c r="C15" i="17"/>
  <c r="L14" i="17"/>
  <c r="K14" i="17"/>
  <c r="J14" i="17"/>
  <c r="I14" i="17"/>
  <c r="H14" i="17"/>
  <c r="G14" i="17"/>
  <c r="F14" i="17"/>
  <c r="E14" i="17"/>
  <c r="D14" i="17"/>
  <c r="C14" i="17"/>
  <c r="L13" i="17"/>
  <c r="K13" i="17"/>
  <c r="J13" i="17"/>
  <c r="I13" i="17"/>
  <c r="H13" i="17"/>
  <c r="G13" i="17"/>
  <c r="F13" i="17"/>
  <c r="E13" i="17"/>
  <c r="D13" i="17"/>
  <c r="C13" i="17"/>
  <c r="L12" i="17"/>
  <c r="K12" i="17"/>
  <c r="J12" i="17"/>
  <c r="I12" i="17"/>
  <c r="H12" i="17"/>
  <c r="G12" i="17"/>
  <c r="F12" i="17"/>
  <c r="E12" i="17"/>
  <c r="D12" i="17"/>
  <c r="C12" i="17"/>
  <c r="L11" i="17"/>
  <c r="K11" i="17"/>
  <c r="J11" i="17"/>
  <c r="I11" i="17"/>
  <c r="H11" i="17"/>
  <c r="G11" i="17"/>
  <c r="F11" i="17"/>
  <c r="E11" i="17"/>
  <c r="D11" i="17"/>
  <c r="C11" i="17"/>
  <c r="L8" i="17"/>
  <c r="K8" i="17"/>
  <c r="J8" i="17"/>
  <c r="I8" i="17"/>
  <c r="H8" i="17"/>
  <c r="G8" i="17"/>
  <c r="F8" i="17"/>
  <c r="E8" i="17"/>
  <c r="C8" i="17"/>
  <c r="L7" i="17"/>
  <c r="K7" i="17"/>
  <c r="J7" i="17"/>
  <c r="I7" i="17"/>
  <c r="H7" i="17"/>
  <c r="G7" i="17"/>
  <c r="F7" i="17"/>
  <c r="E7" i="17"/>
  <c r="C7" i="17"/>
  <c r="L6" i="17"/>
  <c r="K6" i="17"/>
  <c r="J6" i="17"/>
  <c r="I6" i="17"/>
  <c r="H6" i="17"/>
  <c r="G6" i="17"/>
  <c r="F6" i="17"/>
  <c r="E6" i="17"/>
  <c r="D6" i="17"/>
  <c r="C6" i="17"/>
  <c r="L5" i="17"/>
  <c r="K5" i="17"/>
  <c r="J5" i="17"/>
  <c r="I5" i="17"/>
  <c r="H5" i="17"/>
  <c r="G5" i="17"/>
  <c r="F5" i="17"/>
  <c r="E5" i="17"/>
  <c r="D5" i="17"/>
  <c r="C5" i="17"/>
  <c r="D8" i="15" l="1"/>
  <c r="D7" i="15"/>
  <c r="C6" i="15"/>
  <c r="C5" i="15"/>
  <c r="L28" i="15" l="1"/>
  <c r="K28" i="15"/>
  <c r="J28" i="15"/>
  <c r="I28" i="15"/>
  <c r="H28" i="15"/>
  <c r="G28" i="15"/>
  <c r="F28" i="15"/>
  <c r="E28" i="15"/>
  <c r="D28" i="15"/>
  <c r="C28" i="15"/>
  <c r="L27" i="15"/>
  <c r="K27" i="15"/>
  <c r="J27" i="15"/>
  <c r="I27" i="15"/>
  <c r="H27" i="15"/>
  <c r="G27" i="15"/>
  <c r="F27" i="15"/>
  <c r="E27" i="15"/>
  <c r="D27" i="15"/>
  <c r="C27" i="15"/>
  <c r="L26" i="15"/>
  <c r="K26" i="15"/>
  <c r="J26" i="15"/>
  <c r="I26" i="15"/>
  <c r="H26" i="15"/>
  <c r="G26" i="15"/>
  <c r="F26" i="15"/>
  <c r="E26" i="15"/>
  <c r="D26" i="15"/>
  <c r="C26" i="15"/>
  <c r="L25" i="15"/>
  <c r="K25" i="15"/>
  <c r="J25" i="15"/>
  <c r="I25" i="15"/>
  <c r="H25" i="15"/>
  <c r="G25" i="15"/>
  <c r="F25" i="15"/>
  <c r="E25" i="15"/>
  <c r="D25" i="15"/>
  <c r="C25" i="15"/>
  <c r="L24" i="15"/>
  <c r="K24" i="15"/>
  <c r="J24" i="15"/>
  <c r="I24" i="15"/>
  <c r="H24" i="15"/>
  <c r="G24" i="15"/>
  <c r="F24" i="15"/>
  <c r="E24" i="15"/>
  <c r="D24" i="15"/>
  <c r="C24" i="15"/>
  <c r="L23" i="15"/>
  <c r="K23" i="15"/>
  <c r="J23" i="15"/>
  <c r="I23" i="15"/>
  <c r="H23" i="15"/>
  <c r="G23" i="15"/>
  <c r="F23" i="15"/>
  <c r="E23" i="15"/>
  <c r="D23" i="15"/>
  <c r="C23" i="15"/>
  <c r="L22" i="15"/>
  <c r="K22" i="15"/>
  <c r="J22" i="15"/>
  <c r="I22" i="15"/>
  <c r="H22" i="15"/>
  <c r="G22" i="15"/>
  <c r="F22" i="15"/>
  <c r="E22" i="15"/>
  <c r="D22" i="15"/>
  <c r="C22" i="15"/>
  <c r="L21" i="15"/>
  <c r="K21" i="15"/>
  <c r="J21" i="15"/>
  <c r="I21" i="15"/>
  <c r="H21" i="15"/>
  <c r="G21" i="15"/>
  <c r="F21" i="15"/>
  <c r="E21" i="15"/>
  <c r="D21" i="15"/>
  <c r="C21" i="15"/>
  <c r="L20" i="15"/>
  <c r="K20" i="15"/>
  <c r="J20" i="15"/>
  <c r="I20" i="15"/>
  <c r="H20" i="15"/>
  <c r="G20" i="15"/>
  <c r="F20" i="15"/>
  <c r="E20" i="15"/>
  <c r="D20" i="15"/>
  <c r="C20" i="15"/>
  <c r="L19" i="15"/>
  <c r="K19" i="15"/>
  <c r="J19" i="15"/>
  <c r="I19" i="15"/>
  <c r="H19" i="15"/>
  <c r="G19" i="15"/>
  <c r="F19" i="15"/>
  <c r="E19" i="15"/>
  <c r="D19" i="15"/>
  <c r="C19" i="15"/>
  <c r="L18" i="15"/>
  <c r="K18" i="15"/>
  <c r="J18" i="15"/>
  <c r="I18" i="15"/>
  <c r="H18" i="15"/>
  <c r="G18" i="15"/>
  <c r="F18" i="15"/>
  <c r="E18" i="15"/>
  <c r="D18" i="15"/>
  <c r="C18" i="15"/>
  <c r="L17" i="15"/>
  <c r="K17" i="15"/>
  <c r="J17" i="15"/>
  <c r="I17" i="15"/>
  <c r="H17" i="15"/>
  <c r="G17" i="15"/>
  <c r="F17" i="15"/>
  <c r="E17" i="15"/>
  <c r="D17" i="15"/>
  <c r="C17" i="15"/>
  <c r="L16" i="15"/>
  <c r="K16" i="15"/>
  <c r="J16" i="15"/>
  <c r="I16" i="15"/>
  <c r="H16" i="15"/>
  <c r="G16" i="15"/>
  <c r="F16" i="15"/>
  <c r="E16" i="15"/>
  <c r="D16" i="15"/>
  <c r="C16" i="15"/>
  <c r="L15" i="15"/>
  <c r="K15" i="15"/>
  <c r="J15" i="15"/>
  <c r="I15" i="15"/>
  <c r="H15" i="15"/>
  <c r="G15" i="15"/>
  <c r="F15" i="15"/>
  <c r="E15" i="15"/>
  <c r="D15" i="15"/>
  <c r="C15" i="15"/>
  <c r="L14" i="15"/>
  <c r="K14" i="15"/>
  <c r="J14" i="15"/>
  <c r="I14" i="15"/>
  <c r="H14" i="15"/>
  <c r="G14" i="15"/>
  <c r="F14" i="15"/>
  <c r="E14" i="15"/>
  <c r="D14" i="15"/>
  <c r="C14" i="15"/>
  <c r="L13" i="15"/>
  <c r="K13" i="15"/>
  <c r="J13" i="15"/>
  <c r="I13" i="15"/>
  <c r="H13" i="15"/>
  <c r="G13" i="15"/>
  <c r="F13" i="15"/>
  <c r="E13" i="15"/>
  <c r="D13" i="15"/>
  <c r="C13" i="15"/>
  <c r="L12" i="15"/>
  <c r="K12" i="15"/>
  <c r="J12" i="15"/>
  <c r="I12" i="15"/>
  <c r="H12" i="15"/>
  <c r="G12" i="15"/>
  <c r="F12" i="15"/>
  <c r="E12" i="15"/>
  <c r="D12" i="15"/>
  <c r="C12" i="15"/>
  <c r="L11" i="15"/>
  <c r="K11" i="15"/>
  <c r="J11" i="15"/>
  <c r="I11" i="15"/>
  <c r="H11" i="15"/>
  <c r="G11" i="15"/>
  <c r="F11" i="15"/>
  <c r="E11" i="15"/>
  <c r="D11" i="15"/>
  <c r="C11" i="15"/>
  <c r="L8" i="15"/>
  <c r="K8" i="15"/>
  <c r="J8" i="15"/>
  <c r="I8" i="15"/>
  <c r="H8" i="15"/>
  <c r="G8" i="15"/>
  <c r="F8" i="15"/>
  <c r="E8" i="15"/>
  <c r="C8" i="15"/>
  <c r="L7" i="15"/>
  <c r="K7" i="15"/>
  <c r="J7" i="15"/>
  <c r="I7" i="15"/>
  <c r="H7" i="15"/>
  <c r="G7" i="15"/>
  <c r="F7" i="15"/>
  <c r="E7" i="15"/>
  <c r="C7" i="15"/>
  <c r="L6" i="15"/>
  <c r="K6" i="15"/>
  <c r="J6" i="15"/>
  <c r="I6" i="15"/>
  <c r="H6" i="15"/>
  <c r="G6" i="15"/>
  <c r="F6" i="15"/>
  <c r="E6" i="15"/>
  <c r="D6" i="15"/>
  <c r="L5" i="15"/>
  <c r="K5" i="15"/>
  <c r="J5" i="15"/>
  <c r="I5" i="15"/>
  <c r="H5" i="15"/>
  <c r="G5" i="15"/>
  <c r="F5" i="15"/>
  <c r="E5" i="15"/>
  <c r="D5" i="15"/>
  <c r="B19" i="17"/>
  <c r="B17" i="17"/>
  <c r="B16" i="17"/>
  <c r="B15" i="17"/>
  <c r="B14" i="17"/>
  <c r="B13" i="17"/>
  <c r="B12" i="17"/>
  <c r="B11" i="17"/>
  <c r="B8" i="17"/>
  <c r="B19" i="15"/>
  <c r="B17" i="15"/>
  <c r="B16" i="15"/>
  <c r="B15" i="15"/>
  <c r="B14" i="15"/>
  <c r="B13" i="15"/>
  <c r="B12" i="15"/>
  <c r="B11" i="15"/>
  <c r="B8" i="15"/>
  <c r="Z33" i="13" l="1"/>
  <c r="Y33" i="13"/>
  <c r="X33" i="13"/>
  <c r="W33" i="13"/>
  <c r="V33" i="13"/>
  <c r="U33" i="13"/>
  <c r="T33" i="13"/>
  <c r="S33" i="13"/>
  <c r="R33" i="13"/>
  <c r="Q33" i="13"/>
  <c r="P33" i="13"/>
  <c r="O33" i="13"/>
  <c r="Z32" i="13"/>
  <c r="Y32" i="13"/>
  <c r="X32" i="13"/>
  <c r="W32" i="13"/>
  <c r="V32" i="13"/>
  <c r="U32" i="13"/>
  <c r="T32" i="13"/>
  <c r="S32" i="13"/>
  <c r="R32" i="13"/>
  <c r="Q32" i="13"/>
  <c r="P32" i="13"/>
  <c r="O32" i="13"/>
  <c r="Z31" i="13"/>
  <c r="Y31" i="13"/>
  <c r="X31" i="13"/>
  <c r="W31" i="13"/>
  <c r="V31" i="13"/>
  <c r="U31" i="13"/>
  <c r="T31" i="13"/>
  <c r="S31" i="13"/>
  <c r="R31" i="13"/>
  <c r="Q31" i="13"/>
  <c r="Z30" i="13"/>
  <c r="Y30" i="13"/>
  <c r="X30" i="13"/>
  <c r="W30" i="13"/>
  <c r="V30" i="13"/>
  <c r="U30" i="13"/>
  <c r="T30" i="13"/>
  <c r="S30" i="13"/>
  <c r="R30" i="13"/>
  <c r="Q30" i="13"/>
  <c r="Z29" i="13"/>
  <c r="Y29" i="13"/>
  <c r="X29" i="13"/>
  <c r="W29" i="13"/>
  <c r="V29" i="13"/>
  <c r="U29" i="13"/>
  <c r="T29" i="13"/>
  <c r="S29" i="13"/>
  <c r="R29" i="13"/>
  <c r="Q29" i="13"/>
  <c r="Z28" i="13"/>
  <c r="Y28" i="13"/>
  <c r="X28" i="13"/>
  <c r="W28" i="13"/>
  <c r="V28" i="13"/>
  <c r="U28" i="13"/>
  <c r="T28" i="13"/>
  <c r="S28" i="13"/>
  <c r="R28" i="13"/>
  <c r="Q28" i="13"/>
  <c r="Z27" i="13"/>
  <c r="Y27" i="13"/>
  <c r="X27" i="13"/>
  <c r="W27" i="13"/>
  <c r="V27" i="13"/>
  <c r="U27" i="13"/>
  <c r="T27" i="13"/>
  <c r="S27" i="13"/>
  <c r="R27" i="13"/>
  <c r="Q27" i="13"/>
  <c r="Z26" i="13"/>
  <c r="Y26" i="13"/>
  <c r="X26" i="13"/>
  <c r="W26" i="13"/>
  <c r="V26" i="13"/>
  <c r="U26" i="13"/>
  <c r="T26" i="13"/>
  <c r="S26" i="13"/>
  <c r="R26" i="13"/>
  <c r="Q26" i="13"/>
  <c r="Z25" i="13"/>
  <c r="Y25" i="13"/>
  <c r="X25" i="13"/>
  <c r="W25" i="13"/>
  <c r="V25" i="13"/>
  <c r="U25" i="13"/>
  <c r="T25" i="13"/>
  <c r="S25" i="13"/>
  <c r="R25" i="13"/>
  <c r="Q25" i="13"/>
  <c r="Z24" i="13"/>
  <c r="Y24" i="13"/>
  <c r="X24" i="13"/>
  <c r="W24" i="13"/>
  <c r="V24" i="13"/>
  <c r="U24" i="13"/>
  <c r="T24" i="13"/>
  <c r="S24" i="13"/>
  <c r="R24" i="13"/>
  <c r="Q24" i="13"/>
  <c r="Z23" i="13"/>
  <c r="Y23" i="13"/>
  <c r="X23" i="13"/>
  <c r="W23" i="13"/>
  <c r="V23" i="13"/>
  <c r="U23" i="13"/>
  <c r="T23" i="13"/>
  <c r="S23" i="13"/>
  <c r="R23" i="13"/>
  <c r="Q23" i="13"/>
  <c r="Z22" i="13"/>
  <c r="Y22" i="13"/>
  <c r="X22" i="13"/>
  <c r="W22" i="13"/>
  <c r="V22" i="13"/>
  <c r="U22" i="13"/>
  <c r="T22" i="13"/>
  <c r="S22" i="13"/>
  <c r="R22" i="13"/>
  <c r="Q22" i="13"/>
  <c r="Z21" i="13"/>
  <c r="Y21" i="13"/>
  <c r="X21" i="13"/>
  <c r="W21" i="13"/>
  <c r="V21" i="13"/>
  <c r="U21" i="13"/>
  <c r="T21" i="13"/>
  <c r="S21" i="13"/>
  <c r="R21" i="13"/>
  <c r="Q21" i="13"/>
  <c r="Z20" i="13"/>
  <c r="Y20" i="13"/>
  <c r="X20" i="13"/>
  <c r="W20" i="13"/>
  <c r="V20" i="13"/>
  <c r="U20" i="13"/>
  <c r="T20" i="13"/>
  <c r="S20" i="13"/>
  <c r="R20" i="13"/>
  <c r="Q20" i="13"/>
  <c r="Z19" i="13"/>
  <c r="Y19" i="13"/>
  <c r="X19" i="13"/>
  <c r="W19" i="13"/>
  <c r="V19" i="13"/>
  <c r="U19" i="13"/>
  <c r="T19" i="13"/>
  <c r="S19" i="13"/>
  <c r="R19" i="13"/>
  <c r="Q19" i="13"/>
  <c r="Z18" i="13"/>
  <c r="Y18" i="13"/>
  <c r="X18" i="13"/>
  <c r="W18" i="13"/>
  <c r="V18" i="13"/>
  <c r="U18" i="13"/>
  <c r="T18" i="13"/>
  <c r="S18" i="13"/>
  <c r="R18" i="13"/>
  <c r="Q18" i="13"/>
  <c r="Z17" i="13"/>
  <c r="Y17" i="13"/>
  <c r="X17" i="13"/>
  <c r="W17" i="13"/>
  <c r="V17" i="13"/>
  <c r="U17" i="13"/>
  <c r="T17" i="13"/>
  <c r="S17" i="13"/>
  <c r="R17" i="13"/>
  <c r="Q17" i="13"/>
  <c r="Z16" i="13"/>
  <c r="Y16" i="13"/>
  <c r="X16" i="13"/>
  <c r="W16" i="13"/>
  <c r="V16" i="13"/>
  <c r="U16" i="13"/>
  <c r="T16" i="13"/>
  <c r="S16" i="13"/>
  <c r="R16" i="13"/>
  <c r="Q16" i="13"/>
  <c r="Z15" i="13"/>
  <c r="Y15" i="13"/>
  <c r="X15" i="13"/>
  <c r="W15" i="13"/>
  <c r="V15" i="13"/>
  <c r="U15" i="13"/>
  <c r="T15" i="13"/>
  <c r="S15" i="13"/>
  <c r="R15" i="13"/>
  <c r="Q15" i="13"/>
  <c r="Z14" i="13"/>
  <c r="Y14" i="13"/>
  <c r="X14" i="13"/>
  <c r="W14" i="13"/>
  <c r="V14" i="13"/>
  <c r="U14" i="13"/>
  <c r="T14" i="13"/>
  <c r="S14" i="13"/>
  <c r="R14" i="13"/>
  <c r="Q14" i="13"/>
  <c r="Z13" i="13"/>
  <c r="Y13" i="13"/>
  <c r="X13" i="13"/>
  <c r="W13" i="13"/>
  <c r="V13" i="13"/>
  <c r="U13" i="13"/>
  <c r="T13" i="13"/>
  <c r="S13" i="13"/>
  <c r="R13" i="13"/>
  <c r="Q13" i="13"/>
  <c r="Z12" i="13"/>
  <c r="Y12" i="13"/>
  <c r="X12" i="13"/>
  <c r="W12" i="13"/>
  <c r="V12" i="13"/>
  <c r="U12" i="13"/>
  <c r="T12" i="13"/>
  <c r="S12" i="13"/>
  <c r="R12" i="13"/>
  <c r="Q12" i="13"/>
  <c r="P9" i="13"/>
  <c r="O9" i="13"/>
  <c r="P8" i="13"/>
  <c r="O8" i="13"/>
  <c r="P7" i="13"/>
  <c r="O7" i="13"/>
  <c r="P6" i="13"/>
  <c r="O6" i="13"/>
  <c r="N33" i="13"/>
  <c r="M33" i="13"/>
  <c r="L33" i="13"/>
  <c r="K33" i="13"/>
  <c r="J33" i="13"/>
  <c r="I33" i="13"/>
  <c r="H33" i="13"/>
  <c r="G33" i="13"/>
  <c r="F33" i="13"/>
  <c r="E33" i="13"/>
  <c r="D33" i="13"/>
  <c r="C33" i="13"/>
  <c r="N32" i="13"/>
  <c r="M32" i="13"/>
  <c r="L32" i="13"/>
  <c r="K32" i="13"/>
  <c r="J32" i="13"/>
  <c r="I32" i="13"/>
  <c r="H32" i="13"/>
  <c r="G32" i="13"/>
  <c r="F32" i="13"/>
  <c r="E32" i="13"/>
  <c r="D32" i="13"/>
  <c r="C32" i="13"/>
  <c r="N31" i="13"/>
  <c r="M31" i="13"/>
  <c r="L31" i="13"/>
  <c r="K31" i="13"/>
  <c r="J31" i="13"/>
  <c r="I31" i="13"/>
  <c r="H31" i="13"/>
  <c r="G31" i="13"/>
  <c r="F31" i="13"/>
  <c r="E31" i="13"/>
  <c r="N30" i="13"/>
  <c r="M30" i="13"/>
  <c r="L30" i="13"/>
  <c r="K30" i="13"/>
  <c r="J30" i="13"/>
  <c r="I30" i="13"/>
  <c r="H30" i="13"/>
  <c r="G30" i="13"/>
  <c r="F30" i="13"/>
  <c r="E30" i="13"/>
  <c r="N29" i="13"/>
  <c r="M29" i="13"/>
  <c r="L29" i="13"/>
  <c r="K29" i="13"/>
  <c r="J29" i="13"/>
  <c r="I29" i="13"/>
  <c r="H29" i="13"/>
  <c r="G29" i="13"/>
  <c r="F29" i="13"/>
  <c r="E29" i="13"/>
  <c r="N28" i="13"/>
  <c r="M28" i="13"/>
  <c r="L28" i="13"/>
  <c r="K28" i="13"/>
  <c r="J28" i="13"/>
  <c r="I28" i="13"/>
  <c r="H28" i="13"/>
  <c r="G28" i="13"/>
  <c r="F28" i="13"/>
  <c r="E28" i="13"/>
  <c r="N27" i="13"/>
  <c r="M27" i="13"/>
  <c r="L27" i="13"/>
  <c r="K27" i="13"/>
  <c r="J27" i="13"/>
  <c r="I27" i="13"/>
  <c r="H27" i="13"/>
  <c r="G27" i="13"/>
  <c r="F27" i="13"/>
  <c r="E27" i="13"/>
  <c r="N26" i="13"/>
  <c r="M26" i="13"/>
  <c r="L26" i="13"/>
  <c r="K26" i="13"/>
  <c r="J26" i="13"/>
  <c r="I26" i="13"/>
  <c r="H26" i="13"/>
  <c r="G26" i="13"/>
  <c r="F26" i="13"/>
  <c r="E26" i="13"/>
  <c r="N25" i="13"/>
  <c r="M25" i="13"/>
  <c r="L25" i="13"/>
  <c r="K25" i="13"/>
  <c r="J25" i="13"/>
  <c r="I25" i="13"/>
  <c r="H25" i="13"/>
  <c r="G25" i="13"/>
  <c r="F25" i="13"/>
  <c r="E25" i="13"/>
  <c r="N24" i="13"/>
  <c r="M24" i="13"/>
  <c r="L24" i="13"/>
  <c r="K24" i="13"/>
  <c r="J24" i="13"/>
  <c r="I24" i="13"/>
  <c r="H24" i="13"/>
  <c r="G24" i="13"/>
  <c r="F24" i="13"/>
  <c r="E24" i="13"/>
  <c r="N23" i="13"/>
  <c r="M23" i="13"/>
  <c r="L23" i="13"/>
  <c r="K23" i="13"/>
  <c r="J23" i="13"/>
  <c r="I23" i="13"/>
  <c r="H23" i="13"/>
  <c r="G23" i="13"/>
  <c r="F23" i="13"/>
  <c r="E23" i="13"/>
  <c r="N22" i="13"/>
  <c r="M22" i="13"/>
  <c r="L22" i="13"/>
  <c r="K22" i="13"/>
  <c r="J22" i="13"/>
  <c r="I22" i="13"/>
  <c r="H22" i="13"/>
  <c r="G22" i="13"/>
  <c r="F22" i="13"/>
  <c r="E22" i="13"/>
  <c r="N21" i="13"/>
  <c r="M21" i="13"/>
  <c r="L21" i="13"/>
  <c r="K21" i="13"/>
  <c r="J21" i="13"/>
  <c r="I21" i="13"/>
  <c r="H21" i="13"/>
  <c r="G21" i="13"/>
  <c r="F21" i="13"/>
  <c r="E21" i="13"/>
  <c r="N20" i="13"/>
  <c r="M20" i="13"/>
  <c r="L20" i="13"/>
  <c r="K20" i="13"/>
  <c r="J20" i="13"/>
  <c r="I20" i="13"/>
  <c r="H20" i="13"/>
  <c r="G20" i="13"/>
  <c r="F20" i="13"/>
  <c r="E20" i="13"/>
  <c r="N19" i="13"/>
  <c r="M19" i="13"/>
  <c r="L19" i="13"/>
  <c r="K19" i="13"/>
  <c r="J19" i="13"/>
  <c r="I19" i="13"/>
  <c r="H19" i="13"/>
  <c r="G19" i="13"/>
  <c r="F19" i="13"/>
  <c r="E19" i="13"/>
  <c r="N18" i="13"/>
  <c r="M18" i="13"/>
  <c r="L18" i="13"/>
  <c r="K18" i="13"/>
  <c r="J18" i="13"/>
  <c r="I18" i="13"/>
  <c r="H18" i="13"/>
  <c r="G18" i="13"/>
  <c r="F18" i="13"/>
  <c r="E18" i="13"/>
  <c r="N17" i="13"/>
  <c r="M17" i="13"/>
  <c r="L17" i="13"/>
  <c r="K17" i="13"/>
  <c r="J17" i="13"/>
  <c r="I17" i="13"/>
  <c r="H17" i="13"/>
  <c r="G17" i="13"/>
  <c r="F17" i="13"/>
  <c r="E17" i="13"/>
  <c r="N16" i="13"/>
  <c r="M16" i="13"/>
  <c r="L16" i="13"/>
  <c r="K16" i="13"/>
  <c r="J16" i="13"/>
  <c r="I16" i="13"/>
  <c r="H16" i="13"/>
  <c r="G16" i="13"/>
  <c r="F16" i="13"/>
  <c r="E16" i="13"/>
  <c r="N15" i="13"/>
  <c r="M15" i="13"/>
  <c r="L15" i="13"/>
  <c r="K15" i="13"/>
  <c r="J15" i="13"/>
  <c r="I15" i="13"/>
  <c r="H15" i="13"/>
  <c r="G15" i="13"/>
  <c r="F15" i="13"/>
  <c r="E15" i="13"/>
  <c r="N14" i="13"/>
  <c r="M14" i="13"/>
  <c r="L14" i="13"/>
  <c r="K14" i="13"/>
  <c r="J14" i="13"/>
  <c r="I14" i="13"/>
  <c r="H14" i="13"/>
  <c r="G14" i="13"/>
  <c r="F14" i="13"/>
  <c r="E14" i="13"/>
  <c r="N13" i="13"/>
  <c r="M13" i="13"/>
  <c r="L13" i="13"/>
  <c r="K13" i="13"/>
  <c r="J13" i="13"/>
  <c r="I13" i="13"/>
  <c r="H13" i="13"/>
  <c r="G13" i="13"/>
  <c r="F13" i="13"/>
  <c r="E13" i="13"/>
  <c r="N12" i="13"/>
  <c r="M12" i="13"/>
  <c r="L12" i="13"/>
  <c r="K12" i="13"/>
  <c r="J12" i="13"/>
  <c r="I12" i="13"/>
  <c r="H12" i="13"/>
  <c r="G12" i="13"/>
  <c r="F12" i="13"/>
  <c r="E12" i="13"/>
  <c r="D9" i="13"/>
  <c r="C9" i="13"/>
  <c r="D8" i="13"/>
  <c r="C8" i="13"/>
  <c r="D7" i="13"/>
  <c r="C7" i="13"/>
  <c r="D6" i="13"/>
  <c r="C6" i="13"/>
  <c r="Z33" i="12"/>
  <c r="Y33" i="12"/>
  <c r="X33" i="12"/>
  <c r="W33" i="12"/>
  <c r="V33" i="12"/>
  <c r="U33" i="12"/>
  <c r="T33" i="12"/>
  <c r="S33" i="12"/>
  <c r="R33" i="12"/>
  <c r="Q33" i="12"/>
  <c r="P33" i="12"/>
  <c r="O33" i="12"/>
  <c r="Z32" i="12"/>
  <c r="Y32" i="12"/>
  <c r="X32" i="12"/>
  <c r="W32" i="12"/>
  <c r="V32" i="12"/>
  <c r="U32" i="12"/>
  <c r="T32" i="12"/>
  <c r="S32" i="12"/>
  <c r="R32" i="12"/>
  <c r="Q32" i="12"/>
  <c r="P32" i="12"/>
  <c r="O32" i="12"/>
  <c r="Z31" i="12"/>
  <c r="Y31" i="12"/>
  <c r="X31" i="12"/>
  <c r="W31" i="12"/>
  <c r="V31" i="12"/>
  <c r="U31" i="12"/>
  <c r="T31" i="12"/>
  <c r="S31" i="12"/>
  <c r="R31" i="12"/>
  <c r="Q31" i="12"/>
  <c r="Z30" i="12"/>
  <c r="Y30" i="12"/>
  <c r="X30" i="12"/>
  <c r="W30" i="12"/>
  <c r="V30" i="12"/>
  <c r="U30" i="12"/>
  <c r="T30" i="12"/>
  <c r="S30" i="12"/>
  <c r="R30" i="12"/>
  <c r="Q30" i="12"/>
  <c r="Z29" i="12"/>
  <c r="Y29" i="12"/>
  <c r="X29" i="12"/>
  <c r="W29" i="12"/>
  <c r="V29" i="12"/>
  <c r="U29" i="12"/>
  <c r="T29" i="12"/>
  <c r="S29" i="12"/>
  <c r="R29" i="12"/>
  <c r="Q29" i="12"/>
  <c r="Z28" i="12"/>
  <c r="Y28" i="12"/>
  <c r="X28" i="12"/>
  <c r="W28" i="12"/>
  <c r="V28" i="12"/>
  <c r="U28" i="12"/>
  <c r="T28" i="12"/>
  <c r="S28" i="12"/>
  <c r="R28" i="12"/>
  <c r="Q28" i="12"/>
  <c r="Z27" i="12"/>
  <c r="Y27" i="12"/>
  <c r="X27" i="12"/>
  <c r="W27" i="12"/>
  <c r="V27" i="12"/>
  <c r="U27" i="12"/>
  <c r="T27" i="12"/>
  <c r="S27" i="12"/>
  <c r="R27" i="12"/>
  <c r="Q27" i="12"/>
  <c r="Z26" i="12"/>
  <c r="Y26" i="12"/>
  <c r="X26" i="12"/>
  <c r="W26" i="12"/>
  <c r="V26" i="12"/>
  <c r="U26" i="12"/>
  <c r="T26" i="12"/>
  <c r="S26" i="12"/>
  <c r="R26" i="12"/>
  <c r="Q26" i="12"/>
  <c r="Z25" i="12"/>
  <c r="Y25" i="12"/>
  <c r="X25" i="12"/>
  <c r="W25" i="12"/>
  <c r="V25" i="12"/>
  <c r="U25" i="12"/>
  <c r="T25" i="12"/>
  <c r="S25" i="12"/>
  <c r="R25" i="12"/>
  <c r="Q25" i="12"/>
  <c r="Z24" i="12"/>
  <c r="Y24" i="12"/>
  <c r="X24" i="12"/>
  <c r="W24" i="12"/>
  <c r="V24" i="12"/>
  <c r="U24" i="12"/>
  <c r="T24" i="12"/>
  <c r="S24" i="12"/>
  <c r="R24" i="12"/>
  <c r="Q24" i="12"/>
  <c r="Z23" i="12"/>
  <c r="Y23" i="12"/>
  <c r="X23" i="12"/>
  <c r="W23" i="12"/>
  <c r="V23" i="12"/>
  <c r="U23" i="12"/>
  <c r="T23" i="12"/>
  <c r="S23" i="12"/>
  <c r="R23" i="12"/>
  <c r="Q23" i="12"/>
  <c r="Z22" i="12"/>
  <c r="Y22" i="12"/>
  <c r="X22" i="12"/>
  <c r="W22" i="12"/>
  <c r="V22" i="12"/>
  <c r="U22" i="12"/>
  <c r="T22" i="12"/>
  <c r="S22" i="12"/>
  <c r="R22" i="12"/>
  <c r="Q22" i="12"/>
  <c r="Z21" i="12"/>
  <c r="Y21" i="12"/>
  <c r="X21" i="12"/>
  <c r="W21" i="12"/>
  <c r="V21" i="12"/>
  <c r="U21" i="12"/>
  <c r="T21" i="12"/>
  <c r="S21" i="12"/>
  <c r="R21" i="12"/>
  <c r="Q21" i="12"/>
  <c r="Z20" i="12"/>
  <c r="Y20" i="12"/>
  <c r="X20" i="12"/>
  <c r="W20" i="12"/>
  <c r="V20" i="12"/>
  <c r="U20" i="12"/>
  <c r="T20" i="12"/>
  <c r="S20" i="12"/>
  <c r="R20" i="12"/>
  <c r="Q20" i="12"/>
  <c r="Z19" i="12"/>
  <c r="Y19" i="12"/>
  <c r="X19" i="12"/>
  <c r="W19" i="12"/>
  <c r="V19" i="12"/>
  <c r="U19" i="12"/>
  <c r="T19" i="12"/>
  <c r="S19" i="12"/>
  <c r="R19" i="12"/>
  <c r="Q19" i="12"/>
  <c r="Z18" i="12"/>
  <c r="Y18" i="12"/>
  <c r="X18" i="12"/>
  <c r="W18" i="12"/>
  <c r="V18" i="12"/>
  <c r="U18" i="12"/>
  <c r="T18" i="12"/>
  <c r="S18" i="12"/>
  <c r="R18" i="12"/>
  <c r="Q18" i="12"/>
  <c r="Z17" i="12"/>
  <c r="Y17" i="12"/>
  <c r="X17" i="12"/>
  <c r="W17" i="12"/>
  <c r="V17" i="12"/>
  <c r="U17" i="12"/>
  <c r="T17" i="12"/>
  <c r="S17" i="12"/>
  <c r="R17" i="12"/>
  <c r="Q17" i="12"/>
  <c r="Z16" i="12"/>
  <c r="Y16" i="12"/>
  <c r="X16" i="12"/>
  <c r="W16" i="12"/>
  <c r="V16" i="12"/>
  <c r="U16" i="12"/>
  <c r="T16" i="12"/>
  <c r="S16" i="12"/>
  <c r="R16" i="12"/>
  <c r="Q16" i="12"/>
  <c r="Z15" i="12"/>
  <c r="Y15" i="12"/>
  <c r="X15" i="12"/>
  <c r="W15" i="12"/>
  <c r="V15" i="12"/>
  <c r="U15" i="12"/>
  <c r="T15" i="12"/>
  <c r="S15" i="12"/>
  <c r="R15" i="12"/>
  <c r="Q15" i="12"/>
  <c r="Z14" i="12"/>
  <c r="Y14" i="12"/>
  <c r="X14" i="12"/>
  <c r="W14" i="12"/>
  <c r="V14" i="12"/>
  <c r="U14" i="12"/>
  <c r="T14" i="12"/>
  <c r="S14" i="12"/>
  <c r="R14" i="12"/>
  <c r="Q14" i="12"/>
  <c r="Z13" i="12"/>
  <c r="Y13" i="12"/>
  <c r="X13" i="12"/>
  <c r="W13" i="12"/>
  <c r="V13" i="12"/>
  <c r="U13" i="12"/>
  <c r="T13" i="12"/>
  <c r="S13" i="12"/>
  <c r="R13" i="12"/>
  <c r="Q13" i="12"/>
  <c r="Z12" i="12"/>
  <c r="Y12" i="12"/>
  <c r="X12" i="12"/>
  <c r="W12" i="12"/>
  <c r="V12" i="12"/>
  <c r="U12" i="12"/>
  <c r="T12" i="12"/>
  <c r="S12" i="12"/>
  <c r="R12" i="12"/>
  <c r="Q12" i="12"/>
  <c r="P9" i="12"/>
  <c r="O9" i="12"/>
  <c r="P8" i="12"/>
  <c r="O8" i="12"/>
  <c r="P7" i="12"/>
  <c r="O7" i="12"/>
  <c r="P6" i="12"/>
  <c r="O6" i="12"/>
  <c r="N33" i="12"/>
  <c r="M33" i="12"/>
  <c r="L33" i="12"/>
  <c r="K33" i="12"/>
  <c r="J33" i="12"/>
  <c r="I33" i="12"/>
  <c r="H33" i="12"/>
  <c r="G33" i="12"/>
  <c r="F33" i="12"/>
  <c r="E33" i="12"/>
  <c r="D33" i="12"/>
  <c r="C33" i="12"/>
  <c r="N32" i="12"/>
  <c r="M32" i="12"/>
  <c r="L32" i="12"/>
  <c r="K32" i="12"/>
  <c r="J32" i="12"/>
  <c r="I32" i="12"/>
  <c r="H32" i="12"/>
  <c r="G32" i="12"/>
  <c r="F32" i="12"/>
  <c r="E32" i="12"/>
  <c r="D32" i="12"/>
  <c r="C32" i="12"/>
  <c r="N31" i="12"/>
  <c r="M31" i="12"/>
  <c r="L31" i="12"/>
  <c r="K31" i="12"/>
  <c r="J31" i="12"/>
  <c r="I31" i="12"/>
  <c r="H31" i="12"/>
  <c r="G31" i="12"/>
  <c r="F31" i="12"/>
  <c r="E31" i="12"/>
  <c r="N30" i="12"/>
  <c r="M30" i="12"/>
  <c r="L30" i="12"/>
  <c r="K30" i="12"/>
  <c r="J30" i="12"/>
  <c r="I30" i="12"/>
  <c r="H30" i="12"/>
  <c r="G30" i="12"/>
  <c r="F30" i="12"/>
  <c r="E30" i="12"/>
  <c r="N29" i="12"/>
  <c r="M29" i="12"/>
  <c r="L29" i="12"/>
  <c r="K29" i="12"/>
  <c r="J29" i="12"/>
  <c r="I29" i="12"/>
  <c r="H29" i="12"/>
  <c r="G29" i="12"/>
  <c r="F29" i="12"/>
  <c r="E29" i="12"/>
  <c r="N28" i="12"/>
  <c r="M28" i="12"/>
  <c r="L28" i="12"/>
  <c r="K28" i="12"/>
  <c r="J28" i="12"/>
  <c r="I28" i="12"/>
  <c r="H28" i="12"/>
  <c r="G28" i="12"/>
  <c r="F28" i="12"/>
  <c r="E28" i="12"/>
  <c r="N27" i="12"/>
  <c r="M27" i="12"/>
  <c r="L27" i="12"/>
  <c r="K27" i="12"/>
  <c r="J27" i="12"/>
  <c r="I27" i="12"/>
  <c r="H27" i="12"/>
  <c r="G27" i="12"/>
  <c r="F27" i="12"/>
  <c r="E27" i="12"/>
  <c r="N26" i="12"/>
  <c r="M26" i="12"/>
  <c r="L26" i="12"/>
  <c r="K26" i="12"/>
  <c r="J26" i="12"/>
  <c r="I26" i="12"/>
  <c r="H26" i="12"/>
  <c r="G26" i="12"/>
  <c r="F26" i="12"/>
  <c r="E26" i="12"/>
  <c r="N25" i="12"/>
  <c r="M25" i="12"/>
  <c r="L25" i="12"/>
  <c r="K25" i="12"/>
  <c r="J25" i="12"/>
  <c r="I25" i="12"/>
  <c r="H25" i="12"/>
  <c r="G25" i="12"/>
  <c r="F25" i="12"/>
  <c r="E25" i="12"/>
  <c r="N24" i="12"/>
  <c r="M24" i="12"/>
  <c r="L24" i="12"/>
  <c r="K24" i="12"/>
  <c r="J24" i="12"/>
  <c r="I24" i="12"/>
  <c r="H24" i="12"/>
  <c r="G24" i="12"/>
  <c r="F24" i="12"/>
  <c r="E24" i="12"/>
  <c r="N23" i="12"/>
  <c r="M23" i="12"/>
  <c r="L23" i="12"/>
  <c r="K23" i="12"/>
  <c r="J23" i="12"/>
  <c r="I23" i="12"/>
  <c r="H23" i="12"/>
  <c r="G23" i="12"/>
  <c r="F23" i="12"/>
  <c r="E23" i="12"/>
  <c r="N22" i="12"/>
  <c r="M22" i="12"/>
  <c r="L22" i="12"/>
  <c r="K22" i="12"/>
  <c r="J22" i="12"/>
  <c r="I22" i="12"/>
  <c r="H22" i="12"/>
  <c r="G22" i="12"/>
  <c r="F22" i="12"/>
  <c r="E22" i="12"/>
  <c r="N21" i="12"/>
  <c r="M21" i="12"/>
  <c r="L21" i="12"/>
  <c r="K21" i="12"/>
  <c r="J21" i="12"/>
  <c r="I21" i="12"/>
  <c r="H21" i="12"/>
  <c r="G21" i="12"/>
  <c r="F21" i="12"/>
  <c r="E21" i="12"/>
  <c r="N20" i="12"/>
  <c r="M20" i="12"/>
  <c r="L20" i="12"/>
  <c r="K20" i="12"/>
  <c r="J20" i="12"/>
  <c r="I20" i="12"/>
  <c r="H20" i="12"/>
  <c r="G20" i="12"/>
  <c r="F20" i="12"/>
  <c r="E20" i="12"/>
  <c r="N19" i="12"/>
  <c r="M19" i="12"/>
  <c r="L19" i="12"/>
  <c r="K19" i="12"/>
  <c r="J19" i="12"/>
  <c r="I19" i="12"/>
  <c r="H19" i="12"/>
  <c r="G19" i="12"/>
  <c r="F19" i="12"/>
  <c r="E19" i="12"/>
  <c r="N18" i="12"/>
  <c r="M18" i="12"/>
  <c r="L18" i="12"/>
  <c r="K18" i="12"/>
  <c r="J18" i="12"/>
  <c r="I18" i="12"/>
  <c r="H18" i="12"/>
  <c r="G18" i="12"/>
  <c r="F18" i="12"/>
  <c r="E18" i="12"/>
  <c r="N17" i="12"/>
  <c r="M17" i="12"/>
  <c r="L17" i="12"/>
  <c r="K17" i="12"/>
  <c r="J17" i="12"/>
  <c r="I17" i="12"/>
  <c r="H17" i="12"/>
  <c r="G17" i="12"/>
  <c r="F17" i="12"/>
  <c r="E17" i="12"/>
  <c r="N16" i="12"/>
  <c r="M16" i="12"/>
  <c r="L16" i="12"/>
  <c r="K16" i="12"/>
  <c r="J16" i="12"/>
  <c r="I16" i="12"/>
  <c r="H16" i="12"/>
  <c r="G16" i="12"/>
  <c r="F16" i="12"/>
  <c r="E16" i="12"/>
  <c r="N15" i="12"/>
  <c r="M15" i="12"/>
  <c r="L15" i="12"/>
  <c r="K15" i="12"/>
  <c r="J15" i="12"/>
  <c r="I15" i="12"/>
  <c r="H15" i="12"/>
  <c r="G15" i="12"/>
  <c r="F15" i="12"/>
  <c r="E15" i="12"/>
  <c r="N14" i="12"/>
  <c r="M14" i="12"/>
  <c r="L14" i="12"/>
  <c r="K14" i="12"/>
  <c r="J14" i="12"/>
  <c r="I14" i="12"/>
  <c r="H14" i="12"/>
  <c r="G14" i="12"/>
  <c r="F14" i="12"/>
  <c r="E14" i="12"/>
  <c r="N13" i="12"/>
  <c r="M13" i="12"/>
  <c r="L13" i="12"/>
  <c r="K13" i="12"/>
  <c r="J13" i="12"/>
  <c r="I13" i="12"/>
  <c r="H13" i="12"/>
  <c r="G13" i="12"/>
  <c r="F13" i="12"/>
  <c r="E13" i="12"/>
  <c r="N12" i="12"/>
  <c r="M12" i="12"/>
  <c r="L12" i="12"/>
  <c r="K12" i="12"/>
  <c r="J12" i="12"/>
  <c r="I12" i="12"/>
  <c r="H12" i="12"/>
  <c r="G12" i="12"/>
  <c r="F12" i="12"/>
  <c r="E12" i="12"/>
  <c r="D9" i="12"/>
  <c r="C9" i="12"/>
  <c r="D8" i="12"/>
  <c r="C8" i="12"/>
  <c r="D7" i="12"/>
  <c r="C7" i="12"/>
  <c r="D6" i="12"/>
  <c r="C6" i="12"/>
  <c r="Z33" i="11"/>
  <c r="Y33" i="11"/>
  <c r="X33" i="11"/>
  <c r="W33" i="11"/>
  <c r="V33" i="11"/>
  <c r="U33" i="11"/>
  <c r="T33" i="11"/>
  <c r="S33" i="11"/>
  <c r="R33" i="11"/>
  <c r="Q33" i="11"/>
  <c r="P33" i="11"/>
  <c r="O33" i="11"/>
  <c r="Z32" i="11"/>
  <c r="Y32" i="11"/>
  <c r="X32" i="11"/>
  <c r="W32" i="11"/>
  <c r="V32" i="11"/>
  <c r="U32" i="11"/>
  <c r="T32" i="11"/>
  <c r="S32" i="11"/>
  <c r="R32" i="11"/>
  <c r="Q32" i="11"/>
  <c r="P32" i="11"/>
  <c r="O32" i="11"/>
  <c r="Z31" i="11"/>
  <c r="Y31" i="11"/>
  <c r="X31" i="11"/>
  <c r="W31" i="11"/>
  <c r="V31" i="11"/>
  <c r="U31" i="11"/>
  <c r="T31" i="11"/>
  <c r="S31" i="11"/>
  <c r="R31" i="11"/>
  <c r="Q31" i="11"/>
  <c r="Z30" i="11"/>
  <c r="Y30" i="11"/>
  <c r="X30" i="11"/>
  <c r="W30" i="11"/>
  <c r="V30" i="11"/>
  <c r="U30" i="11"/>
  <c r="T30" i="11"/>
  <c r="S30" i="11"/>
  <c r="R30" i="11"/>
  <c r="Q30" i="11"/>
  <c r="Z29" i="11"/>
  <c r="Y29" i="11"/>
  <c r="X29" i="11"/>
  <c r="W29" i="11"/>
  <c r="V29" i="11"/>
  <c r="U29" i="11"/>
  <c r="T29" i="11"/>
  <c r="S29" i="11"/>
  <c r="R29" i="11"/>
  <c r="Q29" i="11"/>
  <c r="Z28" i="11"/>
  <c r="Y28" i="11"/>
  <c r="X28" i="11"/>
  <c r="W28" i="11"/>
  <c r="V28" i="11"/>
  <c r="U28" i="11"/>
  <c r="T28" i="11"/>
  <c r="S28" i="11"/>
  <c r="R28" i="11"/>
  <c r="Q28" i="11"/>
  <c r="Z27" i="11"/>
  <c r="Y27" i="11"/>
  <c r="X27" i="11"/>
  <c r="W27" i="11"/>
  <c r="V27" i="11"/>
  <c r="U27" i="11"/>
  <c r="T27" i="11"/>
  <c r="S27" i="11"/>
  <c r="R27" i="11"/>
  <c r="Q27" i="11"/>
  <c r="Z26" i="11"/>
  <c r="Y26" i="11"/>
  <c r="X26" i="11"/>
  <c r="W26" i="11"/>
  <c r="V26" i="11"/>
  <c r="U26" i="11"/>
  <c r="T26" i="11"/>
  <c r="S26" i="11"/>
  <c r="R26" i="11"/>
  <c r="Q26" i="11"/>
  <c r="Z25" i="11"/>
  <c r="Y25" i="11"/>
  <c r="X25" i="11"/>
  <c r="W25" i="11"/>
  <c r="V25" i="11"/>
  <c r="U25" i="11"/>
  <c r="T25" i="11"/>
  <c r="S25" i="11"/>
  <c r="R25" i="11"/>
  <c r="Q25" i="11"/>
  <c r="Z24" i="11"/>
  <c r="Y24" i="11"/>
  <c r="X24" i="11"/>
  <c r="W24" i="11"/>
  <c r="V24" i="11"/>
  <c r="U24" i="11"/>
  <c r="T24" i="11"/>
  <c r="S24" i="11"/>
  <c r="R24" i="11"/>
  <c r="Q24" i="11"/>
  <c r="Z23" i="11"/>
  <c r="Y23" i="11"/>
  <c r="X23" i="11"/>
  <c r="W23" i="11"/>
  <c r="V23" i="11"/>
  <c r="U23" i="11"/>
  <c r="T23" i="11"/>
  <c r="S23" i="11"/>
  <c r="R23" i="11"/>
  <c r="Q23" i="11"/>
  <c r="Z22" i="11"/>
  <c r="Y22" i="11"/>
  <c r="X22" i="11"/>
  <c r="W22" i="11"/>
  <c r="V22" i="11"/>
  <c r="U22" i="11"/>
  <c r="T22" i="11"/>
  <c r="S22" i="11"/>
  <c r="R22" i="11"/>
  <c r="Q22" i="11"/>
  <c r="Z21" i="11"/>
  <c r="Y21" i="11"/>
  <c r="X21" i="11"/>
  <c r="W21" i="11"/>
  <c r="V21" i="11"/>
  <c r="U21" i="11"/>
  <c r="T21" i="11"/>
  <c r="S21" i="11"/>
  <c r="R21" i="11"/>
  <c r="Q21" i="11"/>
  <c r="Z20" i="11"/>
  <c r="Y20" i="11"/>
  <c r="X20" i="11"/>
  <c r="W20" i="11"/>
  <c r="V20" i="11"/>
  <c r="U20" i="11"/>
  <c r="T20" i="11"/>
  <c r="S20" i="11"/>
  <c r="R20" i="11"/>
  <c r="Q20" i="11"/>
  <c r="Z19" i="11"/>
  <c r="Y19" i="11"/>
  <c r="X19" i="11"/>
  <c r="W19" i="11"/>
  <c r="V19" i="11"/>
  <c r="U19" i="11"/>
  <c r="T19" i="11"/>
  <c r="S19" i="11"/>
  <c r="R19" i="11"/>
  <c r="Q19" i="11"/>
  <c r="Z18" i="11"/>
  <c r="Y18" i="11"/>
  <c r="X18" i="11"/>
  <c r="W18" i="11"/>
  <c r="V18" i="11"/>
  <c r="U18" i="11"/>
  <c r="T18" i="11"/>
  <c r="S18" i="11"/>
  <c r="R18" i="11"/>
  <c r="Q18" i="11"/>
  <c r="Z17" i="11"/>
  <c r="Y17" i="11"/>
  <c r="X17" i="11"/>
  <c r="W17" i="11"/>
  <c r="V17" i="11"/>
  <c r="U17" i="11"/>
  <c r="T17" i="11"/>
  <c r="S17" i="11"/>
  <c r="R17" i="11"/>
  <c r="Q17" i="11"/>
  <c r="Z16" i="11"/>
  <c r="Y16" i="11"/>
  <c r="X16" i="11"/>
  <c r="W16" i="11"/>
  <c r="V16" i="11"/>
  <c r="U16" i="11"/>
  <c r="T16" i="11"/>
  <c r="S16" i="11"/>
  <c r="R16" i="11"/>
  <c r="Q16" i="11"/>
  <c r="Z15" i="11"/>
  <c r="Y15" i="11"/>
  <c r="X15" i="11"/>
  <c r="W15" i="11"/>
  <c r="V15" i="11"/>
  <c r="U15" i="11"/>
  <c r="T15" i="11"/>
  <c r="S15" i="11"/>
  <c r="R15" i="11"/>
  <c r="Q15" i="11"/>
  <c r="Z14" i="11"/>
  <c r="Y14" i="11"/>
  <c r="X14" i="11"/>
  <c r="W14" i="11"/>
  <c r="V14" i="11"/>
  <c r="U14" i="11"/>
  <c r="T14" i="11"/>
  <c r="S14" i="11"/>
  <c r="R14" i="11"/>
  <c r="Q14" i="11"/>
  <c r="Z13" i="11"/>
  <c r="Y13" i="11"/>
  <c r="X13" i="11"/>
  <c r="W13" i="11"/>
  <c r="V13" i="11"/>
  <c r="U13" i="11"/>
  <c r="T13" i="11"/>
  <c r="S13" i="11"/>
  <c r="R13" i="11"/>
  <c r="Q13" i="11"/>
  <c r="Z12" i="11"/>
  <c r="Y12" i="11"/>
  <c r="X12" i="11"/>
  <c r="W12" i="11"/>
  <c r="V12" i="11"/>
  <c r="U12" i="11"/>
  <c r="T12" i="11"/>
  <c r="S12" i="11"/>
  <c r="R12" i="11"/>
  <c r="Q12" i="11"/>
  <c r="P9" i="11"/>
  <c r="O9" i="11"/>
  <c r="P8" i="11"/>
  <c r="O8" i="11"/>
  <c r="P7" i="11"/>
  <c r="O7" i="11"/>
  <c r="P6" i="11"/>
  <c r="O6" i="11"/>
  <c r="N33" i="11"/>
  <c r="M33" i="11"/>
  <c r="L33" i="11"/>
  <c r="K33" i="11"/>
  <c r="J33" i="11"/>
  <c r="I33" i="11"/>
  <c r="H33" i="11"/>
  <c r="G33" i="11"/>
  <c r="F33" i="11"/>
  <c r="E33" i="11"/>
  <c r="D33" i="11"/>
  <c r="C33" i="11"/>
  <c r="N32" i="11"/>
  <c r="M32" i="11"/>
  <c r="L32" i="11"/>
  <c r="K32" i="11"/>
  <c r="J32" i="11"/>
  <c r="I32" i="11"/>
  <c r="H32" i="11"/>
  <c r="G32" i="11"/>
  <c r="F32" i="11"/>
  <c r="E32" i="11"/>
  <c r="D32" i="11"/>
  <c r="C32" i="11"/>
  <c r="N31" i="11"/>
  <c r="M31" i="11"/>
  <c r="L31" i="11"/>
  <c r="K31" i="11"/>
  <c r="J31" i="11"/>
  <c r="I31" i="11"/>
  <c r="H31" i="11"/>
  <c r="G31" i="11"/>
  <c r="F31" i="11"/>
  <c r="E31" i="11"/>
  <c r="N30" i="11"/>
  <c r="M30" i="11"/>
  <c r="L30" i="11"/>
  <c r="K30" i="11"/>
  <c r="J30" i="11"/>
  <c r="I30" i="11"/>
  <c r="H30" i="11"/>
  <c r="G30" i="11"/>
  <c r="F30" i="11"/>
  <c r="E30" i="11"/>
  <c r="N29" i="11"/>
  <c r="M29" i="11"/>
  <c r="L29" i="11"/>
  <c r="K29" i="11"/>
  <c r="J29" i="11"/>
  <c r="I29" i="11"/>
  <c r="H29" i="11"/>
  <c r="G29" i="11"/>
  <c r="F29" i="11"/>
  <c r="E29" i="11"/>
  <c r="N28" i="11"/>
  <c r="M28" i="11"/>
  <c r="L28" i="11"/>
  <c r="K28" i="11"/>
  <c r="J28" i="11"/>
  <c r="I28" i="11"/>
  <c r="H28" i="11"/>
  <c r="G28" i="11"/>
  <c r="F28" i="11"/>
  <c r="E28" i="11"/>
  <c r="N27" i="11"/>
  <c r="M27" i="11"/>
  <c r="L27" i="11"/>
  <c r="K27" i="11"/>
  <c r="J27" i="11"/>
  <c r="I27" i="11"/>
  <c r="H27" i="11"/>
  <c r="G27" i="11"/>
  <c r="F27" i="11"/>
  <c r="E27" i="11"/>
  <c r="N26" i="11"/>
  <c r="M26" i="11"/>
  <c r="L26" i="11"/>
  <c r="K26" i="11"/>
  <c r="J26" i="11"/>
  <c r="I26" i="11"/>
  <c r="H26" i="11"/>
  <c r="G26" i="11"/>
  <c r="F26" i="11"/>
  <c r="E26" i="11"/>
  <c r="N25" i="11"/>
  <c r="M25" i="11"/>
  <c r="L25" i="11"/>
  <c r="K25" i="11"/>
  <c r="J25" i="11"/>
  <c r="I25" i="11"/>
  <c r="H25" i="11"/>
  <c r="G25" i="11"/>
  <c r="F25" i="11"/>
  <c r="E25" i="11"/>
  <c r="N24" i="11"/>
  <c r="M24" i="11"/>
  <c r="L24" i="11"/>
  <c r="K24" i="11"/>
  <c r="J24" i="11"/>
  <c r="I24" i="11"/>
  <c r="H24" i="11"/>
  <c r="G24" i="11"/>
  <c r="F24" i="11"/>
  <c r="E24" i="11"/>
  <c r="N23" i="11"/>
  <c r="M23" i="11"/>
  <c r="L23" i="11"/>
  <c r="K23" i="11"/>
  <c r="J23" i="11"/>
  <c r="I23" i="11"/>
  <c r="H23" i="11"/>
  <c r="G23" i="11"/>
  <c r="F23" i="11"/>
  <c r="E23" i="11"/>
  <c r="N22" i="11"/>
  <c r="M22" i="11"/>
  <c r="L22" i="11"/>
  <c r="K22" i="11"/>
  <c r="J22" i="11"/>
  <c r="I22" i="11"/>
  <c r="H22" i="11"/>
  <c r="G22" i="11"/>
  <c r="F22" i="11"/>
  <c r="E22" i="11"/>
  <c r="N21" i="11"/>
  <c r="M21" i="11"/>
  <c r="L21" i="11"/>
  <c r="K21" i="11"/>
  <c r="J21" i="11"/>
  <c r="I21" i="11"/>
  <c r="H21" i="11"/>
  <c r="G21" i="11"/>
  <c r="F21" i="11"/>
  <c r="E21" i="11"/>
  <c r="N20" i="11"/>
  <c r="M20" i="11"/>
  <c r="L20" i="11"/>
  <c r="K20" i="11"/>
  <c r="J20" i="11"/>
  <c r="I20" i="11"/>
  <c r="H20" i="11"/>
  <c r="G20" i="11"/>
  <c r="F20" i="11"/>
  <c r="E20" i="11"/>
  <c r="N19" i="11"/>
  <c r="M19" i="11"/>
  <c r="L19" i="11"/>
  <c r="K19" i="11"/>
  <c r="J19" i="11"/>
  <c r="I19" i="11"/>
  <c r="H19" i="11"/>
  <c r="G19" i="11"/>
  <c r="F19" i="11"/>
  <c r="E19" i="11"/>
  <c r="N18" i="11"/>
  <c r="M18" i="11"/>
  <c r="L18" i="11"/>
  <c r="K18" i="11"/>
  <c r="J18" i="11"/>
  <c r="I18" i="11"/>
  <c r="H18" i="11"/>
  <c r="G18" i="11"/>
  <c r="F18" i="11"/>
  <c r="E18" i="11"/>
  <c r="N17" i="11"/>
  <c r="M17" i="11"/>
  <c r="L17" i="11"/>
  <c r="K17" i="11"/>
  <c r="J17" i="11"/>
  <c r="I17" i="11"/>
  <c r="H17" i="11"/>
  <c r="G17" i="11"/>
  <c r="F17" i="11"/>
  <c r="E17" i="11"/>
  <c r="N16" i="11"/>
  <c r="M16" i="11"/>
  <c r="L16" i="11"/>
  <c r="K16" i="11"/>
  <c r="J16" i="11"/>
  <c r="I16" i="11"/>
  <c r="H16" i="11"/>
  <c r="G16" i="11"/>
  <c r="F16" i="11"/>
  <c r="E16" i="11"/>
  <c r="N15" i="11"/>
  <c r="M15" i="11"/>
  <c r="L15" i="11"/>
  <c r="K15" i="11"/>
  <c r="J15" i="11"/>
  <c r="I15" i="11"/>
  <c r="H15" i="11"/>
  <c r="G15" i="11"/>
  <c r="F15" i="11"/>
  <c r="E15" i="11"/>
  <c r="N14" i="11"/>
  <c r="M14" i="11"/>
  <c r="L14" i="11"/>
  <c r="K14" i="11"/>
  <c r="J14" i="11"/>
  <c r="I14" i="11"/>
  <c r="H14" i="11"/>
  <c r="G14" i="11"/>
  <c r="F14" i="11"/>
  <c r="E14" i="11"/>
  <c r="N13" i="11"/>
  <c r="M13" i="11"/>
  <c r="L13" i="11"/>
  <c r="K13" i="11"/>
  <c r="J13" i="11"/>
  <c r="I13" i="11"/>
  <c r="H13" i="11"/>
  <c r="G13" i="11"/>
  <c r="F13" i="11"/>
  <c r="E13" i="11"/>
  <c r="N12" i="11"/>
  <c r="M12" i="11"/>
  <c r="L12" i="11"/>
  <c r="K12" i="11"/>
  <c r="J12" i="11"/>
  <c r="I12" i="11"/>
  <c r="H12" i="11"/>
  <c r="G12" i="11"/>
  <c r="F12" i="11"/>
  <c r="E12" i="11"/>
  <c r="D9" i="11"/>
  <c r="C9" i="11"/>
  <c r="D8" i="11"/>
  <c r="C8" i="11"/>
  <c r="D7" i="11"/>
  <c r="C7" i="11"/>
  <c r="D6" i="11"/>
  <c r="C6" i="11"/>
  <c r="B20" i="13" l="1"/>
  <c r="B18" i="13"/>
  <c r="B17" i="13"/>
  <c r="B16" i="13"/>
  <c r="B15" i="13"/>
  <c r="B14" i="13"/>
  <c r="B13" i="13"/>
  <c r="B12" i="13"/>
  <c r="B9" i="13"/>
  <c r="B20" i="12"/>
  <c r="B18" i="12"/>
  <c r="B17" i="12"/>
  <c r="B16" i="12"/>
  <c r="B15" i="12"/>
  <c r="B14" i="12"/>
  <c r="B13" i="12"/>
  <c r="B12" i="12"/>
  <c r="B9" i="12"/>
  <c r="B20" i="11"/>
  <c r="B18" i="11"/>
  <c r="B17" i="11"/>
  <c r="B16" i="11"/>
  <c r="B15" i="11"/>
  <c r="B14" i="11"/>
  <c r="B13" i="11"/>
  <c r="B12" i="11"/>
  <c r="B9" i="11"/>
</calcChain>
</file>

<file path=xl/sharedStrings.xml><?xml version="1.0" encoding="utf-8"?>
<sst xmlns="http://schemas.openxmlformats.org/spreadsheetml/2006/main" count="1369" uniqueCount="130">
  <si>
    <t>Dependent Variable: At least one household member migrates outside household in a given year (yes=1)</t>
  </si>
  <si>
    <t>(1)</t>
  </si>
  <si>
    <t>(2)</t>
  </si>
  <si>
    <t>(3)</t>
  </si>
  <si>
    <t>(4)</t>
  </si>
  <si>
    <t>(5)</t>
  </si>
  <si>
    <t>(6)</t>
  </si>
  <si>
    <t>(7)</t>
  </si>
  <si>
    <t>(8)</t>
  </si>
  <si>
    <t>(9)</t>
  </si>
  <si>
    <t>(10)</t>
  </si>
  <si>
    <t>(11)</t>
  </si>
  <si>
    <t>(12)</t>
  </si>
  <si>
    <t>Conflict exposure, Village level</t>
  </si>
  <si>
    <t>Violence in a given year (yes=1)</t>
  </si>
  <si>
    <t>Number of casualties in a given year</t>
  </si>
  <si>
    <t>Conflict Exposure, Household level</t>
  </si>
  <si>
    <t>Index of  household Losss (all) - PCA</t>
  </si>
  <si>
    <t>Index of  Agricultural Related Losses (land and/or crops) - PCA</t>
  </si>
  <si>
    <t>Index of Asset Related Losses (money, goods and/or house) - PCA</t>
  </si>
  <si>
    <t>Index of  Agricultural Related Losses (land and/or crops) - Sum</t>
  </si>
  <si>
    <t>Index of Asset Related Losses (money, goods and/or house) - Sum</t>
  </si>
  <si>
    <t>Observations</t>
  </si>
  <si>
    <t>Mean Dependent Variable</t>
  </si>
  <si>
    <t>Household Fixed Effect</t>
  </si>
  <si>
    <t>Yes</t>
  </si>
  <si>
    <t>Year Fixed Effect</t>
  </si>
  <si>
    <t>Province time-trend</t>
  </si>
  <si>
    <t>(13)</t>
  </si>
  <si>
    <t>(14)</t>
  </si>
  <si>
    <t>(15)</t>
  </si>
  <si>
    <t>(16)</t>
  </si>
  <si>
    <t>(17)</t>
  </si>
  <si>
    <t>(18)</t>
  </si>
  <si>
    <t>(19)</t>
  </si>
  <si>
    <t>(20)</t>
  </si>
  <si>
    <t>(21)</t>
  </si>
  <si>
    <t>(22)</t>
  </si>
  <si>
    <t>(23)</t>
  </si>
  <si>
    <t>(24)</t>
  </si>
  <si>
    <t>Dependent Variable: Migration outside household in a given year (yes=1)</t>
  </si>
  <si>
    <t>Only women</t>
  </si>
  <si>
    <t>Adults (older than 18 years old)</t>
  </si>
  <si>
    <t>Children (younger than 18 years old)</t>
  </si>
  <si>
    <t>Poor Households (1998)</t>
  </si>
  <si>
    <t xml:space="preserve">Non-Poor Households (1998) </t>
  </si>
  <si>
    <t>Individual Fixed Effect</t>
  </si>
  <si>
    <t>Women</t>
  </si>
  <si>
    <t>Men</t>
  </si>
  <si>
    <t>Poor (1998)</t>
  </si>
  <si>
    <t>Non-Poor (1998)</t>
  </si>
  <si>
    <t>Village Fixed Effect</t>
  </si>
  <si>
    <t>Dependent Variable: At least one migrant returns home in a given year (yes =1 )</t>
  </si>
  <si>
    <t>Only Men</t>
  </si>
  <si>
    <t>Notes - This table presents our baseline regression for household migration. Robust standard error, clustered at VIllage level. * p&lt;0.10  ** p&lt;0.05 *** p&lt;0.01. The dependent variable, at least one houhold member migrates outside household in a given year (yes=1), takes value one when at least one household member migrate due to no-marriage reason in a giving year. Violence in a given year (presence=1)   takes value one when the number of casualties in a given year is positive, 0 otherwise. Number of casualties in a given year includes the number of individuals killed or wounded in a given year, divided by 100 people.Index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</si>
  <si>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 xml:space="preserve">Only woman											</t>
  </si>
  <si>
    <t xml:space="preserve"> Ony Poor Households(1998)					</t>
  </si>
  <si>
    <t>Only Non-Poor Households (1998)</t>
  </si>
  <si>
    <t>Only men</t>
  </si>
  <si>
    <t>Panel A</t>
  </si>
  <si>
    <t>Panel B</t>
  </si>
  <si>
    <t>Panel C</t>
  </si>
  <si>
    <t>Panel D</t>
  </si>
  <si>
    <t>Panel E</t>
  </si>
  <si>
    <t>Table A1. Armed Conflict and All Migration, Individual-level Analysis</t>
  </si>
  <si>
    <t>Table A2: Armed Conflict and All Migration, Household-level Analysis</t>
  </si>
  <si>
    <t>Table A3.  Armed Conflict and All Migration, Individual-level Analysis</t>
  </si>
  <si>
    <t>Notes - This table presents our baseline regression for non-marital migration at individual level. Robust standard errors, clustered at VIllage level. * p&lt;0.10  ** p&lt;0.05 *** p&lt;0.01. The dependent variable, Migration outside of the household in a given year (yes=1) takes value one when a person migrates due to non-marital reasons in a given year. Sample includes all household members that either never migrate or migrateduring 1998-2007. Violence in a given year (presence=1)   takes value one when the number of casualties in a given year is positive, 0 otherwise. Number of casualties in a given year includes the number of individuals killed or wounded in a given year, divided by 100 people. Index of Asset Related Losses refers - PCA -  refers to the first component from a Principal Component Analysis for Theft of money (yes=1), Theft or destruction of goods (yes=1), and Destruction of house (yes=1)  for a household in a given year.  Data Source: 2007 Burundi Priority Panel Survey. Data Source: 2007 Burundi Priority Panel Survey.</t>
  </si>
  <si>
    <t xml:space="preserve">Notes - This table presents our baseline regression for household migration. Robust standard error, clustered at VIllage level. * p&lt;0.10  ** p&lt;0.05 *** p&lt;0.01. The dependent variable, at least one houhold member migrates outside household in a given year (yes=1), takes value one when at least one household member migrate in a giving year. Violence in a given year (presence=1)   takes value one when the number of casualties in a given year is positive, 0 otherwise. Number of casualties in a given year includes the number of individuals killed or wounded in a given year, divided by 100 people.Index of Asset Related Losses refers - PCA -  refers to the first component from a Principal Component Analysis for Theft of money (yes=1), Theft or destruction of goods (yes=1), and Destruction of house (yes=1)  for a household in a given year. Data Source: 2007 Burundi Priority Panel Survey.
</t>
  </si>
  <si>
    <t>Notes - This table presents our heterogeneity analysis for non-marital migration at individual level. Robust standard errors, clustered at VIllage level. * p&lt;0.10  ** p&lt;0.05 *** p&lt;0.01. The dependent variable, Migration outside of the household in a given year (yes=1) takes value one when a person migrates in a given year. Columns (1) to (4) restricts the baseline sample to only women, only men, only adults (older than 18 years old) or only young (younger than 18 years old), respectively. Columns (5) and (6) split the baseline sample defining poverty based on the 1997 national Burundi poverty line. Violence in a given year (presence=1)   takes value one when the number of casualties in a given year is positive, 0 otherwise. Number of casualties in a given year includes the number of individuals killed or wounded in a given year, divided by 100 people.Index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</si>
  <si>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Notes - This table presents our baseline regression for non-marital migration at individual level. Robust standard errors, clustered at VIllage level. * p&lt;0.10  ** p&lt;0.05 *** p&lt;0.01. The dependent variable, Migration outside of the household in a given year (yes=1) takes value one when a person migrates due to non-marital reasons in a given year. Sample includes all household members that either never migrate or migrate for non-marital reasons during 1998-2007. Violence in a given year (presence=1)   takes value one when the number of casualties in a given year is positive, 0 otherwise. Number of casualties in a given year includes the number of individuals killed or wounded in a given year, divided by 100 people. Index of Asset Related Losses refers - PCA -  refers to the first component from a Principal Component Analysis for Theft of money (yes=1), Theft or destruction of goods (yes=1), and Destruction of house (yes=1)  for a household in a given year.  Data Source: 2007 Burundi Priority Panel Survey. Data Source: 2007 Burundi Priority Panel Survey.</t>
  </si>
  <si>
    <t>Table A7. Armed Conflict and all Migration, Individual-level Analysis (Village Fixed Effect)</t>
  </si>
  <si>
    <t>Table A8: Baseline results. Armed Conflict and Non-Marital Migration, Household-level Analysis (Village Fixed Effect)</t>
  </si>
  <si>
    <t>Table A9. Baseline results. Armed Conflict and Migration, Individual-level Analysis (Village Fixed Effect)</t>
  </si>
  <si>
    <t>Notes -This table presents regression for return migration at household level. Robust standard errors, clustered at VIllage level. * p&lt;0.10  ** p&lt;0.05 *** p&lt;0.01.  The dependent variable is a dummy indicating if at least one migrant returned home in a given year (yes=1). Sample includes all households that have at least one member who migrated and lived outside household for non-marital reasons. Violence in a given year (presence=1) takes value one when the number of casualties in a given year is positive, 0 otherwise. Number of casualties in a given year includes the number of individuals killed or wounded in a given year, divided by 100. 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</si>
  <si>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Notes - This table presents regressions for marrital migration at the individual level. Robust standard errors, clustered at VIllage level. * p&lt;0.10  ** p&lt;0.05 *** p&lt;0.01. The dependent variable, got married and lived outside the household in a given year (yes=1) takes value one when a women got married and left the household in a given year. The baseline sample are those non-married women in 1998 between 15 and 25 years old.  Violence in a given year (presence=1) takes value one when the number of casualties in a given year is positive, 0 otherwise. Number of causalities in a given year includes the number of individuals killed or wounded in a given year, divided by 100. 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</si>
  <si>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Dependent Variable: Left household due to marriage in a given year (yes=1)</t>
  </si>
  <si>
    <t>Notes - This table presents regression for marital migration at the household level. Robust standard errors, clustered at VIllage level. * p&lt;0.10  ** p&lt;0.05 *** p&lt;0.01. The dependent variable, at least one woman in the household leaves to get married in a given year (yes=1), takes value one when at least one woman migrates due to marriage in a given year. Sample includes all households with at least one non-married womenin 1998 of marital age (15 to 25 years old). Violence in a given year (presence=1) takes value one when the number of casualties in a given year is positive, 0 otherwise. Number of casualties in a given year includes the number of individuals killed or wounded in a given year, divided by 100.Index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</si>
  <si>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Dependent Variable: At least one woman got married and left the household in a given year  (yes=1)</t>
  </si>
  <si>
    <t>Notes - This table presents regression for return migration at individual level. Robust standard errors, clustered at VIllage level. * p&lt;0.10  ** p&lt;0.05 *** p&lt;0.01.  The dependent variable is a dummy indicating if a migrant returned home in a given year (yes =1) . Sample includes all household members that migrated and lived outside the household for non-marital reasons  during 1998-2007.Violence in a given year (presence=1)   takes value one when the number of casualties in a given year is positive, 0 otherwise. Number of casualties in a given year includes the number of individuals killed or wounded in a given year, divided by 100 people. Index of Asset Related Losses refers - PCA -  refers to the first component from a Principal Component Analysis for Theft of money (yes=1), Theft or destruction of goods (yes=1), and Destruction of house (yes=1)  for a household in a given year.  Data Source: 2007 Burundi Priority Panel Survey. Data Source: 2007 Burundi Priority Panel Survey.</t>
  </si>
  <si>
    <t>Dependent Variable: Migrant returns home in a given year (yes =1 )</t>
  </si>
  <si>
    <t>Dependent Variable:  At least one migrant returns home in a given year (yes =1 )</t>
  </si>
  <si>
    <t>Table A1</t>
  </si>
  <si>
    <t>Table A2</t>
  </si>
  <si>
    <t>Table A3</t>
  </si>
  <si>
    <t>Table A4</t>
  </si>
  <si>
    <t>Table A5</t>
  </si>
  <si>
    <t>Table A6</t>
  </si>
  <si>
    <t>Table A7</t>
  </si>
  <si>
    <t>Table A8</t>
  </si>
  <si>
    <t>Table A9</t>
  </si>
  <si>
    <t>Table A10</t>
  </si>
  <si>
    <t>Table A11</t>
  </si>
  <si>
    <t>Table A12</t>
  </si>
  <si>
    <t>Table A13</t>
  </si>
  <si>
    <t>Table A14</t>
  </si>
  <si>
    <t>Table A15</t>
  </si>
  <si>
    <t>Table A16</t>
  </si>
  <si>
    <t>Armed Conflict and All Migration, Individual-level Analysis</t>
  </si>
  <si>
    <t>Armed Conflict and All Migration, Household-level Analysis</t>
  </si>
  <si>
    <t>Armed Conflict and All Migration, Individual-level Analysis (Different Samples)</t>
  </si>
  <si>
    <t>Armed Conflict and all Migration, Individual-level Analysis (Village Fixed Effect)</t>
  </si>
  <si>
    <t>Armed Conflict and Non-Marital Migration, Household-level Analysis (Village Fixed Effect)</t>
  </si>
  <si>
    <t>Armed Conflict and Migration, Individual-level Analysis (Village Fixed Effect) (Different Samples)</t>
  </si>
  <si>
    <t>Armed Conflict and Return Migration, Household-level Analysis, By Gender</t>
  </si>
  <si>
    <t xml:space="preserve">Armed Conflict and Return Migration, Household-level Analysis, By Age	</t>
  </si>
  <si>
    <t>Armed Conflict and Return Migration, Household-level Analysis, By Poverty Status</t>
  </si>
  <si>
    <t xml:space="preserve">Armed Conflict and Marital Migration, Individual-level Analysis </t>
  </si>
  <si>
    <t>Armed Conflict and Marital Migration, Household-level Analysis</t>
  </si>
  <si>
    <t>Armed Conflict and Return Migration, Individual-level Analysis</t>
  </si>
  <si>
    <t>Table A10. Armed Conflict and Return Migration, Individual-level Analysis</t>
  </si>
  <si>
    <t>Table A11:  Armed Conflict and Return Migration, Household-level Analysis</t>
  </si>
  <si>
    <t>Armed Conflict and Return Migration, Household-level Analysis</t>
  </si>
  <si>
    <t>Table A12:  Armed Conflict and Return Migration, Household-level Analysis, By Gender</t>
  </si>
  <si>
    <t xml:space="preserve">Table A13:  Armed Conflict and Return Migration, Household-level Analysis, By Age		</t>
  </si>
  <si>
    <t>Table A14:  Armed Conflict and Return Migration, Household-level Analysis,  By Poverty Status					"</t>
  </si>
  <si>
    <t xml:space="preserve">Table A15: Armed Conflict and Marital Migration, Individual-level Analysis </t>
  </si>
  <si>
    <t>Table A16:  Armed Conflict and Marital Migration, Household-level Analysis</t>
  </si>
  <si>
    <t>Table A4:  Armed Conflict and All Migration, Household-level Analysis, By Gender</t>
  </si>
  <si>
    <t>Table A5:  Armed Conflict and All Migration, Household-level Analysis, By Age</t>
  </si>
  <si>
    <t>Table A6:  Armed Conflict and All Migration, Household-level Analysis, By Poverty Status (1998)</t>
  </si>
  <si>
    <t>Armed Conflict and All Migration, Household-level Analysis, By Gender</t>
  </si>
  <si>
    <t>Armed Conflict and All Migration, Household-level Analysis, By Age</t>
  </si>
  <si>
    <t>Armed Conflict and All Migration, Household-level Analysis, By Poverty Status (1998)</t>
  </si>
  <si>
    <t xml:space="preserve">Table A17. Baseline results. Armed Conflict (Village and Household Level Victimization) and Non-Marital Migration, Individual-level Analysis </t>
  </si>
  <si>
    <t>Table A17</t>
  </si>
  <si>
    <t xml:space="preserve">Armed Conflict (Village and Household Level Victimization) and Non-Marital Migration, Individual-level Analysis </t>
  </si>
  <si>
    <t>Table A18. Baseline results. Armed Conflict (Village and Household Level Victimization) and Non-Marital Migration, Household-level Analysis</t>
  </si>
  <si>
    <t>Table A18</t>
  </si>
  <si>
    <t xml:space="preserve">Armed Conflict (Village and Household Level Victimization) and Non-Marital Migration, Household-level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</si>
</sst>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0.000"/>
  </numFmts>
  <fonts count="13" x14ac:knownFonts="1">
    <font>
      <sz val="12"/>
      <color theme="1"/>
      <name val="Calibri"/>
      <family val="2"/>
      <scheme val="minor"/>
    </font>
    <font>
      <sz val="12"/>
      <color theme="1"/>
      <name val="Times New Roman"/>
      <family val="1"/>
    </font>
    <font>
      <sz val="12"/>
      <name val="Times New Roman"/>
      <family val="1"/>
    </font>
    <font>
      <i/>
      <u/>
      <sz val="12"/>
      <name val="Times New Roman"/>
      <family val="1"/>
    </font>
    <font>
      <b/>
      <i/>
      <u/>
      <sz val="12"/>
      <name val="Times New Roman"/>
      <family val="1"/>
    </font>
    <font>
      <sz val="11"/>
      <name val="Times New Roman"/>
      <family val="1"/>
    </font>
    <font>
      <i/>
      <sz val="12"/>
      <color theme="1"/>
      <name val="Times New Roman"/>
      <family val="1"/>
    </font>
    <font>
      <i/>
      <sz val="12"/>
      <name val="Times New Roman"/>
      <family val="1"/>
    </font>
    <font>
      <sz val="10"/>
      <name val="Times New Roman"/>
      <family val="1"/>
    </font>
    <font>
      <sz val="12"/>
      <color theme="1"/>
      <name val="Calibri"/>
      <family val="2"/>
    </font>
    <font>
      <u/>
      <sz val="12"/>
      <name val="Times New Roman"/>
      <family val="1"/>
    </font>
    <font>
      <b/>
      <sz val="12"/>
      <color theme="1"/>
      <name val="Calibri"/>
      <family val="2"/>
      <scheme val="minor"/>
    </font>
    <font>
      <b/>
      <sz val="12"/>
      <name val="Times New Roman"/>
      <family val="1"/>
    </font>
  </fonts>
  <fills count="2">
    <fill>
      <patternFill patternType="none"/>
    </fill>
    <fill>
      <patternFill patternType="gray125"/>
    </fill>
  </fills>
  <borders count="13">
    <border>
      <left/>
      <right/>
      <top/>
      <bottom/>
      <diagonal/>
    </border>
    <border>
      <left/>
      <right/>
      <top/>
      <bottom style="thin">
        <color auto="1"/>
      </bottom>
      <diagonal/>
    </border>
    <border>
      <left/>
      <right/>
      <top style="thin">
        <color auto="1"/>
      </top>
      <bottom style="double">
        <color auto="1"/>
      </bottom>
      <diagonal/>
    </border>
    <border>
      <left/>
      <right/>
      <top style="double">
        <color auto="1"/>
      </top>
      <bottom/>
      <diagonal/>
    </border>
    <border>
      <left/>
      <right/>
      <top style="thin">
        <color auto="1"/>
      </top>
      <bottom/>
      <diagonal/>
    </border>
    <border>
      <left/>
      <right/>
      <top/>
      <bottom style="double">
        <color auto="1"/>
      </bottom>
      <diagonal/>
    </border>
    <border>
      <left/>
      <right style="hair">
        <color auto="1"/>
      </right>
      <top/>
      <bottom/>
      <diagonal/>
    </border>
    <border>
      <left/>
      <right style="hair">
        <color auto="1"/>
      </right>
      <top style="thin">
        <color auto="1"/>
      </top>
      <bottom/>
      <diagonal/>
    </border>
    <border>
      <left/>
      <right style="hair">
        <color auto="1"/>
      </right>
      <top/>
      <bottom style="thin">
        <color auto="1"/>
      </bottom>
      <diagonal/>
    </border>
    <border>
      <left/>
      <right style="hair">
        <color auto="1"/>
      </right>
      <top/>
      <bottom style="double">
        <color auto="1"/>
      </bottom>
      <diagonal/>
    </border>
    <border>
      <left style="hair">
        <color auto="1"/>
      </left>
      <right/>
      <top style="thin">
        <color auto="1"/>
      </top>
      <bottom/>
      <diagonal/>
    </border>
    <border>
      <left/>
      <right style="hair">
        <color auto="1"/>
      </right>
      <top style="double">
        <color auto="1"/>
      </top>
      <bottom/>
      <diagonal/>
    </border>
    <border>
      <left/>
      <right/>
      <top style="hair">
        <color auto="1"/>
      </top>
      <bottom/>
      <diagonal/>
    </border>
  </borders>
  <cellStyleXfs count="1">
    <xf numFmtId="0" fontId="0" fillId="0" borderId="0"/>
  </cellStyleXfs>
  <cellXfs count="86">
    <xf numFmtId="0" fontId="0" fillId="0" borderId="0" xfId="0"/>
    <xf numFmtId="0" fontId="2" fillId="0" borderId="2" xfId="0" applyFont="1" applyBorder="1" applyAlignment="1">
      <alignment horizontal="center" vertical="center" wrapText="1"/>
    </xf>
    <xf numFmtId="49" fontId="2" fillId="0" borderId="2" xfId="0" applyNumberFormat="1" applyFont="1" applyBorder="1" applyAlignment="1">
      <alignment horizontal="center" vertical="center"/>
    </xf>
    <xf numFmtId="0" fontId="3" fillId="0" borderId="3" xfId="0" applyFont="1" applyBorder="1" applyAlignment="1">
      <alignment vertical="center"/>
    </xf>
    <xf numFmtId="0" fontId="4" fillId="0" borderId="3" xfId="0" applyFont="1" applyBorder="1" applyAlignment="1">
      <alignment vertical="center"/>
    </xf>
    <xf numFmtId="0" fontId="2" fillId="0" borderId="0" xfId="0" applyFont="1" applyBorder="1"/>
    <xf numFmtId="0" fontId="1" fillId="0" borderId="0" xfId="0" applyFont="1" applyAlignment="1">
      <alignment horizontal="center" vertical="center"/>
    </xf>
    <xf numFmtId="0" fontId="2" fillId="0" borderId="0" xfId="0" applyFont="1"/>
    <xf numFmtId="0" fontId="2" fillId="0" borderId="0" xfId="0" applyFont="1" applyFill="1" applyBorder="1"/>
    <xf numFmtId="0" fontId="3" fillId="0" borderId="4" xfId="0" applyFont="1" applyBorder="1" applyAlignment="1">
      <alignment vertical="center"/>
    </xf>
    <xf numFmtId="0" fontId="4" fillId="0" borderId="4" xfId="0" applyFont="1" applyBorder="1" applyAlignment="1">
      <alignment horizontal="center" vertical="center"/>
    </xf>
    <xf numFmtId="0" fontId="1" fillId="0" borderId="0" xfId="0" applyFont="1" applyBorder="1"/>
    <xf numFmtId="0" fontId="1" fillId="0" borderId="0" xfId="0" applyFont="1" applyBorder="1" applyAlignment="1">
      <alignment horizontal="center" vertical="center"/>
    </xf>
    <xf numFmtId="164" fontId="1" fillId="0" borderId="0" xfId="0" applyNumberFormat="1" applyFont="1" applyBorder="1"/>
    <xf numFmtId="164" fontId="1" fillId="0" borderId="0" xfId="0" applyNumberFormat="1" applyFont="1" applyBorder="1" applyAlignment="1">
      <alignment horizontal="center" vertical="center"/>
    </xf>
    <xf numFmtId="0" fontId="5" fillId="0" borderId="0" xfId="0" applyFont="1" applyBorder="1" applyAlignment="1">
      <alignment horizontal="left"/>
    </xf>
    <xf numFmtId="0" fontId="1" fillId="0" borderId="4" xfId="0" applyNumberFormat="1" applyFont="1" applyBorder="1" applyAlignment="1">
      <alignment horizontal="left"/>
    </xf>
    <xf numFmtId="0" fontId="6" fillId="0" borderId="4" xfId="0" applyNumberFormat="1" applyFont="1" applyBorder="1" applyAlignment="1">
      <alignment horizontal="center"/>
    </xf>
    <xf numFmtId="0" fontId="7" fillId="0" borderId="0" xfId="0" applyFont="1" applyBorder="1"/>
    <xf numFmtId="165" fontId="7" fillId="0" borderId="0" xfId="0" applyNumberFormat="1" applyFont="1" applyBorder="1" applyAlignment="1">
      <alignment horizontal="center" vertical="center"/>
    </xf>
    <xf numFmtId="0" fontId="7" fillId="0" borderId="0" xfId="0" applyNumberFormat="1" applyFont="1" applyBorder="1"/>
    <xf numFmtId="0" fontId="7" fillId="0" borderId="0" xfId="0" applyNumberFormat="1" applyFont="1" applyBorder="1" applyAlignment="1">
      <alignment horizontal="center" vertical="center"/>
    </xf>
    <xf numFmtId="0" fontId="7" fillId="0" borderId="1" xfId="0" applyNumberFormat="1" applyFont="1" applyBorder="1"/>
    <xf numFmtId="0" fontId="7" fillId="0" borderId="1" xfId="0" applyNumberFormat="1" applyFont="1" applyBorder="1" applyAlignment="1">
      <alignment horizontal="center" vertical="center"/>
    </xf>
    <xf numFmtId="0" fontId="2" fillId="0" borderId="5" xfId="0" applyFont="1" applyBorder="1" applyAlignment="1">
      <alignment horizontal="center" vertical="center" wrapText="1"/>
    </xf>
    <xf numFmtId="49" fontId="2" fillId="0" borderId="5" xfId="0" applyNumberFormat="1" applyFont="1" applyBorder="1" applyAlignment="1">
      <alignment horizontal="center" vertical="center"/>
    </xf>
    <xf numFmtId="0" fontId="2" fillId="0" borderId="0"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5" xfId="0" applyFont="1" applyBorder="1" applyAlignment="1">
      <alignment horizontal="center" vertical="center" wrapText="1"/>
    </xf>
    <xf numFmtId="0" fontId="0" fillId="0" borderId="0" xfId="0" applyBorder="1"/>
    <xf numFmtId="0" fontId="0" fillId="0" borderId="6" xfId="0" applyBorder="1"/>
    <xf numFmtId="0" fontId="4" fillId="0" borderId="7" xfId="0" applyFont="1" applyBorder="1" applyAlignment="1">
      <alignment horizontal="center" vertical="center"/>
    </xf>
    <xf numFmtId="0" fontId="6" fillId="0" borderId="7" xfId="0" applyNumberFormat="1" applyFont="1" applyBorder="1" applyAlignment="1">
      <alignment horizontal="center"/>
    </xf>
    <xf numFmtId="165" fontId="7" fillId="0" borderId="6" xfId="0" applyNumberFormat="1" applyFont="1" applyBorder="1" applyAlignment="1">
      <alignment horizontal="center" vertical="center"/>
    </xf>
    <xf numFmtId="0" fontId="7" fillId="0" borderId="6" xfId="0" applyNumberFormat="1" applyFont="1" applyBorder="1" applyAlignment="1">
      <alignment horizontal="center" vertical="center"/>
    </xf>
    <xf numFmtId="0" fontId="7" fillId="0" borderId="8" xfId="0" applyNumberFormat="1" applyFont="1" applyBorder="1" applyAlignment="1">
      <alignment horizontal="center" vertical="center"/>
    </xf>
    <xf numFmtId="49" fontId="2" fillId="0" borderId="9" xfId="0" applyNumberFormat="1"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xf>
    <xf numFmtId="0" fontId="2"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0" fillId="0" borderId="0" xfId="0" applyAlignment="1">
      <alignment horizontal="center" vertical="center"/>
    </xf>
    <xf numFmtId="0" fontId="2" fillId="0" borderId="4" xfId="0" applyFont="1" applyFill="1" applyBorder="1" applyAlignment="1">
      <alignment horizontal="center" vertical="center"/>
    </xf>
    <xf numFmtId="0" fontId="0" fillId="0" borderId="4" xfId="0" applyBorder="1" applyAlignment="1">
      <alignment horizontal="center" vertical="center"/>
    </xf>
    <xf numFmtId="0" fontId="0" fillId="0" borderId="1" xfId="0" applyBorder="1"/>
    <xf numFmtId="0" fontId="0" fillId="0" borderId="3" xfId="0" applyBorder="1"/>
    <xf numFmtId="0" fontId="2" fillId="0" borderId="1" xfId="0" applyFont="1" applyBorder="1"/>
    <xf numFmtId="0" fontId="0" fillId="0" borderId="11" xfId="0" applyBorder="1"/>
    <xf numFmtId="0" fontId="9" fillId="0" borderId="6"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7" xfId="0" applyBorder="1" applyAlignment="1">
      <alignment horizontal="center" vertical="center"/>
    </xf>
    <xf numFmtId="0" fontId="2" fillId="0" borderId="6"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wrapText="1"/>
    </xf>
    <xf numFmtId="0" fontId="3" fillId="0" borderId="12" xfId="0" applyFont="1" applyBorder="1" applyAlignment="1">
      <alignment vertical="center"/>
    </xf>
    <xf numFmtId="0" fontId="4" fillId="0" borderId="12" xfId="0" applyFont="1" applyBorder="1" applyAlignment="1">
      <alignment vertical="center"/>
    </xf>
    <xf numFmtId="0" fontId="5" fillId="0" borderId="0" xfId="0" applyFont="1" applyBorder="1" applyAlignment="1">
      <alignment horizontal="left" wrapText="1"/>
    </xf>
    <xf numFmtId="0" fontId="7" fillId="0" borderId="4" xfId="0" applyFont="1" applyBorder="1"/>
    <xf numFmtId="165" fontId="7" fillId="0" borderId="4" xfId="0" applyNumberFormat="1" applyFont="1" applyBorder="1" applyAlignment="1">
      <alignment horizontal="center" vertical="center"/>
    </xf>
    <xf numFmtId="0" fontId="7" fillId="0" borderId="0" xfId="0" applyFont="1" applyBorder="1" applyAlignment="1">
      <alignment horizontal="center" vertical="center"/>
    </xf>
    <xf numFmtId="0" fontId="7" fillId="0" borderId="1" xfId="0" applyFont="1" applyBorder="1" applyAlignment="1">
      <alignment horizontal="center" vertical="center"/>
    </xf>
    <xf numFmtId="0" fontId="2" fillId="0" borderId="5" xfId="0" applyFont="1" applyBorder="1" applyAlignment="1">
      <alignment horizontal="center" vertical="center" wrapText="1"/>
    </xf>
    <xf numFmtId="0" fontId="3" fillId="0" borderId="0" xfId="0" applyFont="1" applyBorder="1" applyAlignment="1">
      <alignment vertical="center"/>
    </xf>
    <xf numFmtId="0" fontId="10" fillId="0" borderId="0" xfId="0" applyFont="1" applyBorder="1" applyAlignment="1">
      <alignment vertical="center"/>
    </xf>
    <xf numFmtId="0" fontId="4" fillId="0" borderId="0" xfId="0" applyFont="1" applyBorder="1" applyAlignment="1">
      <alignment vertical="center"/>
    </xf>
    <xf numFmtId="0" fontId="11" fillId="0" borderId="0" xfId="0" applyFont="1"/>
    <xf numFmtId="0" fontId="0" fillId="0" borderId="1" xfId="0" applyBorder="1" applyAlignment="1">
      <alignment horizontal="center"/>
    </xf>
    <xf numFmtId="0" fontId="8" fillId="0" borderId="4" xfId="0" applyFont="1" applyBorder="1" applyAlignment="1">
      <alignment horizontal="left" vertical="top" wrapText="1"/>
    </xf>
    <xf numFmtId="0" fontId="1" fillId="0" borderId="1" xfId="0" applyFont="1" applyBorder="1" applyAlignment="1">
      <alignment horizontal="center" vertical="center"/>
    </xf>
    <xf numFmtId="0" fontId="8" fillId="0" borderId="4" xfId="0" applyFont="1" applyBorder="1" applyAlignment="1">
      <alignment horizontal="center" vertical="top" wrapText="1"/>
    </xf>
    <xf numFmtId="0" fontId="2" fillId="0" borderId="0" xfId="0" applyFont="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3" xfId="0" applyFont="1" applyBorder="1" applyAlignment="1">
      <alignment horizontal="left" vertical="center" wrapText="1"/>
    </xf>
    <xf numFmtId="0" fontId="4" fillId="0" borderId="12" xfId="0" applyFont="1" applyBorder="1" applyAlignment="1">
      <alignment horizontal="left"/>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0" fillId="0" borderId="4" xfId="0" applyBorder="1" applyAlignment="1">
      <alignment horizontal="center"/>
    </xf>
    <xf numFmtId="49" fontId="12" fillId="0" borderId="2"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82A63-077C-6143-9B03-B909DDA9037B}">
  <dimension ref="A1:B18"/>
  <sheetViews>
    <sheetView showGridLines="0" tabSelected="1" workbookViewId="0">
      <selection activeCell="B18" sqref="B18"/>
    </sheetView>
  </sheetViews>
  <sheetFormatPr baseColWidth="10" defaultRowHeight="16" x14ac:dyDescent="0.2"/>
  <cols>
    <col min="1" max="1" width="11.6640625" customWidth="1"/>
    <col min="2" max="2" width="90" customWidth="1"/>
  </cols>
  <sheetData>
    <row r="1" spans="1:2" x14ac:dyDescent="0.2">
      <c r="A1" s="71" t="s">
        <v>82</v>
      </c>
      <c r="B1" t="s">
        <v>98</v>
      </c>
    </row>
    <row r="2" spans="1:2" x14ac:dyDescent="0.2">
      <c r="A2" s="71" t="s">
        <v>83</v>
      </c>
      <c r="B2" t="s">
        <v>99</v>
      </c>
    </row>
    <row r="3" spans="1:2" x14ac:dyDescent="0.2">
      <c r="A3" s="71" t="s">
        <v>84</v>
      </c>
      <c r="B3" t="s">
        <v>100</v>
      </c>
    </row>
    <row r="4" spans="1:2" x14ac:dyDescent="0.2">
      <c r="A4" s="71" t="s">
        <v>85</v>
      </c>
      <c r="B4" t="s">
        <v>121</v>
      </c>
    </row>
    <row r="5" spans="1:2" x14ac:dyDescent="0.2">
      <c r="A5" s="71" t="s">
        <v>86</v>
      </c>
      <c r="B5" t="s">
        <v>122</v>
      </c>
    </row>
    <row r="6" spans="1:2" x14ac:dyDescent="0.2">
      <c r="A6" s="71" t="s">
        <v>87</v>
      </c>
      <c r="B6" t="s">
        <v>123</v>
      </c>
    </row>
    <row r="7" spans="1:2" x14ac:dyDescent="0.2">
      <c r="A7" s="71" t="s">
        <v>88</v>
      </c>
      <c r="B7" t="s">
        <v>101</v>
      </c>
    </row>
    <row r="8" spans="1:2" x14ac:dyDescent="0.2">
      <c r="A8" s="71" t="s">
        <v>89</v>
      </c>
      <c r="B8" t="s">
        <v>102</v>
      </c>
    </row>
    <row r="9" spans="1:2" x14ac:dyDescent="0.2">
      <c r="A9" s="71" t="s">
        <v>90</v>
      </c>
      <c r="B9" t="s">
        <v>103</v>
      </c>
    </row>
    <row r="10" spans="1:2" x14ac:dyDescent="0.2">
      <c r="A10" s="71" t="s">
        <v>91</v>
      </c>
      <c r="B10" t="s">
        <v>109</v>
      </c>
    </row>
    <row r="11" spans="1:2" x14ac:dyDescent="0.2">
      <c r="A11" s="71" t="s">
        <v>92</v>
      </c>
      <c r="B11" t="s">
        <v>112</v>
      </c>
    </row>
    <row r="12" spans="1:2" x14ac:dyDescent="0.2">
      <c r="A12" s="71" t="s">
        <v>93</v>
      </c>
      <c r="B12" t="s">
        <v>104</v>
      </c>
    </row>
    <row r="13" spans="1:2" x14ac:dyDescent="0.2">
      <c r="A13" s="71" t="s">
        <v>94</v>
      </c>
      <c r="B13" t="s">
        <v>105</v>
      </c>
    </row>
    <row r="14" spans="1:2" x14ac:dyDescent="0.2">
      <c r="A14" s="71" t="s">
        <v>95</v>
      </c>
      <c r="B14" t="s">
        <v>106</v>
      </c>
    </row>
    <row r="15" spans="1:2" x14ac:dyDescent="0.2">
      <c r="A15" s="71" t="s">
        <v>96</v>
      </c>
      <c r="B15" t="s">
        <v>107</v>
      </c>
    </row>
    <row r="16" spans="1:2" x14ac:dyDescent="0.2">
      <c r="A16" s="71" t="s">
        <v>97</v>
      </c>
      <c r="B16" t="s">
        <v>108</v>
      </c>
    </row>
    <row r="17" spans="1:2" x14ac:dyDescent="0.2">
      <c r="A17" s="71" t="s">
        <v>125</v>
      </c>
      <c r="B17" t="s">
        <v>126</v>
      </c>
    </row>
    <row r="18" spans="1:2" x14ac:dyDescent="0.2">
      <c r="A18" s="71" t="s">
        <v>128</v>
      </c>
      <c r="B18" t="s">
        <v>129</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639F5-DFB5-C645-810D-08FD40774F5F}">
  <dimension ref="B1:K27"/>
  <sheetViews>
    <sheetView showGridLines="0" workbookViewId="0">
      <selection activeCell="B2" sqref="B2:H2"/>
    </sheetView>
  </sheetViews>
  <sheetFormatPr baseColWidth="10" defaultColWidth="11" defaultRowHeight="16" x14ac:dyDescent="0.2"/>
  <cols>
    <col min="2" max="2" width="33" customWidth="1"/>
  </cols>
  <sheetData>
    <row r="1" spans="2:11" x14ac:dyDescent="0.2">
      <c r="D1" s="76"/>
      <c r="E1" s="76"/>
      <c r="F1" s="76"/>
      <c r="G1" s="76"/>
      <c r="H1" s="76"/>
      <c r="I1" s="76"/>
      <c r="J1" s="76"/>
      <c r="K1" s="76"/>
    </row>
    <row r="2" spans="2:11" x14ac:dyDescent="0.2">
      <c r="B2" s="76" t="s">
        <v>73</v>
      </c>
      <c r="C2" s="76"/>
      <c r="D2" s="76"/>
      <c r="E2" s="76"/>
      <c r="F2" s="76"/>
      <c r="G2" s="76"/>
      <c r="H2" s="76"/>
    </row>
    <row r="3" spans="2:11" ht="64" x14ac:dyDescent="0.2">
      <c r="B3" s="77" t="s">
        <v>40</v>
      </c>
      <c r="C3" s="57" t="s">
        <v>41</v>
      </c>
      <c r="D3" s="57" t="s">
        <v>58</v>
      </c>
      <c r="E3" s="57" t="s">
        <v>42</v>
      </c>
      <c r="F3" s="57" t="s">
        <v>43</v>
      </c>
      <c r="G3" s="57" t="s">
        <v>44</v>
      </c>
      <c r="H3" s="57" t="s">
        <v>45</v>
      </c>
    </row>
    <row r="4" spans="2:11" ht="17" thickBot="1" x14ac:dyDescent="0.25">
      <c r="B4" s="78"/>
      <c r="C4" s="25" t="s">
        <v>1</v>
      </c>
      <c r="D4" s="25" t="s">
        <v>2</v>
      </c>
      <c r="E4" s="25" t="s">
        <v>3</v>
      </c>
      <c r="F4" s="25" t="s">
        <v>4</v>
      </c>
      <c r="G4" s="25" t="s">
        <v>5</v>
      </c>
      <c r="H4" s="25" t="s">
        <v>6</v>
      </c>
    </row>
    <row r="5" spans="2:11" ht="17" thickTop="1" x14ac:dyDescent="0.2">
      <c r="B5" s="79" t="s">
        <v>13</v>
      </c>
      <c r="C5" s="79"/>
      <c r="D5" s="79"/>
      <c r="E5" s="79"/>
      <c r="F5" s="79"/>
      <c r="G5" s="79"/>
      <c r="H5" s="79"/>
    </row>
    <row r="6" spans="2:11" x14ac:dyDescent="0.2">
      <c r="B6" s="68" t="s">
        <v>59</v>
      </c>
      <c r="C6" s="69"/>
      <c r="D6" s="69"/>
      <c r="E6" s="69"/>
      <c r="F6" s="69"/>
      <c r="G6" s="69"/>
      <c r="H6" s="69"/>
    </row>
    <row r="7" spans="2:11" x14ac:dyDescent="0.2">
      <c r="B7" s="59" t="s">
        <v>14</v>
      </c>
      <c r="C7" s="26" t="str">
        <f>"0.025*"</f>
        <v>0.025*</v>
      </c>
      <c r="D7" s="26" t="str">
        <f>"0.036**"</f>
        <v>0.036**</v>
      </c>
      <c r="E7" s="26" t="str">
        <f>"0.034**"</f>
        <v>0.034**</v>
      </c>
      <c r="F7" s="26" t="str">
        <f>"0.027*"</f>
        <v>0.027*</v>
      </c>
      <c r="G7" s="26" t="str">
        <f>"0.036**"</f>
        <v>0.036**</v>
      </c>
      <c r="H7" s="26" t="str">
        <f>"0.006"</f>
        <v>0.006</v>
      </c>
    </row>
    <row r="8" spans="2:11" x14ac:dyDescent="0.2">
      <c r="B8" s="5"/>
      <c r="C8" s="26" t="str">
        <f>"[0.013]"</f>
        <v>[0.013]</v>
      </c>
      <c r="D8" s="26" t="str">
        <f>"[0.016]"</f>
        <v>[0.016]</v>
      </c>
      <c r="E8" s="26" t="str">
        <f>"[0.014]"</f>
        <v>[0.014]</v>
      </c>
      <c r="F8" s="26" t="str">
        <f>"[0.015]"</f>
        <v>[0.015]</v>
      </c>
      <c r="G8" s="26" t="str">
        <f>"[0.016]"</f>
        <v>[0.016]</v>
      </c>
      <c r="H8" s="26" t="str">
        <f>"[0.007]"</f>
        <v>[0.007]</v>
      </c>
    </row>
    <row r="9" spans="2:11" x14ac:dyDescent="0.2">
      <c r="B9" s="60" t="s">
        <v>60</v>
      </c>
      <c r="C9" s="61"/>
      <c r="D9" s="61"/>
      <c r="E9" s="61"/>
      <c r="F9" s="61"/>
      <c r="G9" s="61"/>
      <c r="H9" s="61"/>
    </row>
    <row r="10" spans="2:11" x14ac:dyDescent="0.2">
      <c r="B10" s="59" t="s">
        <v>15</v>
      </c>
      <c r="C10" s="26" t="str">
        <f>"0.277***"</f>
        <v>0.277***</v>
      </c>
      <c r="D10" s="26" t="str">
        <f>"0.208**"</f>
        <v>0.208**</v>
      </c>
      <c r="E10" s="26" t="str">
        <f>"0.192**"</f>
        <v>0.192**</v>
      </c>
      <c r="F10" s="26" t="str">
        <f>"0.276**"</f>
        <v>0.276**</v>
      </c>
      <c r="G10" s="26" t="str">
        <f>"0.241**"</f>
        <v>0.241**</v>
      </c>
      <c r="H10" s="26" t="str">
        <f>"0.127***"</f>
        <v>0.127***</v>
      </c>
    </row>
    <row r="11" spans="2:11" x14ac:dyDescent="0.2">
      <c r="B11" s="7"/>
      <c r="C11" s="26" t="str">
        <f>"[0.104]"</f>
        <v>[0.104]</v>
      </c>
      <c r="D11" s="26" t="str">
        <f>"[0.080]"</f>
        <v>[0.080]</v>
      </c>
      <c r="E11" s="26" t="str">
        <f>"[0.075]"</f>
        <v>[0.075]</v>
      </c>
      <c r="F11" s="26" t="str">
        <f>"[0.110]"</f>
        <v>[0.110]</v>
      </c>
      <c r="G11" s="26" t="str">
        <f>"[0.092]"</f>
        <v>[0.092]</v>
      </c>
      <c r="H11" s="26" t="str">
        <f>"[0.048]"</f>
        <v>[0.048]</v>
      </c>
    </row>
    <row r="12" spans="2:11" ht="19" customHeight="1" x14ac:dyDescent="0.2">
      <c r="B12" s="80" t="s">
        <v>16</v>
      </c>
      <c r="C12" s="80"/>
      <c r="D12" s="80"/>
      <c r="E12" s="80"/>
      <c r="F12" s="80"/>
      <c r="G12" s="80"/>
      <c r="H12" s="80"/>
    </row>
    <row r="13" spans="2:11" ht="24" customHeight="1" x14ac:dyDescent="0.2">
      <c r="B13" s="68" t="s">
        <v>61</v>
      </c>
      <c r="C13" s="70"/>
      <c r="D13" s="70"/>
      <c r="E13" s="70"/>
      <c r="F13" s="70"/>
      <c r="G13" s="70"/>
      <c r="H13" s="70"/>
    </row>
    <row r="14" spans="2:11" ht="29" x14ac:dyDescent="0.2">
      <c r="B14" s="62" t="s">
        <v>18</v>
      </c>
      <c r="C14" s="26" t="str">
        <f>"-0.000"</f>
        <v>-0.000</v>
      </c>
      <c r="D14" s="26" t="str">
        <f>"-0.000"</f>
        <v>-0.000</v>
      </c>
      <c r="E14" s="26" t="str">
        <f>"-0.002"</f>
        <v>-0.002</v>
      </c>
      <c r="F14" s="26" t="str">
        <f>"0.002"</f>
        <v>0.002</v>
      </c>
      <c r="G14" s="26" t="str">
        <f>"0.002"</f>
        <v>0.002</v>
      </c>
      <c r="H14" s="26" t="str">
        <f>"-0.004*"</f>
        <v>-0.004*</v>
      </c>
    </row>
    <row r="15" spans="2:11" x14ac:dyDescent="0.2">
      <c r="B15" s="7"/>
      <c r="C15" s="26" t="str">
        <f>"[0.002]"</f>
        <v>[0.002]</v>
      </c>
      <c r="D15" s="26" t="str">
        <f>"[0.003]"</f>
        <v>[0.003]</v>
      </c>
      <c r="E15" s="26" t="str">
        <f>"[0.002]"</f>
        <v>[0.002]</v>
      </c>
      <c r="F15" s="26" t="str">
        <f>"[0.003]"</f>
        <v>[0.003]</v>
      </c>
      <c r="G15" s="26" t="str">
        <f>"[0.003]"</f>
        <v>[0.003]</v>
      </c>
      <c r="H15" s="26" t="str">
        <f>"[0.002]"</f>
        <v>[0.002]</v>
      </c>
    </row>
    <row r="16" spans="2:11" x14ac:dyDescent="0.2">
      <c r="B16" s="60" t="s">
        <v>62</v>
      </c>
      <c r="C16" s="61"/>
      <c r="D16" s="61"/>
      <c r="E16" s="61"/>
      <c r="F16" s="61"/>
      <c r="G16" s="61"/>
      <c r="H16" s="61"/>
    </row>
    <row r="17" spans="2:8" ht="29" x14ac:dyDescent="0.2">
      <c r="B17" s="62" t="s">
        <v>19</v>
      </c>
      <c r="C17" s="26" t="str">
        <f>"0.006*"</f>
        <v>0.006*</v>
      </c>
      <c r="D17" s="26" t="str">
        <f>"0.007***"</f>
        <v>0.007***</v>
      </c>
      <c r="E17" s="26" t="str">
        <f>"0.007***"</f>
        <v>0.007***</v>
      </c>
      <c r="F17" s="26" t="str">
        <f>"0.006**"</f>
        <v>0.006**</v>
      </c>
      <c r="G17" s="26" t="str">
        <f>"0.009***"</f>
        <v>0.009***</v>
      </c>
      <c r="H17" s="26" t="str">
        <f>"0.001"</f>
        <v>0.001</v>
      </c>
    </row>
    <row r="18" spans="2:8" x14ac:dyDescent="0.2">
      <c r="B18" s="7"/>
      <c r="C18" s="26" t="str">
        <f>"[0.003]"</f>
        <v>[0.003]</v>
      </c>
      <c r="D18" s="26" t="str">
        <f>"[0.002]"</f>
        <v>[0.002]</v>
      </c>
      <c r="E18" s="26" t="str">
        <f>"[0.002]"</f>
        <v>[0.002]</v>
      </c>
      <c r="F18" s="26" t="str">
        <f>"[0.003]"</f>
        <v>[0.003]</v>
      </c>
      <c r="G18" s="26" t="str">
        <f>"[0.003]"</f>
        <v>[0.003]</v>
      </c>
      <c r="H18" s="26" t="str">
        <f>"[0.003]"</f>
        <v>[0.003]</v>
      </c>
    </row>
    <row r="19" spans="2:8" x14ac:dyDescent="0.2">
      <c r="B19" s="60" t="s">
        <v>63</v>
      </c>
      <c r="C19" s="61"/>
      <c r="D19" s="61"/>
      <c r="E19" s="61"/>
      <c r="F19" s="61"/>
      <c r="G19" s="61"/>
      <c r="H19" s="61"/>
    </row>
    <row r="20" spans="2:8" x14ac:dyDescent="0.2">
      <c r="B20" s="62" t="s">
        <v>17</v>
      </c>
      <c r="C20" s="26" t="str">
        <f>"0.004*"</f>
        <v>0.004*</v>
      </c>
      <c r="D20" s="26" t="str">
        <f>"0.006***"</f>
        <v>0.006***</v>
      </c>
      <c r="E20" s="26" t="str">
        <f>"0.005**"</f>
        <v>0.005**</v>
      </c>
      <c r="F20" s="26" t="str">
        <f>"0.005**"</f>
        <v>0.005**</v>
      </c>
      <c r="G20" s="26" t="str">
        <f>"0.008***"</f>
        <v>0.008***</v>
      </c>
      <c r="H20" s="26" t="str">
        <f>"0.000"</f>
        <v>0.000</v>
      </c>
    </row>
    <row r="21" spans="2:8" x14ac:dyDescent="0.2">
      <c r="B21" s="7"/>
      <c r="C21" s="26" t="str">
        <f>"[0.003]"</f>
        <v>[0.003]</v>
      </c>
      <c r="D21" s="26" t="str">
        <f>"[0.002]"</f>
        <v>[0.002]</v>
      </c>
      <c r="E21" s="26" t="str">
        <f>"[0.002]"</f>
        <v>[0.002]</v>
      </c>
      <c r="F21" s="26" t="str">
        <f>"[0.002]"</f>
        <v>[0.002]</v>
      </c>
      <c r="G21" s="26" t="str">
        <f>"[0.003]"</f>
        <v>[0.003]</v>
      </c>
      <c r="H21" s="26" t="str">
        <f>"[0.002]"</f>
        <v>[0.002]</v>
      </c>
    </row>
    <row r="22" spans="2:8" x14ac:dyDescent="0.2">
      <c r="B22" s="63" t="s">
        <v>22</v>
      </c>
      <c r="C22" s="64" t="str">
        <f>"17880"</f>
        <v>17880</v>
      </c>
      <c r="D22" s="64" t="str">
        <f>"16920"</f>
        <v>16920</v>
      </c>
      <c r="E22" s="64" t="str">
        <f>"17828"</f>
        <v>17828</v>
      </c>
      <c r="F22" s="64" t="str">
        <f>"16972"</f>
        <v>16972</v>
      </c>
      <c r="G22" s="64" t="str">
        <f>"24910"</f>
        <v>24910</v>
      </c>
      <c r="H22" s="64" t="str">
        <f>"9860"</f>
        <v>9860</v>
      </c>
    </row>
    <row r="23" spans="2:8" x14ac:dyDescent="0.2">
      <c r="B23" s="18" t="s">
        <v>23</v>
      </c>
      <c r="C23" s="65" t="str">
        <f>"0.041"</f>
        <v>0.041</v>
      </c>
      <c r="D23" s="65" t="str">
        <f>"0.049"</f>
        <v>0.049</v>
      </c>
      <c r="E23" s="65" t="str">
        <f>"0.052"</f>
        <v>0.052</v>
      </c>
      <c r="F23" s="65" t="str">
        <f>"0.037"</f>
        <v>0.037</v>
      </c>
      <c r="G23" s="65" t="str">
        <f>"0.048"</f>
        <v>0.048</v>
      </c>
      <c r="H23" s="65" t="str">
        <f>"0.038"</f>
        <v>0.038</v>
      </c>
    </row>
    <row r="24" spans="2:8" x14ac:dyDescent="0.2">
      <c r="B24" s="18" t="s">
        <v>51</v>
      </c>
      <c r="C24" s="65" t="s">
        <v>25</v>
      </c>
      <c r="D24" s="65" t="s">
        <v>25</v>
      </c>
      <c r="E24" s="65" t="s">
        <v>25</v>
      </c>
      <c r="F24" s="65" t="s">
        <v>25</v>
      </c>
      <c r="G24" s="65" t="s">
        <v>25</v>
      </c>
      <c r="H24" s="65" t="s">
        <v>25</v>
      </c>
    </row>
    <row r="25" spans="2:8" x14ac:dyDescent="0.2">
      <c r="B25" s="18" t="s">
        <v>26</v>
      </c>
      <c r="C25" s="65" t="s">
        <v>25</v>
      </c>
      <c r="D25" s="65" t="s">
        <v>25</v>
      </c>
      <c r="E25" s="65" t="s">
        <v>25</v>
      </c>
      <c r="F25" s="65" t="s">
        <v>25</v>
      </c>
      <c r="G25" s="65" t="s">
        <v>25</v>
      </c>
      <c r="H25" s="65" t="s">
        <v>25</v>
      </c>
    </row>
    <row r="26" spans="2:8" x14ac:dyDescent="0.2">
      <c r="B26" s="18" t="s">
        <v>27</v>
      </c>
      <c r="C26" s="66" t="s">
        <v>25</v>
      </c>
      <c r="D26" s="66" t="s">
        <v>25</v>
      </c>
      <c r="E26" s="66" t="s">
        <v>25</v>
      </c>
      <c r="F26" s="66" t="s">
        <v>25</v>
      </c>
      <c r="G26" s="66" t="s">
        <v>25</v>
      </c>
      <c r="H26" s="66" t="s">
        <v>25</v>
      </c>
    </row>
    <row r="27" spans="2:8" ht="105" customHeight="1" x14ac:dyDescent="0.2">
      <c r="B27" s="73" t="s">
        <v>69</v>
      </c>
      <c r="C27" s="73"/>
      <c r="D27" s="73"/>
      <c r="E27" s="73"/>
      <c r="F27" s="73"/>
      <c r="G27" s="73"/>
      <c r="H27" s="73"/>
    </row>
  </sheetData>
  <mergeCells count="6">
    <mergeCell ref="D1:K1"/>
    <mergeCell ref="B2:H2"/>
    <mergeCell ref="B3:B4"/>
    <mergeCell ref="B27:H27"/>
    <mergeCell ref="B5:H5"/>
    <mergeCell ref="B12:H12"/>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8F37A-0B16-6742-9B96-7AED051774CC}">
  <dimension ref="B1:L31"/>
  <sheetViews>
    <sheetView showGridLines="0" workbookViewId="0">
      <selection activeCell="B2" sqref="B2"/>
    </sheetView>
  </sheetViews>
  <sheetFormatPr baseColWidth="10" defaultColWidth="11" defaultRowHeight="16" x14ac:dyDescent="0.2"/>
  <cols>
    <col min="2" max="2" width="36.1640625" customWidth="1"/>
    <col min="5" max="5" width="8.1640625" customWidth="1"/>
    <col min="6" max="6" width="12.5" customWidth="1"/>
    <col min="7" max="7" width="13.1640625" customWidth="1"/>
  </cols>
  <sheetData>
    <row r="1" spans="2:12" x14ac:dyDescent="0.2">
      <c r="B1" s="72" t="s">
        <v>110</v>
      </c>
      <c r="C1" s="72"/>
      <c r="D1" s="72"/>
      <c r="E1" s="72"/>
      <c r="F1" s="72"/>
      <c r="G1" s="72"/>
      <c r="H1" s="72"/>
      <c r="I1" s="72"/>
      <c r="J1" s="72"/>
      <c r="K1" s="72"/>
      <c r="L1" s="72"/>
    </row>
    <row r="2" spans="2:12" ht="33" thickBot="1" x14ac:dyDescent="0.25">
      <c r="B2" s="1" t="s">
        <v>80</v>
      </c>
      <c r="C2" s="2" t="s">
        <v>1</v>
      </c>
      <c r="D2" s="2" t="s">
        <v>2</v>
      </c>
      <c r="E2" s="2" t="s">
        <v>3</v>
      </c>
      <c r="F2" s="2" t="s">
        <v>4</v>
      </c>
      <c r="G2" s="2" t="s">
        <v>5</v>
      </c>
      <c r="H2" s="2" t="s">
        <v>6</v>
      </c>
      <c r="I2" s="2" t="s">
        <v>7</v>
      </c>
      <c r="J2" s="2" t="s">
        <v>8</v>
      </c>
      <c r="K2" s="2" t="s">
        <v>9</v>
      </c>
      <c r="L2" s="2" t="s">
        <v>10</v>
      </c>
    </row>
    <row r="3" spans="2:12" ht="17" thickTop="1" x14ac:dyDescent="0.2">
      <c r="B3" s="3" t="s">
        <v>13</v>
      </c>
      <c r="C3" s="4"/>
      <c r="D3" s="4"/>
      <c r="E3" s="4"/>
      <c r="F3" s="4"/>
      <c r="G3" s="4"/>
      <c r="H3" s="4"/>
      <c r="I3" s="4"/>
      <c r="J3" s="4"/>
      <c r="K3" s="4"/>
    </row>
    <row r="4" spans="2:12" x14ac:dyDescent="0.2">
      <c r="B4" s="5" t="s">
        <v>14</v>
      </c>
      <c r="C4" s="26" t="str">
        <f>"-0.060"</f>
        <v>-0.060</v>
      </c>
      <c r="D4" s="27" t="str">
        <f>""</f>
        <v/>
      </c>
      <c r="E4" s="27" t="str">
        <f>""</f>
        <v/>
      </c>
      <c r="F4" s="27" t="str">
        <f>""</f>
        <v/>
      </c>
      <c r="G4" s="27" t="str">
        <f>""</f>
        <v/>
      </c>
      <c r="H4" s="27" t="str">
        <f>""</f>
        <v/>
      </c>
      <c r="I4" s="27" t="str">
        <f>""</f>
        <v/>
      </c>
      <c r="J4" s="27" t="str">
        <f>""</f>
        <v/>
      </c>
      <c r="K4" s="27" t="str">
        <f>""</f>
        <v/>
      </c>
      <c r="L4" t="str">
        <f>""</f>
        <v/>
      </c>
    </row>
    <row r="5" spans="2:12" x14ac:dyDescent="0.2">
      <c r="B5" s="7"/>
      <c r="C5" s="26" t="str">
        <f>"[0.067]"</f>
        <v>[0.067]</v>
      </c>
      <c r="D5" s="27" t="str">
        <f>""</f>
        <v/>
      </c>
      <c r="E5" s="27" t="str">
        <f>""</f>
        <v/>
      </c>
      <c r="F5" s="27" t="str">
        <f>""</f>
        <v/>
      </c>
      <c r="G5" s="27" t="str">
        <f>""</f>
        <v/>
      </c>
      <c r="H5" s="27" t="str">
        <f>""</f>
        <v/>
      </c>
      <c r="I5" s="27" t="str">
        <f>""</f>
        <v/>
      </c>
      <c r="J5" s="27" t="str">
        <f>""</f>
        <v/>
      </c>
      <c r="K5" s="27" t="str">
        <f>""</f>
        <v/>
      </c>
      <c r="L5" t="str">
        <f>""</f>
        <v/>
      </c>
    </row>
    <row r="6" spans="2:12" x14ac:dyDescent="0.2">
      <c r="B6" s="8" t="s">
        <v>15</v>
      </c>
      <c r="C6" s="27" t="str">
        <f>""</f>
        <v/>
      </c>
      <c r="D6" s="26" t="str">
        <f>"-0.082"</f>
        <v>-0.082</v>
      </c>
      <c r="E6" s="27" t="str">
        <f>""</f>
        <v/>
      </c>
      <c r="F6" s="27" t="str">
        <f>""</f>
        <v/>
      </c>
      <c r="G6" s="27" t="str">
        <f>""</f>
        <v/>
      </c>
      <c r="H6" s="27" t="str">
        <f>""</f>
        <v/>
      </c>
      <c r="I6" s="27" t="str">
        <f>""</f>
        <v/>
      </c>
      <c r="J6" s="27" t="str">
        <f>""</f>
        <v/>
      </c>
      <c r="K6" s="27" t="str">
        <f>""</f>
        <v/>
      </c>
      <c r="L6" t="str">
        <f>""</f>
        <v/>
      </c>
    </row>
    <row r="7" spans="2:12" x14ac:dyDescent="0.2">
      <c r="B7" s="5" t="str">
        <f>""</f>
        <v/>
      </c>
      <c r="C7" s="27" t="str">
        <f>""</f>
        <v/>
      </c>
      <c r="D7" s="26" t="str">
        <f>"[0.116]"</f>
        <v>[0.116]</v>
      </c>
      <c r="E7" s="27" t="str">
        <f>""</f>
        <v/>
      </c>
      <c r="F7" s="27" t="str">
        <f>""</f>
        <v/>
      </c>
      <c r="G7" s="27" t="str">
        <f>""</f>
        <v/>
      </c>
      <c r="H7" s="27" t="str">
        <f>""</f>
        <v/>
      </c>
      <c r="I7" s="27" t="str">
        <f>""</f>
        <v/>
      </c>
      <c r="J7" s="27" t="str">
        <f>""</f>
        <v/>
      </c>
      <c r="K7" s="27" t="str">
        <f>""</f>
        <v/>
      </c>
      <c r="L7" t="str">
        <f>""</f>
        <v/>
      </c>
    </row>
    <row r="8" spans="2:12" x14ac:dyDescent="0.2">
      <c r="B8" s="5"/>
      <c r="C8" s="27"/>
      <c r="D8" s="27"/>
      <c r="E8" s="27"/>
      <c r="F8" s="27"/>
      <c r="G8" s="27"/>
      <c r="H8" s="27"/>
      <c r="I8" s="27"/>
      <c r="J8" s="27"/>
      <c r="K8" s="27"/>
    </row>
    <row r="9" spans="2:12" x14ac:dyDescent="0.2">
      <c r="B9" s="9" t="s">
        <v>16</v>
      </c>
      <c r="C9" s="10"/>
      <c r="D9" s="10"/>
      <c r="E9" s="10"/>
      <c r="F9" s="10"/>
      <c r="G9" s="10"/>
      <c r="H9" s="10"/>
      <c r="I9" s="10"/>
      <c r="J9" s="10"/>
      <c r="K9" s="10"/>
      <c r="L9" s="10"/>
    </row>
    <row r="10" spans="2:12" x14ac:dyDescent="0.2">
      <c r="B10" s="11" t="str">
        <f>"Loss of land (yes=1) for a household in a given year"</f>
        <v>Loss of land (yes=1) for a household in a given year</v>
      </c>
      <c r="C10" s="12" t="str">
        <f>""</f>
        <v/>
      </c>
      <c r="D10" s="12" t="str">
        <f>""</f>
        <v/>
      </c>
      <c r="E10" t="str">
        <f>"0.045"</f>
        <v>0.045</v>
      </c>
      <c r="F10" t="str">
        <f>""</f>
        <v/>
      </c>
      <c r="G10" t="str">
        <f>""</f>
        <v/>
      </c>
      <c r="H10" t="str">
        <f>""</f>
        <v/>
      </c>
      <c r="I10" t="str">
        <f>""</f>
        <v/>
      </c>
      <c r="J10" t="str">
        <f>""</f>
        <v/>
      </c>
      <c r="K10" t="str">
        <f>""</f>
        <v/>
      </c>
      <c r="L10" t="str">
        <f>""</f>
        <v/>
      </c>
    </row>
    <row r="11" spans="2:12" x14ac:dyDescent="0.2">
      <c r="B11" s="11" t="str">
        <f>""</f>
        <v/>
      </c>
      <c r="C11" s="12" t="str">
        <f>""</f>
        <v/>
      </c>
      <c r="D11" s="12" t="str">
        <f>""</f>
        <v/>
      </c>
      <c r="E11" t="str">
        <f>"[0.144]"</f>
        <v>[0.144]</v>
      </c>
      <c r="F11" t="str">
        <f>""</f>
        <v/>
      </c>
      <c r="G11" t="str">
        <f>""</f>
        <v/>
      </c>
      <c r="H11" t="str">
        <f>""</f>
        <v/>
      </c>
      <c r="I11" t="str">
        <f>""</f>
        <v/>
      </c>
      <c r="J11" t="str">
        <f>""</f>
        <v/>
      </c>
      <c r="K11" t="str">
        <f>""</f>
        <v/>
      </c>
      <c r="L11" t="str">
        <f>""</f>
        <v/>
      </c>
    </row>
    <row r="12" spans="2:12" x14ac:dyDescent="0.2">
      <c r="B12" s="11" t="str">
        <f>"Theft of crops (yes=1) for a household in a given year"</f>
        <v>Theft of crops (yes=1) for a household in a given year</v>
      </c>
      <c r="C12" s="12" t="str">
        <f>""</f>
        <v/>
      </c>
      <c r="D12" s="12" t="str">
        <f>""</f>
        <v/>
      </c>
      <c r="E12" t="str">
        <f>""</f>
        <v/>
      </c>
      <c r="F12" t="str">
        <f>"-0.026"</f>
        <v>-0.026</v>
      </c>
      <c r="G12" t="str">
        <f>""</f>
        <v/>
      </c>
      <c r="H12" t="str">
        <f>""</f>
        <v/>
      </c>
      <c r="I12" t="str">
        <f>""</f>
        <v/>
      </c>
      <c r="J12" t="str">
        <f>""</f>
        <v/>
      </c>
      <c r="K12" t="str">
        <f>""</f>
        <v/>
      </c>
      <c r="L12" t="str">
        <f>""</f>
        <v/>
      </c>
    </row>
    <row r="13" spans="2:12" x14ac:dyDescent="0.2">
      <c r="B13" s="11" t="str">
        <f>""</f>
        <v/>
      </c>
      <c r="C13" s="12" t="str">
        <f>""</f>
        <v/>
      </c>
      <c r="D13" s="12" t="str">
        <f>""</f>
        <v/>
      </c>
      <c r="E13" t="str">
        <f>""</f>
        <v/>
      </c>
      <c r="F13" t="str">
        <f>"[0.047]"</f>
        <v>[0.047]</v>
      </c>
      <c r="G13" t="str">
        <f>""</f>
        <v/>
      </c>
      <c r="H13" t="str">
        <f>""</f>
        <v/>
      </c>
      <c r="I13" t="str">
        <f>""</f>
        <v/>
      </c>
      <c r="J13" t="str">
        <f>""</f>
        <v/>
      </c>
      <c r="K13" t="str">
        <f>""</f>
        <v/>
      </c>
      <c r="L13" t="str">
        <f>""</f>
        <v/>
      </c>
    </row>
    <row r="14" spans="2:12" x14ac:dyDescent="0.2">
      <c r="B14" s="13" t="str">
        <f>"Theft of money (yes=1) for a household in a given year"</f>
        <v>Theft of money (yes=1) for a household in a given year</v>
      </c>
      <c r="C14" s="14" t="str">
        <f>""</f>
        <v/>
      </c>
      <c r="D14" s="14" t="str">
        <f>""</f>
        <v/>
      </c>
      <c r="E14" t="str">
        <f>""</f>
        <v/>
      </c>
      <c r="F14" t="str">
        <f>""</f>
        <v/>
      </c>
      <c r="G14" t="str">
        <f>"-0.078"</f>
        <v>-0.078</v>
      </c>
      <c r="H14" t="str">
        <f>""</f>
        <v/>
      </c>
      <c r="I14" t="str">
        <f>""</f>
        <v/>
      </c>
      <c r="J14" t="str">
        <f>""</f>
        <v/>
      </c>
      <c r="K14" t="str">
        <f>""</f>
        <v/>
      </c>
      <c r="L14" t="str">
        <f>""</f>
        <v/>
      </c>
    </row>
    <row r="15" spans="2:12" x14ac:dyDescent="0.2">
      <c r="B15" s="11" t="str">
        <f>""</f>
        <v/>
      </c>
      <c r="C15" s="12" t="str">
        <f>""</f>
        <v/>
      </c>
      <c r="D15" s="12" t="str">
        <f>""</f>
        <v/>
      </c>
      <c r="E15" t="str">
        <f>""</f>
        <v/>
      </c>
      <c r="F15" t="str">
        <f>""</f>
        <v/>
      </c>
      <c r="G15" t="str">
        <f>"[0.057]"</f>
        <v>[0.057]</v>
      </c>
      <c r="H15" t="str">
        <f>""</f>
        <v/>
      </c>
      <c r="I15" t="str">
        <f>""</f>
        <v/>
      </c>
      <c r="J15" t="str">
        <f>""</f>
        <v/>
      </c>
      <c r="K15" t="str">
        <f>""</f>
        <v/>
      </c>
      <c r="L15" t="str">
        <f>""</f>
        <v/>
      </c>
    </row>
    <row r="16" spans="2:12" x14ac:dyDescent="0.2">
      <c r="B16" s="11" t="str">
        <f>"Theft or destruction of goods (yes=1) for a household in a given year"</f>
        <v>Theft or destruction of goods (yes=1) for a household in a given year</v>
      </c>
      <c r="C16" s="12" t="str">
        <f>""</f>
        <v/>
      </c>
      <c r="D16" s="12" t="str">
        <f>""</f>
        <v/>
      </c>
      <c r="E16" t="str">
        <f>""</f>
        <v/>
      </c>
      <c r="F16" t="str">
        <f>""</f>
        <v/>
      </c>
      <c r="G16" t="str">
        <f>""</f>
        <v/>
      </c>
      <c r="H16" t="str">
        <f>"-0.099"</f>
        <v>-0.099</v>
      </c>
      <c r="I16" t="str">
        <f>""</f>
        <v/>
      </c>
      <c r="J16" t="str">
        <f>""</f>
        <v/>
      </c>
      <c r="K16" t="str">
        <f>""</f>
        <v/>
      </c>
      <c r="L16" t="str">
        <f>""</f>
        <v/>
      </c>
    </row>
    <row r="17" spans="2:12" x14ac:dyDescent="0.2">
      <c r="B17" s="11"/>
      <c r="C17" s="12" t="str">
        <f>""</f>
        <v/>
      </c>
      <c r="D17" s="12" t="str">
        <f>""</f>
        <v/>
      </c>
      <c r="E17" t="str">
        <f>""</f>
        <v/>
      </c>
      <c r="F17" t="str">
        <f>""</f>
        <v/>
      </c>
      <c r="G17" t="str">
        <f>""</f>
        <v/>
      </c>
      <c r="H17" t="str">
        <f>"[0.060]"</f>
        <v>[0.060]</v>
      </c>
      <c r="I17" t="str">
        <f>""</f>
        <v/>
      </c>
      <c r="J17" t="str">
        <f>""</f>
        <v/>
      </c>
      <c r="K17" t="str">
        <f>""</f>
        <v/>
      </c>
      <c r="L17" t="str">
        <f>""</f>
        <v/>
      </c>
    </row>
    <row r="18" spans="2:12" x14ac:dyDescent="0.2">
      <c r="B18" s="11" t="str">
        <f>"Destruction of house (yes=1) for a household in a given year"</f>
        <v>Destruction of house (yes=1) for a household in a given year</v>
      </c>
      <c r="C18" s="12" t="str">
        <f>""</f>
        <v/>
      </c>
      <c r="D18" s="12" t="str">
        <f>""</f>
        <v/>
      </c>
      <c r="E18" t="str">
        <f>""</f>
        <v/>
      </c>
      <c r="F18" t="str">
        <f>""</f>
        <v/>
      </c>
      <c r="G18" t="str">
        <f>""</f>
        <v/>
      </c>
      <c r="H18" t="str">
        <f>""</f>
        <v/>
      </c>
      <c r="I18" t="str">
        <f>"-0.043"</f>
        <v>-0.043</v>
      </c>
      <c r="J18" t="str">
        <f>""</f>
        <v/>
      </c>
      <c r="K18" t="str">
        <f>""</f>
        <v/>
      </c>
      <c r="L18" t="str">
        <f>""</f>
        <v/>
      </c>
    </row>
    <row r="19" spans="2:12" x14ac:dyDescent="0.2">
      <c r="B19" s="11"/>
      <c r="C19" s="12" t="str">
        <f>""</f>
        <v/>
      </c>
      <c r="D19" s="12" t="str">
        <f>""</f>
        <v/>
      </c>
      <c r="E19" t="str">
        <f>""</f>
        <v/>
      </c>
      <c r="F19" t="str">
        <f>""</f>
        <v/>
      </c>
      <c r="G19" t="str">
        <f>""</f>
        <v/>
      </c>
      <c r="H19" t="str">
        <f>""</f>
        <v/>
      </c>
      <c r="I19" t="str">
        <f>"[0.100]"</f>
        <v>[0.100]</v>
      </c>
      <c r="J19" t="str">
        <f>""</f>
        <v/>
      </c>
      <c r="K19" t="str">
        <f>""</f>
        <v/>
      </c>
      <c r="L19" t="str">
        <f>""</f>
        <v/>
      </c>
    </row>
    <row r="20" spans="2:12" x14ac:dyDescent="0.2">
      <c r="B20" s="15" t="s">
        <v>18</v>
      </c>
      <c r="C20" s="12" t="str">
        <f>""</f>
        <v/>
      </c>
      <c r="D20" s="12" t="str">
        <f>""</f>
        <v/>
      </c>
      <c r="E20" t="str">
        <f>""</f>
        <v/>
      </c>
      <c r="F20" t="str">
        <f>""</f>
        <v/>
      </c>
      <c r="G20" t="str">
        <f>""</f>
        <v/>
      </c>
      <c r="H20" t="str">
        <f>""</f>
        <v/>
      </c>
      <c r="I20" t="str">
        <f>""</f>
        <v/>
      </c>
      <c r="J20" t="str">
        <f>"-0.000"</f>
        <v>-0.000</v>
      </c>
      <c r="K20" t="str">
        <f>""</f>
        <v/>
      </c>
      <c r="L20" t="str">
        <f>""</f>
        <v/>
      </c>
    </row>
    <row r="21" spans="2:12" x14ac:dyDescent="0.2">
      <c r="C21" s="12" t="str">
        <f>""</f>
        <v/>
      </c>
      <c r="D21" s="12" t="str">
        <f>""</f>
        <v/>
      </c>
      <c r="E21" t="str">
        <f>""</f>
        <v/>
      </c>
      <c r="F21" t="str">
        <f>""</f>
        <v/>
      </c>
      <c r="G21" t="str">
        <f>""</f>
        <v/>
      </c>
      <c r="H21" t="str">
        <f>""</f>
        <v/>
      </c>
      <c r="I21" t="str">
        <f>""</f>
        <v/>
      </c>
      <c r="J21" t="str">
        <f>"[0.017]"</f>
        <v>[0.017]</v>
      </c>
      <c r="K21" t="str">
        <f>""</f>
        <v/>
      </c>
      <c r="L21" t="str">
        <f>""</f>
        <v/>
      </c>
    </row>
    <row r="22" spans="2:12" x14ac:dyDescent="0.2">
      <c r="B22" s="15" t="s">
        <v>19</v>
      </c>
      <c r="C22" s="12" t="str">
        <f>""</f>
        <v/>
      </c>
      <c r="D22" s="12" t="str">
        <f>""</f>
        <v/>
      </c>
      <c r="E22" t="str">
        <f>""</f>
        <v/>
      </c>
      <c r="F22" t="str">
        <f>""</f>
        <v/>
      </c>
      <c r="G22" t="str">
        <f>""</f>
        <v/>
      </c>
      <c r="H22" t="str">
        <f>""</f>
        <v/>
      </c>
      <c r="I22" t="str">
        <f>""</f>
        <v/>
      </c>
      <c r="J22" t="str">
        <f>""</f>
        <v/>
      </c>
      <c r="K22" t="str">
        <f>"-0.014"</f>
        <v>-0.014</v>
      </c>
      <c r="L22" t="str">
        <f>""</f>
        <v/>
      </c>
    </row>
    <row r="23" spans="2:12" x14ac:dyDescent="0.2">
      <c r="C23" s="12" t="str">
        <f>""</f>
        <v/>
      </c>
      <c r="D23" s="12" t="str">
        <f>""</f>
        <v/>
      </c>
      <c r="E23" t="str">
        <f>""</f>
        <v/>
      </c>
      <c r="F23" t="str">
        <f>""</f>
        <v/>
      </c>
      <c r="G23" t="str">
        <f>""</f>
        <v/>
      </c>
      <c r="H23" t="str">
        <f>""</f>
        <v/>
      </c>
      <c r="I23" t="str">
        <f>""</f>
        <v/>
      </c>
      <c r="J23" t="str">
        <f>""</f>
        <v/>
      </c>
      <c r="K23" t="str">
        <f>"[0.010]"</f>
        <v>[0.010]</v>
      </c>
      <c r="L23" t="str">
        <f>""</f>
        <v/>
      </c>
    </row>
    <row r="24" spans="2:12" x14ac:dyDescent="0.2">
      <c r="B24" s="15" t="s">
        <v>17</v>
      </c>
      <c r="C24" s="12" t="str">
        <f>""</f>
        <v/>
      </c>
      <c r="D24" s="12" t="str">
        <f>""</f>
        <v/>
      </c>
      <c r="E24" t="str">
        <f>""</f>
        <v/>
      </c>
      <c r="F24" t="str">
        <f>""</f>
        <v/>
      </c>
      <c r="G24" t="str">
        <f>""</f>
        <v/>
      </c>
      <c r="H24" t="str">
        <f>""</f>
        <v/>
      </c>
      <c r="I24" t="str">
        <f>""</f>
        <v/>
      </c>
      <c r="J24" t="str">
        <f>""</f>
        <v/>
      </c>
      <c r="K24" t="str">
        <f>""</f>
        <v/>
      </c>
      <c r="L24" t="str">
        <f>"-0.012"</f>
        <v>-0.012</v>
      </c>
    </row>
    <row r="25" spans="2:12" x14ac:dyDescent="0.2">
      <c r="B25" s="15"/>
      <c r="C25" s="12" t="str">
        <f>""</f>
        <v/>
      </c>
      <c r="D25" s="12" t="str">
        <f>""</f>
        <v/>
      </c>
      <c r="E25" t="str">
        <f>""</f>
        <v/>
      </c>
      <c r="F25" t="str">
        <f>""</f>
        <v/>
      </c>
      <c r="G25" t="str">
        <f>""</f>
        <v/>
      </c>
      <c r="H25" t="str">
        <f>""</f>
        <v/>
      </c>
      <c r="I25" t="str">
        <f>""</f>
        <v/>
      </c>
      <c r="J25" t="str">
        <f>""</f>
        <v/>
      </c>
      <c r="K25" t="str">
        <f>""</f>
        <v/>
      </c>
      <c r="L25" t="str">
        <f>"[0.009]"</f>
        <v>[0.009]</v>
      </c>
    </row>
    <row r="26" spans="2:12" x14ac:dyDescent="0.2">
      <c r="B26" s="16" t="s">
        <v>22</v>
      </c>
      <c r="C26" s="17" t="str">
        <f t="shared" ref="C26:L26" si="0">"3420"</f>
        <v>3420</v>
      </c>
      <c r="D26" s="17" t="str">
        <f t="shared" si="0"/>
        <v>3420</v>
      </c>
      <c r="E26" s="17" t="str">
        <f t="shared" si="0"/>
        <v>3420</v>
      </c>
      <c r="F26" s="17" t="str">
        <f t="shared" si="0"/>
        <v>3420</v>
      </c>
      <c r="G26" s="17" t="str">
        <f t="shared" si="0"/>
        <v>3420</v>
      </c>
      <c r="H26" s="17" t="str">
        <f t="shared" si="0"/>
        <v>3420</v>
      </c>
      <c r="I26" s="17" t="str">
        <f t="shared" si="0"/>
        <v>3420</v>
      </c>
      <c r="J26" s="17" t="str">
        <f t="shared" si="0"/>
        <v>3420</v>
      </c>
      <c r="K26" s="17" t="str">
        <f t="shared" si="0"/>
        <v>3420</v>
      </c>
      <c r="L26" s="17" t="str">
        <f t="shared" si="0"/>
        <v>3420</v>
      </c>
    </row>
    <row r="27" spans="2:12" x14ac:dyDescent="0.2">
      <c r="B27" s="18" t="s">
        <v>23</v>
      </c>
      <c r="C27" s="19" t="str">
        <f t="shared" ref="C27:L27" si="1">"0.437"</f>
        <v>0.437</v>
      </c>
      <c r="D27" s="19" t="str">
        <f t="shared" si="1"/>
        <v>0.437</v>
      </c>
      <c r="E27" s="19" t="str">
        <f t="shared" si="1"/>
        <v>0.437</v>
      </c>
      <c r="F27" s="19" t="str">
        <f t="shared" si="1"/>
        <v>0.437</v>
      </c>
      <c r="G27" s="19" t="str">
        <f t="shared" si="1"/>
        <v>0.437</v>
      </c>
      <c r="H27" s="19" t="str">
        <f t="shared" si="1"/>
        <v>0.437</v>
      </c>
      <c r="I27" s="19" t="str">
        <f t="shared" si="1"/>
        <v>0.437</v>
      </c>
      <c r="J27" s="19" t="str">
        <f t="shared" si="1"/>
        <v>0.437</v>
      </c>
      <c r="K27" s="19" t="str">
        <f t="shared" si="1"/>
        <v>0.437</v>
      </c>
      <c r="L27" s="19" t="str">
        <f t="shared" si="1"/>
        <v>0.437</v>
      </c>
    </row>
    <row r="28" spans="2:12" x14ac:dyDescent="0.2">
      <c r="B28" s="18" t="s">
        <v>46</v>
      </c>
      <c r="C28" s="21" t="s">
        <v>25</v>
      </c>
      <c r="D28" s="21" t="s">
        <v>25</v>
      </c>
      <c r="E28" s="21" t="s">
        <v>25</v>
      </c>
      <c r="F28" s="21" t="s">
        <v>25</v>
      </c>
      <c r="G28" s="21" t="s">
        <v>25</v>
      </c>
      <c r="H28" s="21" t="s">
        <v>25</v>
      </c>
      <c r="I28" s="21" t="s">
        <v>25</v>
      </c>
      <c r="J28" s="21" t="s">
        <v>25</v>
      </c>
      <c r="K28" s="21" t="s">
        <v>25</v>
      </c>
      <c r="L28" s="21" t="s">
        <v>25</v>
      </c>
    </row>
    <row r="29" spans="2:12" x14ac:dyDescent="0.2">
      <c r="B29" s="20" t="s">
        <v>26</v>
      </c>
      <c r="C29" s="21" t="s">
        <v>25</v>
      </c>
      <c r="D29" s="21" t="s">
        <v>25</v>
      </c>
      <c r="E29" s="21" t="s">
        <v>25</v>
      </c>
      <c r="F29" s="21" t="s">
        <v>25</v>
      </c>
      <c r="G29" s="21" t="s">
        <v>25</v>
      </c>
      <c r="H29" s="21" t="s">
        <v>25</v>
      </c>
      <c r="I29" s="21" t="s">
        <v>25</v>
      </c>
      <c r="J29" s="21" t="s">
        <v>25</v>
      </c>
      <c r="K29" s="21" t="s">
        <v>25</v>
      </c>
      <c r="L29" s="21" t="s">
        <v>25</v>
      </c>
    </row>
    <row r="30" spans="2:12" x14ac:dyDescent="0.2">
      <c r="B30" s="22" t="s">
        <v>27</v>
      </c>
      <c r="C30" s="23" t="s">
        <v>25</v>
      </c>
      <c r="D30" s="23" t="s">
        <v>25</v>
      </c>
      <c r="E30" s="23" t="s">
        <v>25</v>
      </c>
      <c r="F30" s="23" t="s">
        <v>25</v>
      </c>
      <c r="G30" s="23" t="s">
        <v>25</v>
      </c>
      <c r="H30" s="23" t="s">
        <v>25</v>
      </c>
      <c r="I30" s="23" t="s">
        <v>25</v>
      </c>
      <c r="J30" s="23" t="s">
        <v>25</v>
      </c>
      <c r="K30" s="23" t="s">
        <v>25</v>
      </c>
      <c r="L30" s="23" t="s">
        <v>25</v>
      </c>
    </row>
    <row r="31" spans="2:12" ht="98" customHeight="1" x14ac:dyDescent="0.2">
      <c r="B31" s="73" t="s">
        <v>79</v>
      </c>
      <c r="C31" s="73"/>
      <c r="D31" s="73"/>
      <c r="E31" s="73"/>
      <c r="F31" s="73"/>
      <c r="G31" s="73"/>
      <c r="H31" s="73"/>
      <c r="I31" s="73"/>
      <c r="J31" s="73"/>
      <c r="K31" s="73"/>
      <c r="L31" s="73"/>
    </row>
  </sheetData>
  <mergeCells count="2">
    <mergeCell ref="B1:L1"/>
    <mergeCell ref="B31:L31"/>
  </mergeCell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1DD6F-49AA-3241-920C-A70E5728C4F9}">
  <dimension ref="B2:L32"/>
  <sheetViews>
    <sheetView showGridLines="0" workbookViewId="0">
      <selection activeCell="N17" sqref="N17"/>
    </sheetView>
  </sheetViews>
  <sheetFormatPr baseColWidth="10" defaultColWidth="11" defaultRowHeight="16" x14ac:dyDescent="0.2"/>
  <cols>
    <col min="2" max="2" width="57.1640625" customWidth="1"/>
  </cols>
  <sheetData>
    <row r="2" spans="2:12" x14ac:dyDescent="0.2">
      <c r="B2" s="74" t="s">
        <v>111</v>
      </c>
      <c r="C2" s="74"/>
      <c r="D2" s="74"/>
      <c r="E2" s="74"/>
      <c r="F2" s="74"/>
      <c r="G2" s="74"/>
      <c r="H2" s="74"/>
      <c r="I2" s="74"/>
      <c r="J2" s="74"/>
      <c r="K2" s="74"/>
    </row>
    <row r="3" spans="2:12" ht="51" customHeight="1" thickBot="1" x14ac:dyDescent="0.25">
      <c r="B3" s="1" t="s">
        <v>81</v>
      </c>
      <c r="C3" s="2" t="s">
        <v>1</v>
      </c>
      <c r="D3" s="2" t="s">
        <v>2</v>
      </c>
      <c r="E3" s="2" t="s">
        <v>3</v>
      </c>
      <c r="F3" s="2" t="s">
        <v>4</v>
      </c>
      <c r="G3" s="2" t="s">
        <v>5</v>
      </c>
      <c r="H3" s="2" t="s">
        <v>6</v>
      </c>
      <c r="I3" s="2" t="s">
        <v>7</v>
      </c>
      <c r="J3" s="2" t="s">
        <v>8</v>
      </c>
      <c r="K3" s="2" t="s">
        <v>9</v>
      </c>
      <c r="L3" s="2" t="s">
        <v>10</v>
      </c>
    </row>
    <row r="4" spans="2:12" ht="23" customHeight="1" thickTop="1" x14ac:dyDescent="0.2">
      <c r="B4" s="3" t="s">
        <v>13</v>
      </c>
      <c r="C4" s="4"/>
      <c r="D4" s="4"/>
      <c r="E4" s="4"/>
      <c r="F4" s="4"/>
      <c r="G4" s="4"/>
      <c r="H4" s="4"/>
      <c r="I4" s="4"/>
      <c r="J4" s="4"/>
      <c r="K4" s="4"/>
    </row>
    <row r="5" spans="2:12" x14ac:dyDescent="0.2">
      <c r="B5" s="5" t="s">
        <v>14</v>
      </c>
      <c r="C5" t="str">
        <f>"-0.061"</f>
        <v>-0.061</v>
      </c>
      <c r="D5" t="str">
        <f>""</f>
        <v/>
      </c>
      <c r="E5" s="27"/>
      <c r="F5" s="27"/>
      <c r="G5" s="27"/>
      <c r="H5" s="27"/>
      <c r="I5" s="27"/>
      <c r="J5" s="27"/>
      <c r="K5" s="27"/>
    </row>
    <row r="6" spans="2:12" x14ac:dyDescent="0.2">
      <c r="B6" s="7"/>
      <c r="C6" t="str">
        <f>"[0.078]"</f>
        <v>[0.078]</v>
      </c>
      <c r="D6" t="str">
        <f>""</f>
        <v/>
      </c>
      <c r="E6" s="27"/>
      <c r="F6" s="27"/>
      <c r="G6" s="27"/>
      <c r="H6" s="27"/>
      <c r="I6" s="27"/>
      <c r="J6" s="27"/>
      <c r="K6" s="27"/>
    </row>
    <row r="7" spans="2:12" x14ac:dyDescent="0.2">
      <c r="B7" s="8" t="s">
        <v>15</v>
      </c>
      <c r="C7" t="str">
        <f>""</f>
        <v/>
      </c>
      <c r="D7" t="str">
        <f>"-0.424***"</f>
        <v>-0.424***</v>
      </c>
      <c r="E7" s="27"/>
      <c r="F7" s="27"/>
      <c r="G7" s="27"/>
      <c r="H7" s="27"/>
      <c r="I7" s="27"/>
      <c r="J7" s="27"/>
      <c r="K7" s="27"/>
    </row>
    <row r="8" spans="2:12" x14ac:dyDescent="0.2">
      <c r="B8" s="5" t="str">
        <f>""</f>
        <v/>
      </c>
      <c r="C8" t="str">
        <f>""</f>
        <v/>
      </c>
      <c r="D8" t="str">
        <f>"[0.110]"</f>
        <v>[0.110]</v>
      </c>
      <c r="E8" s="27"/>
      <c r="F8" s="27"/>
      <c r="G8" s="27"/>
      <c r="H8" s="27"/>
      <c r="I8" s="27"/>
      <c r="J8" s="27"/>
      <c r="K8" s="27"/>
    </row>
    <row r="9" spans="2:12" x14ac:dyDescent="0.2">
      <c r="B9" s="5"/>
      <c r="C9" s="27"/>
      <c r="D9" s="27"/>
      <c r="E9" s="27"/>
      <c r="F9" s="27"/>
      <c r="G9" s="27"/>
      <c r="H9" s="27"/>
      <c r="I9" s="27"/>
      <c r="J9" s="27"/>
      <c r="K9" s="27"/>
    </row>
    <row r="10" spans="2:12" ht="25" customHeight="1" x14ac:dyDescent="0.2">
      <c r="B10" s="9" t="s">
        <v>16</v>
      </c>
      <c r="C10" s="10"/>
      <c r="D10" s="10"/>
      <c r="E10" s="10"/>
      <c r="F10" s="10"/>
      <c r="G10" s="10"/>
      <c r="H10" s="10"/>
      <c r="I10" s="10"/>
      <c r="J10" s="10"/>
      <c r="K10" s="10"/>
      <c r="L10" s="10"/>
    </row>
    <row r="11" spans="2:12" ht="18" customHeight="1" x14ac:dyDescent="0.2">
      <c r="B11" s="11" t="str">
        <f>"Loss of land (yes=1) for a household in a given year"</f>
        <v>Loss of land (yes=1) for a household in a given year</v>
      </c>
      <c r="C11" s="12"/>
      <c r="D11" s="12"/>
      <c r="E11" t="str">
        <f>"0.090"</f>
        <v>0.090</v>
      </c>
      <c r="F11" t="str">
        <f>""</f>
        <v/>
      </c>
      <c r="G11" t="str">
        <f>""</f>
        <v/>
      </c>
      <c r="H11" t="str">
        <f>""</f>
        <v/>
      </c>
      <c r="I11" t="str">
        <f>""</f>
        <v/>
      </c>
      <c r="J11" t="str">
        <f>""</f>
        <v/>
      </c>
      <c r="K11" t="str">
        <f>""</f>
        <v/>
      </c>
      <c r="L11" t="str">
        <f>""</f>
        <v/>
      </c>
    </row>
    <row r="12" spans="2:12" ht="14" customHeight="1" x14ac:dyDescent="0.2">
      <c r="B12" s="11" t="str">
        <f>""</f>
        <v/>
      </c>
      <c r="C12" s="12"/>
      <c r="D12" s="12"/>
      <c r="E12" t="str">
        <f>"[0.092]"</f>
        <v>[0.092]</v>
      </c>
      <c r="F12" t="str">
        <f>""</f>
        <v/>
      </c>
      <c r="G12" t="str">
        <f>""</f>
        <v/>
      </c>
      <c r="H12" t="str">
        <f>""</f>
        <v/>
      </c>
      <c r="I12" t="str">
        <f>""</f>
        <v/>
      </c>
      <c r="J12" t="str">
        <f>""</f>
        <v/>
      </c>
      <c r="K12" t="str">
        <f>""</f>
        <v/>
      </c>
      <c r="L12" t="str">
        <f>""</f>
        <v/>
      </c>
    </row>
    <row r="13" spans="2:12" x14ac:dyDescent="0.2">
      <c r="B13" s="11" t="str">
        <f>"Theft of crops (yes=1) for a household in a given year"</f>
        <v>Theft of crops (yes=1) for a household in a given year</v>
      </c>
      <c r="C13" s="12"/>
      <c r="D13" s="12"/>
      <c r="E13" t="str">
        <f>""</f>
        <v/>
      </c>
      <c r="F13" t="str">
        <f>"-0.018"</f>
        <v>-0.018</v>
      </c>
      <c r="G13" t="str">
        <f>""</f>
        <v/>
      </c>
      <c r="H13" t="str">
        <f>""</f>
        <v/>
      </c>
      <c r="I13" t="str">
        <f>""</f>
        <v/>
      </c>
      <c r="J13" t="str">
        <f>""</f>
        <v/>
      </c>
      <c r="K13" t="str">
        <f>""</f>
        <v/>
      </c>
      <c r="L13" t="str">
        <f>""</f>
        <v/>
      </c>
    </row>
    <row r="14" spans="2:12" x14ac:dyDescent="0.2">
      <c r="B14" s="11" t="str">
        <f>""</f>
        <v/>
      </c>
      <c r="C14" s="12"/>
      <c r="D14" s="12"/>
      <c r="E14" t="str">
        <f>""</f>
        <v/>
      </c>
      <c r="F14" t="str">
        <f>"[0.034]"</f>
        <v>[0.034]</v>
      </c>
      <c r="G14" t="str">
        <f>""</f>
        <v/>
      </c>
      <c r="H14" t="str">
        <f>""</f>
        <v/>
      </c>
      <c r="I14" t="str">
        <f>""</f>
        <v/>
      </c>
      <c r="J14" t="str">
        <f>""</f>
        <v/>
      </c>
      <c r="K14" t="str">
        <f>""</f>
        <v/>
      </c>
      <c r="L14" t="str">
        <f>""</f>
        <v/>
      </c>
    </row>
    <row r="15" spans="2:12" x14ac:dyDescent="0.2">
      <c r="B15" s="13" t="str">
        <f>"Theft of money (yes=1) for a household in a given year"</f>
        <v>Theft of money (yes=1) for a household in a given year</v>
      </c>
      <c r="C15" s="14"/>
      <c r="D15" s="14"/>
      <c r="E15" t="str">
        <f>""</f>
        <v/>
      </c>
      <c r="F15" t="str">
        <f>""</f>
        <v/>
      </c>
      <c r="G15" t="str">
        <f>"-0.071"</f>
        <v>-0.071</v>
      </c>
      <c r="H15" t="str">
        <f>""</f>
        <v/>
      </c>
      <c r="I15" t="str">
        <f>""</f>
        <v/>
      </c>
      <c r="J15" t="str">
        <f>""</f>
        <v/>
      </c>
      <c r="K15" t="str">
        <f>""</f>
        <v/>
      </c>
      <c r="L15" t="str">
        <f>""</f>
        <v/>
      </c>
    </row>
    <row r="16" spans="2:12" x14ac:dyDescent="0.2">
      <c r="B16" s="11" t="str">
        <f>""</f>
        <v/>
      </c>
      <c r="C16" s="12"/>
      <c r="D16" s="12"/>
      <c r="E16" t="str">
        <f>""</f>
        <v/>
      </c>
      <c r="F16" t="str">
        <f>""</f>
        <v/>
      </c>
      <c r="G16" t="str">
        <f>"[0.058]"</f>
        <v>[0.058]</v>
      </c>
      <c r="H16" t="str">
        <f>""</f>
        <v/>
      </c>
      <c r="I16" t="str">
        <f>""</f>
        <v/>
      </c>
      <c r="J16" t="str">
        <f>""</f>
        <v/>
      </c>
      <c r="K16" t="str">
        <f>""</f>
        <v/>
      </c>
      <c r="L16" t="str">
        <f>""</f>
        <v/>
      </c>
    </row>
    <row r="17" spans="2:12" x14ac:dyDescent="0.2">
      <c r="B17" s="11" t="str">
        <f>"Theft or destruction of goods (yes=1) for a household in a given year"</f>
        <v>Theft or destruction of goods (yes=1) for a household in a given year</v>
      </c>
      <c r="C17" s="12"/>
      <c r="D17" s="12"/>
      <c r="E17" t="str">
        <f>""</f>
        <v/>
      </c>
      <c r="F17" t="str">
        <f>""</f>
        <v/>
      </c>
      <c r="G17" t="str">
        <f>""</f>
        <v/>
      </c>
      <c r="H17" t="str">
        <f>"-0.178***"</f>
        <v>-0.178***</v>
      </c>
      <c r="I17" t="str">
        <f>""</f>
        <v/>
      </c>
      <c r="J17" t="str">
        <f>""</f>
        <v/>
      </c>
      <c r="K17" t="str">
        <f>""</f>
        <v/>
      </c>
      <c r="L17" t="str">
        <f>""</f>
        <v/>
      </c>
    </row>
    <row r="18" spans="2:12" x14ac:dyDescent="0.2">
      <c r="B18" s="11"/>
      <c r="C18" s="12"/>
      <c r="D18" s="12"/>
      <c r="E18" t="str">
        <f>""</f>
        <v/>
      </c>
      <c r="F18" t="str">
        <f>""</f>
        <v/>
      </c>
      <c r="G18" t="str">
        <f>""</f>
        <v/>
      </c>
      <c r="H18" t="str">
        <f>"[0.055]"</f>
        <v>[0.055]</v>
      </c>
      <c r="I18" t="str">
        <f>""</f>
        <v/>
      </c>
      <c r="J18" t="str">
        <f>""</f>
        <v/>
      </c>
      <c r="K18" t="str">
        <f>""</f>
        <v/>
      </c>
      <c r="L18" t="str">
        <f>""</f>
        <v/>
      </c>
    </row>
    <row r="19" spans="2:12" x14ac:dyDescent="0.2">
      <c r="B19" s="11" t="str">
        <f>"Destruction of house (yes=1) for a household in a given year"</f>
        <v>Destruction of house (yes=1) for a household in a given year</v>
      </c>
      <c r="C19" s="12"/>
      <c r="D19" s="12"/>
      <c r="E19" t="str">
        <f>""</f>
        <v/>
      </c>
      <c r="F19" t="str">
        <f>""</f>
        <v/>
      </c>
      <c r="G19" t="str">
        <f>""</f>
        <v/>
      </c>
      <c r="H19" t="str">
        <f>""</f>
        <v/>
      </c>
      <c r="I19" t="str">
        <f>"-0.122"</f>
        <v>-0.122</v>
      </c>
      <c r="J19" t="str">
        <f>""</f>
        <v/>
      </c>
      <c r="K19" t="str">
        <f>""</f>
        <v/>
      </c>
      <c r="L19" t="str">
        <f>""</f>
        <v/>
      </c>
    </row>
    <row r="20" spans="2:12" x14ac:dyDescent="0.2">
      <c r="B20" s="11"/>
      <c r="C20" s="12"/>
      <c r="D20" s="12"/>
      <c r="E20" t="str">
        <f>""</f>
        <v/>
      </c>
      <c r="F20" t="str">
        <f>""</f>
        <v/>
      </c>
      <c r="G20" t="str">
        <f>""</f>
        <v/>
      </c>
      <c r="H20" t="str">
        <f>""</f>
        <v/>
      </c>
      <c r="I20" t="str">
        <f>"[0.088]"</f>
        <v>[0.088]</v>
      </c>
      <c r="J20" t="str">
        <f>""</f>
        <v/>
      </c>
      <c r="K20" t="str">
        <f>""</f>
        <v/>
      </c>
      <c r="L20" t="str">
        <f>""</f>
        <v/>
      </c>
    </row>
    <row r="21" spans="2:12" x14ac:dyDescent="0.2">
      <c r="B21" s="15" t="s">
        <v>18</v>
      </c>
      <c r="C21" s="12"/>
      <c r="D21" s="12"/>
      <c r="E21" t="str">
        <f>""</f>
        <v/>
      </c>
      <c r="F21" t="str">
        <f>""</f>
        <v/>
      </c>
      <c r="G21" t="str">
        <f>""</f>
        <v/>
      </c>
      <c r="H21" t="str">
        <f>""</f>
        <v/>
      </c>
      <c r="I21" t="str">
        <f>""</f>
        <v/>
      </c>
      <c r="J21" t="str">
        <f>"0.002"</f>
        <v>0.002</v>
      </c>
      <c r="K21" t="str">
        <f>""</f>
        <v/>
      </c>
      <c r="L21" t="str">
        <f>""</f>
        <v/>
      </c>
    </row>
    <row r="22" spans="2:12" x14ac:dyDescent="0.2">
      <c r="C22" s="12"/>
      <c r="D22" s="12"/>
      <c r="E22" t="str">
        <f>""</f>
        <v/>
      </c>
      <c r="F22" t="str">
        <f>""</f>
        <v/>
      </c>
      <c r="G22" t="str">
        <f>""</f>
        <v/>
      </c>
      <c r="H22" t="str">
        <f>""</f>
        <v/>
      </c>
      <c r="I22" t="str">
        <f>""</f>
        <v/>
      </c>
      <c r="J22" t="str">
        <f>"[0.010]"</f>
        <v>[0.010]</v>
      </c>
      <c r="K22" t="str">
        <f>""</f>
        <v/>
      </c>
      <c r="L22" t="str">
        <f>""</f>
        <v/>
      </c>
    </row>
    <row r="23" spans="2:12" x14ac:dyDescent="0.2">
      <c r="B23" s="15" t="s">
        <v>19</v>
      </c>
      <c r="C23" s="12"/>
      <c r="D23" s="12"/>
      <c r="E23" t="str">
        <f>""</f>
        <v/>
      </c>
      <c r="F23" t="str">
        <f>""</f>
        <v/>
      </c>
      <c r="G23" t="str">
        <f>""</f>
        <v/>
      </c>
      <c r="H23" t="str">
        <f>""</f>
        <v/>
      </c>
      <c r="I23" t="str">
        <f>""</f>
        <v/>
      </c>
      <c r="J23" t="str">
        <f>""</f>
        <v/>
      </c>
      <c r="K23" t="str">
        <f>"-0.022***"</f>
        <v>-0.022***</v>
      </c>
      <c r="L23" t="str">
        <f>""</f>
        <v/>
      </c>
    </row>
    <row r="24" spans="2:12" x14ac:dyDescent="0.2">
      <c r="B24" s="15"/>
      <c r="C24" s="12"/>
      <c r="D24" s="12"/>
      <c r="E24" t="str">
        <f>""</f>
        <v/>
      </c>
      <c r="F24" t="str">
        <f>""</f>
        <v/>
      </c>
      <c r="G24" t="str">
        <f>""</f>
        <v/>
      </c>
      <c r="H24" t="str">
        <f>""</f>
        <v/>
      </c>
      <c r="I24" t="str">
        <f>""</f>
        <v/>
      </c>
      <c r="J24" t="str">
        <f>""</f>
        <v/>
      </c>
      <c r="K24" t="str">
        <f>"[0.007]"</f>
        <v>[0.007]</v>
      </c>
      <c r="L24" t="str">
        <f>""</f>
        <v/>
      </c>
    </row>
    <row r="25" spans="2:12" x14ac:dyDescent="0.2">
      <c r="B25" s="15" t="s">
        <v>17</v>
      </c>
      <c r="C25" s="12"/>
      <c r="D25" s="12"/>
      <c r="E25" t="str">
        <f>""</f>
        <v/>
      </c>
      <c r="F25" t="str">
        <f>""</f>
        <v/>
      </c>
      <c r="G25" t="str">
        <f>""</f>
        <v/>
      </c>
      <c r="H25" t="str">
        <f>""</f>
        <v/>
      </c>
      <c r="I25" t="str">
        <f>""</f>
        <v/>
      </c>
      <c r="J25" t="str">
        <f>""</f>
        <v/>
      </c>
      <c r="K25" t="str">
        <f>""</f>
        <v/>
      </c>
      <c r="L25" t="str">
        <f>"-0.016**"</f>
        <v>-0.016**</v>
      </c>
    </row>
    <row r="26" spans="2:12" x14ac:dyDescent="0.2">
      <c r="C26" s="12"/>
      <c r="D26" s="12"/>
      <c r="E26" t="str">
        <f>""</f>
        <v/>
      </c>
      <c r="F26" t="str">
        <f>""</f>
        <v/>
      </c>
      <c r="G26" t="str">
        <f>""</f>
        <v/>
      </c>
      <c r="H26" t="str">
        <f>""</f>
        <v/>
      </c>
      <c r="I26" t="str">
        <f>""</f>
        <v/>
      </c>
      <c r="J26" t="str">
        <f>""</f>
        <v/>
      </c>
      <c r="K26" t="str">
        <f>""</f>
        <v/>
      </c>
      <c r="L26" t="str">
        <f>"[0.006]"</f>
        <v>[0.006]</v>
      </c>
    </row>
    <row r="27" spans="2:12" x14ac:dyDescent="0.2">
      <c r="B27" s="16" t="s">
        <v>22</v>
      </c>
      <c r="C27" s="17" t="str">
        <f t="shared" ref="C27:L27" si="0">"1655"</f>
        <v>1655</v>
      </c>
      <c r="D27" s="17" t="str">
        <f t="shared" si="0"/>
        <v>1655</v>
      </c>
      <c r="E27" s="17" t="str">
        <f t="shared" si="0"/>
        <v>1655</v>
      </c>
      <c r="F27" s="17" t="str">
        <f t="shared" si="0"/>
        <v>1655</v>
      </c>
      <c r="G27" s="17" t="str">
        <f t="shared" si="0"/>
        <v>1655</v>
      </c>
      <c r="H27" s="17" t="str">
        <f t="shared" si="0"/>
        <v>1655</v>
      </c>
      <c r="I27" s="17" t="str">
        <f t="shared" si="0"/>
        <v>1655</v>
      </c>
      <c r="J27" s="17" t="str">
        <f t="shared" si="0"/>
        <v>1655</v>
      </c>
      <c r="K27" s="17" t="str">
        <f t="shared" si="0"/>
        <v>1655</v>
      </c>
      <c r="L27" s="17" t="str">
        <f t="shared" si="0"/>
        <v>1655</v>
      </c>
    </row>
    <row r="28" spans="2:12" x14ac:dyDescent="0.2">
      <c r="B28" s="18" t="s">
        <v>23</v>
      </c>
      <c r="C28" s="19" t="str">
        <f t="shared" ref="C28:L28" si="1">"0.374"</f>
        <v>0.374</v>
      </c>
      <c r="D28" s="19" t="str">
        <f t="shared" si="1"/>
        <v>0.374</v>
      </c>
      <c r="E28" s="19" t="str">
        <f t="shared" si="1"/>
        <v>0.374</v>
      </c>
      <c r="F28" s="19" t="str">
        <f t="shared" si="1"/>
        <v>0.374</v>
      </c>
      <c r="G28" s="19" t="str">
        <f t="shared" si="1"/>
        <v>0.374</v>
      </c>
      <c r="H28" s="19" t="str">
        <f t="shared" si="1"/>
        <v>0.374</v>
      </c>
      <c r="I28" s="19" t="str">
        <f t="shared" si="1"/>
        <v>0.374</v>
      </c>
      <c r="J28" s="19" t="str">
        <f t="shared" si="1"/>
        <v>0.374</v>
      </c>
      <c r="K28" s="19" t="str">
        <f t="shared" si="1"/>
        <v>0.374</v>
      </c>
      <c r="L28" s="19" t="str">
        <f t="shared" si="1"/>
        <v>0.374</v>
      </c>
    </row>
    <row r="29" spans="2:12" x14ac:dyDescent="0.2">
      <c r="B29" s="20" t="s">
        <v>24</v>
      </c>
      <c r="C29" s="21" t="s">
        <v>25</v>
      </c>
      <c r="D29" s="21" t="s">
        <v>25</v>
      </c>
      <c r="E29" s="21" t="s">
        <v>25</v>
      </c>
      <c r="F29" s="21" t="s">
        <v>25</v>
      </c>
      <c r="G29" s="21" t="s">
        <v>25</v>
      </c>
      <c r="H29" s="21" t="s">
        <v>25</v>
      </c>
      <c r="I29" s="21" t="s">
        <v>25</v>
      </c>
      <c r="J29" s="21" t="s">
        <v>25</v>
      </c>
      <c r="K29" s="21" t="s">
        <v>25</v>
      </c>
      <c r="L29" s="21" t="s">
        <v>25</v>
      </c>
    </row>
    <row r="30" spans="2:12" x14ac:dyDescent="0.2">
      <c r="B30" s="20" t="s">
        <v>26</v>
      </c>
      <c r="C30" s="21" t="s">
        <v>25</v>
      </c>
      <c r="D30" s="21" t="s">
        <v>25</v>
      </c>
      <c r="E30" s="21" t="s">
        <v>25</v>
      </c>
      <c r="F30" s="21" t="s">
        <v>25</v>
      </c>
      <c r="G30" s="21" t="s">
        <v>25</v>
      </c>
      <c r="H30" s="21" t="s">
        <v>25</v>
      </c>
      <c r="I30" s="21" t="s">
        <v>25</v>
      </c>
      <c r="J30" s="21" t="s">
        <v>25</v>
      </c>
      <c r="K30" s="21" t="s">
        <v>25</v>
      </c>
      <c r="L30" s="21" t="s">
        <v>25</v>
      </c>
    </row>
    <row r="31" spans="2:12" x14ac:dyDescent="0.2">
      <c r="B31" s="22" t="s">
        <v>27</v>
      </c>
      <c r="C31" s="23" t="s">
        <v>25</v>
      </c>
      <c r="D31" s="23" t="s">
        <v>25</v>
      </c>
      <c r="E31" s="23" t="s">
        <v>25</v>
      </c>
      <c r="F31" s="23" t="s">
        <v>25</v>
      </c>
      <c r="G31" s="23" t="s">
        <v>25</v>
      </c>
      <c r="H31" s="23" t="s">
        <v>25</v>
      </c>
      <c r="I31" s="23" t="s">
        <v>25</v>
      </c>
      <c r="J31" s="23" t="s">
        <v>25</v>
      </c>
      <c r="K31" s="23" t="s">
        <v>25</v>
      </c>
      <c r="L31" s="23" t="s">
        <v>25</v>
      </c>
    </row>
    <row r="32" spans="2:12" ht="93" customHeight="1" x14ac:dyDescent="0.2">
      <c r="B32" s="75" t="s">
        <v>74</v>
      </c>
      <c r="C32" s="75"/>
      <c r="D32" s="75"/>
      <c r="E32" s="75"/>
      <c r="F32" s="75"/>
      <c r="G32" s="75"/>
      <c r="H32" s="75"/>
      <c r="I32" s="75"/>
      <c r="J32" s="75"/>
      <c r="K32" s="75"/>
      <c r="L32" s="75"/>
    </row>
  </sheetData>
  <mergeCells count="2">
    <mergeCell ref="B2:K2"/>
    <mergeCell ref="B32:L32"/>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Z37"/>
  <sheetViews>
    <sheetView showGridLines="0" workbookViewId="0">
      <selection activeCell="B2" sqref="B2:Z2"/>
    </sheetView>
  </sheetViews>
  <sheetFormatPr baseColWidth="10" defaultColWidth="11" defaultRowHeight="16" x14ac:dyDescent="0.2"/>
  <cols>
    <col min="2" max="2" width="57.1640625" customWidth="1"/>
  </cols>
  <sheetData>
    <row r="2" spans="2:26" x14ac:dyDescent="0.2">
      <c r="B2" s="74" t="s">
        <v>113</v>
      </c>
      <c r="C2" s="74"/>
      <c r="D2" s="74"/>
      <c r="E2" s="74"/>
      <c r="F2" s="74"/>
      <c r="G2" s="74"/>
      <c r="H2" s="74"/>
      <c r="I2" s="74"/>
      <c r="J2" s="74"/>
      <c r="K2" s="74"/>
      <c r="L2" s="74"/>
      <c r="M2" s="74"/>
      <c r="N2" s="74"/>
      <c r="O2" s="74"/>
      <c r="P2" s="74"/>
      <c r="Q2" s="74"/>
      <c r="R2" s="74"/>
      <c r="S2" s="74"/>
      <c r="T2" s="74"/>
      <c r="U2" s="74"/>
      <c r="V2" s="74"/>
      <c r="W2" s="74"/>
      <c r="X2" s="74"/>
      <c r="Y2" s="74"/>
      <c r="Z2" s="74"/>
    </row>
    <row r="3" spans="2:26" x14ac:dyDescent="0.2">
      <c r="B3" s="38"/>
      <c r="C3" s="81" t="s">
        <v>47</v>
      </c>
      <c r="D3" s="81"/>
      <c r="E3" s="81"/>
      <c r="F3" s="81"/>
      <c r="G3" s="81"/>
      <c r="H3" s="81"/>
      <c r="I3" s="81"/>
      <c r="J3" s="81"/>
      <c r="K3" s="81"/>
      <c r="L3" s="81"/>
      <c r="M3" s="81"/>
      <c r="N3" s="82"/>
      <c r="O3" s="84" t="s">
        <v>48</v>
      </c>
      <c r="P3" s="84"/>
      <c r="Q3" s="84"/>
      <c r="R3" s="84"/>
      <c r="S3" s="84"/>
      <c r="T3" s="84"/>
      <c r="U3" s="84"/>
      <c r="V3" s="84"/>
      <c r="W3" s="84"/>
      <c r="X3" s="84"/>
      <c r="Y3" s="84"/>
      <c r="Z3" s="84"/>
    </row>
    <row r="4" spans="2:26" ht="51" customHeight="1" thickBot="1" x14ac:dyDescent="0.25">
      <c r="B4" s="58" t="s">
        <v>52</v>
      </c>
      <c r="C4" s="25" t="s">
        <v>1</v>
      </c>
      <c r="D4" s="25" t="s">
        <v>2</v>
      </c>
      <c r="E4" s="25" t="s">
        <v>3</v>
      </c>
      <c r="F4" s="25" t="s">
        <v>4</v>
      </c>
      <c r="G4" s="25" t="s">
        <v>5</v>
      </c>
      <c r="H4" s="25" t="s">
        <v>6</v>
      </c>
      <c r="I4" s="25" t="s">
        <v>7</v>
      </c>
      <c r="J4" s="25" t="s">
        <v>8</v>
      </c>
      <c r="K4" s="25" t="s">
        <v>9</v>
      </c>
      <c r="L4" s="25" t="s">
        <v>10</v>
      </c>
      <c r="M4" s="25" t="s">
        <v>11</v>
      </c>
      <c r="N4" s="37" t="s">
        <v>12</v>
      </c>
      <c r="O4" s="25" t="s">
        <v>28</v>
      </c>
      <c r="P4" s="25" t="s">
        <v>29</v>
      </c>
      <c r="Q4" s="25" t="s">
        <v>30</v>
      </c>
      <c r="R4" s="25" t="s">
        <v>31</v>
      </c>
      <c r="S4" s="25" t="s">
        <v>32</v>
      </c>
      <c r="T4" s="25" t="s">
        <v>33</v>
      </c>
      <c r="U4" s="25" t="s">
        <v>34</v>
      </c>
      <c r="V4" s="25" t="s">
        <v>35</v>
      </c>
      <c r="W4" s="25" t="s">
        <v>36</v>
      </c>
      <c r="X4" s="25" t="s">
        <v>37</v>
      </c>
      <c r="Y4" s="25" t="s">
        <v>38</v>
      </c>
      <c r="Z4" s="25" t="s">
        <v>39</v>
      </c>
    </row>
    <row r="5" spans="2:26" ht="23" customHeight="1" thickTop="1" x14ac:dyDescent="0.2">
      <c r="B5" s="3" t="s">
        <v>13</v>
      </c>
      <c r="C5" s="4"/>
      <c r="D5" s="4"/>
      <c r="E5" s="4"/>
      <c r="F5" s="4"/>
      <c r="G5" s="4"/>
      <c r="H5" s="4"/>
      <c r="I5" s="4"/>
      <c r="J5" s="4"/>
      <c r="K5" s="4"/>
      <c r="L5" s="30"/>
      <c r="M5" s="30"/>
      <c r="N5" s="31"/>
      <c r="O5" s="4"/>
      <c r="P5" s="4"/>
      <c r="Q5" s="4"/>
      <c r="R5" s="4"/>
      <c r="S5" s="4"/>
      <c r="T5" s="4"/>
      <c r="U5" s="4"/>
      <c r="V5" s="4"/>
      <c r="W5" s="4"/>
    </row>
    <row r="6" spans="2:26" x14ac:dyDescent="0.2">
      <c r="B6" s="5" t="s">
        <v>14</v>
      </c>
      <c r="C6" s="12" t="str">
        <f>"-0.110*"</f>
        <v>-0.110*</v>
      </c>
      <c r="D6" s="12" t="str">
        <f>""</f>
        <v/>
      </c>
      <c r="E6" s="12"/>
      <c r="F6" s="12"/>
      <c r="G6" s="12"/>
      <c r="H6" s="12"/>
      <c r="I6" s="12"/>
      <c r="J6" s="12"/>
      <c r="K6" s="12"/>
      <c r="L6" s="30"/>
      <c r="M6" s="30"/>
      <c r="N6" s="31"/>
      <c r="O6" s="6" t="str">
        <f>"-0.065"</f>
        <v>-0.065</v>
      </c>
      <c r="P6" s="6" t="str">
        <f>""</f>
        <v/>
      </c>
      <c r="Q6" s="6"/>
      <c r="R6" s="6"/>
      <c r="S6" s="6"/>
      <c r="T6" s="6"/>
      <c r="U6" s="6"/>
      <c r="V6" s="6"/>
      <c r="W6" s="6"/>
    </row>
    <row r="7" spans="2:26" x14ac:dyDescent="0.2">
      <c r="B7" s="7"/>
      <c r="C7" s="12" t="str">
        <f>"[0.059]"</f>
        <v>[0.059]</v>
      </c>
      <c r="D7" s="12" t="str">
        <f>""</f>
        <v/>
      </c>
      <c r="E7" s="12"/>
      <c r="F7" s="12"/>
      <c r="G7" s="12"/>
      <c r="H7" s="12"/>
      <c r="I7" s="12"/>
      <c r="J7" s="12"/>
      <c r="K7" s="12"/>
      <c r="L7" s="30"/>
      <c r="M7" s="30"/>
      <c r="N7" s="31"/>
      <c r="O7" s="6" t="str">
        <f>"[0.065]"</f>
        <v>[0.065]</v>
      </c>
      <c r="P7" s="6" t="str">
        <f>""</f>
        <v/>
      </c>
      <c r="Q7" s="6"/>
      <c r="R7" s="6"/>
      <c r="S7" s="6"/>
      <c r="T7" s="6"/>
      <c r="U7" s="6"/>
      <c r="V7" s="6"/>
      <c r="W7" s="6"/>
    </row>
    <row r="8" spans="2:26" x14ac:dyDescent="0.2">
      <c r="B8" s="8" t="s">
        <v>15</v>
      </c>
      <c r="C8" s="12" t="str">
        <f>""</f>
        <v/>
      </c>
      <c r="D8" s="12" t="str">
        <f>"-0.189**"</f>
        <v>-0.189**</v>
      </c>
      <c r="E8" s="12"/>
      <c r="F8" s="12"/>
      <c r="G8" s="12"/>
      <c r="H8" s="12"/>
      <c r="I8" s="12"/>
      <c r="J8" s="12"/>
      <c r="K8" s="12"/>
      <c r="L8" s="30"/>
      <c r="M8" s="30"/>
      <c r="N8" s="31"/>
      <c r="O8" s="6" t="str">
        <f>""</f>
        <v/>
      </c>
      <c r="P8" s="6" t="str">
        <f>"-0.396***"</f>
        <v>-0.396***</v>
      </c>
      <c r="Q8" s="6"/>
      <c r="R8" s="6"/>
      <c r="S8" s="6"/>
      <c r="T8" s="6"/>
      <c r="U8" s="6"/>
      <c r="V8" s="6"/>
      <c r="W8" s="6"/>
    </row>
    <row r="9" spans="2:26" x14ac:dyDescent="0.2">
      <c r="B9" s="5" t="str">
        <f>""</f>
        <v/>
      </c>
      <c r="C9" s="12" t="str">
        <f>""</f>
        <v/>
      </c>
      <c r="D9" s="12" t="str">
        <f>"[0.078]"</f>
        <v>[0.078]</v>
      </c>
      <c r="E9" s="12"/>
      <c r="F9" s="12"/>
      <c r="G9" s="12"/>
      <c r="H9" s="12"/>
      <c r="I9" s="12"/>
      <c r="J9" s="12"/>
      <c r="K9" s="12"/>
      <c r="L9" s="30"/>
      <c r="M9" s="30"/>
      <c r="N9" s="31"/>
      <c r="O9" s="6" t="str">
        <f>""</f>
        <v/>
      </c>
      <c r="P9" s="6" t="str">
        <f>"[0.084]"</f>
        <v>[0.084]</v>
      </c>
      <c r="Q9" s="6"/>
      <c r="R9" s="6"/>
      <c r="S9" s="6"/>
      <c r="T9" s="6"/>
      <c r="U9" s="6"/>
      <c r="V9" s="6"/>
      <c r="W9" s="6"/>
    </row>
    <row r="10" spans="2:26" x14ac:dyDescent="0.2">
      <c r="B10" s="5"/>
      <c r="C10" s="12"/>
      <c r="D10" s="12"/>
      <c r="E10" s="12"/>
      <c r="F10" s="12"/>
      <c r="G10" s="12"/>
      <c r="H10" s="12"/>
      <c r="I10" s="12"/>
      <c r="J10" s="12"/>
      <c r="K10" s="12"/>
      <c r="L10" s="30"/>
      <c r="M10" s="30"/>
      <c r="N10" s="31"/>
      <c r="O10" s="6"/>
      <c r="P10" s="6"/>
      <c r="Q10" s="6"/>
      <c r="R10" s="6"/>
      <c r="S10" s="6"/>
      <c r="T10" s="6"/>
      <c r="U10" s="6"/>
      <c r="V10" s="6"/>
      <c r="W10" s="6"/>
    </row>
    <row r="11" spans="2:26" ht="25" customHeight="1" x14ac:dyDescent="0.2">
      <c r="B11" s="9" t="s">
        <v>16</v>
      </c>
      <c r="C11" s="10"/>
      <c r="D11" s="10"/>
      <c r="E11" s="10"/>
      <c r="F11" s="10"/>
      <c r="G11" s="10"/>
      <c r="H11" s="10"/>
      <c r="I11" s="10"/>
      <c r="J11" s="10"/>
      <c r="K11" s="10"/>
      <c r="L11" s="10"/>
      <c r="M11" s="10"/>
      <c r="N11" s="32"/>
      <c r="O11" s="10"/>
      <c r="P11" s="10"/>
      <c r="Q11" s="10"/>
      <c r="R11" s="10"/>
      <c r="S11" s="10"/>
      <c r="T11" s="10"/>
      <c r="U11" s="10"/>
      <c r="V11" s="10"/>
      <c r="W11" s="10"/>
      <c r="X11" s="10"/>
      <c r="Y11" s="10"/>
      <c r="Z11" s="10"/>
    </row>
    <row r="12" spans="2:26" ht="18" customHeight="1" x14ac:dyDescent="0.2">
      <c r="B12" s="11" t="str">
        <f>"Loss of land (yes=1) for a household in a given year"</f>
        <v>Loss of land (yes=1) for a household in a given year</v>
      </c>
      <c r="C12" s="12"/>
      <c r="D12" s="12"/>
      <c r="E12" s="30" t="str">
        <f>"0.026"</f>
        <v>0.026</v>
      </c>
      <c r="F12" s="30" t="str">
        <f>""</f>
        <v/>
      </c>
      <c r="G12" s="30" t="str">
        <f>""</f>
        <v/>
      </c>
      <c r="H12" s="30" t="str">
        <f>""</f>
        <v/>
      </c>
      <c r="I12" s="30" t="str">
        <f>""</f>
        <v/>
      </c>
      <c r="J12" s="30" t="str">
        <f>""</f>
        <v/>
      </c>
      <c r="K12" s="30" t="str">
        <f>""</f>
        <v/>
      </c>
      <c r="L12" s="30" t="str">
        <f>""</f>
        <v/>
      </c>
      <c r="M12" s="30" t="str">
        <f>""</f>
        <v/>
      </c>
      <c r="N12" s="31" t="str">
        <f>""</f>
        <v/>
      </c>
      <c r="O12" s="12"/>
      <c r="P12" s="12"/>
      <c r="Q12" t="str">
        <f>"-0.032"</f>
        <v>-0.032</v>
      </c>
      <c r="R12" t="str">
        <f>""</f>
        <v/>
      </c>
      <c r="S12" t="str">
        <f>""</f>
        <v/>
      </c>
      <c r="T12" t="str">
        <f>""</f>
        <v/>
      </c>
      <c r="U12" t="str">
        <f>""</f>
        <v/>
      </c>
      <c r="V12" t="str">
        <f>""</f>
        <v/>
      </c>
      <c r="W12" t="str">
        <f>""</f>
        <v/>
      </c>
      <c r="X12" t="str">
        <f>""</f>
        <v/>
      </c>
      <c r="Y12" t="str">
        <f>""</f>
        <v/>
      </c>
      <c r="Z12" t="str">
        <f>""</f>
        <v/>
      </c>
    </row>
    <row r="13" spans="2:26" ht="14" customHeight="1" x14ac:dyDescent="0.2">
      <c r="B13" s="11" t="str">
        <f>""</f>
        <v/>
      </c>
      <c r="C13" s="12"/>
      <c r="D13" s="12"/>
      <c r="E13" s="30" t="str">
        <f>"[0.075]"</f>
        <v>[0.075]</v>
      </c>
      <c r="F13" s="30" t="str">
        <f>""</f>
        <v/>
      </c>
      <c r="G13" s="30" t="str">
        <f>""</f>
        <v/>
      </c>
      <c r="H13" s="30" t="str">
        <f>""</f>
        <v/>
      </c>
      <c r="I13" s="30" t="str">
        <f>""</f>
        <v/>
      </c>
      <c r="J13" s="30" t="str">
        <f>""</f>
        <v/>
      </c>
      <c r="K13" s="30" t="str">
        <f>""</f>
        <v/>
      </c>
      <c r="L13" s="30" t="str">
        <f>""</f>
        <v/>
      </c>
      <c r="M13" s="30" t="str">
        <f>""</f>
        <v/>
      </c>
      <c r="N13" s="31" t="str">
        <f>""</f>
        <v/>
      </c>
      <c r="O13" s="12"/>
      <c r="P13" s="12"/>
      <c r="Q13" t="str">
        <f>"[0.084]"</f>
        <v>[0.084]</v>
      </c>
      <c r="R13" t="str">
        <f>""</f>
        <v/>
      </c>
      <c r="S13" t="str">
        <f>""</f>
        <v/>
      </c>
      <c r="T13" t="str">
        <f>""</f>
        <v/>
      </c>
      <c r="U13" t="str">
        <f>""</f>
        <v/>
      </c>
      <c r="V13" t="str">
        <f>""</f>
        <v/>
      </c>
      <c r="W13" t="str">
        <f>""</f>
        <v/>
      </c>
      <c r="X13" t="str">
        <f>""</f>
        <v/>
      </c>
      <c r="Y13" t="str">
        <f>""</f>
        <v/>
      </c>
      <c r="Z13" t="str">
        <f>""</f>
        <v/>
      </c>
    </row>
    <row r="14" spans="2:26" x14ac:dyDescent="0.2">
      <c r="B14" s="11" t="str">
        <f>"Theft of crops (yes=1) for a household in a given year"</f>
        <v>Theft of crops (yes=1) for a household in a given year</v>
      </c>
      <c r="C14" s="12"/>
      <c r="D14" s="12"/>
      <c r="E14" s="30" t="str">
        <f>""</f>
        <v/>
      </c>
      <c r="F14" s="30" t="str">
        <f>"-0.036"</f>
        <v>-0.036</v>
      </c>
      <c r="G14" s="30" t="str">
        <f>""</f>
        <v/>
      </c>
      <c r="H14" s="30" t="str">
        <f>""</f>
        <v/>
      </c>
      <c r="I14" s="30" t="str">
        <f>""</f>
        <v/>
      </c>
      <c r="J14" s="30" t="str">
        <f>""</f>
        <v/>
      </c>
      <c r="K14" s="30" t="str">
        <f>""</f>
        <v/>
      </c>
      <c r="L14" s="30" t="str">
        <f>""</f>
        <v/>
      </c>
      <c r="M14" s="30" t="str">
        <f>""</f>
        <v/>
      </c>
      <c r="N14" s="31" t="str">
        <f>""</f>
        <v/>
      </c>
      <c r="O14" s="12"/>
      <c r="P14" s="12"/>
      <c r="Q14" t="str">
        <f>""</f>
        <v/>
      </c>
      <c r="R14" t="str">
        <f>"-0.011"</f>
        <v>-0.011</v>
      </c>
      <c r="S14" t="str">
        <f>""</f>
        <v/>
      </c>
      <c r="T14" t="str">
        <f>""</f>
        <v/>
      </c>
      <c r="U14" t="str">
        <f>""</f>
        <v/>
      </c>
      <c r="V14" t="str">
        <f>""</f>
        <v/>
      </c>
      <c r="W14" t="str">
        <f>""</f>
        <v/>
      </c>
      <c r="X14" t="str">
        <f>""</f>
        <v/>
      </c>
      <c r="Y14" t="str">
        <f>""</f>
        <v/>
      </c>
      <c r="Z14" t="str">
        <f>""</f>
        <v/>
      </c>
    </row>
    <row r="15" spans="2:26" x14ac:dyDescent="0.2">
      <c r="B15" s="11" t="str">
        <f>""</f>
        <v/>
      </c>
      <c r="C15" s="12"/>
      <c r="D15" s="12"/>
      <c r="E15" s="30" t="str">
        <f>""</f>
        <v/>
      </c>
      <c r="F15" s="30" t="str">
        <f>"[0.032]"</f>
        <v>[0.032]</v>
      </c>
      <c r="G15" s="30" t="str">
        <f>""</f>
        <v/>
      </c>
      <c r="H15" s="30" t="str">
        <f>""</f>
        <v/>
      </c>
      <c r="I15" s="30" t="str">
        <f>""</f>
        <v/>
      </c>
      <c r="J15" s="30" t="str">
        <f>""</f>
        <v/>
      </c>
      <c r="K15" s="30" t="str">
        <f>""</f>
        <v/>
      </c>
      <c r="L15" s="30" t="str">
        <f>""</f>
        <v/>
      </c>
      <c r="M15" s="30" t="str">
        <f>""</f>
        <v/>
      </c>
      <c r="N15" s="31" t="str">
        <f>""</f>
        <v/>
      </c>
      <c r="O15" s="12"/>
      <c r="P15" s="12"/>
      <c r="Q15" t="str">
        <f>""</f>
        <v/>
      </c>
      <c r="R15" t="str">
        <f>"[0.034]"</f>
        <v>[0.034]</v>
      </c>
      <c r="S15" t="str">
        <f>""</f>
        <v/>
      </c>
      <c r="T15" t="str">
        <f>""</f>
        <v/>
      </c>
      <c r="U15" t="str">
        <f>""</f>
        <v/>
      </c>
      <c r="V15" t="str">
        <f>""</f>
        <v/>
      </c>
      <c r="W15" t="str">
        <f>""</f>
        <v/>
      </c>
      <c r="X15" t="str">
        <f>""</f>
        <v/>
      </c>
      <c r="Y15" t="str">
        <f>""</f>
        <v/>
      </c>
      <c r="Z15" t="str">
        <f>""</f>
        <v/>
      </c>
    </row>
    <row r="16" spans="2:26" x14ac:dyDescent="0.2">
      <c r="B16" s="13" t="str">
        <f>"Theft of money (yes=1) for a household in a given year"</f>
        <v>Theft of money (yes=1) for a household in a given year</v>
      </c>
      <c r="C16" s="14"/>
      <c r="D16" s="14"/>
      <c r="E16" s="30" t="str">
        <f>""</f>
        <v/>
      </c>
      <c r="F16" s="30" t="str">
        <f>""</f>
        <v/>
      </c>
      <c r="G16" s="30" t="str">
        <f>"-0.061"</f>
        <v>-0.061</v>
      </c>
      <c r="H16" s="30" t="str">
        <f>""</f>
        <v/>
      </c>
      <c r="I16" s="30" t="str">
        <f>""</f>
        <v/>
      </c>
      <c r="J16" s="30" t="str">
        <f>""</f>
        <v/>
      </c>
      <c r="K16" s="30" t="str">
        <f>""</f>
        <v/>
      </c>
      <c r="L16" s="30" t="str">
        <f>""</f>
        <v/>
      </c>
      <c r="M16" s="30" t="str">
        <f>""</f>
        <v/>
      </c>
      <c r="N16" s="31" t="str">
        <f>""</f>
        <v/>
      </c>
      <c r="O16" s="14"/>
      <c r="P16" s="14"/>
      <c r="Q16" t="str">
        <f>""</f>
        <v/>
      </c>
      <c r="R16" t="str">
        <f>""</f>
        <v/>
      </c>
      <c r="S16" t="str">
        <f>"-0.080*"</f>
        <v>-0.080*</v>
      </c>
      <c r="T16" t="str">
        <f>""</f>
        <v/>
      </c>
      <c r="U16" t="str">
        <f>""</f>
        <v/>
      </c>
      <c r="V16" t="str">
        <f>""</f>
        <v/>
      </c>
      <c r="W16" t="str">
        <f>""</f>
        <v/>
      </c>
      <c r="X16" t="str">
        <f>""</f>
        <v/>
      </c>
      <c r="Y16" t="str">
        <f>""</f>
        <v/>
      </c>
      <c r="Z16" t="str">
        <f>""</f>
        <v/>
      </c>
    </row>
    <row r="17" spans="2:26" x14ac:dyDescent="0.2">
      <c r="B17" s="11" t="str">
        <f>""</f>
        <v/>
      </c>
      <c r="C17" s="12"/>
      <c r="D17" s="12"/>
      <c r="E17" s="30" t="str">
        <f>""</f>
        <v/>
      </c>
      <c r="F17" s="30" t="str">
        <f>""</f>
        <v/>
      </c>
      <c r="G17" s="30" t="str">
        <f>"[0.049]"</f>
        <v>[0.049]</v>
      </c>
      <c r="H17" s="30" t="str">
        <f>""</f>
        <v/>
      </c>
      <c r="I17" s="30" t="str">
        <f>""</f>
        <v/>
      </c>
      <c r="J17" s="30" t="str">
        <f>""</f>
        <v/>
      </c>
      <c r="K17" s="30" t="str">
        <f>""</f>
        <v/>
      </c>
      <c r="L17" s="30" t="str">
        <f>""</f>
        <v/>
      </c>
      <c r="M17" s="30" t="str">
        <f>""</f>
        <v/>
      </c>
      <c r="N17" s="31" t="str">
        <f>""</f>
        <v/>
      </c>
      <c r="O17" s="12"/>
      <c r="P17" s="12"/>
      <c r="Q17" t="str">
        <f>""</f>
        <v/>
      </c>
      <c r="R17" t="str">
        <f>""</f>
        <v/>
      </c>
      <c r="S17" t="str">
        <f>"[0.044]"</f>
        <v>[0.044]</v>
      </c>
      <c r="T17" t="str">
        <f>""</f>
        <v/>
      </c>
      <c r="U17" t="str">
        <f>""</f>
        <v/>
      </c>
      <c r="V17" t="str">
        <f>""</f>
        <v/>
      </c>
      <c r="W17" t="str">
        <f>""</f>
        <v/>
      </c>
      <c r="X17" t="str">
        <f>""</f>
        <v/>
      </c>
      <c r="Y17" t="str">
        <f>""</f>
        <v/>
      </c>
      <c r="Z17" t="str">
        <f>""</f>
        <v/>
      </c>
    </row>
    <row r="18" spans="2:26" x14ac:dyDescent="0.2">
      <c r="B18" s="11" t="str">
        <f>"Theft or destruction of goods (yes=1) for a household in a given year"</f>
        <v>Theft or destruction of goods (yes=1) for a household in a given year</v>
      </c>
      <c r="C18" s="12"/>
      <c r="D18" s="12"/>
      <c r="E18" s="30" t="str">
        <f>""</f>
        <v/>
      </c>
      <c r="F18" s="30" t="str">
        <f>""</f>
        <v/>
      </c>
      <c r="G18" s="30" t="str">
        <f>""</f>
        <v/>
      </c>
      <c r="H18" s="30" t="str">
        <f>"-0.100*"</f>
        <v>-0.100*</v>
      </c>
      <c r="I18" s="30" t="str">
        <f>""</f>
        <v/>
      </c>
      <c r="J18" s="30" t="str">
        <f>""</f>
        <v/>
      </c>
      <c r="K18" s="30" t="str">
        <f>""</f>
        <v/>
      </c>
      <c r="L18" s="30" t="str">
        <f>""</f>
        <v/>
      </c>
      <c r="M18" s="30" t="str">
        <f>""</f>
        <v/>
      </c>
      <c r="N18" s="31" t="str">
        <f>""</f>
        <v/>
      </c>
      <c r="O18" s="12"/>
      <c r="P18" s="12"/>
      <c r="Q18" t="str">
        <f>""</f>
        <v/>
      </c>
      <c r="R18" t="str">
        <f>""</f>
        <v/>
      </c>
      <c r="S18" t="str">
        <f>""</f>
        <v/>
      </c>
      <c r="T18" t="str">
        <f>"-0.073"</f>
        <v>-0.073</v>
      </c>
      <c r="U18" t="str">
        <f>""</f>
        <v/>
      </c>
      <c r="V18" t="str">
        <f>""</f>
        <v/>
      </c>
      <c r="W18" t="str">
        <f>""</f>
        <v/>
      </c>
      <c r="X18" t="str">
        <f>""</f>
        <v/>
      </c>
      <c r="Y18" t="str">
        <f>""</f>
        <v/>
      </c>
      <c r="Z18" t="str">
        <f>""</f>
        <v/>
      </c>
    </row>
    <row r="19" spans="2:26" x14ac:dyDescent="0.2">
      <c r="B19" s="11"/>
      <c r="C19" s="12"/>
      <c r="D19" s="12"/>
      <c r="E19" s="30" t="str">
        <f>""</f>
        <v/>
      </c>
      <c r="F19" s="30" t="str">
        <f>""</f>
        <v/>
      </c>
      <c r="G19" s="30" t="str">
        <f>""</f>
        <v/>
      </c>
      <c r="H19" s="30" t="str">
        <f>"[0.053]"</f>
        <v>[0.053]</v>
      </c>
      <c r="I19" s="30" t="str">
        <f>""</f>
        <v/>
      </c>
      <c r="J19" s="30" t="str">
        <f>""</f>
        <v/>
      </c>
      <c r="K19" s="30" t="str">
        <f>""</f>
        <v/>
      </c>
      <c r="L19" s="30" t="str">
        <f>""</f>
        <v/>
      </c>
      <c r="M19" s="30" t="str">
        <f>""</f>
        <v/>
      </c>
      <c r="N19" s="31" t="str">
        <f>""</f>
        <v/>
      </c>
      <c r="O19" s="12"/>
      <c r="P19" s="12"/>
      <c r="Q19" t="str">
        <f>""</f>
        <v/>
      </c>
      <c r="R19" t="str">
        <f>""</f>
        <v/>
      </c>
      <c r="S19" t="str">
        <f>""</f>
        <v/>
      </c>
      <c r="T19" t="str">
        <f>"[0.051]"</f>
        <v>[0.051]</v>
      </c>
      <c r="U19" t="str">
        <f>""</f>
        <v/>
      </c>
      <c r="V19" t="str">
        <f>""</f>
        <v/>
      </c>
      <c r="W19" t="str">
        <f>""</f>
        <v/>
      </c>
      <c r="X19" t="str">
        <f>""</f>
        <v/>
      </c>
      <c r="Y19" t="str">
        <f>""</f>
        <v/>
      </c>
      <c r="Z19" t="str">
        <f>""</f>
        <v/>
      </c>
    </row>
    <row r="20" spans="2:26" x14ac:dyDescent="0.2">
      <c r="B20" s="11" t="str">
        <f>"Destruction of house (yes=1) for a household in a given year"</f>
        <v>Destruction of house (yes=1) for a household in a given year</v>
      </c>
      <c r="C20" s="12"/>
      <c r="D20" s="12"/>
      <c r="E20" s="30" t="str">
        <f>""</f>
        <v/>
      </c>
      <c r="F20" s="30" t="str">
        <f>""</f>
        <v/>
      </c>
      <c r="G20" s="30" t="str">
        <f>""</f>
        <v/>
      </c>
      <c r="H20" s="30" t="str">
        <f>""</f>
        <v/>
      </c>
      <c r="I20" s="30" t="str">
        <f>"-0.095"</f>
        <v>-0.095</v>
      </c>
      <c r="J20" s="30" t="str">
        <f>""</f>
        <v/>
      </c>
      <c r="K20" s="30" t="str">
        <f>""</f>
        <v/>
      </c>
      <c r="L20" s="30" t="str">
        <f>""</f>
        <v/>
      </c>
      <c r="M20" s="30" t="str">
        <f>""</f>
        <v/>
      </c>
      <c r="N20" s="31" t="str">
        <f>""</f>
        <v/>
      </c>
      <c r="O20" s="12"/>
      <c r="P20" s="12"/>
      <c r="Q20" t="str">
        <f>""</f>
        <v/>
      </c>
      <c r="R20" t="str">
        <f>""</f>
        <v/>
      </c>
      <c r="S20" t="str">
        <f>""</f>
        <v/>
      </c>
      <c r="T20" t="str">
        <f>""</f>
        <v/>
      </c>
      <c r="U20" t="str">
        <f>"-0.069"</f>
        <v>-0.069</v>
      </c>
      <c r="V20" t="str">
        <f>""</f>
        <v/>
      </c>
      <c r="W20" t="str">
        <f>""</f>
        <v/>
      </c>
      <c r="X20" t="str">
        <f>""</f>
        <v/>
      </c>
      <c r="Y20" t="str">
        <f>""</f>
        <v/>
      </c>
      <c r="Z20" t="str">
        <f>""</f>
        <v/>
      </c>
    </row>
    <row r="21" spans="2:26" x14ac:dyDescent="0.2">
      <c r="B21" s="11"/>
      <c r="C21" s="12"/>
      <c r="D21" s="12"/>
      <c r="E21" s="30" t="str">
        <f>""</f>
        <v/>
      </c>
      <c r="F21" s="30" t="str">
        <f>""</f>
        <v/>
      </c>
      <c r="G21" s="30" t="str">
        <f>""</f>
        <v/>
      </c>
      <c r="H21" s="30" t="str">
        <f>""</f>
        <v/>
      </c>
      <c r="I21" s="30" t="str">
        <f>"[0.091]"</f>
        <v>[0.091]</v>
      </c>
      <c r="J21" s="30" t="str">
        <f>""</f>
        <v/>
      </c>
      <c r="K21" s="30" t="str">
        <f>""</f>
        <v/>
      </c>
      <c r="L21" s="30" t="str">
        <f>""</f>
        <v/>
      </c>
      <c r="M21" s="30" t="str">
        <f>""</f>
        <v/>
      </c>
      <c r="N21" s="31" t="str">
        <f>""</f>
        <v/>
      </c>
      <c r="O21" s="12"/>
      <c r="P21" s="12"/>
      <c r="Q21" t="str">
        <f>""</f>
        <v/>
      </c>
      <c r="R21" t="str">
        <f>""</f>
        <v/>
      </c>
      <c r="S21" t="str">
        <f>""</f>
        <v/>
      </c>
      <c r="T21" t="str">
        <f>""</f>
        <v/>
      </c>
      <c r="U21" t="str">
        <f>"[0.086]"</f>
        <v>[0.086]</v>
      </c>
      <c r="V21" t="str">
        <f>""</f>
        <v/>
      </c>
      <c r="W21" t="str">
        <f>""</f>
        <v/>
      </c>
      <c r="X21" t="str">
        <f>""</f>
        <v/>
      </c>
      <c r="Y21" t="str">
        <f>""</f>
        <v/>
      </c>
      <c r="Z21" t="str">
        <f>""</f>
        <v/>
      </c>
    </row>
    <row r="22" spans="2:26" x14ac:dyDescent="0.2">
      <c r="B22" s="15" t="s">
        <v>17</v>
      </c>
      <c r="C22" s="12"/>
      <c r="D22" s="12"/>
      <c r="E22" s="30" t="str">
        <f>""</f>
        <v/>
      </c>
      <c r="F22" s="30" t="str">
        <f>""</f>
        <v/>
      </c>
      <c r="G22" s="30" t="str">
        <f>""</f>
        <v/>
      </c>
      <c r="H22" s="30" t="str">
        <f>""</f>
        <v/>
      </c>
      <c r="I22" s="30" t="str">
        <f>""</f>
        <v/>
      </c>
      <c r="J22" s="30" t="str">
        <f>"-0.013*"</f>
        <v>-0.013*</v>
      </c>
      <c r="K22" s="30" t="str">
        <f>""</f>
        <v/>
      </c>
      <c r="L22" s="30" t="str">
        <f>""</f>
        <v/>
      </c>
      <c r="M22" s="30" t="str">
        <f>""</f>
        <v/>
      </c>
      <c r="N22" s="31" t="str">
        <f>""</f>
        <v/>
      </c>
      <c r="O22" s="12"/>
      <c r="P22" s="12"/>
      <c r="Q22" t="str">
        <f>""</f>
        <v/>
      </c>
      <c r="R22" t="str">
        <f>""</f>
        <v/>
      </c>
      <c r="S22" t="str">
        <f>""</f>
        <v/>
      </c>
      <c r="T22" t="str">
        <f>""</f>
        <v/>
      </c>
      <c r="U22" t="str">
        <f>""</f>
        <v/>
      </c>
      <c r="V22" t="str">
        <f>"-0.011*"</f>
        <v>-0.011*</v>
      </c>
      <c r="W22" t="str">
        <f>""</f>
        <v/>
      </c>
      <c r="X22" t="str">
        <f>""</f>
        <v/>
      </c>
      <c r="Y22" t="str">
        <f>""</f>
        <v/>
      </c>
      <c r="Z22" t="str">
        <f>""</f>
        <v/>
      </c>
    </row>
    <row r="23" spans="2:26" x14ac:dyDescent="0.2">
      <c r="C23" s="12"/>
      <c r="D23" s="12"/>
      <c r="E23" s="30" t="str">
        <f>""</f>
        <v/>
      </c>
      <c r="F23" s="30" t="str">
        <f>""</f>
        <v/>
      </c>
      <c r="G23" s="30" t="str">
        <f>""</f>
        <v/>
      </c>
      <c r="H23" s="30" t="str">
        <f>""</f>
        <v/>
      </c>
      <c r="I23" s="30" t="str">
        <f>""</f>
        <v/>
      </c>
      <c r="J23" s="30" t="str">
        <f>"[0.007]"</f>
        <v>[0.007]</v>
      </c>
      <c r="K23" s="30" t="str">
        <f>""</f>
        <v/>
      </c>
      <c r="L23" s="30" t="str">
        <f>""</f>
        <v/>
      </c>
      <c r="M23" s="30" t="str">
        <f>""</f>
        <v/>
      </c>
      <c r="N23" s="31" t="str">
        <f>""</f>
        <v/>
      </c>
      <c r="O23" s="12"/>
      <c r="P23" s="12"/>
      <c r="Q23" t="str">
        <f>""</f>
        <v/>
      </c>
      <c r="R23" t="str">
        <f>""</f>
        <v/>
      </c>
      <c r="S23" t="str">
        <f>""</f>
        <v/>
      </c>
      <c r="T23" t="str">
        <f>""</f>
        <v/>
      </c>
      <c r="U23" t="str">
        <f>""</f>
        <v/>
      </c>
      <c r="V23" t="str">
        <f>"[0.006]"</f>
        <v>[0.006]</v>
      </c>
      <c r="W23" t="str">
        <f>""</f>
        <v/>
      </c>
      <c r="X23" t="str">
        <f>""</f>
        <v/>
      </c>
      <c r="Y23" t="str">
        <f>""</f>
        <v/>
      </c>
      <c r="Z23" t="str">
        <f>""</f>
        <v/>
      </c>
    </row>
    <row r="24" spans="2:26" x14ac:dyDescent="0.2">
      <c r="B24" s="15" t="s">
        <v>18</v>
      </c>
      <c r="C24" s="12"/>
      <c r="D24" s="12"/>
      <c r="E24" s="30" t="str">
        <f>""</f>
        <v/>
      </c>
      <c r="F24" s="30" t="str">
        <f>""</f>
        <v/>
      </c>
      <c r="G24" s="30" t="str">
        <f>""</f>
        <v/>
      </c>
      <c r="H24" s="30" t="str">
        <f>""</f>
        <v/>
      </c>
      <c r="I24" s="30" t="str">
        <f>""</f>
        <v/>
      </c>
      <c r="J24" s="30" t="str">
        <f>""</f>
        <v/>
      </c>
      <c r="K24" s="30" t="str">
        <f>"-0.005"</f>
        <v>-0.005</v>
      </c>
      <c r="L24" s="30" t="str">
        <f>""</f>
        <v/>
      </c>
      <c r="M24" s="30" t="str">
        <f>""</f>
        <v/>
      </c>
      <c r="N24" s="31" t="str">
        <f>""</f>
        <v/>
      </c>
      <c r="O24" s="12"/>
      <c r="P24" s="12"/>
      <c r="Q24" t="str">
        <f>""</f>
        <v/>
      </c>
      <c r="R24" t="str">
        <f>""</f>
        <v/>
      </c>
      <c r="S24" t="str">
        <f>""</f>
        <v/>
      </c>
      <c r="T24" t="str">
        <f>""</f>
        <v/>
      </c>
      <c r="U24" t="str">
        <f>""</f>
        <v/>
      </c>
      <c r="V24" t="str">
        <f>""</f>
        <v/>
      </c>
      <c r="W24" t="str">
        <f>"-0.004"</f>
        <v>-0.004</v>
      </c>
      <c r="X24" t="str">
        <f>""</f>
        <v/>
      </c>
      <c r="Y24" t="str">
        <f>""</f>
        <v/>
      </c>
      <c r="Z24" t="str">
        <f>""</f>
        <v/>
      </c>
    </row>
    <row r="25" spans="2:26" x14ac:dyDescent="0.2">
      <c r="C25" s="12"/>
      <c r="D25" s="12"/>
      <c r="E25" s="30" t="str">
        <f>""</f>
        <v/>
      </c>
      <c r="F25" s="30" t="str">
        <f>""</f>
        <v/>
      </c>
      <c r="G25" s="30" t="str">
        <f>""</f>
        <v/>
      </c>
      <c r="H25" s="30" t="str">
        <f>""</f>
        <v/>
      </c>
      <c r="I25" s="30" t="str">
        <f>""</f>
        <v/>
      </c>
      <c r="J25" s="30" t="str">
        <f>""</f>
        <v/>
      </c>
      <c r="K25" s="30" t="str">
        <f>"[0.009]"</f>
        <v>[0.009]</v>
      </c>
      <c r="L25" s="30" t="str">
        <f>""</f>
        <v/>
      </c>
      <c r="M25" s="30" t="str">
        <f>""</f>
        <v/>
      </c>
      <c r="N25" s="31" t="str">
        <f>""</f>
        <v/>
      </c>
      <c r="O25" s="12"/>
      <c r="P25" s="12"/>
      <c r="Q25" t="str">
        <f>""</f>
        <v/>
      </c>
      <c r="R25" t="str">
        <f>""</f>
        <v/>
      </c>
      <c r="S25" t="str">
        <f>""</f>
        <v/>
      </c>
      <c r="T25" t="str">
        <f>""</f>
        <v/>
      </c>
      <c r="U25" t="str">
        <f>""</f>
        <v/>
      </c>
      <c r="V25" t="str">
        <f>""</f>
        <v/>
      </c>
      <c r="W25" t="str">
        <f>"[0.010]"</f>
        <v>[0.010]</v>
      </c>
      <c r="X25" t="str">
        <f>""</f>
        <v/>
      </c>
      <c r="Y25" t="str">
        <f>""</f>
        <v/>
      </c>
      <c r="Z25" t="str">
        <f>""</f>
        <v/>
      </c>
    </row>
    <row r="26" spans="2:26" x14ac:dyDescent="0.2">
      <c r="B26" s="15" t="s">
        <v>19</v>
      </c>
      <c r="C26" s="12"/>
      <c r="D26" s="12"/>
      <c r="E26" s="30" t="str">
        <f>""</f>
        <v/>
      </c>
      <c r="F26" s="30" t="str">
        <f>""</f>
        <v/>
      </c>
      <c r="G26" s="30" t="str">
        <f>""</f>
        <v/>
      </c>
      <c r="H26" s="30" t="str">
        <f>""</f>
        <v/>
      </c>
      <c r="I26" s="30" t="str">
        <f>""</f>
        <v/>
      </c>
      <c r="J26" s="30" t="str">
        <f>""</f>
        <v/>
      </c>
      <c r="K26" s="30" t="str">
        <f>""</f>
        <v/>
      </c>
      <c r="L26" s="30" t="str">
        <f>"-0.015*"</f>
        <v>-0.015*</v>
      </c>
      <c r="M26" s="30" t="str">
        <f>""</f>
        <v/>
      </c>
      <c r="N26" s="31" t="str">
        <f>""</f>
        <v/>
      </c>
      <c r="O26" s="12"/>
      <c r="P26" s="12"/>
      <c r="Q26" t="str">
        <f>""</f>
        <v/>
      </c>
      <c r="R26" t="str">
        <f>""</f>
        <v/>
      </c>
      <c r="S26" t="str">
        <f>""</f>
        <v/>
      </c>
      <c r="T26" t="str">
        <f>""</f>
        <v/>
      </c>
      <c r="U26" t="str">
        <f>""</f>
        <v/>
      </c>
      <c r="V26" t="str">
        <f>""</f>
        <v/>
      </c>
      <c r="W26" t="str">
        <f>""</f>
        <v/>
      </c>
      <c r="X26" t="str">
        <f>"-0.014*"</f>
        <v>-0.014*</v>
      </c>
      <c r="Y26" t="str">
        <f>""</f>
        <v/>
      </c>
      <c r="Z26" t="str">
        <f>""</f>
        <v/>
      </c>
    </row>
    <row r="27" spans="2:26" x14ac:dyDescent="0.2">
      <c r="B27" s="15"/>
      <c r="C27" s="12"/>
      <c r="D27" s="12"/>
      <c r="E27" s="30" t="str">
        <f>""</f>
        <v/>
      </c>
      <c r="F27" s="30" t="str">
        <f>""</f>
        <v/>
      </c>
      <c r="G27" s="30" t="str">
        <f>""</f>
        <v/>
      </c>
      <c r="H27" s="30" t="str">
        <f>""</f>
        <v/>
      </c>
      <c r="I27" s="30" t="str">
        <f>""</f>
        <v/>
      </c>
      <c r="J27" s="30" t="str">
        <f>""</f>
        <v/>
      </c>
      <c r="K27" s="30" t="str">
        <f>""</f>
        <v/>
      </c>
      <c r="L27" s="30" t="str">
        <f>"[0.008]"</f>
        <v>[0.008]</v>
      </c>
      <c r="M27" s="30" t="str">
        <f>""</f>
        <v/>
      </c>
      <c r="N27" s="31" t="str">
        <f>""</f>
        <v/>
      </c>
      <c r="O27" s="12"/>
      <c r="P27" s="12"/>
      <c r="Q27" t="str">
        <f>""</f>
        <v/>
      </c>
      <c r="R27" t="str">
        <f>""</f>
        <v/>
      </c>
      <c r="S27" t="str">
        <f>""</f>
        <v/>
      </c>
      <c r="T27" t="str">
        <f>""</f>
        <v/>
      </c>
      <c r="U27" t="str">
        <f>""</f>
        <v/>
      </c>
      <c r="V27" t="str">
        <f>""</f>
        <v/>
      </c>
      <c r="W27" t="str">
        <f>""</f>
        <v/>
      </c>
      <c r="X27" t="str">
        <f>"[0.007]"</f>
        <v>[0.007]</v>
      </c>
      <c r="Y27" t="str">
        <f>""</f>
        <v/>
      </c>
      <c r="Z27" t="str">
        <f>""</f>
        <v/>
      </c>
    </row>
    <row r="28" spans="2:26" x14ac:dyDescent="0.2">
      <c r="B28" s="15" t="s">
        <v>20</v>
      </c>
      <c r="C28" s="12"/>
      <c r="D28" s="12"/>
      <c r="E28" s="30" t="str">
        <f>""</f>
        <v/>
      </c>
      <c r="F28" s="30" t="str">
        <f>""</f>
        <v/>
      </c>
      <c r="G28" s="30" t="str">
        <f>""</f>
        <v/>
      </c>
      <c r="H28" s="30" t="str">
        <f>""</f>
        <v/>
      </c>
      <c r="I28" s="30" t="str">
        <f>""</f>
        <v/>
      </c>
      <c r="J28" s="30" t="str">
        <f>""</f>
        <v/>
      </c>
      <c r="K28" s="30" t="str">
        <f>""</f>
        <v/>
      </c>
      <c r="L28" s="30" t="str">
        <f>""</f>
        <v/>
      </c>
      <c r="M28" s="30" t="str">
        <f>"-0.024"</f>
        <v>-0.024</v>
      </c>
      <c r="N28" s="31" t="str">
        <f>""</f>
        <v/>
      </c>
      <c r="O28" s="12"/>
      <c r="P28" s="12"/>
      <c r="Q28" t="str">
        <f>""</f>
        <v/>
      </c>
      <c r="R28" t="str">
        <f>""</f>
        <v/>
      </c>
      <c r="S28" t="str">
        <f>""</f>
        <v/>
      </c>
      <c r="T28" t="str">
        <f>""</f>
        <v/>
      </c>
      <c r="U28" t="str">
        <f>""</f>
        <v/>
      </c>
      <c r="V28" t="str">
        <f>""</f>
        <v/>
      </c>
      <c r="W28" t="str">
        <f>""</f>
        <v/>
      </c>
      <c r="X28" t="str">
        <f>""</f>
        <v/>
      </c>
      <c r="Y28" t="str">
        <f>"-0.015"</f>
        <v>-0.015</v>
      </c>
      <c r="Z28" t="str">
        <f>""</f>
        <v/>
      </c>
    </row>
    <row r="29" spans="2:26" x14ac:dyDescent="0.2">
      <c r="C29" s="12"/>
      <c r="D29" s="12"/>
      <c r="E29" s="30" t="str">
        <f>""</f>
        <v/>
      </c>
      <c r="F29" s="30" t="str">
        <f>""</f>
        <v/>
      </c>
      <c r="G29" s="30" t="str">
        <f>""</f>
        <v/>
      </c>
      <c r="H29" s="30" t="str">
        <f>""</f>
        <v/>
      </c>
      <c r="I29" s="30" t="str">
        <f>""</f>
        <v/>
      </c>
      <c r="J29" s="30" t="str">
        <f>""</f>
        <v/>
      </c>
      <c r="K29" s="30" t="str">
        <f>""</f>
        <v/>
      </c>
      <c r="L29" s="30" t="str">
        <f>""</f>
        <v/>
      </c>
      <c r="M29" s="30" t="str">
        <f>"[0.032]"</f>
        <v>[0.032]</v>
      </c>
      <c r="N29" s="31" t="str">
        <f>""</f>
        <v/>
      </c>
      <c r="O29" s="12"/>
      <c r="P29" s="12"/>
      <c r="Q29" t="str">
        <f>""</f>
        <v/>
      </c>
      <c r="R29" t="str">
        <f>""</f>
        <v/>
      </c>
      <c r="S29" t="str">
        <f>""</f>
        <v/>
      </c>
      <c r="T29" t="str">
        <f>""</f>
        <v/>
      </c>
      <c r="U29" t="str">
        <f>""</f>
        <v/>
      </c>
      <c r="V29" t="str">
        <f>""</f>
        <v/>
      </c>
      <c r="W29" t="str">
        <f>""</f>
        <v/>
      </c>
      <c r="X29" t="str">
        <f>""</f>
        <v/>
      </c>
      <c r="Y29" t="str">
        <f>"[0.036]"</f>
        <v>[0.036]</v>
      </c>
      <c r="Z29" t="str">
        <f>""</f>
        <v/>
      </c>
    </row>
    <row r="30" spans="2:26" x14ac:dyDescent="0.2">
      <c r="B30" s="15" t="s">
        <v>21</v>
      </c>
      <c r="C30" s="12"/>
      <c r="D30" s="12"/>
      <c r="E30" s="30" t="str">
        <f>""</f>
        <v/>
      </c>
      <c r="F30" s="30" t="str">
        <f>""</f>
        <v/>
      </c>
      <c r="G30" s="30" t="str">
        <f>""</f>
        <v/>
      </c>
      <c r="H30" s="30" t="str">
        <f>""</f>
        <v/>
      </c>
      <c r="I30" s="30" t="str">
        <f>""</f>
        <v/>
      </c>
      <c r="J30" s="30" t="str">
        <f>""</f>
        <v/>
      </c>
      <c r="K30" s="30" t="str">
        <f>""</f>
        <v/>
      </c>
      <c r="L30" s="30" t="str">
        <f>""</f>
        <v/>
      </c>
      <c r="M30" s="30" t="str">
        <f>""</f>
        <v/>
      </c>
      <c r="N30" s="31" t="str">
        <f>"-0.052*"</f>
        <v>-0.052*</v>
      </c>
      <c r="O30" s="12"/>
      <c r="P30" s="12"/>
      <c r="Q30" t="str">
        <f>""</f>
        <v/>
      </c>
      <c r="R30" t="str">
        <f>""</f>
        <v/>
      </c>
      <c r="S30" t="str">
        <f>""</f>
        <v/>
      </c>
      <c r="T30" t="str">
        <f>""</f>
        <v/>
      </c>
      <c r="U30" t="str">
        <f>""</f>
        <v/>
      </c>
      <c r="V30" t="str">
        <f>""</f>
        <v/>
      </c>
      <c r="W30" t="str">
        <f>""</f>
        <v/>
      </c>
      <c r="X30" t="str">
        <f>""</f>
        <v/>
      </c>
      <c r="Y30" t="str">
        <f>""</f>
        <v/>
      </c>
      <c r="Z30" t="str">
        <f>"-0.047**"</f>
        <v>-0.047**</v>
      </c>
    </row>
    <row r="31" spans="2:26" x14ac:dyDescent="0.2">
      <c r="C31" s="12"/>
      <c r="D31" s="12"/>
      <c r="E31" s="30" t="str">
        <f>""</f>
        <v/>
      </c>
      <c r="F31" s="30" t="str">
        <f>""</f>
        <v/>
      </c>
      <c r="G31" s="30" t="str">
        <f>""</f>
        <v/>
      </c>
      <c r="H31" s="30" t="str">
        <f>""</f>
        <v/>
      </c>
      <c r="I31" s="30" t="str">
        <f>""</f>
        <v/>
      </c>
      <c r="J31" s="30" t="str">
        <f>""</f>
        <v/>
      </c>
      <c r="K31" s="30" t="str">
        <f>""</f>
        <v/>
      </c>
      <c r="L31" s="30" t="str">
        <f>""</f>
        <v/>
      </c>
      <c r="M31" s="30" t="str">
        <f>""</f>
        <v/>
      </c>
      <c r="N31" s="31" t="str">
        <f>"[0.027]"</f>
        <v>[0.027]</v>
      </c>
      <c r="O31" s="12"/>
      <c r="P31" s="12"/>
      <c r="Q31" t="str">
        <f>""</f>
        <v/>
      </c>
      <c r="R31" t="str">
        <f>""</f>
        <v/>
      </c>
      <c r="S31" t="str">
        <f>""</f>
        <v/>
      </c>
      <c r="T31" t="str">
        <f>""</f>
        <v/>
      </c>
      <c r="U31" t="str">
        <f>""</f>
        <v/>
      </c>
      <c r="V31" t="str">
        <f>""</f>
        <v/>
      </c>
      <c r="W31" t="str">
        <f>""</f>
        <v/>
      </c>
      <c r="X31" t="str">
        <f>""</f>
        <v/>
      </c>
      <c r="Y31" t="str">
        <f>""</f>
        <v/>
      </c>
      <c r="Z31" t="str">
        <f>"[0.024]"</f>
        <v>[0.024]</v>
      </c>
    </row>
    <row r="32" spans="2:26" x14ac:dyDescent="0.2">
      <c r="B32" s="16" t="s">
        <v>22</v>
      </c>
      <c r="C32" s="17" t="str">
        <f t="shared" ref="C32:Z32" si="0">"1655"</f>
        <v>1655</v>
      </c>
      <c r="D32" s="17" t="str">
        <f t="shared" si="0"/>
        <v>1655</v>
      </c>
      <c r="E32" s="17" t="str">
        <f t="shared" si="0"/>
        <v>1655</v>
      </c>
      <c r="F32" s="17" t="str">
        <f t="shared" si="0"/>
        <v>1655</v>
      </c>
      <c r="G32" s="17" t="str">
        <f t="shared" si="0"/>
        <v>1655</v>
      </c>
      <c r="H32" s="17" t="str">
        <f t="shared" si="0"/>
        <v>1655</v>
      </c>
      <c r="I32" s="17" t="str">
        <f t="shared" si="0"/>
        <v>1655</v>
      </c>
      <c r="J32" s="17" t="str">
        <f t="shared" si="0"/>
        <v>1655</v>
      </c>
      <c r="K32" s="17" t="str">
        <f t="shared" si="0"/>
        <v>1655</v>
      </c>
      <c r="L32" s="17" t="str">
        <f t="shared" si="0"/>
        <v>1655</v>
      </c>
      <c r="M32" s="17" t="str">
        <f t="shared" si="0"/>
        <v>1655</v>
      </c>
      <c r="N32" s="33" t="str">
        <f t="shared" si="0"/>
        <v>1655</v>
      </c>
      <c r="O32" s="17" t="str">
        <f t="shared" si="0"/>
        <v>1655</v>
      </c>
      <c r="P32" s="17" t="str">
        <f t="shared" si="0"/>
        <v>1655</v>
      </c>
      <c r="Q32" s="17" t="str">
        <f t="shared" si="0"/>
        <v>1655</v>
      </c>
      <c r="R32" s="17" t="str">
        <f t="shared" si="0"/>
        <v>1655</v>
      </c>
      <c r="S32" s="17" t="str">
        <f t="shared" si="0"/>
        <v>1655</v>
      </c>
      <c r="T32" s="17" t="str">
        <f t="shared" si="0"/>
        <v>1655</v>
      </c>
      <c r="U32" s="17" t="str">
        <f t="shared" si="0"/>
        <v>1655</v>
      </c>
      <c r="V32" s="17" t="str">
        <f t="shared" si="0"/>
        <v>1655</v>
      </c>
      <c r="W32" s="17" t="str">
        <f t="shared" si="0"/>
        <v>1655</v>
      </c>
      <c r="X32" s="17" t="str">
        <f t="shared" si="0"/>
        <v>1655</v>
      </c>
      <c r="Y32" s="17" t="str">
        <f t="shared" si="0"/>
        <v>1655</v>
      </c>
      <c r="Z32" s="17" t="str">
        <f t="shared" si="0"/>
        <v>1655</v>
      </c>
    </row>
    <row r="33" spans="2:26" x14ac:dyDescent="0.2">
      <c r="B33" s="18" t="s">
        <v>23</v>
      </c>
      <c r="C33" s="19" t="str">
        <f t="shared" ref="C33:N33" si="1">"0.199"</f>
        <v>0.199</v>
      </c>
      <c r="D33" s="19" t="str">
        <f t="shared" si="1"/>
        <v>0.199</v>
      </c>
      <c r="E33" s="19" t="str">
        <f t="shared" si="1"/>
        <v>0.199</v>
      </c>
      <c r="F33" s="19" t="str">
        <f t="shared" si="1"/>
        <v>0.199</v>
      </c>
      <c r="G33" s="19" t="str">
        <f t="shared" si="1"/>
        <v>0.199</v>
      </c>
      <c r="H33" s="19" t="str">
        <f t="shared" si="1"/>
        <v>0.199</v>
      </c>
      <c r="I33" s="19" t="str">
        <f t="shared" si="1"/>
        <v>0.199</v>
      </c>
      <c r="J33" s="19" t="str">
        <f t="shared" si="1"/>
        <v>0.199</v>
      </c>
      <c r="K33" s="19" t="str">
        <f t="shared" si="1"/>
        <v>0.199</v>
      </c>
      <c r="L33" s="19" t="str">
        <f t="shared" si="1"/>
        <v>0.199</v>
      </c>
      <c r="M33" s="19" t="str">
        <f t="shared" si="1"/>
        <v>0.199</v>
      </c>
      <c r="N33" s="34" t="str">
        <f t="shared" si="1"/>
        <v>0.199</v>
      </c>
      <c r="O33" s="19" t="str">
        <f t="shared" ref="O33:Z33" si="2">"0.340"</f>
        <v>0.340</v>
      </c>
      <c r="P33" s="19" t="str">
        <f t="shared" si="2"/>
        <v>0.340</v>
      </c>
      <c r="Q33" s="19" t="str">
        <f t="shared" si="2"/>
        <v>0.340</v>
      </c>
      <c r="R33" s="19" t="str">
        <f t="shared" si="2"/>
        <v>0.340</v>
      </c>
      <c r="S33" s="19" t="str">
        <f t="shared" si="2"/>
        <v>0.340</v>
      </c>
      <c r="T33" s="19" t="str">
        <f t="shared" si="2"/>
        <v>0.340</v>
      </c>
      <c r="U33" s="19" t="str">
        <f t="shared" si="2"/>
        <v>0.340</v>
      </c>
      <c r="V33" s="19" t="str">
        <f t="shared" si="2"/>
        <v>0.340</v>
      </c>
      <c r="W33" s="19" t="str">
        <f t="shared" si="2"/>
        <v>0.340</v>
      </c>
      <c r="X33" s="19" t="str">
        <f t="shared" si="2"/>
        <v>0.340</v>
      </c>
      <c r="Y33" s="19" t="str">
        <f t="shared" si="2"/>
        <v>0.340</v>
      </c>
      <c r="Z33" s="19" t="str">
        <f t="shared" si="2"/>
        <v>0.340</v>
      </c>
    </row>
    <row r="34" spans="2:26" x14ac:dyDescent="0.2">
      <c r="B34" s="20" t="s">
        <v>24</v>
      </c>
      <c r="C34" s="21" t="s">
        <v>25</v>
      </c>
      <c r="D34" s="21" t="s">
        <v>25</v>
      </c>
      <c r="E34" s="21" t="s">
        <v>25</v>
      </c>
      <c r="F34" s="21" t="s">
        <v>25</v>
      </c>
      <c r="G34" s="21" t="s">
        <v>25</v>
      </c>
      <c r="H34" s="21" t="s">
        <v>25</v>
      </c>
      <c r="I34" s="21" t="s">
        <v>25</v>
      </c>
      <c r="J34" s="21" t="s">
        <v>25</v>
      </c>
      <c r="K34" s="21" t="s">
        <v>25</v>
      </c>
      <c r="L34" s="21" t="s">
        <v>25</v>
      </c>
      <c r="M34" s="21" t="s">
        <v>25</v>
      </c>
      <c r="N34" s="35" t="s">
        <v>25</v>
      </c>
      <c r="O34" s="21" t="s">
        <v>25</v>
      </c>
      <c r="P34" s="21" t="s">
        <v>25</v>
      </c>
      <c r="Q34" s="21" t="s">
        <v>25</v>
      </c>
      <c r="R34" s="21" t="s">
        <v>25</v>
      </c>
      <c r="S34" s="21" t="s">
        <v>25</v>
      </c>
      <c r="T34" s="21" t="s">
        <v>25</v>
      </c>
      <c r="U34" s="21" t="s">
        <v>25</v>
      </c>
      <c r="V34" s="21" t="s">
        <v>25</v>
      </c>
      <c r="W34" s="21" t="s">
        <v>25</v>
      </c>
      <c r="X34" s="21" t="s">
        <v>25</v>
      </c>
      <c r="Y34" s="21" t="s">
        <v>25</v>
      </c>
      <c r="Z34" s="21" t="s">
        <v>25</v>
      </c>
    </row>
    <row r="35" spans="2:26" x14ac:dyDescent="0.2">
      <c r="B35" s="20" t="s">
        <v>26</v>
      </c>
      <c r="C35" s="21" t="s">
        <v>25</v>
      </c>
      <c r="D35" s="21" t="s">
        <v>25</v>
      </c>
      <c r="E35" s="21" t="s">
        <v>25</v>
      </c>
      <c r="F35" s="21" t="s">
        <v>25</v>
      </c>
      <c r="G35" s="21" t="s">
        <v>25</v>
      </c>
      <c r="H35" s="21" t="s">
        <v>25</v>
      </c>
      <c r="I35" s="21" t="s">
        <v>25</v>
      </c>
      <c r="J35" s="21" t="s">
        <v>25</v>
      </c>
      <c r="K35" s="21" t="s">
        <v>25</v>
      </c>
      <c r="L35" s="21" t="s">
        <v>25</v>
      </c>
      <c r="M35" s="21" t="s">
        <v>25</v>
      </c>
      <c r="N35" s="35" t="s">
        <v>25</v>
      </c>
      <c r="O35" s="21" t="s">
        <v>25</v>
      </c>
      <c r="P35" s="21" t="s">
        <v>25</v>
      </c>
      <c r="Q35" s="21" t="s">
        <v>25</v>
      </c>
      <c r="R35" s="21" t="s">
        <v>25</v>
      </c>
      <c r="S35" s="21" t="s">
        <v>25</v>
      </c>
      <c r="T35" s="21" t="s">
        <v>25</v>
      </c>
      <c r="U35" s="21" t="s">
        <v>25</v>
      </c>
      <c r="V35" s="21" t="s">
        <v>25</v>
      </c>
      <c r="W35" s="21" t="s">
        <v>25</v>
      </c>
      <c r="X35" s="21" t="s">
        <v>25</v>
      </c>
      <c r="Y35" s="21" t="s">
        <v>25</v>
      </c>
      <c r="Z35" s="21" t="s">
        <v>25</v>
      </c>
    </row>
    <row r="36" spans="2:26" x14ac:dyDescent="0.2">
      <c r="B36" s="22" t="s">
        <v>27</v>
      </c>
      <c r="C36" s="23" t="s">
        <v>25</v>
      </c>
      <c r="D36" s="23" t="s">
        <v>25</v>
      </c>
      <c r="E36" s="23" t="s">
        <v>25</v>
      </c>
      <c r="F36" s="23" t="s">
        <v>25</v>
      </c>
      <c r="G36" s="23" t="s">
        <v>25</v>
      </c>
      <c r="H36" s="23" t="s">
        <v>25</v>
      </c>
      <c r="I36" s="23" t="s">
        <v>25</v>
      </c>
      <c r="J36" s="23" t="s">
        <v>25</v>
      </c>
      <c r="K36" s="23" t="s">
        <v>25</v>
      </c>
      <c r="L36" s="23" t="s">
        <v>25</v>
      </c>
      <c r="M36" s="23" t="s">
        <v>25</v>
      </c>
      <c r="N36" s="36" t="s">
        <v>25</v>
      </c>
      <c r="O36" s="23" t="s">
        <v>25</v>
      </c>
      <c r="P36" s="23" t="s">
        <v>25</v>
      </c>
      <c r="Q36" s="23" t="s">
        <v>25</v>
      </c>
      <c r="R36" s="23" t="s">
        <v>25</v>
      </c>
      <c r="S36" s="23" t="s">
        <v>25</v>
      </c>
      <c r="T36" s="23" t="s">
        <v>25</v>
      </c>
      <c r="U36" s="23" t="s">
        <v>25</v>
      </c>
      <c r="V36" s="23" t="s">
        <v>25</v>
      </c>
      <c r="W36" s="23" t="s">
        <v>25</v>
      </c>
      <c r="X36" s="23" t="s">
        <v>25</v>
      </c>
      <c r="Y36" s="23" t="s">
        <v>25</v>
      </c>
      <c r="Z36" s="23" t="s">
        <v>25</v>
      </c>
    </row>
    <row r="37" spans="2:26" ht="93" customHeight="1" x14ac:dyDescent="0.2">
      <c r="B37" s="75" t="s">
        <v>74</v>
      </c>
      <c r="C37" s="75"/>
      <c r="D37" s="75"/>
      <c r="E37" s="75"/>
      <c r="F37" s="75"/>
      <c r="G37" s="75"/>
      <c r="H37" s="75"/>
      <c r="I37" s="75"/>
      <c r="J37" s="75"/>
      <c r="K37" s="75"/>
      <c r="L37" s="75"/>
      <c r="M37" s="75"/>
      <c r="N37" s="75"/>
      <c r="O37" s="75"/>
      <c r="P37" s="75"/>
      <c r="Q37" s="75"/>
      <c r="R37" s="75"/>
      <c r="S37" s="75"/>
      <c r="T37" s="75"/>
      <c r="U37" s="75"/>
      <c r="V37" s="75"/>
      <c r="W37" s="75"/>
      <c r="X37" s="75"/>
      <c r="Y37" s="75"/>
      <c r="Z37" s="75"/>
    </row>
  </sheetData>
  <mergeCells count="4">
    <mergeCell ref="B37:Z37"/>
    <mergeCell ref="C3:N3"/>
    <mergeCell ref="O3:Z3"/>
    <mergeCell ref="B2:Z2"/>
  </mergeCells>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Z37"/>
  <sheetViews>
    <sheetView showGridLines="0" topLeftCell="B1" zoomScale="97" zoomScaleNormal="97" workbookViewId="0">
      <selection activeCell="B2" sqref="B2:Z2"/>
    </sheetView>
  </sheetViews>
  <sheetFormatPr baseColWidth="10" defaultColWidth="11" defaultRowHeight="16" x14ac:dyDescent="0.2"/>
  <cols>
    <col min="2" max="2" width="57.1640625" customWidth="1"/>
  </cols>
  <sheetData>
    <row r="2" spans="2:26" x14ac:dyDescent="0.2">
      <c r="B2" s="74" t="s">
        <v>114</v>
      </c>
      <c r="C2" s="74"/>
      <c r="D2" s="74"/>
      <c r="E2" s="74"/>
      <c r="F2" s="74"/>
      <c r="G2" s="74"/>
      <c r="H2" s="74"/>
      <c r="I2" s="74"/>
      <c r="J2" s="74"/>
      <c r="K2" s="74"/>
      <c r="L2" s="74"/>
      <c r="M2" s="74"/>
      <c r="N2" s="74"/>
      <c r="O2" s="74"/>
      <c r="P2" s="74"/>
      <c r="Q2" s="74"/>
      <c r="R2" s="74"/>
      <c r="S2" s="74"/>
      <c r="T2" s="74"/>
      <c r="U2" s="74"/>
      <c r="V2" s="74"/>
      <c r="W2" s="74"/>
      <c r="X2" s="74"/>
      <c r="Y2" s="74"/>
      <c r="Z2" s="74"/>
    </row>
    <row r="3" spans="2:26" x14ac:dyDescent="0.2">
      <c r="B3" s="38"/>
      <c r="C3" s="81" t="s">
        <v>42</v>
      </c>
      <c r="D3" s="81"/>
      <c r="E3" s="81"/>
      <c r="F3" s="81"/>
      <c r="G3" s="81"/>
      <c r="H3" s="81"/>
      <c r="I3" s="81"/>
      <c r="J3" s="81"/>
      <c r="K3" s="81"/>
      <c r="L3" s="81"/>
      <c r="M3" s="81"/>
      <c r="N3" s="82"/>
      <c r="O3" s="84" t="s">
        <v>43</v>
      </c>
      <c r="P3" s="84"/>
      <c r="Q3" s="84"/>
      <c r="R3" s="84"/>
      <c r="S3" s="84"/>
      <c r="T3" s="84"/>
      <c r="U3" s="84"/>
      <c r="V3" s="84"/>
      <c r="W3" s="84"/>
      <c r="X3" s="84"/>
      <c r="Y3" s="84"/>
      <c r="Z3" s="84"/>
    </row>
    <row r="4" spans="2:26" ht="51" customHeight="1" thickBot="1" x14ac:dyDescent="0.25">
      <c r="B4" s="58" t="s">
        <v>52</v>
      </c>
      <c r="C4" s="25" t="s">
        <v>1</v>
      </c>
      <c r="D4" s="25" t="s">
        <v>2</v>
      </c>
      <c r="E4" s="25" t="s">
        <v>3</v>
      </c>
      <c r="F4" s="25" t="s">
        <v>4</v>
      </c>
      <c r="G4" s="25" t="s">
        <v>5</v>
      </c>
      <c r="H4" s="25" t="s">
        <v>6</v>
      </c>
      <c r="I4" s="25" t="s">
        <v>7</v>
      </c>
      <c r="J4" s="25" t="s">
        <v>8</v>
      </c>
      <c r="K4" s="25" t="s">
        <v>9</v>
      </c>
      <c r="L4" s="25" t="s">
        <v>10</v>
      </c>
      <c r="M4" s="25" t="s">
        <v>11</v>
      </c>
      <c r="N4" s="37" t="s">
        <v>12</v>
      </c>
      <c r="O4" s="25" t="s">
        <v>28</v>
      </c>
      <c r="P4" s="25" t="s">
        <v>29</v>
      </c>
      <c r="Q4" s="25" t="s">
        <v>30</v>
      </c>
      <c r="R4" s="25" t="s">
        <v>31</v>
      </c>
      <c r="S4" s="25" t="s">
        <v>32</v>
      </c>
      <c r="T4" s="25" t="s">
        <v>33</v>
      </c>
      <c r="U4" s="25" t="s">
        <v>34</v>
      </c>
      <c r="V4" s="25" t="s">
        <v>35</v>
      </c>
      <c r="W4" s="25" t="s">
        <v>36</v>
      </c>
      <c r="X4" s="25" t="s">
        <v>37</v>
      </c>
      <c r="Y4" s="25" t="s">
        <v>38</v>
      </c>
      <c r="Z4" s="25" t="s">
        <v>39</v>
      </c>
    </row>
    <row r="5" spans="2:26" ht="23" customHeight="1" thickTop="1" x14ac:dyDescent="0.2">
      <c r="B5" s="3" t="s">
        <v>13</v>
      </c>
      <c r="C5" s="4"/>
      <c r="D5" s="4"/>
      <c r="E5" s="4"/>
      <c r="F5" s="4"/>
      <c r="G5" s="4"/>
      <c r="H5" s="4"/>
      <c r="I5" s="4"/>
      <c r="J5" s="4"/>
      <c r="K5" s="4"/>
      <c r="L5" s="30"/>
      <c r="M5" s="30"/>
      <c r="N5" s="31"/>
      <c r="O5" s="4"/>
      <c r="P5" s="4"/>
      <c r="Q5" s="4"/>
      <c r="R5" s="4"/>
      <c r="S5" s="4"/>
      <c r="T5" s="4"/>
      <c r="U5" s="4"/>
      <c r="V5" s="4"/>
      <c r="W5" s="4"/>
    </row>
    <row r="6" spans="2:26" x14ac:dyDescent="0.2">
      <c r="B6" s="5" t="s">
        <v>14</v>
      </c>
      <c r="C6" s="12" t="str">
        <f>"-0.054"</f>
        <v>-0.054</v>
      </c>
      <c r="D6" s="12" t="str">
        <f>""</f>
        <v/>
      </c>
      <c r="E6" s="12"/>
      <c r="F6" s="12"/>
      <c r="G6" s="12"/>
      <c r="H6" s="12"/>
      <c r="I6" s="12"/>
      <c r="J6" s="12"/>
      <c r="K6" s="12"/>
      <c r="L6" s="30"/>
      <c r="M6" s="30"/>
      <c r="N6" s="31"/>
      <c r="O6" s="6" t="str">
        <f>"-0.115**"</f>
        <v>-0.115**</v>
      </c>
      <c r="P6" s="6" t="str">
        <f>""</f>
        <v/>
      </c>
      <c r="Q6" s="6"/>
      <c r="R6" s="6"/>
      <c r="S6" s="6"/>
      <c r="T6" s="6"/>
      <c r="U6" s="6"/>
      <c r="V6" s="6"/>
      <c r="W6" s="6"/>
    </row>
    <row r="7" spans="2:26" x14ac:dyDescent="0.2">
      <c r="B7" s="5"/>
      <c r="C7" s="12" t="str">
        <f>"[0.066]"</f>
        <v>[0.066]</v>
      </c>
      <c r="D7" s="12" t="str">
        <f>""</f>
        <v/>
      </c>
      <c r="E7" s="12"/>
      <c r="F7" s="12"/>
      <c r="G7" s="12"/>
      <c r="H7" s="12"/>
      <c r="I7" s="12"/>
      <c r="J7" s="12"/>
      <c r="K7" s="12"/>
      <c r="L7" s="30"/>
      <c r="M7" s="30"/>
      <c r="N7" s="31"/>
      <c r="O7" s="6" t="str">
        <f>"[0.053]"</f>
        <v>[0.053]</v>
      </c>
      <c r="P7" s="6" t="str">
        <f>""</f>
        <v/>
      </c>
      <c r="Q7" s="6"/>
      <c r="R7" s="6"/>
      <c r="S7" s="6"/>
      <c r="T7" s="6"/>
      <c r="U7" s="6"/>
      <c r="V7" s="6"/>
      <c r="W7" s="6"/>
    </row>
    <row r="8" spans="2:26" x14ac:dyDescent="0.2">
      <c r="B8" s="8" t="s">
        <v>15</v>
      </c>
      <c r="C8" s="12" t="str">
        <f>""</f>
        <v/>
      </c>
      <c r="D8" s="12" t="str">
        <f>"-0.332***"</f>
        <v>-0.332***</v>
      </c>
      <c r="E8" s="12"/>
      <c r="F8" s="12"/>
      <c r="G8" s="12"/>
      <c r="H8" s="12"/>
      <c r="I8" s="12"/>
      <c r="J8" s="12"/>
      <c r="K8" s="12"/>
      <c r="L8" s="30"/>
      <c r="M8" s="30"/>
      <c r="N8" s="31"/>
      <c r="O8" s="6" t="str">
        <f>""</f>
        <v/>
      </c>
      <c r="P8" s="6" t="str">
        <f>"-0.244***"</f>
        <v>-0.244***</v>
      </c>
      <c r="Q8" s="6"/>
      <c r="R8" s="6"/>
      <c r="S8" s="6"/>
      <c r="T8" s="6"/>
      <c r="U8" s="6"/>
      <c r="V8" s="6"/>
      <c r="W8" s="6"/>
    </row>
    <row r="9" spans="2:26" x14ac:dyDescent="0.2">
      <c r="B9" s="5" t="str">
        <f>""</f>
        <v/>
      </c>
      <c r="C9" s="12" t="str">
        <f>""</f>
        <v/>
      </c>
      <c r="D9" s="12" t="str">
        <f>"[0.094]"</f>
        <v>[0.094]</v>
      </c>
      <c r="E9" s="12"/>
      <c r="F9" s="12"/>
      <c r="G9" s="12"/>
      <c r="H9" s="12"/>
      <c r="I9" s="12"/>
      <c r="J9" s="12"/>
      <c r="K9" s="12"/>
      <c r="L9" s="30"/>
      <c r="M9" s="30"/>
      <c r="N9" s="31"/>
      <c r="O9" s="6" t="str">
        <f>""</f>
        <v/>
      </c>
      <c r="P9" s="6" t="str">
        <f>"[0.068]"</f>
        <v>[0.068]</v>
      </c>
      <c r="Q9" s="6"/>
      <c r="R9" s="6"/>
      <c r="S9" s="6"/>
      <c r="T9" s="6"/>
      <c r="U9" s="6"/>
      <c r="V9" s="6"/>
      <c r="W9" s="6"/>
    </row>
    <row r="10" spans="2:26" x14ac:dyDescent="0.2">
      <c r="B10" s="5"/>
      <c r="C10" s="12"/>
      <c r="D10" s="12"/>
      <c r="E10" s="12"/>
      <c r="F10" s="12"/>
      <c r="G10" s="12"/>
      <c r="H10" s="12"/>
      <c r="I10" s="12"/>
      <c r="J10" s="12"/>
      <c r="K10" s="12"/>
      <c r="L10" s="30"/>
      <c r="M10" s="30"/>
      <c r="N10" s="31"/>
      <c r="O10" s="6"/>
      <c r="P10" s="6"/>
      <c r="Q10" s="6"/>
      <c r="R10" s="6"/>
      <c r="S10" s="6"/>
      <c r="T10" s="6"/>
      <c r="U10" s="6"/>
      <c r="V10" s="6"/>
      <c r="W10" s="6"/>
    </row>
    <row r="11" spans="2:26" ht="25" customHeight="1" x14ac:dyDescent="0.2">
      <c r="B11" s="9" t="s">
        <v>16</v>
      </c>
      <c r="C11" s="10"/>
      <c r="D11" s="10"/>
      <c r="E11" s="10"/>
      <c r="F11" s="10"/>
      <c r="G11" s="10"/>
      <c r="H11" s="10"/>
      <c r="I11" s="10"/>
      <c r="J11" s="10"/>
      <c r="K11" s="10"/>
      <c r="L11" s="10"/>
      <c r="M11" s="10"/>
      <c r="N11" s="32"/>
      <c r="O11" s="10"/>
      <c r="P11" s="10"/>
      <c r="Q11" s="10"/>
      <c r="R11" s="10"/>
      <c r="S11" s="10"/>
      <c r="T11" s="10"/>
      <c r="U11" s="10"/>
      <c r="V11" s="10"/>
      <c r="W11" s="10"/>
      <c r="X11" s="10"/>
      <c r="Y11" s="10"/>
      <c r="Z11" s="10"/>
    </row>
    <row r="12" spans="2:26" ht="18" customHeight="1" x14ac:dyDescent="0.2">
      <c r="B12" s="11" t="str">
        <f>"Loss of land (yes=1) for a household in a given year"</f>
        <v>Loss of land (yes=1) for a household in a given year</v>
      </c>
      <c r="C12" s="12"/>
      <c r="D12" s="12"/>
      <c r="E12" s="30" t="str">
        <f>"0.047"</f>
        <v>0.047</v>
      </c>
      <c r="F12" s="30" t="str">
        <f>""</f>
        <v/>
      </c>
      <c r="G12" s="30" t="str">
        <f>""</f>
        <v/>
      </c>
      <c r="H12" s="30" t="str">
        <f>""</f>
        <v/>
      </c>
      <c r="I12" s="30" t="str">
        <f>""</f>
        <v/>
      </c>
      <c r="J12" s="30" t="str">
        <f>""</f>
        <v/>
      </c>
      <c r="K12" s="30" t="str">
        <f>""</f>
        <v/>
      </c>
      <c r="L12" s="30" t="str">
        <f>""</f>
        <v/>
      </c>
      <c r="M12" s="30" t="str">
        <f>""</f>
        <v/>
      </c>
      <c r="N12" s="31" t="str">
        <f>""</f>
        <v/>
      </c>
      <c r="O12" s="12"/>
      <c r="P12" s="12"/>
      <c r="Q12" t="str">
        <f>"-0.037"</f>
        <v>-0.037</v>
      </c>
      <c r="R12" t="str">
        <f>""</f>
        <v/>
      </c>
      <c r="S12" t="str">
        <f>""</f>
        <v/>
      </c>
      <c r="T12" t="str">
        <f>""</f>
        <v/>
      </c>
      <c r="U12" t="str">
        <f>""</f>
        <v/>
      </c>
      <c r="V12" t="str">
        <f>""</f>
        <v/>
      </c>
      <c r="W12" t="str">
        <f>""</f>
        <v/>
      </c>
      <c r="X12" t="str">
        <f>""</f>
        <v/>
      </c>
      <c r="Y12" t="str">
        <f>""</f>
        <v/>
      </c>
      <c r="Z12" t="str">
        <f>""</f>
        <v/>
      </c>
    </row>
    <row r="13" spans="2:26" ht="14" customHeight="1" x14ac:dyDescent="0.2">
      <c r="B13" s="11" t="str">
        <f>""</f>
        <v/>
      </c>
      <c r="C13" s="12"/>
      <c r="D13" s="12"/>
      <c r="E13" s="30" t="str">
        <f>"[0.077]"</f>
        <v>[0.077]</v>
      </c>
      <c r="F13" s="30" t="str">
        <f>""</f>
        <v/>
      </c>
      <c r="G13" s="30" t="str">
        <f>""</f>
        <v/>
      </c>
      <c r="H13" s="30" t="str">
        <f>""</f>
        <v/>
      </c>
      <c r="I13" s="30" t="str">
        <f>""</f>
        <v/>
      </c>
      <c r="J13" s="30" t="str">
        <f>""</f>
        <v/>
      </c>
      <c r="K13" s="30" t="str">
        <f>""</f>
        <v/>
      </c>
      <c r="L13" s="30" t="str">
        <f>""</f>
        <v/>
      </c>
      <c r="M13" s="30" t="str">
        <f>""</f>
        <v/>
      </c>
      <c r="N13" s="31" t="str">
        <f>""</f>
        <v/>
      </c>
      <c r="O13" s="12"/>
      <c r="P13" s="12"/>
      <c r="Q13" t="str">
        <f>"[0.085]"</f>
        <v>[0.085]</v>
      </c>
      <c r="R13" t="str">
        <f>""</f>
        <v/>
      </c>
      <c r="S13" t="str">
        <f>""</f>
        <v/>
      </c>
      <c r="T13" t="str">
        <f>""</f>
        <v/>
      </c>
      <c r="U13" t="str">
        <f>""</f>
        <v/>
      </c>
      <c r="V13" t="str">
        <f>""</f>
        <v/>
      </c>
      <c r="W13" t="str">
        <f>""</f>
        <v/>
      </c>
      <c r="X13" t="str">
        <f>""</f>
        <v/>
      </c>
      <c r="Y13" t="str">
        <f>""</f>
        <v/>
      </c>
      <c r="Z13" t="str">
        <f>""</f>
        <v/>
      </c>
    </row>
    <row r="14" spans="2:26" x14ac:dyDescent="0.2">
      <c r="B14" s="11" t="str">
        <f>"Theft of crops (yes=1) for a household in a given year"</f>
        <v>Theft of crops (yes=1) for a household in a given year</v>
      </c>
      <c r="C14" s="12"/>
      <c r="D14" s="12"/>
      <c r="E14" s="30" t="str">
        <f>""</f>
        <v/>
      </c>
      <c r="F14" s="30" t="str">
        <f>"-0.010"</f>
        <v>-0.010</v>
      </c>
      <c r="G14" s="30" t="str">
        <f>""</f>
        <v/>
      </c>
      <c r="H14" s="30" t="str">
        <f>""</f>
        <v/>
      </c>
      <c r="I14" s="30" t="str">
        <f>""</f>
        <v/>
      </c>
      <c r="J14" s="30" t="str">
        <f>""</f>
        <v/>
      </c>
      <c r="K14" s="30" t="str">
        <f>""</f>
        <v/>
      </c>
      <c r="L14" s="30" t="str">
        <f>""</f>
        <v/>
      </c>
      <c r="M14" s="30" t="str">
        <f>""</f>
        <v/>
      </c>
      <c r="N14" s="31" t="str">
        <f>""</f>
        <v/>
      </c>
      <c r="O14" s="12"/>
      <c r="P14" s="12"/>
      <c r="Q14" t="str">
        <f>""</f>
        <v/>
      </c>
      <c r="R14" t="str">
        <f>"-0.034"</f>
        <v>-0.034</v>
      </c>
      <c r="S14" t="str">
        <f>""</f>
        <v/>
      </c>
      <c r="T14" t="str">
        <f>""</f>
        <v/>
      </c>
      <c r="U14" t="str">
        <f>""</f>
        <v/>
      </c>
      <c r="V14" t="str">
        <f>""</f>
        <v/>
      </c>
      <c r="W14" t="str">
        <f>""</f>
        <v/>
      </c>
      <c r="X14" t="str">
        <f>""</f>
        <v/>
      </c>
      <c r="Y14" t="str">
        <f>""</f>
        <v/>
      </c>
      <c r="Z14" t="str">
        <f>""</f>
        <v/>
      </c>
    </row>
    <row r="15" spans="2:26" x14ac:dyDescent="0.2">
      <c r="B15" s="11" t="str">
        <f>""</f>
        <v/>
      </c>
      <c r="C15" s="12"/>
      <c r="D15" s="12"/>
      <c r="E15" s="30" t="str">
        <f>""</f>
        <v/>
      </c>
      <c r="F15" s="30" t="str">
        <f>"[0.036]"</f>
        <v>[0.036]</v>
      </c>
      <c r="G15" s="30" t="str">
        <f>""</f>
        <v/>
      </c>
      <c r="H15" s="30" t="str">
        <f>""</f>
        <v/>
      </c>
      <c r="I15" s="30" t="str">
        <f>""</f>
        <v/>
      </c>
      <c r="J15" s="30" t="str">
        <f>""</f>
        <v/>
      </c>
      <c r="K15" s="30" t="str">
        <f>""</f>
        <v/>
      </c>
      <c r="L15" s="30" t="str">
        <f>""</f>
        <v/>
      </c>
      <c r="M15" s="30" t="str">
        <f>""</f>
        <v/>
      </c>
      <c r="N15" s="31" t="str">
        <f>""</f>
        <v/>
      </c>
      <c r="O15" s="12"/>
      <c r="P15" s="12"/>
      <c r="Q15" t="str">
        <f>""</f>
        <v/>
      </c>
      <c r="R15" t="str">
        <f>"[0.031]"</f>
        <v>[0.031]</v>
      </c>
      <c r="S15" t="str">
        <f>""</f>
        <v/>
      </c>
      <c r="T15" t="str">
        <f>""</f>
        <v/>
      </c>
      <c r="U15" t="str">
        <f>""</f>
        <v/>
      </c>
      <c r="V15" t="str">
        <f>""</f>
        <v/>
      </c>
      <c r="W15" t="str">
        <f>""</f>
        <v/>
      </c>
      <c r="X15" t="str">
        <f>""</f>
        <v/>
      </c>
      <c r="Y15" t="str">
        <f>""</f>
        <v/>
      </c>
      <c r="Z15" t="str">
        <f>""</f>
        <v/>
      </c>
    </row>
    <row r="16" spans="2:26" x14ac:dyDescent="0.2">
      <c r="B16" s="13" t="str">
        <f>"Theft of money (yes=1) for a household in a given year"</f>
        <v>Theft of money (yes=1) for a household in a given year</v>
      </c>
      <c r="C16" s="14"/>
      <c r="D16" s="14"/>
      <c r="E16" s="30" t="str">
        <f>""</f>
        <v/>
      </c>
      <c r="F16" s="30" t="str">
        <f>""</f>
        <v/>
      </c>
      <c r="G16" s="30" t="str">
        <f>"-0.079"</f>
        <v>-0.079</v>
      </c>
      <c r="H16" s="30" t="str">
        <f>""</f>
        <v/>
      </c>
      <c r="I16" s="30" t="str">
        <f>""</f>
        <v/>
      </c>
      <c r="J16" s="30" t="str">
        <f>""</f>
        <v/>
      </c>
      <c r="K16" s="30" t="str">
        <f>""</f>
        <v/>
      </c>
      <c r="L16" s="30" t="str">
        <f>""</f>
        <v/>
      </c>
      <c r="M16" s="30" t="str">
        <f>""</f>
        <v/>
      </c>
      <c r="N16" s="31" t="str">
        <f>""</f>
        <v/>
      </c>
      <c r="O16" s="14"/>
      <c r="P16" s="14"/>
      <c r="Q16" t="str">
        <f>""</f>
        <v/>
      </c>
      <c r="R16" t="str">
        <f>""</f>
        <v/>
      </c>
      <c r="S16" t="str">
        <f>"-0.049"</f>
        <v>-0.049</v>
      </c>
      <c r="T16" t="str">
        <f>""</f>
        <v/>
      </c>
      <c r="U16" t="str">
        <f>""</f>
        <v/>
      </c>
      <c r="V16" t="str">
        <f>""</f>
        <v/>
      </c>
      <c r="W16" t="str">
        <f>""</f>
        <v/>
      </c>
      <c r="X16" t="str">
        <f>""</f>
        <v/>
      </c>
      <c r="Y16" t="str">
        <f>""</f>
        <v/>
      </c>
      <c r="Z16" t="str">
        <f>""</f>
        <v/>
      </c>
    </row>
    <row r="17" spans="2:26" x14ac:dyDescent="0.2">
      <c r="B17" s="11" t="str">
        <f>""</f>
        <v/>
      </c>
      <c r="C17" s="12"/>
      <c r="D17" s="12"/>
      <c r="E17" s="30" t="str">
        <f>""</f>
        <v/>
      </c>
      <c r="F17" s="30" t="str">
        <f>""</f>
        <v/>
      </c>
      <c r="G17" s="30" t="str">
        <f>"[0.049]"</f>
        <v>[0.049]</v>
      </c>
      <c r="H17" s="30" t="str">
        <f>""</f>
        <v/>
      </c>
      <c r="I17" s="30" t="str">
        <f>""</f>
        <v/>
      </c>
      <c r="J17" s="30" t="str">
        <f>""</f>
        <v/>
      </c>
      <c r="K17" s="30" t="str">
        <f>""</f>
        <v/>
      </c>
      <c r="L17" s="30" t="str">
        <f>""</f>
        <v/>
      </c>
      <c r="M17" s="30" t="str">
        <f>""</f>
        <v/>
      </c>
      <c r="N17" s="31" t="str">
        <f>""</f>
        <v/>
      </c>
      <c r="O17" s="12"/>
      <c r="P17" s="12"/>
      <c r="Q17" t="str">
        <f>""</f>
        <v/>
      </c>
      <c r="R17" t="str">
        <f>""</f>
        <v/>
      </c>
      <c r="S17" t="str">
        <f>"[0.045]"</f>
        <v>[0.045]</v>
      </c>
      <c r="T17" t="str">
        <f>""</f>
        <v/>
      </c>
      <c r="U17" t="str">
        <f>""</f>
        <v/>
      </c>
      <c r="V17" t="str">
        <f>""</f>
        <v/>
      </c>
      <c r="W17" t="str">
        <f>""</f>
        <v/>
      </c>
      <c r="X17" t="str">
        <f>""</f>
        <v/>
      </c>
      <c r="Y17" t="str">
        <f>""</f>
        <v/>
      </c>
      <c r="Z17" t="str">
        <f>""</f>
        <v/>
      </c>
    </row>
    <row r="18" spans="2:26" x14ac:dyDescent="0.2">
      <c r="B18" s="11" t="str">
        <f>"Theft or destruction of goods (yes=1) for a household in a given year"</f>
        <v>Theft or destruction of goods (yes=1) for a household in a given year</v>
      </c>
      <c r="C18" s="12"/>
      <c r="D18" s="12"/>
      <c r="E18" s="30" t="str">
        <f>""</f>
        <v/>
      </c>
      <c r="F18" s="30" t="str">
        <f>""</f>
        <v/>
      </c>
      <c r="G18" s="30" t="str">
        <f>""</f>
        <v/>
      </c>
      <c r="H18" s="30" t="str">
        <f>"-0.113**"</f>
        <v>-0.113**</v>
      </c>
      <c r="I18" s="30" t="str">
        <f>""</f>
        <v/>
      </c>
      <c r="J18" s="30" t="str">
        <f>""</f>
        <v/>
      </c>
      <c r="K18" s="30" t="str">
        <f>""</f>
        <v/>
      </c>
      <c r="L18" s="30" t="str">
        <f>""</f>
        <v/>
      </c>
      <c r="M18" s="30" t="str">
        <f>""</f>
        <v/>
      </c>
      <c r="N18" s="31" t="str">
        <f>""</f>
        <v/>
      </c>
      <c r="O18" s="12"/>
      <c r="P18" s="12"/>
      <c r="Q18" t="str">
        <f>""</f>
        <v/>
      </c>
      <c r="R18" t="str">
        <f>""</f>
        <v/>
      </c>
      <c r="S18" t="str">
        <f>""</f>
        <v/>
      </c>
      <c r="T18" t="str">
        <f>"-0.054"</f>
        <v>-0.054</v>
      </c>
      <c r="U18" t="str">
        <f>""</f>
        <v/>
      </c>
      <c r="V18" t="str">
        <f>""</f>
        <v/>
      </c>
      <c r="W18" t="str">
        <f>""</f>
        <v/>
      </c>
      <c r="X18" t="str">
        <f>""</f>
        <v/>
      </c>
      <c r="Y18" t="str">
        <f>""</f>
        <v/>
      </c>
      <c r="Z18" t="str">
        <f>""</f>
        <v/>
      </c>
    </row>
    <row r="19" spans="2:26" x14ac:dyDescent="0.2">
      <c r="B19" s="11"/>
      <c r="C19" s="12"/>
      <c r="D19" s="12"/>
      <c r="E19" s="30" t="str">
        <f>""</f>
        <v/>
      </c>
      <c r="F19" s="30" t="str">
        <f>""</f>
        <v/>
      </c>
      <c r="G19" s="30" t="str">
        <f>""</f>
        <v/>
      </c>
      <c r="H19" s="30" t="str">
        <f>"[0.053]"</f>
        <v>[0.053]</v>
      </c>
      <c r="I19" s="30" t="str">
        <f>""</f>
        <v/>
      </c>
      <c r="J19" s="30" t="str">
        <f>""</f>
        <v/>
      </c>
      <c r="K19" s="30" t="str">
        <f>""</f>
        <v/>
      </c>
      <c r="L19" s="30" t="str">
        <f>""</f>
        <v/>
      </c>
      <c r="M19" s="30" t="str">
        <f>""</f>
        <v/>
      </c>
      <c r="N19" s="31" t="str">
        <f>""</f>
        <v/>
      </c>
      <c r="O19" s="12"/>
      <c r="P19" s="12"/>
      <c r="Q19" t="str">
        <f>""</f>
        <v/>
      </c>
      <c r="R19" t="str">
        <f>""</f>
        <v/>
      </c>
      <c r="S19" t="str">
        <f>""</f>
        <v/>
      </c>
      <c r="T19" t="str">
        <f>"[0.048]"</f>
        <v>[0.048]</v>
      </c>
      <c r="U19" t="str">
        <f>""</f>
        <v/>
      </c>
      <c r="V19" t="str">
        <f>""</f>
        <v/>
      </c>
      <c r="W19" t="str">
        <f>""</f>
        <v/>
      </c>
      <c r="X19" t="str">
        <f>""</f>
        <v/>
      </c>
      <c r="Y19" t="str">
        <f>""</f>
        <v/>
      </c>
      <c r="Z19" t="str">
        <f>""</f>
        <v/>
      </c>
    </row>
    <row r="20" spans="2:26" x14ac:dyDescent="0.2">
      <c r="B20" s="11" t="str">
        <f>"Destruction of house (yes=1) for a household in a given year"</f>
        <v>Destruction of house (yes=1) for a household in a given year</v>
      </c>
      <c r="C20" s="12"/>
      <c r="D20" s="12"/>
      <c r="E20" s="30" t="str">
        <f>""</f>
        <v/>
      </c>
      <c r="F20" s="30" t="str">
        <f>""</f>
        <v/>
      </c>
      <c r="G20" s="30" t="str">
        <f>""</f>
        <v/>
      </c>
      <c r="H20" s="30" t="str">
        <f>""</f>
        <v/>
      </c>
      <c r="I20" s="30" t="str">
        <f>"-0.083"</f>
        <v>-0.083</v>
      </c>
      <c r="J20" s="30" t="str">
        <f>""</f>
        <v/>
      </c>
      <c r="K20" s="30" t="str">
        <f>""</f>
        <v/>
      </c>
      <c r="L20" s="30" t="str">
        <f>""</f>
        <v/>
      </c>
      <c r="M20" s="30" t="str">
        <f>""</f>
        <v/>
      </c>
      <c r="N20" s="31" t="str">
        <f>""</f>
        <v/>
      </c>
      <c r="O20" s="12"/>
      <c r="P20" s="12"/>
      <c r="Q20" t="str">
        <f>""</f>
        <v/>
      </c>
      <c r="R20" t="str">
        <f>""</f>
        <v/>
      </c>
      <c r="S20" t="str">
        <f>""</f>
        <v/>
      </c>
      <c r="T20" t="str">
        <f>""</f>
        <v/>
      </c>
      <c r="U20" t="str">
        <f>"-0.089"</f>
        <v>-0.089</v>
      </c>
      <c r="V20" t="str">
        <f>""</f>
        <v/>
      </c>
      <c r="W20" t="str">
        <f>""</f>
        <v/>
      </c>
      <c r="X20" t="str">
        <f>""</f>
        <v/>
      </c>
      <c r="Y20" t="str">
        <f>""</f>
        <v/>
      </c>
      <c r="Z20" t="str">
        <f>""</f>
        <v/>
      </c>
    </row>
    <row r="21" spans="2:26" x14ac:dyDescent="0.2">
      <c r="B21" s="11"/>
      <c r="C21" s="12"/>
      <c r="D21" s="12"/>
      <c r="E21" s="30" t="str">
        <f>""</f>
        <v/>
      </c>
      <c r="F21" s="30" t="str">
        <f>""</f>
        <v/>
      </c>
      <c r="G21" s="30" t="str">
        <f>""</f>
        <v/>
      </c>
      <c r="H21" s="30" t="str">
        <f>""</f>
        <v/>
      </c>
      <c r="I21" s="30" t="str">
        <f>"[0.095]"</f>
        <v>[0.095]</v>
      </c>
      <c r="J21" s="30" t="str">
        <f>""</f>
        <v/>
      </c>
      <c r="K21" s="30" t="str">
        <f>""</f>
        <v/>
      </c>
      <c r="L21" s="30" t="str">
        <f>""</f>
        <v/>
      </c>
      <c r="M21" s="30" t="str">
        <f>""</f>
        <v/>
      </c>
      <c r="N21" s="31" t="str">
        <f>""</f>
        <v/>
      </c>
      <c r="O21" s="12"/>
      <c r="P21" s="12"/>
      <c r="Q21" t="str">
        <f>""</f>
        <v/>
      </c>
      <c r="R21" t="str">
        <f>""</f>
        <v/>
      </c>
      <c r="S21" t="str">
        <f>""</f>
        <v/>
      </c>
      <c r="T21" t="str">
        <f>""</f>
        <v/>
      </c>
      <c r="U21" t="str">
        <f>"[0.076]"</f>
        <v>[0.076]</v>
      </c>
      <c r="V21" t="str">
        <f>""</f>
        <v/>
      </c>
      <c r="W21" t="str">
        <f>""</f>
        <v/>
      </c>
      <c r="X21" t="str">
        <f>""</f>
        <v/>
      </c>
      <c r="Y21" t="str">
        <f>""</f>
        <v/>
      </c>
      <c r="Z21" t="str">
        <f>""</f>
        <v/>
      </c>
    </row>
    <row r="22" spans="2:26" x14ac:dyDescent="0.2">
      <c r="B22" s="15" t="s">
        <v>17</v>
      </c>
      <c r="C22" s="12"/>
      <c r="D22" s="12"/>
      <c r="E22" s="30" t="str">
        <f>""</f>
        <v/>
      </c>
      <c r="F22" s="30" t="str">
        <f>""</f>
        <v/>
      </c>
      <c r="G22" s="30" t="str">
        <f>""</f>
        <v/>
      </c>
      <c r="H22" s="30" t="str">
        <f>""</f>
        <v/>
      </c>
      <c r="I22" s="30" t="str">
        <f>""</f>
        <v/>
      </c>
      <c r="J22" s="30" t="str">
        <f>"-0.013*"</f>
        <v>-0.013*</v>
      </c>
      <c r="K22" s="30" t="str">
        <f>""</f>
        <v/>
      </c>
      <c r="L22" s="30" t="str">
        <f>""</f>
        <v/>
      </c>
      <c r="M22" s="30" t="str">
        <f>""</f>
        <v/>
      </c>
      <c r="N22" s="31" t="str">
        <f>""</f>
        <v/>
      </c>
      <c r="O22" s="12"/>
      <c r="P22" s="12"/>
      <c r="Q22" t="str">
        <f>""</f>
        <v/>
      </c>
      <c r="R22" t="str">
        <f>""</f>
        <v/>
      </c>
      <c r="S22" t="str">
        <f>""</f>
        <v/>
      </c>
      <c r="T22" t="str">
        <f>""</f>
        <v/>
      </c>
      <c r="U22" t="str">
        <f>""</f>
        <v/>
      </c>
      <c r="V22" t="str">
        <f>"-0.010"</f>
        <v>-0.010</v>
      </c>
      <c r="W22" t="str">
        <f>""</f>
        <v/>
      </c>
      <c r="X22" t="str">
        <f>""</f>
        <v/>
      </c>
      <c r="Y22" t="str">
        <f>""</f>
        <v/>
      </c>
      <c r="Z22" t="str">
        <f>""</f>
        <v/>
      </c>
    </row>
    <row r="23" spans="2:26" x14ac:dyDescent="0.2">
      <c r="B23" s="30"/>
      <c r="C23" s="12"/>
      <c r="D23" s="12"/>
      <c r="E23" s="30" t="str">
        <f>""</f>
        <v/>
      </c>
      <c r="F23" s="30" t="str">
        <f>""</f>
        <v/>
      </c>
      <c r="G23" s="30" t="str">
        <f>""</f>
        <v/>
      </c>
      <c r="H23" s="30" t="str">
        <f>""</f>
        <v/>
      </c>
      <c r="I23" s="30" t="str">
        <f>""</f>
        <v/>
      </c>
      <c r="J23" s="30" t="str">
        <f>"[0.007]"</f>
        <v>[0.007]</v>
      </c>
      <c r="K23" s="30" t="str">
        <f>""</f>
        <v/>
      </c>
      <c r="L23" s="30" t="str">
        <f>""</f>
        <v/>
      </c>
      <c r="M23" s="30" t="str">
        <f>""</f>
        <v/>
      </c>
      <c r="N23" s="31" t="str">
        <f>""</f>
        <v/>
      </c>
      <c r="O23" s="12"/>
      <c r="P23" s="12"/>
      <c r="Q23" t="str">
        <f>""</f>
        <v/>
      </c>
      <c r="R23" t="str">
        <f>""</f>
        <v/>
      </c>
      <c r="S23" t="str">
        <f>""</f>
        <v/>
      </c>
      <c r="T23" t="str">
        <f>""</f>
        <v/>
      </c>
      <c r="U23" t="str">
        <f>""</f>
        <v/>
      </c>
      <c r="V23" t="str">
        <f>"[0.006]"</f>
        <v>[0.006]</v>
      </c>
      <c r="W23" t="str">
        <f>""</f>
        <v/>
      </c>
      <c r="X23" t="str">
        <f>""</f>
        <v/>
      </c>
      <c r="Y23" t="str">
        <f>""</f>
        <v/>
      </c>
      <c r="Z23" t="str">
        <f>""</f>
        <v/>
      </c>
    </row>
    <row r="24" spans="2:26" x14ac:dyDescent="0.2">
      <c r="B24" s="15" t="s">
        <v>18</v>
      </c>
      <c r="C24" s="12"/>
      <c r="D24" s="12"/>
      <c r="E24" s="30" t="str">
        <f>""</f>
        <v/>
      </c>
      <c r="F24" s="30" t="str">
        <f>""</f>
        <v/>
      </c>
      <c r="G24" s="30" t="str">
        <f>""</f>
        <v/>
      </c>
      <c r="H24" s="30" t="str">
        <f>""</f>
        <v/>
      </c>
      <c r="I24" s="30" t="str">
        <f>""</f>
        <v/>
      </c>
      <c r="J24" s="30" t="str">
        <f>""</f>
        <v/>
      </c>
      <c r="K24" s="30" t="str">
        <f>"0.002"</f>
        <v>0.002</v>
      </c>
      <c r="L24" s="30" t="str">
        <f>""</f>
        <v/>
      </c>
      <c r="M24" s="30" t="str">
        <f>""</f>
        <v/>
      </c>
      <c r="N24" s="31" t="str">
        <f>""</f>
        <v/>
      </c>
      <c r="O24" s="12"/>
      <c r="P24" s="12"/>
      <c r="Q24" t="str">
        <f>""</f>
        <v/>
      </c>
      <c r="R24" t="str">
        <f>""</f>
        <v/>
      </c>
      <c r="S24" t="str">
        <f>""</f>
        <v/>
      </c>
      <c r="T24" t="str">
        <f>""</f>
        <v/>
      </c>
      <c r="U24" t="str">
        <f>""</f>
        <v/>
      </c>
      <c r="V24" t="str">
        <f>""</f>
        <v/>
      </c>
      <c r="W24" t="str">
        <f>"-0.009"</f>
        <v>-0.009</v>
      </c>
      <c r="X24" t="str">
        <f>""</f>
        <v/>
      </c>
      <c r="Y24" t="str">
        <f>""</f>
        <v/>
      </c>
      <c r="Z24" t="str">
        <f>""</f>
        <v/>
      </c>
    </row>
    <row r="25" spans="2:26" x14ac:dyDescent="0.2">
      <c r="B25" s="30"/>
      <c r="C25" s="12"/>
      <c r="D25" s="12"/>
      <c r="E25" s="30" t="str">
        <f>""</f>
        <v/>
      </c>
      <c r="F25" s="30" t="str">
        <f>""</f>
        <v/>
      </c>
      <c r="G25" s="30" t="str">
        <f>""</f>
        <v/>
      </c>
      <c r="H25" s="30" t="str">
        <f>""</f>
        <v/>
      </c>
      <c r="I25" s="30" t="str">
        <f>""</f>
        <v/>
      </c>
      <c r="J25" s="30" t="str">
        <f>""</f>
        <v/>
      </c>
      <c r="K25" s="30" t="str">
        <f>"[0.010]"</f>
        <v>[0.010]</v>
      </c>
      <c r="L25" s="30" t="str">
        <f>""</f>
        <v/>
      </c>
      <c r="M25" s="30" t="str">
        <f>""</f>
        <v/>
      </c>
      <c r="N25" s="31" t="str">
        <f>""</f>
        <v/>
      </c>
      <c r="O25" s="12"/>
      <c r="P25" s="12"/>
      <c r="Q25" t="str">
        <f>""</f>
        <v/>
      </c>
      <c r="R25" t="str">
        <f>""</f>
        <v/>
      </c>
      <c r="S25" t="str">
        <f>""</f>
        <v/>
      </c>
      <c r="T25" t="str">
        <f>""</f>
        <v/>
      </c>
      <c r="U25" t="str">
        <f>""</f>
        <v/>
      </c>
      <c r="V25" t="str">
        <f>""</f>
        <v/>
      </c>
      <c r="W25" t="str">
        <f>"[0.010]"</f>
        <v>[0.010]</v>
      </c>
      <c r="X25" t="str">
        <f>""</f>
        <v/>
      </c>
      <c r="Y25" t="str">
        <f>""</f>
        <v/>
      </c>
      <c r="Z25" t="str">
        <f>""</f>
        <v/>
      </c>
    </row>
    <row r="26" spans="2:26" x14ac:dyDescent="0.2">
      <c r="B26" s="15" t="s">
        <v>19</v>
      </c>
      <c r="C26" s="12"/>
      <c r="D26" s="12"/>
      <c r="E26" s="30" t="str">
        <f>""</f>
        <v/>
      </c>
      <c r="F26" s="30" t="str">
        <f>""</f>
        <v/>
      </c>
      <c r="G26" s="30" t="str">
        <f>""</f>
        <v/>
      </c>
      <c r="H26" s="30" t="str">
        <f>""</f>
        <v/>
      </c>
      <c r="I26" s="30" t="str">
        <f>""</f>
        <v/>
      </c>
      <c r="J26" s="30" t="str">
        <f>""</f>
        <v/>
      </c>
      <c r="K26" s="30" t="str">
        <f>""</f>
        <v/>
      </c>
      <c r="L26" s="30" t="str">
        <f>"-0.017**"</f>
        <v>-0.017**</v>
      </c>
      <c r="M26" s="30" t="str">
        <f>""</f>
        <v/>
      </c>
      <c r="N26" s="31" t="str">
        <f>""</f>
        <v/>
      </c>
      <c r="O26" s="12"/>
      <c r="P26" s="12"/>
      <c r="Q26" t="str">
        <f>""</f>
        <v/>
      </c>
      <c r="R26" t="str">
        <f>""</f>
        <v/>
      </c>
      <c r="S26" t="str">
        <f>""</f>
        <v/>
      </c>
      <c r="T26" t="str">
        <f>""</f>
        <v/>
      </c>
      <c r="U26" t="str">
        <f>""</f>
        <v/>
      </c>
      <c r="V26" t="str">
        <f>""</f>
        <v/>
      </c>
      <c r="W26" t="str">
        <f>""</f>
        <v/>
      </c>
      <c r="X26" t="str">
        <f>"-0.011"</f>
        <v>-0.011</v>
      </c>
      <c r="Y26" t="str">
        <f>""</f>
        <v/>
      </c>
      <c r="Z26" t="str">
        <f>""</f>
        <v/>
      </c>
    </row>
    <row r="27" spans="2:26" x14ac:dyDescent="0.2">
      <c r="B27" s="15"/>
      <c r="C27" s="12"/>
      <c r="D27" s="12"/>
      <c r="E27" s="30" t="str">
        <f>""</f>
        <v/>
      </c>
      <c r="F27" s="30" t="str">
        <f>""</f>
        <v/>
      </c>
      <c r="G27" s="30" t="str">
        <f>""</f>
        <v/>
      </c>
      <c r="H27" s="30" t="str">
        <f>""</f>
        <v/>
      </c>
      <c r="I27" s="30" t="str">
        <f>""</f>
        <v/>
      </c>
      <c r="J27" s="30" t="str">
        <f>""</f>
        <v/>
      </c>
      <c r="K27" s="30" t="str">
        <f>""</f>
        <v/>
      </c>
      <c r="L27" s="30" t="str">
        <f>"[0.008]"</f>
        <v>[0.008]</v>
      </c>
      <c r="M27" s="30" t="str">
        <f>""</f>
        <v/>
      </c>
      <c r="N27" s="31" t="str">
        <f>""</f>
        <v/>
      </c>
      <c r="O27" s="12"/>
      <c r="P27" s="12"/>
      <c r="Q27" t="str">
        <f>""</f>
        <v/>
      </c>
      <c r="R27" t="str">
        <f>""</f>
        <v/>
      </c>
      <c r="S27" t="str">
        <f>""</f>
        <v/>
      </c>
      <c r="T27" t="str">
        <f>""</f>
        <v/>
      </c>
      <c r="U27" t="str">
        <f>""</f>
        <v/>
      </c>
      <c r="V27" t="str">
        <f>""</f>
        <v/>
      </c>
      <c r="W27" t="str">
        <f>""</f>
        <v/>
      </c>
      <c r="X27" t="str">
        <f>"[0.007]"</f>
        <v>[0.007]</v>
      </c>
      <c r="Y27" t="str">
        <f>""</f>
        <v/>
      </c>
      <c r="Z27" t="str">
        <f>""</f>
        <v/>
      </c>
    </row>
    <row r="28" spans="2:26" x14ac:dyDescent="0.2">
      <c r="B28" s="15" t="s">
        <v>20</v>
      </c>
      <c r="C28" s="12"/>
      <c r="D28" s="12"/>
      <c r="E28" s="30" t="str">
        <f>""</f>
        <v/>
      </c>
      <c r="F28" s="30" t="str">
        <f>""</f>
        <v/>
      </c>
      <c r="G28" s="30" t="str">
        <f>""</f>
        <v/>
      </c>
      <c r="H28" s="30" t="str">
        <f>""</f>
        <v/>
      </c>
      <c r="I28" s="30" t="str">
        <f>""</f>
        <v/>
      </c>
      <c r="J28" s="30" t="str">
        <f>""</f>
        <v/>
      </c>
      <c r="K28" s="30" t="str">
        <f>""</f>
        <v/>
      </c>
      <c r="L28" s="30" t="str">
        <f>""</f>
        <v/>
      </c>
      <c r="M28" s="30" t="str">
        <f>"0.001"</f>
        <v>0.001</v>
      </c>
      <c r="N28" s="31" t="str">
        <f>""</f>
        <v/>
      </c>
      <c r="O28" s="12"/>
      <c r="P28" s="12"/>
      <c r="Q28" t="str">
        <f>""</f>
        <v/>
      </c>
      <c r="R28" t="str">
        <f>""</f>
        <v/>
      </c>
      <c r="S28" t="str">
        <f>""</f>
        <v/>
      </c>
      <c r="T28" t="str">
        <f>""</f>
        <v/>
      </c>
      <c r="U28" t="str">
        <f>""</f>
        <v/>
      </c>
      <c r="V28" t="str">
        <f>""</f>
        <v/>
      </c>
      <c r="W28" t="str">
        <f>""</f>
        <v/>
      </c>
      <c r="X28" t="str">
        <f>""</f>
        <v/>
      </c>
      <c r="Y28" t="str">
        <f>"-0.034"</f>
        <v>-0.034</v>
      </c>
      <c r="Z28" t="str">
        <f>""</f>
        <v/>
      </c>
    </row>
    <row r="29" spans="2:26" x14ac:dyDescent="0.2">
      <c r="B29" s="30"/>
      <c r="C29" s="12"/>
      <c r="D29" s="12"/>
      <c r="E29" s="30" t="str">
        <f>""</f>
        <v/>
      </c>
      <c r="F29" s="30" t="str">
        <f>""</f>
        <v/>
      </c>
      <c r="G29" s="30" t="str">
        <f>""</f>
        <v/>
      </c>
      <c r="H29" s="30" t="str">
        <f>""</f>
        <v/>
      </c>
      <c r="I29" s="30" t="str">
        <f>""</f>
        <v/>
      </c>
      <c r="J29" s="30" t="str">
        <f>""</f>
        <v/>
      </c>
      <c r="K29" s="30" t="str">
        <f>""</f>
        <v/>
      </c>
      <c r="L29" s="30" t="str">
        <f>""</f>
        <v/>
      </c>
      <c r="M29" s="30" t="str">
        <f>"[0.036]"</f>
        <v>[0.036]</v>
      </c>
      <c r="N29" s="31" t="str">
        <f>""</f>
        <v/>
      </c>
      <c r="O29" s="12"/>
      <c r="P29" s="12"/>
      <c r="Q29" t="str">
        <f>""</f>
        <v/>
      </c>
      <c r="R29" t="str">
        <f>""</f>
        <v/>
      </c>
      <c r="S29" t="str">
        <f>""</f>
        <v/>
      </c>
      <c r="T29" t="str">
        <f>""</f>
        <v/>
      </c>
      <c r="U29" t="str">
        <f>""</f>
        <v/>
      </c>
      <c r="V29" t="str">
        <f>""</f>
        <v/>
      </c>
      <c r="W29" t="str">
        <f>""</f>
        <v/>
      </c>
      <c r="X29" t="str">
        <f>""</f>
        <v/>
      </c>
      <c r="Y29" t="str">
        <f>"[0.034]"</f>
        <v>[0.034]</v>
      </c>
      <c r="Z29" t="str">
        <f>""</f>
        <v/>
      </c>
    </row>
    <row r="30" spans="2:26" x14ac:dyDescent="0.2">
      <c r="B30" s="15" t="s">
        <v>21</v>
      </c>
      <c r="C30" s="12"/>
      <c r="D30" s="12"/>
      <c r="E30" s="30" t="str">
        <f>""</f>
        <v/>
      </c>
      <c r="F30" s="30" t="str">
        <f>""</f>
        <v/>
      </c>
      <c r="G30" s="30" t="str">
        <f>""</f>
        <v/>
      </c>
      <c r="H30" s="30" t="str">
        <f>""</f>
        <v/>
      </c>
      <c r="I30" s="30" t="str">
        <f>""</f>
        <v/>
      </c>
      <c r="J30" s="30" t="str">
        <f>""</f>
        <v/>
      </c>
      <c r="K30" s="30" t="str">
        <f>""</f>
        <v/>
      </c>
      <c r="L30" s="30" t="str">
        <f>""</f>
        <v/>
      </c>
      <c r="M30" s="30" t="str">
        <f>""</f>
        <v/>
      </c>
      <c r="N30" s="31" t="str">
        <f>"-0.059**"</f>
        <v>-0.059**</v>
      </c>
      <c r="O30" s="12"/>
      <c r="P30" s="12"/>
      <c r="Q30" t="str">
        <f>""</f>
        <v/>
      </c>
      <c r="R30" t="str">
        <f>""</f>
        <v/>
      </c>
      <c r="S30" t="str">
        <f>""</f>
        <v/>
      </c>
      <c r="T30" t="str">
        <f>""</f>
        <v/>
      </c>
      <c r="U30" t="str">
        <f>""</f>
        <v/>
      </c>
      <c r="V30" t="str">
        <f>""</f>
        <v/>
      </c>
      <c r="W30" t="str">
        <f>""</f>
        <v/>
      </c>
      <c r="X30" t="str">
        <f>""</f>
        <v/>
      </c>
      <c r="Y30" t="str">
        <f>""</f>
        <v/>
      </c>
      <c r="Z30" t="str">
        <f>"-0.037"</f>
        <v>-0.037</v>
      </c>
    </row>
    <row r="31" spans="2:26" x14ac:dyDescent="0.2">
      <c r="B31" s="30"/>
      <c r="C31" s="12"/>
      <c r="D31" s="12"/>
      <c r="E31" s="30" t="str">
        <f>""</f>
        <v/>
      </c>
      <c r="F31" s="30" t="str">
        <f>""</f>
        <v/>
      </c>
      <c r="G31" s="30" t="str">
        <f>""</f>
        <v/>
      </c>
      <c r="H31" s="30" t="str">
        <f>""</f>
        <v/>
      </c>
      <c r="I31" s="30" t="str">
        <f>""</f>
        <v/>
      </c>
      <c r="J31" s="30" t="str">
        <f>""</f>
        <v/>
      </c>
      <c r="K31" s="30" t="str">
        <f>""</f>
        <v/>
      </c>
      <c r="L31" s="30" t="str">
        <f>""</f>
        <v/>
      </c>
      <c r="M31" s="30" t="str">
        <f>""</f>
        <v/>
      </c>
      <c r="N31" s="31" t="str">
        <f>"[0.026]"</f>
        <v>[0.026]</v>
      </c>
      <c r="O31" s="12"/>
      <c r="P31" s="12"/>
      <c r="Q31" t="str">
        <f>""</f>
        <v/>
      </c>
      <c r="R31" t="str">
        <f>""</f>
        <v/>
      </c>
      <c r="S31" t="str">
        <f>""</f>
        <v/>
      </c>
      <c r="T31" t="str">
        <f>""</f>
        <v/>
      </c>
      <c r="U31" t="str">
        <f>""</f>
        <v/>
      </c>
      <c r="V31" t="str">
        <f>""</f>
        <v/>
      </c>
      <c r="W31" t="str">
        <f>""</f>
        <v/>
      </c>
      <c r="X31" t="str">
        <f>""</f>
        <v/>
      </c>
      <c r="Y31" t="str">
        <f>""</f>
        <v/>
      </c>
      <c r="Z31" t="str">
        <f>"[0.025]"</f>
        <v>[0.025]</v>
      </c>
    </row>
    <row r="32" spans="2:26" x14ac:dyDescent="0.2">
      <c r="B32" s="16" t="s">
        <v>22</v>
      </c>
      <c r="C32" s="17" t="str">
        <f t="shared" ref="C32:Z32" si="0">"1655"</f>
        <v>1655</v>
      </c>
      <c r="D32" s="17" t="str">
        <f t="shared" si="0"/>
        <v>1655</v>
      </c>
      <c r="E32" s="17" t="str">
        <f t="shared" si="0"/>
        <v>1655</v>
      </c>
      <c r="F32" s="17" t="str">
        <f t="shared" si="0"/>
        <v>1655</v>
      </c>
      <c r="G32" s="17" t="str">
        <f t="shared" si="0"/>
        <v>1655</v>
      </c>
      <c r="H32" s="17" t="str">
        <f t="shared" si="0"/>
        <v>1655</v>
      </c>
      <c r="I32" s="17" t="str">
        <f t="shared" si="0"/>
        <v>1655</v>
      </c>
      <c r="J32" s="17" t="str">
        <f t="shared" si="0"/>
        <v>1655</v>
      </c>
      <c r="K32" s="17" t="str">
        <f t="shared" si="0"/>
        <v>1655</v>
      </c>
      <c r="L32" s="17" t="str">
        <f t="shared" si="0"/>
        <v>1655</v>
      </c>
      <c r="M32" s="17" t="str">
        <f t="shared" si="0"/>
        <v>1655</v>
      </c>
      <c r="N32" s="33" t="str">
        <f t="shared" si="0"/>
        <v>1655</v>
      </c>
      <c r="O32" s="17" t="str">
        <f t="shared" si="0"/>
        <v>1655</v>
      </c>
      <c r="P32" s="17" t="str">
        <f t="shared" si="0"/>
        <v>1655</v>
      </c>
      <c r="Q32" s="17" t="str">
        <f t="shared" si="0"/>
        <v>1655</v>
      </c>
      <c r="R32" s="17" t="str">
        <f t="shared" si="0"/>
        <v>1655</v>
      </c>
      <c r="S32" s="17" t="str">
        <f t="shared" si="0"/>
        <v>1655</v>
      </c>
      <c r="T32" s="17" t="str">
        <f t="shared" si="0"/>
        <v>1655</v>
      </c>
      <c r="U32" s="17" t="str">
        <f t="shared" si="0"/>
        <v>1655</v>
      </c>
      <c r="V32" s="17" t="str">
        <f t="shared" si="0"/>
        <v>1655</v>
      </c>
      <c r="W32" s="17" t="str">
        <f t="shared" si="0"/>
        <v>1655</v>
      </c>
      <c r="X32" s="17" t="str">
        <f t="shared" si="0"/>
        <v>1655</v>
      </c>
      <c r="Y32" s="17" t="str">
        <f t="shared" si="0"/>
        <v>1655</v>
      </c>
      <c r="Z32" s="17" t="str">
        <f t="shared" si="0"/>
        <v>1655</v>
      </c>
    </row>
    <row r="33" spans="2:26" x14ac:dyDescent="0.2">
      <c r="B33" s="18" t="s">
        <v>23</v>
      </c>
      <c r="C33" s="19" t="str">
        <f t="shared" ref="C33:N33" si="1">"0.337"</f>
        <v>0.337</v>
      </c>
      <c r="D33" s="19" t="str">
        <f t="shared" si="1"/>
        <v>0.337</v>
      </c>
      <c r="E33" s="19" t="str">
        <f t="shared" si="1"/>
        <v>0.337</v>
      </c>
      <c r="F33" s="19" t="str">
        <f t="shared" si="1"/>
        <v>0.337</v>
      </c>
      <c r="G33" s="19" t="str">
        <f t="shared" si="1"/>
        <v>0.337</v>
      </c>
      <c r="H33" s="19" t="str">
        <f t="shared" si="1"/>
        <v>0.337</v>
      </c>
      <c r="I33" s="19" t="str">
        <f t="shared" si="1"/>
        <v>0.337</v>
      </c>
      <c r="J33" s="19" t="str">
        <f t="shared" si="1"/>
        <v>0.337</v>
      </c>
      <c r="K33" s="19" t="str">
        <f t="shared" si="1"/>
        <v>0.337</v>
      </c>
      <c r="L33" s="19" t="str">
        <f t="shared" si="1"/>
        <v>0.337</v>
      </c>
      <c r="M33" s="19" t="str">
        <f t="shared" si="1"/>
        <v>0.337</v>
      </c>
      <c r="N33" s="34" t="str">
        <f t="shared" si="1"/>
        <v>0.337</v>
      </c>
      <c r="O33" s="19" t="str">
        <f t="shared" ref="O33:Z33" si="2">"0.186"</f>
        <v>0.186</v>
      </c>
      <c r="P33" s="19" t="str">
        <f t="shared" si="2"/>
        <v>0.186</v>
      </c>
      <c r="Q33" s="19" t="str">
        <f t="shared" si="2"/>
        <v>0.186</v>
      </c>
      <c r="R33" s="19" t="str">
        <f t="shared" si="2"/>
        <v>0.186</v>
      </c>
      <c r="S33" s="19" t="str">
        <f t="shared" si="2"/>
        <v>0.186</v>
      </c>
      <c r="T33" s="19" t="str">
        <f t="shared" si="2"/>
        <v>0.186</v>
      </c>
      <c r="U33" s="19" t="str">
        <f t="shared" si="2"/>
        <v>0.186</v>
      </c>
      <c r="V33" s="19" t="str">
        <f t="shared" si="2"/>
        <v>0.186</v>
      </c>
      <c r="W33" s="19" t="str">
        <f t="shared" si="2"/>
        <v>0.186</v>
      </c>
      <c r="X33" s="19" t="str">
        <f t="shared" si="2"/>
        <v>0.186</v>
      </c>
      <c r="Y33" s="19" t="str">
        <f t="shared" si="2"/>
        <v>0.186</v>
      </c>
      <c r="Z33" s="19" t="str">
        <f t="shared" si="2"/>
        <v>0.186</v>
      </c>
    </row>
    <row r="34" spans="2:26" x14ac:dyDescent="0.2">
      <c r="B34" s="20" t="s">
        <v>24</v>
      </c>
      <c r="C34" s="21" t="s">
        <v>25</v>
      </c>
      <c r="D34" s="21" t="s">
        <v>25</v>
      </c>
      <c r="E34" s="21" t="s">
        <v>25</v>
      </c>
      <c r="F34" s="21" t="s">
        <v>25</v>
      </c>
      <c r="G34" s="21" t="s">
        <v>25</v>
      </c>
      <c r="H34" s="21" t="s">
        <v>25</v>
      </c>
      <c r="I34" s="21" t="s">
        <v>25</v>
      </c>
      <c r="J34" s="21" t="s">
        <v>25</v>
      </c>
      <c r="K34" s="21" t="s">
        <v>25</v>
      </c>
      <c r="L34" s="21" t="s">
        <v>25</v>
      </c>
      <c r="M34" s="21" t="s">
        <v>25</v>
      </c>
      <c r="N34" s="35" t="s">
        <v>25</v>
      </c>
      <c r="O34" s="21" t="s">
        <v>25</v>
      </c>
      <c r="P34" s="21" t="s">
        <v>25</v>
      </c>
      <c r="Q34" s="21" t="s">
        <v>25</v>
      </c>
      <c r="R34" s="21" t="s">
        <v>25</v>
      </c>
      <c r="S34" s="21" t="s">
        <v>25</v>
      </c>
      <c r="T34" s="21" t="s">
        <v>25</v>
      </c>
      <c r="U34" s="21" t="s">
        <v>25</v>
      </c>
      <c r="V34" s="21" t="s">
        <v>25</v>
      </c>
      <c r="W34" s="21" t="s">
        <v>25</v>
      </c>
      <c r="X34" s="21" t="s">
        <v>25</v>
      </c>
      <c r="Y34" s="21" t="s">
        <v>25</v>
      </c>
      <c r="Z34" s="21" t="s">
        <v>25</v>
      </c>
    </row>
    <row r="35" spans="2:26" x14ac:dyDescent="0.2">
      <c r="B35" s="20" t="s">
        <v>26</v>
      </c>
      <c r="C35" s="21" t="s">
        <v>25</v>
      </c>
      <c r="D35" s="21" t="s">
        <v>25</v>
      </c>
      <c r="E35" s="21" t="s">
        <v>25</v>
      </c>
      <c r="F35" s="21" t="s">
        <v>25</v>
      </c>
      <c r="G35" s="21" t="s">
        <v>25</v>
      </c>
      <c r="H35" s="21" t="s">
        <v>25</v>
      </c>
      <c r="I35" s="21" t="s">
        <v>25</v>
      </c>
      <c r="J35" s="21" t="s">
        <v>25</v>
      </c>
      <c r="K35" s="21" t="s">
        <v>25</v>
      </c>
      <c r="L35" s="21" t="s">
        <v>25</v>
      </c>
      <c r="M35" s="21" t="s">
        <v>25</v>
      </c>
      <c r="N35" s="35" t="s">
        <v>25</v>
      </c>
      <c r="O35" s="21" t="s">
        <v>25</v>
      </c>
      <c r="P35" s="21" t="s">
        <v>25</v>
      </c>
      <c r="Q35" s="21" t="s">
        <v>25</v>
      </c>
      <c r="R35" s="21" t="s">
        <v>25</v>
      </c>
      <c r="S35" s="21" t="s">
        <v>25</v>
      </c>
      <c r="T35" s="21" t="s">
        <v>25</v>
      </c>
      <c r="U35" s="21" t="s">
        <v>25</v>
      </c>
      <c r="V35" s="21" t="s">
        <v>25</v>
      </c>
      <c r="W35" s="21" t="s">
        <v>25</v>
      </c>
      <c r="X35" s="21" t="s">
        <v>25</v>
      </c>
      <c r="Y35" s="21" t="s">
        <v>25</v>
      </c>
      <c r="Z35" s="21" t="s">
        <v>25</v>
      </c>
    </row>
    <row r="36" spans="2:26" x14ac:dyDescent="0.2">
      <c r="B36" s="22" t="s">
        <v>27</v>
      </c>
      <c r="C36" s="23" t="s">
        <v>25</v>
      </c>
      <c r="D36" s="23" t="s">
        <v>25</v>
      </c>
      <c r="E36" s="23" t="s">
        <v>25</v>
      </c>
      <c r="F36" s="23" t="s">
        <v>25</v>
      </c>
      <c r="G36" s="23" t="s">
        <v>25</v>
      </c>
      <c r="H36" s="23" t="s">
        <v>25</v>
      </c>
      <c r="I36" s="23" t="s">
        <v>25</v>
      </c>
      <c r="J36" s="23" t="s">
        <v>25</v>
      </c>
      <c r="K36" s="23" t="s">
        <v>25</v>
      </c>
      <c r="L36" s="23" t="s">
        <v>25</v>
      </c>
      <c r="M36" s="23" t="s">
        <v>25</v>
      </c>
      <c r="N36" s="36" t="s">
        <v>25</v>
      </c>
      <c r="O36" s="23" t="s">
        <v>25</v>
      </c>
      <c r="P36" s="23" t="s">
        <v>25</v>
      </c>
      <c r="Q36" s="23" t="s">
        <v>25</v>
      </c>
      <c r="R36" s="23" t="s">
        <v>25</v>
      </c>
      <c r="S36" s="23" t="s">
        <v>25</v>
      </c>
      <c r="T36" s="23" t="s">
        <v>25</v>
      </c>
      <c r="U36" s="23" t="s">
        <v>25</v>
      </c>
      <c r="V36" s="23" t="s">
        <v>25</v>
      </c>
      <c r="W36" s="23" t="s">
        <v>25</v>
      </c>
      <c r="X36" s="23" t="s">
        <v>25</v>
      </c>
      <c r="Y36" s="23" t="s">
        <v>25</v>
      </c>
      <c r="Z36" s="23" t="s">
        <v>25</v>
      </c>
    </row>
    <row r="37" spans="2:26" ht="93" customHeight="1" x14ac:dyDescent="0.2">
      <c r="B37" s="75" t="s">
        <v>74</v>
      </c>
      <c r="C37" s="75"/>
      <c r="D37" s="75"/>
      <c r="E37" s="75"/>
      <c r="F37" s="75"/>
      <c r="G37" s="75"/>
      <c r="H37" s="75"/>
      <c r="I37" s="75"/>
      <c r="J37" s="75"/>
      <c r="K37" s="75"/>
      <c r="L37" s="75"/>
      <c r="M37" s="75"/>
      <c r="N37" s="75"/>
      <c r="O37" s="75"/>
      <c r="P37" s="75"/>
      <c r="Q37" s="75"/>
      <c r="R37" s="75"/>
      <c r="S37" s="75"/>
      <c r="T37" s="75"/>
      <c r="U37" s="75"/>
      <c r="V37" s="75"/>
      <c r="W37" s="75"/>
      <c r="X37" s="75"/>
      <c r="Y37" s="75"/>
      <c r="Z37" s="75"/>
    </row>
  </sheetData>
  <mergeCells count="4">
    <mergeCell ref="B37:Z37"/>
    <mergeCell ref="C3:N3"/>
    <mergeCell ref="O3:Z3"/>
    <mergeCell ref="B2:Z2"/>
  </mergeCells>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Z37"/>
  <sheetViews>
    <sheetView showGridLines="0" workbookViewId="0">
      <selection activeCell="B3" sqref="B3"/>
    </sheetView>
  </sheetViews>
  <sheetFormatPr baseColWidth="10" defaultColWidth="11" defaultRowHeight="16" x14ac:dyDescent="0.2"/>
  <cols>
    <col min="2" max="2" width="57.1640625" customWidth="1"/>
  </cols>
  <sheetData>
    <row r="2" spans="2:26" x14ac:dyDescent="0.2">
      <c r="B2" s="74" t="s">
        <v>115</v>
      </c>
      <c r="C2" s="74"/>
      <c r="D2" s="74"/>
      <c r="E2" s="74"/>
      <c r="F2" s="74"/>
      <c r="G2" s="74"/>
      <c r="H2" s="74"/>
      <c r="I2" s="74"/>
      <c r="J2" s="74"/>
      <c r="K2" s="74"/>
      <c r="L2" s="74"/>
      <c r="M2" s="74"/>
      <c r="N2" s="74"/>
      <c r="O2" s="74"/>
      <c r="P2" s="74"/>
      <c r="Q2" s="74"/>
      <c r="R2" s="74"/>
      <c r="S2" s="74"/>
      <c r="T2" s="74"/>
      <c r="U2" s="74"/>
      <c r="V2" s="74"/>
      <c r="W2" s="74"/>
      <c r="X2" s="74"/>
      <c r="Y2" s="74"/>
      <c r="Z2" s="74"/>
    </row>
    <row r="3" spans="2:26" x14ac:dyDescent="0.2">
      <c r="B3" s="38"/>
      <c r="C3" s="81" t="s">
        <v>49</v>
      </c>
      <c r="D3" s="81"/>
      <c r="E3" s="81"/>
      <c r="F3" s="81"/>
      <c r="G3" s="81"/>
      <c r="H3" s="81"/>
      <c r="I3" s="81"/>
      <c r="J3" s="81"/>
      <c r="K3" s="81"/>
      <c r="L3" s="81"/>
      <c r="M3" s="81"/>
      <c r="N3" s="82"/>
      <c r="O3" s="84" t="s">
        <v>50</v>
      </c>
      <c r="P3" s="84"/>
      <c r="Q3" s="84"/>
      <c r="R3" s="84"/>
      <c r="S3" s="84"/>
      <c r="T3" s="84"/>
      <c r="U3" s="84"/>
      <c r="V3" s="84"/>
      <c r="W3" s="84"/>
      <c r="X3" s="84"/>
      <c r="Y3" s="84"/>
      <c r="Z3" s="84"/>
    </row>
    <row r="4" spans="2:26" ht="51" customHeight="1" thickBot="1" x14ac:dyDescent="0.25">
      <c r="B4" s="24" t="s">
        <v>52</v>
      </c>
      <c r="C4" s="25" t="s">
        <v>1</v>
      </c>
      <c r="D4" s="25" t="s">
        <v>2</v>
      </c>
      <c r="E4" s="25" t="s">
        <v>3</v>
      </c>
      <c r="F4" s="25" t="s">
        <v>4</v>
      </c>
      <c r="G4" s="25" t="s">
        <v>5</v>
      </c>
      <c r="H4" s="25" t="s">
        <v>6</v>
      </c>
      <c r="I4" s="25" t="s">
        <v>7</v>
      </c>
      <c r="J4" s="25" t="s">
        <v>8</v>
      </c>
      <c r="K4" s="25" t="s">
        <v>9</v>
      </c>
      <c r="L4" s="25" t="s">
        <v>10</v>
      </c>
      <c r="M4" s="25" t="s">
        <v>11</v>
      </c>
      <c r="N4" s="37" t="s">
        <v>12</v>
      </c>
      <c r="O4" s="25" t="s">
        <v>28</v>
      </c>
      <c r="P4" s="25" t="s">
        <v>29</v>
      </c>
      <c r="Q4" s="25" t="s">
        <v>30</v>
      </c>
      <c r="R4" s="25" t="s">
        <v>31</v>
      </c>
      <c r="S4" s="25" t="s">
        <v>32</v>
      </c>
      <c r="T4" s="25" t="s">
        <v>33</v>
      </c>
      <c r="U4" s="25" t="s">
        <v>34</v>
      </c>
      <c r="V4" s="25" t="s">
        <v>35</v>
      </c>
      <c r="W4" s="25" t="s">
        <v>36</v>
      </c>
      <c r="X4" s="25" t="s">
        <v>37</v>
      </c>
      <c r="Y4" s="25" t="s">
        <v>38</v>
      </c>
      <c r="Z4" s="25" t="s">
        <v>39</v>
      </c>
    </row>
    <row r="5" spans="2:26" ht="23" customHeight="1" thickTop="1" x14ac:dyDescent="0.2">
      <c r="B5" s="3" t="s">
        <v>13</v>
      </c>
      <c r="C5" s="4"/>
      <c r="D5" s="4"/>
      <c r="E5" s="4"/>
      <c r="F5" s="4"/>
      <c r="G5" s="4"/>
      <c r="H5" s="4"/>
      <c r="I5" s="4"/>
      <c r="J5" s="4"/>
      <c r="K5" s="4"/>
      <c r="L5" s="30"/>
      <c r="M5" s="30"/>
      <c r="N5" s="31"/>
      <c r="O5" s="4"/>
      <c r="P5" s="4"/>
      <c r="Q5" s="4"/>
      <c r="R5" s="4"/>
      <c r="S5" s="4"/>
      <c r="T5" s="4"/>
      <c r="U5" s="4"/>
      <c r="V5" s="4"/>
      <c r="W5" s="4"/>
    </row>
    <row r="6" spans="2:26" x14ac:dyDescent="0.2">
      <c r="B6" s="5" t="s">
        <v>14</v>
      </c>
      <c r="C6" s="12" t="str">
        <f>"-0.079"</f>
        <v>-0.079</v>
      </c>
      <c r="D6" s="12" t="str">
        <f>""</f>
        <v/>
      </c>
      <c r="E6" s="12"/>
      <c r="F6" s="12"/>
      <c r="G6" s="12"/>
      <c r="H6" s="12"/>
      <c r="I6" s="12"/>
      <c r="J6" s="12"/>
      <c r="K6" s="12"/>
      <c r="L6" s="30"/>
      <c r="M6" s="30"/>
      <c r="N6" s="31"/>
      <c r="O6" s="6" t="str">
        <f>"0.166***"</f>
        <v>0.166***</v>
      </c>
      <c r="P6" s="6" t="str">
        <f>""</f>
        <v/>
      </c>
      <c r="Q6" s="6"/>
      <c r="R6" s="6"/>
      <c r="S6" s="6"/>
      <c r="T6" s="6"/>
      <c r="U6" s="6"/>
      <c r="V6" s="6"/>
      <c r="W6" s="6"/>
    </row>
    <row r="7" spans="2:26" x14ac:dyDescent="0.2">
      <c r="B7" s="7"/>
      <c r="C7" s="12" t="str">
        <f>"[0.065]"</f>
        <v>[0.065]</v>
      </c>
      <c r="D7" s="12" t="str">
        <f>""</f>
        <v/>
      </c>
      <c r="E7" s="12"/>
      <c r="F7" s="12"/>
      <c r="G7" s="12"/>
      <c r="H7" s="12"/>
      <c r="I7" s="12"/>
      <c r="J7" s="12"/>
      <c r="K7" s="12"/>
      <c r="L7" s="30"/>
      <c r="M7" s="30"/>
      <c r="N7" s="31"/>
      <c r="O7" s="6" t="str">
        <f>"[0.059]"</f>
        <v>[0.059]</v>
      </c>
      <c r="P7" s="6" t="str">
        <f>""</f>
        <v/>
      </c>
      <c r="Q7" s="6"/>
      <c r="R7" s="6"/>
      <c r="S7" s="6"/>
      <c r="T7" s="6"/>
      <c r="U7" s="6"/>
      <c r="V7" s="6"/>
      <c r="W7" s="6"/>
    </row>
    <row r="8" spans="2:26" x14ac:dyDescent="0.2">
      <c r="B8" s="8" t="s">
        <v>15</v>
      </c>
      <c r="C8" s="12" t="str">
        <f>""</f>
        <v/>
      </c>
      <c r="D8" s="12" t="str">
        <f>"-0.310***"</f>
        <v>-0.310***</v>
      </c>
      <c r="E8" s="12"/>
      <c r="F8" s="12"/>
      <c r="G8" s="12"/>
      <c r="H8" s="12"/>
      <c r="I8" s="12"/>
      <c r="J8" s="12"/>
      <c r="K8" s="12"/>
      <c r="L8" s="30"/>
      <c r="M8" s="30"/>
      <c r="N8" s="31"/>
      <c r="O8" s="6" t="str">
        <f>""</f>
        <v/>
      </c>
      <c r="P8" s="6" t="str">
        <f>"3.140***"</f>
        <v>3.140***</v>
      </c>
      <c r="Q8" s="6"/>
      <c r="R8" s="6"/>
      <c r="S8" s="6"/>
      <c r="T8" s="6"/>
      <c r="U8" s="6"/>
      <c r="V8" s="6"/>
      <c r="W8" s="6"/>
    </row>
    <row r="9" spans="2:26" x14ac:dyDescent="0.2">
      <c r="B9" s="5" t="str">
        <f>""</f>
        <v/>
      </c>
      <c r="C9" s="12" t="str">
        <f>""</f>
        <v/>
      </c>
      <c r="D9" s="12" t="str">
        <f>"[0.095]"</f>
        <v>[0.095]</v>
      </c>
      <c r="E9" s="12"/>
      <c r="F9" s="12"/>
      <c r="G9" s="12"/>
      <c r="H9" s="12"/>
      <c r="I9" s="12"/>
      <c r="J9" s="12"/>
      <c r="K9" s="12"/>
      <c r="L9" s="30"/>
      <c r="M9" s="30"/>
      <c r="N9" s="31"/>
      <c r="O9" s="6" t="str">
        <f>""</f>
        <v/>
      </c>
      <c r="P9" s="6" t="str">
        <f>"[0.503]"</f>
        <v>[0.503]</v>
      </c>
      <c r="Q9" s="6"/>
      <c r="R9" s="6"/>
      <c r="S9" s="6"/>
      <c r="T9" s="6"/>
      <c r="U9" s="6"/>
      <c r="V9" s="6"/>
      <c r="W9" s="6"/>
    </row>
    <row r="10" spans="2:26" x14ac:dyDescent="0.2">
      <c r="B10" s="5"/>
      <c r="C10" s="12"/>
      <c r="D10" s="12"/>
      <c r="E10" s="12"/>
      <c r="F10" s="12"/>
      <c r="G10" s="12"/>
      <c r="H10" s="12"/>
      <c r="I10" s="12"/>
      <c r="J10" s="12"/>
      <c r="K10" s="12"/>
      <c r="L10" s="30"/>
      <c r="M10" s="30"/>
      <c r="N10" s="31"/>
      <c r="O10" s="6"/>
      <c r="P10" s="6"/>
      <c r="Q10" s="6"/>
      <c r="R10" s="6"/>
      <c r="S10" s="6"/>
      <c r="T10" s="6"/>
      <c r="U10" s="6"/>
      <c r="V10" s="6"/>
      <c r="W10" s="6"/>
    </row>
    <row r="11" spans="2:26" ht="25" customHeight="1" x14ac:dyDescent="0.2">
      <c r="B11" s="9" t="s">
        <v>16</v>
      </c>
      <c r="C11" s="10"/>
      <c r="D11" s="10"/>
      <c r="E11" s="10"/>
      <c r="F11" s="10"/>
      <c r="G11" s="10"/>
      <c r="H11" s="10"/>
      <c r="I11" s="10"/>
      <c r="J11" s="10"/>
      <c r="K11" s="10"/>
      <c r="L11" s="10"/>
      <c r="M11" s="10"/>
      <c r="N11" s="32"/>
      <c r="O11" s="10"/>
      <c r="P11" s="10"/>
      <c r="Q11" s="10"/>
      <c r="R11" s="10"/>
      <c r="S11" s="10"/>
      <c r="T11" s="10"/>
      <c r="U11" s="10"/>
      <c r="V11" s="10"/>
      <c r="W11" s="10"/>
      <c r="X11" s="10"/>
      <c r="Y11" s="10"/>
      <c r="Z11" s="10"/>
    </row>
    <row r="12" spans="2:26" ht="18" customHeight="1" x14ac:dyDescent="0.2">
      <c r="B12" s="11" t="str">
        <f>"Loss of land (yes=1) for a household in a given year"</f>
        <v>Loss of land (yes=1) for a household in a given year</v>
      </c>
      <c r="C12" s="12"/>
      <c r="D12" s="12"/>
      <c r="E12" s="30" t="str">
        <f>"0.011"</f>
        <v>0.011</v>
      </c>
      <c r="F12" s="30" t="str">
        <f>""</f>
        <v/>
      </c>
      <c r="G12" s="30" t="str">
        <f>""</f>
        <v/>
      </c>
      <c r="H12" s="30" t="str">
        <f>""</f>
        <v/>
      </c>
      <c r="I12" s="30" t="str">
        <f>""</f>
        <v/>
      </c>
      <c r="J12" s="30" t="str">
        <f>""</f>
        <v/>
      </c>
      <c r="K12" s="30" t="str">
        <f>""</f>
        <v/>
      </c>
      <c r="L12" s="30" t="str">
        <f>""</f>
        <v/>
      </c>
      <c r="M12" s="30" t="str">
        <f>""</f>
        <v/>
      </c>
      <c r="N12" s="31" t="str">
        <f>""</f>
        <v/>
      </c>
      <c r="O12" s="12"/>
      <c r="P12" s="12"/>
      <c r="Q12" t="str">
        <f>"0.065**"</f>
        <v>0.065**</v>
      </c>
      <c r="R12" t="str">
        <f>""</f>
        <v/>
      </c>
      <c r="S12" t="str">
        <f>""</f>
        <v/>
      </c>
      <c r="T12" t="str">
        <f>""</f>
        <v/>
      </c>
      <c r="U12" t="str">
        <f>""</f>
        <v/>
      </c>
      <c r="V12" t="str">
        <f>""</f>
        <v/>
      </c>
      <c r="W12" t="str">
        <f>""</f>
        <v/>
      </c>
      <c r="X12" t="str">
        <f>""</f>
        <v/>
      </c>
      <c r="Y12" t="str">
        <f>""</f>
        <v/>
      </c>
      <c r="Z12" t="str">
        <f>""</f>
        <v/>
      </c>
    </row>
    <row r="13" spans="2:26" ht="14" customHeight="1" x14ac:dyDescent="0.2">
      <c r="B13" s="11" t="str">
        <f>""</f>
        <v/>
      </c>
      <c r="C13" s="12"/>
      <c r="D13" s="12"/>
      <c r="E13" s="30" t="str">
        <f>"[0.113]"</f>
        <v>[0.113]</v>
      </c>
      <c r="F13" s="30" t="str">
        <f>""</f>
        <v/>
      </c>
      <c r="G13" s="30" t="str">
        <f>""</f>
        <v/>
      </c>
      <c r="H13" s="30" t="str">
        <f>""</f>
        <v/>
      </c>
      <c r="I13" s="30" t="str">
        <f>""</f>
        <v/>
      </c>
      <c r="J13" s="30" t="str">
        <f>""</f>
        <v/>
      </c>
      <c r="K13" s="30" t="str">
        <f>""</f>
        <v/>
      </c>
      <c r="L13" s="30" t="str">
        <f>""</f>
        <v/>
      </c>
      <c r="M13" s="30" t="str">
        <f>""</f>
        <v/>
      </c>
      <c r="N13" s="31" t="str">
        <f>""</f>
        <v/>
      </c>
      <c r="O13" s="12"/>
      <c r="P13" s="12"/>
      <c r="Q13" t="str">
        <f>"[0.029]"</f>
        <v>[0.029]</v>
      </c>
      <c r="R13" t="str">
        <f>""</f>
        <v/>
      </c>
      <c r="S13" t="str">
        <f>""</f>
        <v/>
      </c>
      <c r="T13" t="str">
        <f>""</f>
        <v/>
      </c>
      <c r="U13" t="str">
        <f>""</f>
        <v/>
      </c>
      <c r="V13" t="str">
        <f>""</f>
        <v/>
      </c>
      <c r="W13" t="str">
        <f>""</f>
        <v/>
      </c>
      <c r="X13" t="str">
        <f>""</f>
        <v/>
      </c>
      <c r="Y13" t="str">
        <f>""</f>
        <v/>
      </c>
      <c r="Z13" t="str">
        <f>""</f>
        <v/>
      </c>
    </row>
    <row r="14" spans="2:26" x14ac:dyDescent="0.2">
      <c r="B14" s="11" t="str">
        <f>"Theft of crops (yes=1) for a household in a given year"</f>
        <v>Theft of crops (yes=1) for a household in a given year</v>
      </c>
      <c r="C14" s="12"/>
      <c r="D14" s="12"/>
      <c r="E14" s="30" t="str">
        <f>""</f>
        <v/>
      </c>
      <c r="F14" s="30" t="str">
        <f>"-0.004"</f>
        <v>-0.004</v>
      </c>
      <c r="G14" s="30" t="str">
        <f>""</f>
        <v/>
      </c>
      <c r="H14" s="30" t="str">
        <f>""</f>
        <v/>
      </c>
      <c r="I14" s="30" t="str">
        <f>""</f>
        <v/>
      </c>
      <c r="J14" s="30" t="str">
        <f>""</f>
        <v/>
      </c>
      <c r="K14" s="30" t="str">
        <f>""</f>
        <v/>
      </c>
      <c r="L14" s="30" t="str">
        <f>""</f>
        <v/>
      </c>
      <c r="M14" s="30" t="str">
        <f>""</f>
        <v/>
      </c>
      <c r="N14" s="31" t="str">
        <f>""</f>
        <v/>
      </c>
      <c r="O14" s="12"/>
      <c r="P14" s="12"/>
      <c r="Q14" t="str">
        <f>""</f>
        <v/>
      </c>
      <c r="R14" t="str">
        <f>"-0.007"</f>
        <v>-0.007</v>
      </c>
      <c r="S14" t="str">
        <f>""</f>
        <v/>
      </c>
      <c r="T14" t="str">
        <f>""</f>
        <v/>
      </c>
      <c r="U14" t="str">
        <f>""</f>
        <v/>
      </c>
      <c r="V14" t="str">
        <f>""</f>
        <v/>
      </c>
      <c r="W14" t="str">
        <f>""</f>
        <v/>
      </c>
      <c r="X14" t="str">
        <f>""</f>
        <v/>
      </c>
      <c r="Y14" t="str">
        <f>""</f>
        <v/>
      </c>
      <c r="Z14" t="str">
        <f>""</f>
        <v/>
      </c>
    </row>
    <row r="15" spans="2:26" x14ac:dyDescent="0.2">
      <c r="B15" s="11" t="str">
        <f>""</f>
        <v/>
      </c>
      <c r="C15" s="12"/>
      <c r="D15" s="12"/>
      <c r="E15" s="30" t="str">
        <f>""</f>
        <v/>
      </c>
      <c r="F15" s="30" t="str">
        <f>"[0.043]"</f>
        <v>[0.043]</v>
      </c>
      <c r="G15" s="30" t="str">
        <f>""</f>
        <v/>
      </c>
      <c r="H15" s="30" t="str">
        <f>""</f>
        <v/>
      </c>
      <c r="I15" s="30" t="str">
        <f>""</f>
        <v/>
      </c>
      <c r="J15" s="30" t="str">
        <f>""</f>
        <v/>
      </c>
      <c r="K15" s="30" t="str">
        <f>""</f>
        <v/>
      </c>
      <c r="L15" s="30" t="str">
        <f>""</f>
        <v/>
      </c>
      <c r="M15" s="30" t="str">
        <f>""</f>
        <v/>
      </c>
      <c r="N15" s="31" t="str">
        <f>""</f>
        <v/>
      </c>
      <c r="O15" s="12"/>
      <c r="P15" s="12"/>
      <c r="Q15" t="str">
        <f>""</f>
        <v/>
      </c>
      <c r="R15" t="str">
        <f>"[0.058]"</f>
        <v>[0.058]</v>
      </c>
      <c r="S15" t="str">
        <f>""</f>
        <v/>
      </c>
      <c r="T15" t="str">
        <f>""</f>
        <v/>
      </c>
      <c r="U15" t="str">
        <f>""</f>
        <v/>
      </c>
      <c r="V15" t="str">
        <f>""</f>
        <v/>
      </c>
      <c r="W15" t="str">
        <f>""</f>
        <v/>
      </c>
      <c r="X15" t="str">
        <f>""</f>
        <v/>
      </c>
      <c r="Y15" t="str">
        <f>""</f>
        <v/>
      </c>
      <c r="Z15" t="str">
        <f>""</f>
        <v/>
      </c>
    </row>
    <row r="16" spans="2:26" x14ac:dyDescent="0.2">
      <c r="B16" s="13" t="str">
        <f>"Theft of money (yes=1) for a household in a given year"</f>
        <v>Theft of money (yes=1) for a household in a given year</v>
      </c>
      <c r="C16" s="14"/>
      <c r="D16" s="14"/>
      <c r="E16" s="30" t="str">
        <f>""</f>
        <v/>
      </c>
      <c r="F16" s="30" t="str">
        <f>""</f>
        <v/>
      </c>
      <c r="G16" s="30" t="str">
        <f>"-0.085"</f>
        <v>-0.085</v>
      </c>
      <c r="H16" s="30" t="str">
        <f>""</f>
        <v/>
      </c>
      <c r="I16" s="30" t="str">
        <f>""</f>
        <v/>
      </c>
      <c r="J16" s="30" t="str">
        <f>""</f>
        <v/>
      </c>
      <c r="K16" s="30" t="str">
        <f>""</f>
        <v/>
      </c>
      <c r="L16" s="30" t="str">
        <f>""</f>
        <v/>
      </c>
      <c r="M16" s="30" t="str">
        <f>""</f>
        <v/>
      </c>
      <c r="N16" s="31" t="str">
        <f>""</f>
        <v/>
      </c>
      <c r="O16" s="14"/>
      <c r="P16" s="14"/>
      <c r="Q16" t="str">
        <f>""</f>
        <v/>
      </c>
      <c r="R16" t="str">
        <f>""</f>
        <v/>
      </c>
      <c r="S16" t="str">
        <f>"-0.072"</f>
        <v>-0.072</v>
      </c>
      <c r="T16" t="str">
        <f>""</f>
        <v/>
      </c>
      <c r="U16" t="str">
        <f>""</f>
        <v/>
      </c>
      <c r="V16" t="str">
        <f>""</f>
        <v/>
      </c>
      <c r="W16" t="str">
        <f>""</f>
        <v/>
      </c>
      <c r="X16" t="str">
        <f>""</f>
        <v/>
      </c>
      <c r="Y16" t="str">
        <f>""</f>
        <v/>
      </c>
      <c r="Z16" t="str">
        <f>""</f>
        <v/>
      </c>
    </row>
    <row r="17" spans="2:26" x14ac:dyDescent="0.2">
      <c r="B17" s="11" t="str">
        <f>""</f>
        <v/>
      </c>
      <c r="C17" s="12"/>
      <c r="D17" s="12"/>
      <c r="E17" s="30" t="str">
        <f>""</f>
        <v/>
      </c>
      <c r="F17" s="30" t="str">
        <f>""</f>
        <v/>
      </c>
      <c r="G17" s="30" t="str">
        <f>"[0.056]"</f>
        <v>[0.056]</v>
      </c>
      <c r="H17" s="30" t="str">
        <f>""</f>
        <v/>
      </c>
      <c r="I17" s="30" t="str">
        <f>""</f>
        <v/>
      </c>
      <c r="J17" s="30" t="str">
        <f>""</f>
        <v/>
      </c>
      <c r="K17" s="30" t="str">
        <f>""</f>
        <v/>
      </c>
      <c r="L17" s="30" t="str">
        <f>""</f>
        <v/>
      </c>
      <c r="M17" s="30" t="str">
        <f>""</f>
        <v/>
      </c>
      <c r="N17" s="31" t="str">
        <f>""</f>
        <v/>
      </c>
      <c r="O17" s="12"/>
      <c r="P17" s="12"/>
      <c r="Q17" t="str">
        <f>""</f>
        <v/>
      </c>
      <c r="R17" t="str">
        <f>""</f>
        <v/>
      </c>
      <c r="S17" t="str">
        <f>"[0.100]"</f>
        <v>[0.100]</v>
      </c>
      <c r="T17" t="str">
        <f>""</f>
        <v/>
      </c>
      <c r="U17" t="str">
        <f>""</f>
        <v/>
      </c>
      <c r="V17" t="str">
        <f>""</f>
        <v/>
      </c>
      <c r="W17" t="str">
        <f>""</f>
        <v/>
      </c>
      <c r="X17" t="str">
        <f>""</f>
        <v/>
      </c>
      <c r="Y17" t="str">
        <f>""</f>
        <v/>
      </c>
      <c r="Z17" t="str">
        <f>""</f>
        <v/>
      </c>
    </row>
    <row r="18" spans="2:26" x14ac:dyDescent="0.2">
      <c r="B18" s="11" t="str">
        <f>"Theft or destruction of goods (yes=1) for a household in a given year"</f>
        <v>Theft or destruction of goods (yes=1) for a household in a given year</v>
      </c>
      <c r="C18" s="12"/>
      <c r="D18" s="12"/>
      <c r="E18" s="30" t="str">
        <f>""</f>
        <v/>
      </c>
      <c r="F18" s="30" t="str">
        <f>""</f>
        <v/>
      </c>
      <c r="G18" s="30" t="str">
        <f>""</f>
        <v/>
      </c>
      <c r="H18" s="30" t="str">
        <f>"-0.095"</f>
        <v>-0.095</v>
      </c>
      <c r="I18" s="30" t="str">
        <f>""</f>
        <v/>
      </c>
      <c r="J18" s="30" t="str">
        <f>""</f>
        <v/>
      </c>
      <c r="K18" s="30" t="str">
        <f>""</f>
        <v/>
      </c>
      <c r="L18" s="30" t="str">
        <f>""</f>
        <v/>
      </c>
      <c r="M18" s="30" t="str">
        <f>""</f>
        <v/>
      </c>
      <c r="N18" s="31" t="str">
        <f>""</f>
        <v/>
      </c>
      <c r="O18" s="12"/>
      <c r="P18" s="12"/>
      <c r="Q18" t="str">
        <f>""</f>
        <v/>
      </c>
      <c r="R18" t="str">
        <f>""</f>
        <v/>
      </c>
      <c r="S18" t="str">
        <f>""</f>
        <v/>
      </c>
      <c r="T18" t="str">
        <f>"-0.157*"</f>
        <v>-0.157*</v>
      </c>
      <c r="U18" t="str">
        <f>""</f>
        <v/>
      </c>
      <c r="V18" t="str">
        <f>""</f>
        <v/>
      </c>
      <c r="W18" t="str">
        <f>""</f>
        <v/>
      </c>
      <c r="X18" t="str">
        <f>""</f>
        <v/>
      </c>
      <c r="Y18" t="str">
        <f>""</f>
        <v/>
      </c>
      <c r="Z18" t="str">
        <f>""</f>
        <v/>
      </c>
    </row>
    <row r="19" spans="2:26" x14ac:dyDescent="0.2">
      <c r="B19" s="11"/>
      <c r="C19" s="12"/>
      <c r="D19" s="12"/>
      <c r="E19" s="30" t="str">
        <f>""</f>
        <v/>
      </c>
      <c r="F19" s="30" t="str">
        <f>""</f>
        <v/>
      </c>
      <c r="G19" s="30" t="str">
        <f>""</f>
        <v/>
      </c>
      <c r="H19" s="30" t="str">
        <f>"[0.068]"</f>
        <v>[0.068]</v>
      </c>
      <c r="I19" s="30" t="str">
        <f>""</f>
        <v/>
      </c>
      <c r="J19" s="30" t="str">
        <f>""</f>
        <v/>
      </c>
      <c r="K19" s="30" t="str">
        <f>""</f>
        <v/>
      </c>
      <c r="L19" s="30" t="str">
        <f>""</f>
        <v/>
      </c>
      <c r="M19" s="30" t="str">
        <f>""</f>
        <v/>
      </c>
      <c r="N19" s="31" t="str">
        <f>""</f>
        <v/>
      </c>
      <c r="O19" s="12"/>
      <c r="P19" s="12"/>
      <c r="Q19" t="str">
        <f>""</f>
        <v/>
      </c>
      <c r="R19" t="str">
        <f>""</f>
        <v/>
      </c>
      <c r="S19" t="str">
        <f>""</f>
        <v/>
      </c>
      <c r="T19" t="str">
        <f>"[0.093]"</f>
        <v>[0.093]</v>
      </c>
      <c r="U19" t="str">
        <f>""</f>
        <v/>
      </c>
      <c r="V19" t="str">
        <f>""</f>
        <v/>
      </c>
      <c r="W19" t="str">
        <f>""</f>
        <v/>
      </c>
      <c r="X19" t="str">
        <f>""</f>
        <v/>
      </c>
      <c r="Y19" t="str">
        <f>""</f>
        <v/>
      </c>
      <c r="Z19" t="str">
        <f>""</f>
        <v/>
      </c>
    </row>
    <row r="20" spans="2:26" x14ac:dyDescent="0.2">
      <c r="B20" s="11" t="str">
        <f>"Destruction of house (yes=1) for a household in a given year"</f>
        <v>Destruction of house (yes=1) for a household in a given year</v>
      </c>
      <c r="C20" s="12"/>
      <c r="D20" s="12"/>
      <c r="E20" s="30" t="str">
        <f>""</f>
        <v/>
      </c>
      <c r="F20" s="30" t="str">
        <f>""</f>
        <v/>
      </c>
      <c r="G20" s="30" t="str">
        <f>""</f>
        <v/>
      </c>
      <c r="H20" s="30" t="str">
        <f>""</f>
        <v/>
      </c>
      <c r="I20" s="30" t="str">
        <f>"-0.089"</f>
        <v>-0.089</v>
      </c>
      <c r="J20" s="30" t="str">
        <f>""</f>
        <v/>
      </c>
      <c r="K20" s="30" t="str">
        <f>""</f>
        <v/>
      </c>
      <c r="L20" s="30" t="str">
        <f>""</f>
        <v/>
      </c>
      <c r="M20" s="30" t="str">
        <f>""</f>
        <v/>
      </c>
      <c r="N20" s="31" t="str">
        <f>""</f>
        <v/>
      </c>
      <c r="O20" s="12"/>
      <c r="P20" s="12"/>
      <c r="Q20" t="str">
        <f>""</f>
        <v/>
      </c>
      <c r="R20" t="str">
        <f>""</f>
        <v/>
      </c>
      <c r="S20" t="str">
        <f>""</f>
        <v/>
      </c>
      <c r="T20" t="str">
        <f>""</f>
        <v/>
      </c>
      <c r="U20" t="str">
        <f>"0.057"</f>
        <v>0.057</v>
      </c>
      <c r="V20" t="str">
        <f>""</f>
        <v/>
      </c>
      <c r="W20" t="str">
        <f>""</f>
        <v/>
      </c>
      <c r="X20" t="str">
        <f>""</f>
        <v/>
      </c>
      <c r="Y20" t="str">
        <f>""</f>
        <v/>
      </c>
      <c r="Z20" t="str">
        <f>""</f>
        <v/>
      </c>
    </row>
    <row r="21" spans="2:26" x14ac:dyDescent="0.2">
      <c r="B21" s="11"/>
      <c r="C21" s="12"/>
      <c r="D21" s="12"/>
      <c r="E21" s="30" t="str">
        <f>""</f>
        <v/>
      </c>
      <c r="F21" s="30" t="str">
        <f>""</f>
        <v/>
      </c>
      <c r="G21" s="30" t="str">
        <f>""</f>
        <v/>
      </c>
      <c r="H21" s="30" t="str">
        <f>""</f>
        <v/>
      </c>
      <c r="I21" s="30" t="str">
        <f>"[0.112]"</f>
        <v>[0.112]</v>
      </c>
      <c r="J21" s="30" t="str">
        <f>""</f>
        <v/>
      </c>
      <c r="K21" s="30" t="str">
        <f>""</f>
        <v/>
      </c>
      <c r="L21" s="30" t="str">
        <f>""</f>
        <v/>
      </c>
      <c r="M21" s="30" t="str">
        <f>""</f>
        <v/>
      </c>
      <c r="N21" s="31" t="str">
        <f>""</f>
        <v/>
      </c>
      <c r="O21" s="12"/>
      <c r="P21" s="12"/>
      <c r="Q21" t="str">
        <f>""</f>
        <v/>
      </c>
      <c r="R21" t="str">
        <f>""</f>
        <v/>
      </c>
      <c r="S21" t="str">
        <f>""</f>
        <v/>
      </c>
      <c r="T21" t="str">
        <f>""</f>
        <v/>
      </c>
      <c r="U21" t="str">
        <f>"[0.129]"</f>
        <v>[0.129]</v>
      </c>
      <c r="V21" t="str">
        <f>""</f>
        <v/>
      </c>
      <c r="W21" t="str">
        <f>""</f>
        <v/>
      </c>
      <c r="X21" t="str">
        <f>""</f>
        <v/>
      </c>
      <c r="Y21" t="str">
        <f>""</f>
        <v/>
      </c>
      <c r="Z21" t="str">
        <f>""</f>
        <v/>
      </c>
    </row>
    <row r="22" spans="2:26" x14ac:dyDescent="0.2">
      <c r="B22" s="15" t="s">
        <v>17</v>
      </c>
      <c r="C22" s="12"/>
      <c r="D22" s="12"/>
      <c r="E22" s="30" t="str">
        <f>""</f>
        <v/>
      </c>
      <c r="F22" s="30" t="str">
        <f>""</f>
        <v/>
      </c>
      <c r="G22" s="30" t="str">
        <f>""</f>
        <v/>
      </c>
      <c r="H22" s="30" t="str">
        <f>""</f>
        <v/>
      </c>
      <c r="I22" s="30" t="str">
        <f>""</f>
        <v/>
      </c>
      <c r="J22" s="30" t="str">
        <f>"-0.012"</f>
        <v>-0.012</v>
      </c>
      <c r="K22" s="30" t="str">
        <f>""</f>
        <v/>
      </c>
      <c r="L22" s="30" t="str">
        <f>""</f>
        <v/>
      </c>
      <c r="M22" s="30" t="str">
        <f>""</f>
        <v/>
      </c>
      <c r="N22" s="31" t="str">
        <f>""</f>
        <v/>
      </c>
      <c r="O22" s="12"/>
      <c r="P22" s="12"/>
      <c r="Q22" t="str">
        <f>""</f>
        <v/>
      </c>
      <c r="R22" t="str">
        <f>""</f>
        <v/>
      </c>
      <c r="S22" t="str">
        <f>""</f>
        <v/>
      </c>
      <c r="T22" t="str">
        <f>""</f>
        <v/>
      </c>
      <c r="U22" t="str">
        <f>""</f>
        <v/>
      </c>
      <c r="V22" t="str">
        <f>"-0.009"</f>
        <v>-0.009</v>
      </c>
      <c r="W22" t="str">
        <f>""</f>
        <v/>
      </c>
      <c r="X22" t="str">
        <f>""</f>
        <v/>
      </c>
      <c r="Y22" t="str">
        <f>""</f>
        <v/>
      </c>
      <c r="Z22" t="str">
        <f>""</f>
        <v/>
      </c>
    </row>
    <row r="23" spans="2:26" x14ac:dyDescent="0.2">
      <c r="C23" s="12"/>
      <c r="D23" s="12"/>
      <c r="E23" s="30" t="str">
        <f>""</f>
        <v/>
      </c>
      <c r="F23" s="30" t="str">
        <f>""</f>
        <v/>
      </c>
      <c r="G23" s="30" t="str">
        <f>""</f>
        <v/>
      </c>
      <c r="H23" s="30" t="str">
        <f>""</f>
        <v/>
      </c>
      <c r="I23" s="30" t="str">
        <f>""</f>
        <v/>
      </c>
      <c r="J23" s="30" t="str">
        <f>"[0.009]"</f>
        <v>[0.009]</v>
      </c>
      <c r="K23" s="30" t="str">
        <f>""</f>
        <v/>
      </c>
      <c r="L23" s="30" t="str">
        <f>""</f>
        <v/>
      </c>
      <c r="M23" s="30" t="str">
        <f>""</f>
        <v/>
      </c>
      <c r="N23" s="31" t="str">
        <f>""</f>
        <v/>
      </c>
      <c r="O23" s="12"/>
      <c r="P23" s="12"/>
      <c r="Q23" t="str">
        <f>""</f>
        <v/>
      </c>
      <c r="R23" t="str">
        <f>""</f>
        <v/>
      </c>
      <c r="S23" t="str">
        <f>""</f>
        <v/>
      </c>
      <c r="T23" t="str">
        <f>""</f>
        <v/>
      </c>
      <c r="U23" t="str">
        <f>""</f>
        <v/>
      </c>
      <c r="V23" t="str">
        <f>"[0.013]"</f>
        <v>[0.013]</v>
      </c>
      <c r="W23" t="str">
        <f>""</f>
        <v/>
      </c>
      <c r="X23" t="str">
        <f>""</f>
        <v/>
      </c>
      <c r="Y23" t="str">
        <f>""</f>
        <v/>
      </c>
      <c r="Z23" t="str">
        <f>""</f>
        <v/>
      </c>
    </row>
    <row r="24" spans="2:26" x14ac:dyDescent="0.2">
      <c r="B24" s="15" t="s">
        <v>18</v>
      </c>
      <c r="C24" s="12"/>
      <c r="D24" s="12"/>
      <c r="E24" s="30" t="str">
        <f>""</f>
        <v/>
      </c>
      <c r="F24" s="30" t="str">
        <f>""</f>
        <v/>
      </c>
      <c r="G24" s="30" t="str">
        <f>""</f>
        <v/>
      </c>
      <c r="H24" s="30" t="str">
        <f>""</f>
        <v/>
      </c>
      <c r="I24" s="30" t="str">
        <f>""</f>
        <v/>
      </c>
      <c r="J24" s="30" t="str">
        <f>""</f>
        <v/>
      </c>
      <c r="K24" s="30" t="str">
        <f>"0.000"</f>
        <v>0.000</v>
      </c>
      <c r="L24" s="30" t="str">
        <f>""</f>
        <v/>
      </c>
      <c r="M24" s="30" t="str">
        <f>""</f>
        <v/>
      </c>
      <c r="N24" s="31" t="str">
        <f>""</f>
        <v/>
      </c>
      <c r="O24" s="12"/>
      <c r="P24" s="12"/>
      <c r="Q24" t="str">
        <f>""</f>
        <v/>
      </c>
      <c r="R24" t="str">
        <f>""</f>
        <v/>
      </c>
      <c r="S24" t="str">
        <f>""</f>
        <v/>
      </c>
      <c r="T24" t="str">
        <f>""</f>
        <v/>
      </c>
      <c r="U24" t="str">
        <f>""</f>
        <v/>
      </c>
      <c r="V24" t="str">
        <f>""</f>
        <v/>
      </c>
      <c r="W24" t="str">
        <f>"0.003"</f>
        <v>0.003</v>
      </c>
      <c r="X24" t="str">
        <f>""</f>
        <v/>
      </c>
      <c r="Y24" t="str">
        <f>""</f>
        <v/>
      </c>
      <c r="Z24" t="str">
        <f>""</f>
        <v/>
      </c>
    </row>
    <row r="25" spans="2:26" x14ac:dyDescent="0.2">
      <c r="C25" s="12"/>
      <c r="D25" s="12"/>
      <c r="E25" s="30" t="str">
        <f>""</f>
        <v/>
      </c>
      <c r="F25" s="30" t="str">
        <f>""</f>
        <v/>
      </c>
      <c r="G25" s="30" t="str">
        <f>""</f>
        <v/>
      </c>
      <c r="H25" s="30" t="str">
        <f>""</f>
        <v/>
      </c>
      <c r="I25" s="30" t="str">
        <f>""</f>
        <v/>
      </c>
      <c r="J25" s="30" t="str">
        <f>""</f>
        <v/>
      </c>
      <c r="K25" s="30" t="str">
        <f>"[0.013]"</f>
        <v>[0.013]</v>
      </c>
      <c r="L25" s="30" t="str">
        <f>""</f>
        <v/>
      </c>
      <c r="M25" s="30" t="str">
        <f>""</f>
        <v/>
      </c>
      <c r="N25" s="31" t="str">
        <f>""</f>
        <v/>
      </c>
      <c r="O25" s="12"/>
      <c r="P25" s="12"/>
      <c r="Q25" t="str">
        <f>""</f>
        <v/>
      </c>
      <c r="R25" t="str">
        <f>""</f>
        <v/>
      </c>
      <c r="S25" t="str">
        <f>""</f>
        <v/>
      </c>
      <c r="T25" t="str">
        <f>""</f>
        <v/>
      </c>
      <c r="U25" t="str">
        <f>""</f>
        <v/>
      </c>
      <c r="V25" t="str">
        <f>""</f>
        <v/>
      </c>
      <c r="W25" t="str">
        <f>"[0.010]"</f>
        <v>[0.010]</v>
      </c>
      <c r="X25" t="str">
        <f>""</f>
        <v/>
      </c>
      <c r="Y25" t="str">
        <f>""</f>
        <v/>
      </c>
      <c r="Z25" t="str">
        <f>""</f>
        <v/>
      </c>
    </row>
    <row r="26" spans="2:26" x14ac:dyDescent="0.2">
      <c r="B26" s="15" t="s">
        <v>19</v>
      </c>
      <c r="C26" s="12"/>
      <c r="D26" s="12"/>
      <c r="E26" s="30" t="str">
        <f>""</f>
        <v/>
      </c>
      <c r="F26" s="30" t="str">
        <f>""</f>
        <v/>
      </c>
      <c r="G26" s="30" t="str">
        <f>""</f>
        <v/>
      </c>
      <c r="H26" s="30" t="str">
        <f>""</f>
        <v/>
      </c>
      <c r="I26" s="30" t="str">
        <f>""</f>
        <v/>
      </c>
      <c r="J26" s="30" t="str">
        <f>""</f>
        <v/>
      </c>
      <c r="K26" s="30" t="str">
        <f>""</f>
        <v/>
      </c>
      <c r="L26" s="30" t="str">
        <f>"-0.017*"</f>
        <v>-0.017*</v>
      </c>
      <c r="M26" s="30" t="str">
        <f>""</f>
        <v/>
      </c>
      <c r="N26" s="31" t="str">
        <f>""</f>
        <v/>
      </c>
      <c r="O26" s="12"/>
      <c r="P26" s="12"/>
      <c r="Q26" t="str">
        <f>""</f>
        <v/>
      </c>
      <c r="R26" t="str">
        <f>""</f>
        <v/>
      </c>
      <c r="S26" t="str">
        <f>""</f>
        <v/>
      </c>
      <c r="T26" t="str">
        <f>""</f>
        <v/>
      </c>
      <c r="U26" t="str">
        <f>""</f>
        <v/>
      </c>
      <c r="V26" t="str">
        <f>""</f>
        <v/>
      </c>
      <c r="W26" t="str">
        <f>""</f>
        <v/>
      </c>
      <c r="X26" t="str">
        <f>"-0.013"</f>
        <v>-0.013</v>
      </c>
      <c r="Y26" t="str">
        <f>""</f>
        <v/>
      </c>
      <c r="Z26" t="str">
        <f>""</f>
        <v/>
      </c>
    </row>
    <row r="27" spans="2:26" x14ac:dyDescent="0.2">
      <c r="B27" s="15"/>
      <c r="C27" s="12"/>
      <c r="D27" s="12"/>
      <c r="E27" s="30" t="str">
        <f>""</f>
        <v/>
      </c>
      <c r="F27" s="30" t="str">
        <f>""</f>
        <v/>
      </c>
      <c r="G27" s="30" t="str">
        <f>""</f>
        <v/>
      </c>
      <c r="H27" s="30" t="str">
        <f>""</f>
        <v/>
      </c>
      <c r="I27" s="30" t="str">
        <f>""</f>
        <v/>
      </c>
      <c r="J27" s="30" t="str">
        <f>""</f>
        <v/>
      </c>
      <c r="K27" s="30" t="str">
        <f>""</f>
        <v/>
      </c>
      <c r="L27" s="30" t="str">
        <f>"[0.010]"</f>
        <v>[0.010]</v>
      </c>
      <c r="M27" s="30" t="str">
        <f>""</f>
        <v/>
      </c>
      <c r="N27" s="31" t="str">
        <f>""</f>
        <v/>
      </c>
      <c r="O27" s="12"/>
      <c r="P27" s="12"/>
      <c r="Q27" t="str">
        <f>""</f>
        <v/>
      </c>
      <c r="R27" t="str">
        <f>""</f>
        <v/>
      </c>
      <c r="S27" t="str">
        <f>""</f>
        <v/>
      </c>
      <c r="T27" t="str">
        <f>""</f>
        <v/>
      </c>
      <c r="U27" t="str">
        <f>""</f>
        <v/>
      </c>
      <c r="V27" t="str">
        <f>""</f>
        <v/>
      </c>
      <c r="W27" t="str">
        <f>""</f>
        <v/>
      </c>
      <c r="X27" t="str">
        <f>"[0.015]"</f>
        <v>[0.015]</v>
      </c>
      <c r="Y27" t="str">
        <f>""</f>
        <v/>
      </c>
      <c r="Z27" t="str">
        <f>""</f>
        <v/>
      </c>
    </row>
    <row r="28" spans="2:26" x14ac:dyDescent="0.2">
      <c r="B28" s="15" t="s">
        <v>20</v>
      </c>
      <c r="C28" s="12"/>
      <c r="D28" s="12"/>
      <c r="E28" s="30" t="str">
        <f>""</f>
        <v/>
      </c>
      <c r="F28" s="30" t="str">
        <f>""</f>
        <v/>
      </c>
      <c r="G28" s="30" t="str">
        <f>""</f>
        <v/>
      </c>
      <c r="H28" s="30" t="str">
        <f>""</f>
        <v/>
      </c>
      <c r="I28" s="30" t="str">
        <f>""</f>
        <v/>
      </c>
      <c r="J28" s="30" t="str">
        <f>""</f>
        <v/>
      </c>
      <c r="K28" s="30" t="str">
        <f>""</f>
        <v/>
      </c>
      <c r="L28" s="30" t="str">
        <f>""</f>
        <v/>
      </c>
      <c r="M28" s="30" t="str">
        <f>"-0.001"</f>
        <v>-0.001</v>
      </c>
      <c r="N28" s="31" t="str">
        <f>""</f>
        <v/>
      </c>
      <c r="O28" s="12"/>
      <c r="P28" s="12"/>
      <c r="Q28" t="str">
        <f>""</f>
        <v/>
      </c>
      <c r="R28" t="str">
        <f>""</f>
        <v/>
      </c>
      <c r="S28" t="str">
        <f>""</f>
        <v/>
      </c>
      <c r="T28" t="str">
        <f>""</f>
        <v/>
      </c>
      <c r="U28" t="str">
        <f>""</f>
        <v/>
      </c>
      <c r="V28" t="str">
        <f>""</f>
        <v/>
      </c>
      <c r="W28" t="str">
        <f>""</f>
        <v/>
      </c>
      <c r="X28" t="str">
        <f>""</f>
        <v/>
      </c>
      <c r="Y28" t="str">
        <f>"0.005"</f>
        <v>0.005</v>
      </c>
      <c r="Z28" t="str">
        <f>""</f>
        <v/>
      </c>
    </row>
    <row r="29" spans="2:26" x14ac:dyDescent="0.2">
      <c r="C29" s="12"/>
      <c r="D29" s="12"/>
      <c r="E29" s="30" t="str">
        <f>""</f>
        <v/>
      </c>
      <c r="F29" s="30" t="str">
        <f>""</f>
        <v/>
      </c>
      <c r="G29" s="30" t="str">
        <f>""</f>
        <v/>
      </c>
      <c r="H29" s="30" t="str">
        <f>""</f>
        <v/>
      </c>
      <c r="I29" s="30" t="str">
        <f>""</f>
        <v/>
      </c>
      <c r="J29" s="30" t="str">
        <f>""</f>
        <v/>
      </c>
      <c r="K29" s="30" t="str">
        <f>""</f>
        <v/>
      </c>
      <c r="L29" s="30" t="str">
        <f>""</f>
        <v/>
      </c>
      <c r="M29" s="30" t="str">
        <f>"[0.046]"</f>
        <v>[0.046]</v>
      </c>
      <c r="N29" s="31" t="str">
        <f>""</f>
        <v/>
      </c>
      <c r="O29" s="12"/>
      <c r="P29" s="12"/>
      <c r="Q29" t="str">
        <f>""</f>
        <v/>
      </c>
      <c r="R29" t="str">
        <f>""</f>
        <v/>
      </c>
      <c r="S29" t="str">
        <f>""</f>
        <v/>
      </c>
      <c r="T29" t="str">
        <f>""</f>
        <v/>
      </c>
      <c r="U29" t="str">
        <f>""</f>
        <v/>
      </c>
      <c r="V29" t="str">
        <f>""</f>
        <v/>
      </c>
      <c r="W29" t="str">
        <f>""</f>
        <v/>
      </c>
      <c r="X29" t="str">
        <f>""</f>
        <v/>
      </c>
      <c r="Y29" t="str">
        <f>"[0.045]"</f>
        <v>[0.045]</v>
      </c>
      <c r="Z29" t="str">
        <f>""</f>
        <v/>
      </c>
    </row>
    <row r="30" spans="2:26" x14ac:dyDescent="0.2">
      <c r="B30" s="15" t="s">
        <v>21</v>
      </c>
      <c r="C30" s="12"/>
      <c r="D30" s="12"/>
      <c r="E30" s="30" t="str">
        <f>""</f>
        <v/>
      </c>
      <c r="F30" s="30" t="str">
        <f>""</f>
        <v/>
      </c>
      <c r="G30" s="30" t="str">
        <f>""</f>
        <v/>
      </c>
      <c r="H30" s="30" t="str">
        <f>""</f>
        <v/>
      </c>
      <c r="I30" s="30" t="str">
        <f>""</f>
        <v/>
      </c>
      <c r="J30" s="30" t="str">
        <f>""</f>
        <v/>
      </c>
      <c r="K30" s="30" t="str">
        <f>""</f>
        <v/>
      </c>
      <c r="L30" s="30" t="str">
        <f>""</f>
        <v/>
      </c>
      <c r="M30" s="30" t="str">
        <f>""</f>
        <v/>
      </c>
      <c r="N30" s="31" t="str">
        <f>"-0.058*"</f>
        <v>-0.058*</v>
      </c>
      <c r="O30" s="12"/>
      <c r="P30" s="12"/>
      <c r="Q30" t="str">
        <f>""</f>
        <v/>
      </c>
      <c r="R30" t="str">
        <f>""</f>
        <v/>
      </c>
      <c r="S30" t="str">
        <f>""</f>
        <v/>
      </c>
      <c r="T30" t="str">
        <f>""</f>
        <v/>
      </c>
      <c r="U30" t="str">
        <f>""</f>
        <v/>
      </c>
      <c r="V30" t="str">
        <f>""</f>
        <v/>
      </c>
      <c r="W30" t="str">
        <f>""</f>
        <v/>
      </c>
      <c r="X30" t="str">
        <f>""</f>
        <v/>
      </c>
      <c r="Y30" t="str">
        <f>""</f>
        <v/>
      </c>
      <c r="Z30" t="str">
        <f>"-0.046"</f>
        <v>-0.046</v>
      </c>
    </row>
    <row r="31" spans="2:26" x14ac:dyDescent="0.2">
      <c r="C31" s="12"/>
      <c r="D31" s="12"/>
      <c r="E31" s="30" t="str">
        <f>""</f>
        <v/>
      </c>
      <c r="F31" s="30" t="str">
        <f>""</f>
        <v/>
      </c>
      <c r="G31" s="30" t="str">
        <f>""</f>
        <v/>
      </c>
      <c r="H31" s="30" t="str">
        <f>""</f>
        <v/>
      </c>
      <c r="I31" s="30" t="str">
        <f>""</f>
        <v/>
      </c>
      <c r="J31" s="30" t="str">
        <f>""</f>
        <v/>
      </c>
      <c r="K31" s="30" t="str">
        <f>""</f>
        <v/>
      </c>
      <c r="L31" s="30" t="str">
        <f>""</f>
        <v/>
      </c>
      <c r="M31" s="30" t="str">
        <f>""</f>
        <v/>
      </c>
      <c r="N31" s="31" t="str">
        <f>"[0.033]"</f>
        <v>[0.033]</v>
      </c>
      <c r="O31" s="12"/>
      <c r="P31" s="12"/>
      <c r="Q31" t="str">
        <f>""</f>
        <v/>
      </c>
      <c r="R31" t="str">
        <f>""</f>
        <v/>
      </c>
      <c r="S31" t="str">
        <f>""</f>
        <v/>
      </c>
      <c r="T31" t="str">
        <f>""</f>
        <v/>
      </c>
      <c r="U31" t="str">
        <f>""</f>
        <v/>
      </c>
      <c r="V31" t="str">
        <f>""</f>
        <v/>
      </c>
      <c r="W31" t="str">
        <f>""</f>
        <v/>
      </c>
      <c r="X31" t="str">
        <f>""</f>
        <v/>
      </c>
      <c r="Y31" t="str">
        <f>""</f>
        <v/>
      </c>
      <c r="Z31" t="str">
        <f>"[0.051]"</f>
        <v>[0.051]</v>
      </c>
    </row>
    <row r="32" spans="2:26" x14ac:dyDescent="0.2">
      <c r="B32" s="16" t="s">
        <v>22</v>
      </c>
      <c r="C32" s="17" t="str">
        <f t="shared" ref="C32:N32" si="0">"1234"</f>
        <v>1234</v>
      </c>
      <c r="D32" s="17" t="str">
        <f t="shared" si="0"/>
        <v>1234</v>
      </c>
      <c r="E32" s="17" t="str">
        <f t="shared" si="0"/>
        <v>1234</v>
      </c>
      <c r="F32" s="17" t="str">
        <f t="shared" si="0"/>
        <v>1234</v>
      </c>
      <c r="G32" s="17" t="str">
        <f t="shared" si="0"/>
        <v>1234</v>
      </c>
      <c r="H32" s="17" t="str">
        <f t="shared" si="0"/>
        <v>1234</v>
      </c>
      <c r="I32" s="17" t="str">
        <f t="shared" si="0"/>
        <v>1234</v>
      </c>
      <c r="J32" s="17" t="str">
        <f t="shared" si="0"/>
        <v>1234</v>
      </c>
      <c r="K32" s="17" t="str">
        <f t="shared" si="0"/>
        <v>1234</v>
      </c>
      <c r="L32" s="17" t="str">
        <f t="shared" si="0"/>
        <v>1234</v>
      </c>
      <c r="M32" s="17" t="str">
        <f t="shared" si="0"/>
        <v>1234</v>
      </c>
      <c r="N32" s="33" t="str">
        <f t="shared" si="0"/>
        <v>1234</v>
      </c>
      <c r="O32" s="17" t="str">
        <f t="shared" ref="O32:Z32" si="1">"421"</f>
        <v>421</v>
      </c>
      <c r="P32" s="17" t="str">
        <f t="shared" si="1"/>
        <v>421</v>
      </c>
      <c r="Q32" s="17" t="str">
        <f t="shared" si="1"/>
        <v>421</v>
      </c>
      <c r="R32" s="17" t="str">
        <f t="shared" si="1"/>
        <v>421</v>
      </c>
      <c r="S32" s="17" t="str">
        <f t="shared" si="1"/>
        <v>421</v>
      </c>
      <c r="T32" s="17" t="str">
        <f t="shared" si="1"/>
        <v>421</v>
      </c>
      <c r="U32" s="17" t="str">
        <f t="shared" si="1"/>
        <v>421</v>
      </c>
      <c r="V32" s="17" t="str">
        <f t="shared" si="1"/>
        <v>421</v>
      </c>
      <c r="W32" s="17" t="str">
        <f t="shared" si="1"/>
        <v>421</v>
      </c>
      <c r="X32" s="17" t="str">
        <f t="shared" si="1"/>
        <v>421</v>
      </c>
      <c r="Y32" s="17" t="str">
        <f t="shared" si="1"/>
        <v>421</v>
      </c>
      <c r="Z32" s="17" t="str">
        <f t="shared" si="1"/>
        <v>421</v>
      </c>
    </row>
    <row r="33" spans="2:26" x14ac:dyDescent="0.2">
      <c r="B33" s="18" t="s">
        <v>23</v>
      </c>
      <c r="C33" s="19" t="str">
        <f t="shared" ref="C33:N33" si="2">"0.293"</f>
        <v>0.293</v>
      </c>
      <c r="D33" s="19" t="str">
        <f t="shared" si="2"/>
        <v>0.293</v>
      </c>
      <c r="E33" s="19" t="str">
        <f t="shared" si="2"/>
        <v>0.293</v>
      </c>
      <c r="F33" s="19" t="str">
        <f t="shared" si="2"/>
        <v>0.293</v>
      </c>
      <c r="G33" s="19" t="str">
        <f t="shared" si="2"/>
        <v>0.293</v>
      </c>
      <c r="H33" s="19" t="str">
        <f t="shared" si="2"/>
        <v>0.293</v>
      </c>
      <c r="I33" s="19" t="str">
        <f t="shared" si="2"/>
        <v>0.293</v>
      </c>
      <c r="J33" s="19" t="str">
        <f t="shared" si="2"/>
        <v>0.293</v>
      </c>
      <c r="K33" s="19" t="str">
        <f t="shared" si="2"/>
        <v>0.293</v>
      </c>
      <c r="L33" s="19" t="str">
        <f t="shared" si="2"/>
        <v>0.293</v>
      </c>
      <c r="M33" s="19" t="str">
        <f t="shared" si="2"/>
        <v>0.293</v>
      </c>
      <c r="N33" s="34" t="str">
        <f t="shared" si="2"/>
        <v>0.293</v>
      </c>
      <c r="O33" s="19" t="str">
        <f t="shared" ref="O33:Z33" si="3">"0.081"</f>
        <v>0.081</v>
      </c>
      <c r="P33" s="19" t="str">
        <f t="shared" si="3"/>
        <v>0.081</v>
      </c>
      <c r="Q33" s="19" t="str">
        <f t="shared" si="3"/>
        <v>0.081</v>
      </c>
      <c r="R33" s="19" t="str">
        <f t="shared" si="3"/>
        <v>0.081</v>
      </c>
      <c r="S33" s="19" t="str">
        <f t="shared" si="3"/>
        <v>0.081</v>
      </c>
      <c r="T33" s="19" t="str">
        <f t="shared" si="3"/>
        <v>0.081</v>
      </c>
      <c r="U33" s="19" t="str">
        <f t="shared" si="3"/>
        <v>0.081</v>
      </c>
      <c r="V33" s="19" t="str">
        <f t="shared" si="3"/>
        <v>0.081</v>
      </c>
      <c r="W33" s="19" t="str">
        <f t="shared" si="3"/>
        <v>0.081</v>
      </c>
      <c r="X33" s="19" t="str">
        <f t="shared" si="3"/>
        <v>0.081</v>
      </c>
      <c r="Y33" s="19" t="str">
        <f t="shared" si="3"/>
        <v>0.081</v>
      </c>
      <c r="Z33" s="19" t="str">
        <f t="shared" si="3"/>
        <v>0.081</v>
      </c>
    </row>
    <row r="34" spans="2:26" x14ac:dyDescent="0.2">
      <c r="B34" s="20" t="s">
        <v>24</v>
      </c>
      <c r="C34" s="21" t="s">
        <v>25</v>
      </c>
      <c r="D34" s="21" t="s">
        <v>25</v>
      </c>
      <c r="E34" s="21" t="s">
        <v>25</v>
      </c>
      <c r="F34" s="21" t="s">
        <v>25</v>
      </c>
      <c r="G34" s="21" t="s">
        <v>25</v>
      </c>
      <c r="H34" s="21" t="s">
        <v>25</v>
      </c>
      <c r="I34" s="21" t="s">
        <v>25</v>
      </c>
      <c r="J34" s="21" t="s">
        <v>25</v>
      </c>
      <c r="K34" s="21" t="s">
        <v>25</v>
      </c>
      <c r="L34" s="21" t="s">
        <v>25</v>
      </c>
      <c r="M34" s="21" t="s">
        <v>25</v>
      </c>
      <c r="N34" s="35" t="s">
        <v>25</v>
      </c>
      <c r="O34" s="21" t="s">
        <v>25</v>
      </c>
      <c r="P34" s="21" t="s">
        <v>25</v>
      </c>
      <c r="Q34" s="21" t="s">
        <v>25</v>
      </c>
      <c r="R34" s="21" t="s">
        <v>25</v>
      </c>
      <c r="S34" s="21" t="s">
        <v>25</v>
      </c>
      <c r="T34" s="21" t="s">
        <v>25</v>
      </c>
      <c r="U34" s="21" t="s">
        <v>25</v>
      </c>
      <c r="V34" s="21" t="s">
        <v>25</v>
      </c>
      <c r="W34" s="21" t="s">
        <v>25</v>
      </c>
      <c r="X34" s="21" t="s">
        <v>25</v>
      </c>
      <c r="Y34" s="21" t="s">
        <v>25</v>
      </c>
      <c r="Z34" s="21" t="s">
        <v>25</v>
      </c>
    </row>
    <row r="35" spans="2:26" x14ac:dyDescent="0.2">
      <c r="B35" s="20" t="s">
        <v>26</v>
      </c>
      <c r="C35" s="21" t="s">
        <v>25</v>
      </c>
      <c r="D35" s="21" t="s">
        <v>25</v>
      </c>
      <c r="E35" s="21" t="s">
        <v>25</v>
      </c>
      <c r="F35" s="21" t="s">
        <v>25</v>
      </c>
      <c r="G35" s="21" t="s">
        <v>25</v>
      </c>
      <c r="H35" s="21" t="s">
        <v>25</v>
      </c>
      <c r="I35" s="21" t="s">
        <v>25</v>
      </c>
      <c r="J35" s="21" t="s">
        <v>25</v>
      </c>
      <c r="K35" s="21" t="s">
        <v>25</v>
      </c>
      <c r="L35" s="21" t="s">
        <v>25</v>
      </c>
      <c r="M35" s="21" t="s">
        <v>25</v>
      </c>
      <c r="N35" s="35" t="s">
        <v>25</v>
      </c>
      <c r="O35" s="21" t="s">
        <v>25</v>
      </c>
      <c r="P35" s="21" t="s">
        <v>25</v>
      </c>
      <c r="Q35" s="21" t="s">
        <v>25</v>
      </c>
      <c r="R35" s="21" t="s">
        <v>25</v>
      </c>
      <c r="S35" s="21" t="s">
        <v>25</v>
      </c>
      <c r="T35" s="21" t="s">
        <v>25</v>
      </c>
      <c r="U35" s="21" t="s">
        <v>25</v>
      </c>
      <c r="V35" s="21" t="s">
        <v>25</v>
      </c>
      <c r="W35" s="21" t="s">
        <v>25</v>
      </c>
      <c r="X35" s="21" t="s">
        <v>25</v>
      </c>
      <c r="Y35" s="21" t="s">
        <v>25</v>
      </c>
      <c r="Z35" s="21" t="s">
        <v>25</v>
      </c>
    </row>
    <row r="36" spans="2:26" x14ac:dyDescent="0.2">
      <c r="B36" s="22" t="s">
        <v>27</v>
      </c>
      <c r="C36" s="23" t="s">
        <v>25</v>
      </c>
      <c r="D36" s="23" t="s">
        <v>25</v>
      </c>
      <c r="E36" s="23" t="s">
        <v>25</v>
      </c>
      <c r="F36" s="23" t="s">
        <v>25</v>
      </c>
      <c r="G36" s="23" t="s">
        <v>25</v>
      </c>
      <c r="H36" s="23" t="s">
        <v>25</v>
      </c>
      <c r="I36" s="23" t="s">
        <v>25</v>
      </c>
      <c r="J36" s="23" t="s">
        <v>25</v>
      </c>
      <c r="K36" s="23" t="s">
        <v>25</v>
      </c>
      <c r="L36" s="23" t="s">
        <v>25</v>
      </c>
      <c r="M36" s="23" t="s">
        <v>25</v>
      </c>
      <c r="N36" s="36" t="s">
        <v>25</v>
      </c>
      <c r="O36" s="23" t="s">
        <v>25</v>
      </c>
      <c r="P36" s="23" t="s">
        <v>25</v>
      </c>
      <c r="Q36" s="23" t="s">
        <v>25</v>
      </c>
      <c r="R36" s="23" t="s">
        <v>25</v>
      </c>
      <c r="S36" s="23" t="s">
        <v>25</v>
      </c>
      <c r="T36" s="23" t="s">
        <v>25</v>
      </c>
      <c r="U36" s="23" t="s">
        <v>25</v>
      </c>
      <c r="V36" s="23" t="s">
        <v>25</v>
      </c>
      <c r="W36" s="23" t="s">
        <v>25</v>
      </c>
      <c r="X36" s="23" t="s">
        <v>25</v>
      </c>
      <c r="Y36" s="23" t="s">
        <v>25</v>
      </c>
      <c r="Z36" s="23" t="s">
        <v>25</v>
      </c>
    </row>
    <row r="37" spans="2:26" ht="93" customHeight="1" x14ac:dyDescent="0.2">
      <c r="B37" s="75" t="s">
        <v>74</v>
      </c>
      <c r="C37" s="75"/>
      <c r="D37" s="75"/>
      <c r="E37" s="75"/>
      <c r="F37" s="75"/>
      <c r="G37" s="75"/>
      <c r="H37" s="75"/>
      <c r="I37" s="75"/>
      <c r="J37" s="75"/>
      <c r="K37" s="75"/>
      <c r="L37" s="75"/>
      <c r="M37" s="75"/>
      <c r="N37" s="75"/>
      <c r="O37" s="75"/>
      <c r="P37" s="75"/>
      <c r="Q37" s="75"/>
      <c r="R37" s="75"/>
      <c r="S37" s="75"/>
      <c r="T37" s="75"/>
      <c r="U37" s="75"/>
      <c r="V37" s="75"/>
      <c r="W37" s="75"/>
      <c r="X37" s="75"/>
      <c r="Y37" s="75"/>
      <c r="Z37" s="75"/>
    </row>
  </sheetData>
  <mergeCells count="4">
    <mergeCell ref="B37:Z37"/>
    <mergeCell ref="C3:N3"/>
    <mergeCell ref="O3:Z3"/>
    <mergeCell ref="B2:Z2"/>
  </mergeCells>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F6214-5533-C047-8082-87FB6B192BA2}">
  <dimension ref="B1:L32"/>
  <sheetViews>
    <sheetView showGridLines="0" zoomScaleNormal="100" workbookViewId="0">
      <selection activeCell="B4" sqref="B4"/>
    </sheetView>
  </sheetViews>
  <sheetFormatPr baseColWidth="10" defaultColWidth="11" defaultRowHeight="16" x14ac:dyDescent="0.2"/>
  <cols>
    <col min="2" max="2" width="41.6640625" customWidth="1"/>
    <col min="3" max="3" width="17.33203125" customWidth="1"/>
    <col min="4" max="4" width="17" customWidth="1"/>
    <col min="5" max="5" width="16.83203125" customWidth="1"/>
  </cols>
  <sheetData>
    <row r="1" spans="2:12" x14ac:dyDescent="0.2">
      <c r="B1" s="7"/>
      <c r="C1" s="7"/>
      <c r="D1" s="7"/>
      <c r="E1" s="7"/>
    </row>
    <row r="3" spans="2:12" x14ac:dyDescent="0.2">
      <c r="B3" s="74" t="s">
        <v>116</v>
      </c>
      <c r="C3" s="74"/>
      <c r="D3" s="74"/>
      <c r="E3" s="74"/>
      <c r="F3" s="74"/>
      <c r="G3" s="74"/>
      <c r="H3" s="74"/>
      <c r="I3" s="74"/>
      <c r="J3" s="74"/>
      <c r="K3" s="74"/>
      <c r="L3" s="74"/>
    </row>
    <row r="4" spans="2:12" ht="51" customHeight="1" thickBot="1" x14ac:dyDescent="0.25">
      <c r="B4" s="67" t="s">
        <v>76</v>
      </c>
      <c r="C4" s="25" t="s">
        <v>1</v>
      </c>
      <c r="D4" s="25" t="s">
        <v>2</v>
      </c>
      <c r="E4" s="25" t="s">
        <v>3</v>
      </c>
      <c r="F4" s="25" t="s">
        <v>4</v>
      </c>
      <c r="G4" s="25" t="s">
        <v>5</v>
      </c>
      <c r="H4" s="25" t="s">
        <v>6</v>
      </c>
      <c r="I4" s="25" t="s">
        <v>7</v>
      </c>
      <c r="J4" s="25" t="s">
        <v>8</v>
      </c>
      <c r="K4" s="25" t="s">
        <v>9</v>
      </c>
      <c r="L4" s="25" t="s">
        <v>10</v>
      </c>
    </row>
    <row r="5" spans="2:12" ht="23" customHeight="1" thickTop="1" x14ac:dyDescent="0.2">
      <c r="B5" s="3" t="s">
        <v>13</v>
      </c>
      <c r="C5" s="4"/>
      <c r="D5" s="4"/>
      <c r="E5" s="4"/>
      <c r="F5" s="4"/>
      <c r="G5" s="4"/>
      <c r="H5" s="4"/>
      <c r="I5" s="4"/>
      <c r="J5" s="4"/>
      <c r="K5" s="4"/>
      <c r="L5" s="30"/>
    </row>
    <row r="6" spans="2:12" x14ac:dyDescent="0.2">
      <c r="B6" s="5" t="s">
        <v>14</v>
      </c>
      <c r="C6" s="12" t="str">
        <f>"-0.053"</f>
        <v>-0.053</v>
      </c>
      <c r="D6" s="12" t="str">
        <f>""</f>
        <v/>
      </c>
      <c r="E6" s="12" t="str">
        <f>""</f>
        <v/>
      </c>
      <c r="F6" s="12" t="str">
        <f>""</f>
        <v/>
      </c>
      <c r="G6" s="12" t="str">
        <f>""</f>
        <v/>
      </c>
      <c r="H6" s="12" t="str">
        <f>""</f>
        <v/>
      </c>
      <c r="I6" s="12" t="str">
        <f>""</f>
        <v/>
      </c>
      <c r="J6" s="12" t="str">
        <f>""</f>
        <v/>
      </c>
      <c r="K6" s="12" t="str">
        <f>""</f>
        <v/>
      </c>
      <c r="L6" s="30" t="str">
        <f>""</f>
        <v/>
      </c>
    </row>
    <row r="7" spans="2:12" x14ac:dyDescent="0.2">
      <c r="B7" s="5"/>
      <c r="C7" s="12" t="str">
        <f>"[0.038]"</f>
        <v>[0.038]</v>
      </c>
      <c r="D7" s="12" t="str">
        <f>""</f>
        <v/>
      </c>
      <c r="E7" s="12" t="str">
        <f>""</f>
        <v/>
      </c>
      <c r="F7" s="12" t="str">
        <f>""</f>
        <v/>
      </c>
      <c r="G7" s="12" t="str">
        <f>""</f>
        <v/>
      </c>
      <c r="H7" s="12" t="str">
        <f>""</f>
        <v/>
      </c>
      <c r="I7" s="12" t="str">
        <f>""</f>
        <v/>
      </c>
      <c r="J7" s="12" t="str">
        <f>""</f>
        <v/>
      </c>
      <c r="K7" s="12" t="str">
        <f>""</f>
        <v/>
      </c>
      <c r="L7" s="30" t="str">
        <f>""</f>
        <v/>
      </c>
    </row>
    <row r="8" spans="2:12" x14ac:dyDescent="0.2">
      <c r="B8" s="8" t="s">
        <v>15</v>
      </c>
      <c r="C8" s="12" t="str">
        <f>""</f>
        <v/>
      </c>
      <c r="D8" s="12" t="str">
        <f>"-0.165"</f>
        <v>-0.165</v>
      </c>
      <c r="E8" s="12" t="str">
        <f>""</f>
        <v/>
      </c>
      <c r="F8" s="12" t="str">
        <f>""</f>
        <v/>
      </c>
      <c r="G8" s="12" t="str">
        <f>""</f>
        <v/>
      </c>
      <c r="H8" s="12" t="str">
        <f>""</f>
        <v/>
      </c>
      <c r="I8" s="12" t="str">
        <f>""</f>
        <v/>
      </c>
      <c r="J8" s="12" t="str">
        <f>""</f>
        <v/>
      </c>
      <c r="K8" s="12" t="str">
        <f>""</f>
        <v/>
      </c>
      <c r="L8" s="30" t="str">
        <f>""</f>
        <v/>
      </c>
    </row>
    <row r="9" spans="2:12" x14ac:dyDescent="0.2">
      <c r="B9" s="5" t="str">
        <f>""</f>
        <v/>
      </c>
      <c r="C9" s="12" t="str">
        <f>""</f>
        <v/>
      </c>
      <c r="D9" s="12" t="str">
        <f>"[0.224]"</f>
        <v>[0.224]</v>
      </c>
      <c r="E9" s="12" t="str">
        <f>""</f>
        <v/>
      </c>
      <c r="F9" s="12" t="str">
        <f>""</f>
        <v/>
      </c>
      <c r="G9" s="12" t="str">
        <f>""</f>
        <v/>
      </c>
      <c r="H9" s="12" t="str">
        <f>""</f>
        <v/>
      </c>
      <c r="I9" s="12" t="str">
        <f>""</f>
        <v/>
      </c>
      <c r="J9" s="12" t="str">
        <f>""</f>
        <v/>
      </c>
      <c r="K9" s="12" t="str">
        <f>""</f>
        <v/>
      </c>
      <c r="L9" s="30" t="str">
        <f>""</f>
        <v/>
      </c>
    </row>
    <row r="10" spans="2:12" ht="25" customHeight="1" x14ac:dyDescent="0.2">
      <c r="B10" s="9" t="s">
        <v>16</v>
      </c>
      <c r="C10" s="10"/>
      <c r="D10" s="10"/>
      <c r="E10" s="10"/>
      <c r="F10" s="10"/>
      <c r="G10" s="10"/>
      <c r="H10" s="10"/>
      <c r="I10" s="10"/>
      <c r="J10" s="10"/>
      <c r="K10" s="10"/>
      <c r="L10" s="10"/>
    </row>
    <row r="11" spans="2:12" ht="18" customHeight="1" x14ac:dyDescent="0.2">
      <c r="B11" s="11" t="str">
        <f>"Loss of land (yes=1) for a household in a given year"</f>
        <v>Loss of land (yes=1) for a household in a given year</v>
      </c>
      <c r="C11" s="12" t="str">
        <f>""</f>
        <v/>
      </c>
      <c r="D11" s="12" t="str">
        <f>""</f>
        <v/>
      </c>
      <c r="E11" s="30" t="str">
        <f>"-0.022"</f>
        <v>-0.022</v>
      </c>
      <c r="F11" s="30" t="str">
        <f>""</f>
        <v/>
      </c>
      <c r="G11" s="30" t="str">
        <f>""</f>
        <v/>
      </c>
      <c r="H11" s="30" t="str">
        <f>""</f>
        <v/>
      </c>
      <c r="I11" s="30" t="str">
        <f>""</f>
        <v/>
      </c>
      <c r="J11" s="30" t="str">
        <f>""</f>
        <v/>
      </c>
      <c r="K11" s="30" t="str">
        <f>""</f>
        <v/>
      </c>
      <c r="L11" s="30" t="str">
        <f>""</f>
        <v/>
      </c>
    </row>
    <row r="12" spans="2:12" ht="14" customHeight="1" x14ac:dyDescent="0.2">
      <c r="B12" s="11" t="str">
        <f>""</f>
        <v/>
      </c>
      <c r="C12" s="12" t="str">
        <f>""</f>
        <v/>
      </c>
      <c r="D12" s="12" t="str">
        <f>""</f>
        <v/>
      </c>
      <c r="E12" s="30" t="str">
        <f>"[0.016]"</f>
        <v>[0.016]</v>
      </c>
      <c r="F12" s="30" t="str">
        <f>""</f>
        <v/>
      </c>
      <c r="G12" s="30" t="str">
        <f>""</f>
        <v/>
      </c>
      <c r="H12" s="30" t="str">
        <f>""</f>
        <v/>
      </c>
      <c r="I12" s="30" t="str">
        <f>""</f>
        <v/>
      </c>
      <c r="J12" s="30" t="str">
        <f>""</f>
        <v/>
      </c>
      <c r="K12" s="30" t="str">
        <f>""</f>
        <v/>
      </c>
      <c r="L12" s="30" t="str">
        <f>""</f>
        <v/>
      </c>
    </row>
    <row r="13" spans="2:12" x14ac:dyDescent="0.2">
      <c r="B13" s="11" t="str">
        <f>"Theft of crops (yes=1) for a household in a given year"</f>
        <v>Theft of crops (yes=1) for a household in a given year</v>
      </c>
      <c r="C13" s="12" t="str">
        <f>""</f>
        <v/>
      </c>
      <c r="D13" s="12" t="str">
        <f>""</f>
        <v/>
      </c>
      <c r="E13" s="30" t="str">
        <f>""</f>
        <v/>
      </c>
      <c r="F13" s="30" t="str">
        <f>"-0.014"</f>
        <v>-0.014</v>
      </c>
      <c r="G13" s="30" t="str">
        <f>""</f>
        <v/>
      </c>
      <c r="H13" s="30" t="str">
        <f>""</f>
        <v/>
      </c>
      <c r="I13" s="30" t="str">
        <f>""</f>
        <v/>
      </c>
      <c r="J13" s="30" t="str">
        <f>""</f>
        <v/>
      </c>
      <c r="K13" s="30" t="str">
        <f>""</f>
        <v/>
      </c>
      <c r="L13" s="30" t="str">
        <f>""</f>
        <v/>
      </c>
    </row>
    <row r="14" spans="2:12" x14ac:dyDescent="0.2">
      <c r="B14" s="11" t="str">
        <f>""</f>
        <v/>
      </c>
      <c r="C14" s="12" t="str">
        <f>""</f>
        <v/>
      </c>
      <c r="D14" s="12" t="str">
        <f>""</f>
        <v/>
      </c>
      <c r="E14" s="30" t="str">
        <f>""</f>
        <v/>
      </c>
      <c r="F14" s="30" t="str">
        <f>"[0.010]"</f>
        <v>[0.010]</v>
      </c>
      <c r="G14" s="30" t="str">
        <f>""</f>
        <v/>
      </c>
      <c r="H14" s="30" t="str">
        <f>""</f>
        <v/>
      </c>
      <c r="I14" s="30" t="str">
        <f>""</f>
        <v/>
      </c>
      <c r="J14" s="30" t="str">
        <f>""</f>
        <v/>
      </c>
      <c r="K14" s="30" t="str">
        <f>""</f>
        <v/>
      </c>
      <c r="L14" s="30" t="str">
        <f>""</f>
        <v/>
      </c>
    </row>
    <row r="15" spans="2:12" x14ac:dyDescent="0.2">
      <c r="B15" s="13" t="str">
        <f>"Theft of money (yes=1) for a household in a given year"</f>
        <v>Theft of money (yes=1) for a household in a given year</v>
      </c>
      <c r="C15" s="14" t="str">
        <f>""</f>
        <v/>
      </c>
      <c r="D15" s="14" t="str">
        <f>""</f>
        <v/>
      </c>
      <c r="E15" s="30" t="str">
        <f>""</f>
        <v/>
      </c>
      <c r="F15" s="30" t="str">
        <f>""</f>
        <v/>
      </c>
      <c r="G15" s="30" t="str">
        <f>"0.026"</f>
        <v>0.026</v>
      </c>
      <c r="H15" s="30" t="str">
        <f>""</f>
        <v/>
      </c>
      <c r="I15" s="30" t="str">
        <f>""</f>
        <v/>
      </c>
      <c r="J15" s="30" t="str">
        <f>""</f>
        <v/>
      </c>
      <c r="K15" s="30" t="str">
        <f>""</f>
        <v/>
      </c>
      <c r="L15" s="30" t="str">
        <f>""</f>
        <v/>
      </c>
    </row>
    <row r="16" spans="2:12" x14ac:dyDescent="0.2">
      <c r="B16" s="11" t="str">
        <f>""</f>
        <v/>
      </c>
      <c r="C16" s="12" t="str">
        <f>""</f>
        <v/>
      </c>
      <c r="D16" s="12" t="str">
        <f>""</f>
        <v/>
      </c>
      <c r="E16" s="30" t="str">
        <f>""</f>
        <v/>
      </c>
      <c r="F16" s="30" t="str">
        <f>""</f>
        <v/>
      </c>
      <c r="G16" s="30" t="str">
        <f>"[0.021]"</f>
        <v>[0.021]</v>
      </c>
      <c r="H16" s="30" t="str">
        <f>""</f>
        <v/>
      </c>
      <c r="I16" s="30" t="str">
        <f>""</f>
        <v/>
      </c>
      <c r="J16" s="30" t="str">
        <f>""</f>
        <v/>
      </c>
      <c r="K16" s="30" t="str">
        <f>""</f>
        <v/>
      </c>
      <c r="L16" s="30" t="str">
        <f>""</f>
        <v/>
      </c>
    </row>
    <row r="17" spans="2:12" x14ac:dyDescent="0.2">
      <c r="B17" s="11" t="str">
        <f>"Theft or destruction of goods (yes=1) for a household in a given year"</f>
        <v>Theft or destruction of goods (yes=1) for a household in a given year</v>
      </c>
      <c r="C17" s="12" t="str">
        <f>""</f>
        <v/>
      </c>
      <c r="D17" s="12" t="str">
        <f>""</f>
        <v/>
      </c>
      <c r="E17" s="30" t="str">
        <f>""</f>
        <v/>
      </c>
      <c r="F17" s="30" t="str">
        <f>""</f>
        <v/>
      </c>
      <c r="G17" s="30" t="str">
        <f>""</f>
        <v/>
      </c>
      <c r="H17" s="30" t="str">
        <f>"0.016"</f>
        <v>0.016</v>
      </c>
      <c r="I17" s="30" t="str">
        <f>""</f>
        <v/>
      </c>
      <c r="J17" s="30" t="str">
        <f>""</f>
        <v/>
      </c>
      <c r="K17" s="30" t="str">
        <f>""</f>
        <v/>
      </c>
      <c r="L17" s="30" t="str">
        <f>""</f>
        <v/>
      </c>
    </row>
    <row r="18" spans="2:12" x14ac:dyDescent="0.2">
      <c r="B18" s="11"/>
      <c r="C18" s="12" t="str">
        <f>""</f>
        <v/>
      </c>
      <c r="D18" s="12" t="str">
        <f>""</f>
        <v/>
      </c>
      <c r="E18" s="30" t="str">
        <f>""</f>
        <v/>
      </c>
      <c r="F18" s="30" t="str">
        <f>""</f>
        <v/>
      </c>
      <c r="G18" s="30" t="str">
        <f>""</f>
        <v/>
      </c>
      <c r="H18" s="30" t="str">
        <f>"[0.014]"</f>
        <v>[0.014]</v>
      </c>
      <c r="I18" s="30" t="str">
        <f>""</f>
        <v/>
      </c>
      <c r="J18" s="30" t="str">
        <f>""</f>
        <v/>
      </c>
      <c r="K18" s="30" t="str">
        <f>""</f>
        <v/>
      </c>
      <c r="L18" s="30" t="str">
        <f>""</f>
        <v/>
      </c>
    </row>
    <row r="19" spans="2:12" x14ac:dyDescent="0.2">
      <c r="B19" s="11" t="str">
        <f>"Destruction of house (yes=1) for a household in a given year"</f>
        <v>Destruction of house (yes=1) for a household in a given year</v>
      </c>
      <c r="C19" s="12" t="str">
        <f>""</f>
        <v/>
      </c>
      <c r="D19" s="12" t="str">
        <f>""</f>
        <v/>
      </c>
      <c r="E19" s="30" t="str">
        <f>""</f>
        <v/>
      </c>
      <c r="F19" s="30" t="str">
        <f>""</f>
        <v/>
      </c>
      <c r="G19" s="30" t="str">
        <f>""</f>
        <v/>
      </c>
      <c r="H19" s="30" t="str">
        <f>""</f>
        <v/>
      </c>
      <c r="I19" s="30" t="str">
        <f>"0.017"</f>
        <v>0.017</v>
      </c>
      <c r="J19" s="30" t="str">
        <f>""</f>
        <v/>
      </c>
      <c r="K19" s="30" t="str">
        <f>""</f>
        <v/>
      </c>
      <c r="L19" s="30" t="str">
        <f>""</f>
        <v/>
      </c>
    </row>
    <row r="20" spans="2:12" x14ac:dyDescent="0.2">
      <c r="B20" s="11"/>
      <c r="C20" s="12" t="str">
        <f>""</f>
        <v/>
      </c>
      <c r="D20" s="12" t="str">
        <f>""</f>
        <v/>
      </c>
      <c r="E20" s="30" t="str">
        <f>""</f>
        <v/>
      </c>
      <c r="F20" s="30" t="str">
        <f>""</f>
        <v/>
      </c>
      <c r="G20" s="30" t="str">
        <f>""</f>
        <v/>
      </c>
      <c r="H20" s="30" t="str">
        <f>""</f>
        <v/>
      </c>
      <c r="I20" s="30" t="str">
        <f>"[0.025]"</f>
        <v>[0.025]</v>
      </c>
      <c r="J20" s="30" t="str">
        <f>""</f>
        <v/>
      </c>
      <c r="K20" s="30" t="str">
        <f>""</f>
        <v/>
      </c>
      <c r="L20" s="30" t="str">
        <f>""</f>
        <v/>
      </c>
    </row>
    <row r="21" spans="2:12" x14ac:dyDescent="0.2">
      <c r="B21" s="15" t="s">
        <v>18</v>
      </c>
      <c r="C21" s="12" t="str">
        <f>""</f>
        <v/>
      </c>
      <c r="D21" s="12" t="str">
        <f>""</f>
        <v/>
      </c>
      <c r="E21" s="30" t="str">
        <f>""</f>
        <v/>
      </c>
      <c r="F21" s="30" t="str">
        <f>""</f>
        <v/>
      </c>
      <c r="G21" s="30" t="str">
        <f>""</f>
        <v/>
      </c>
      <c r="H21" s="30" t="str">
        <f>""</f>
        <v/>
      </c>
      <c r="I21" s="30" t="str">
        <f>""</f>
        <v/>
      </c>
      <c r="J21" s="30" t="str">
        <f>"-0.004"</f>
        <v>-0.004</v>
      </c>
      <c r="K21" s="30" t="str">
        <f>""</f>
        <v/>
      </c>
      <c r="L21" s="30" t="str">
        <f>""</f>
        <v/>
      </c>
    </row>
    <row r="22" spans="2:12" x14ac:dyDescent="0.2">
      <c r="B22" s="30"/>
      <c r="C22" s="12" t="str">
        <f>""</f>
        <v/>
      </c>
      <c r="D22" s="12" t="str">
        <f>""</f>
        <v/>
      </c>
      <c r="E22" s="30" t="str">
        <f>""</f>
        <v/>
      </c>
      <c r="F22" s="30" t="str">
        <f>""</f>
        <v/>
      </c>
      <c r="G22" s="30" t="str">
        <f>""</f>
        <v/>
      </c>
      <c r="H22" s="30" t="str">
        <f>""</f>
        <v/>
      </c>
      <c r="I22" s="30" t="str">
        <f>""</f>
        <v/>
      </c>
      <c r="J22" s="30" t="str">
        <f>"[0.003]"</f>
        <v>[0.003]</v>
      </c>
      <c r="K22" s="30" t="str">
        <f>""</f>
        <v/>
      </c>
      <c r="L22" s="30" t="str">
        <f>""</f>
        <v/>
      </c>
    </row>
    <row r="23" spans="2:12" x14ac:dyDescent="0.2">
      <c r="B23" s="15" t="s">
        <v>19</v>
      </c>
      <c r="C23" s="12" t="str">
        <f>""</f>
        <v/>
      </c>
      <c r="D23" s="12" t="str">
        <f>""</f>
        <v/>
      </c>
      <c r="E23" s="30" t="str">
        <f>""</f>
        <v/>
      </c>
      <c r="F23" s="30" t="str">
        <f>""</f>
        <v/>
      </c>
      <c r="G23" s="30" t="str">
        <f>""</f>
        <v/>
      </c>
      <c r="H23" s="30" t="str">
        <f>""</f>
        <v/>
      </c>
      <c r="I23" s="30" t="str">
        <f>""</f>
        <v/>
      </c>
      <c r="J23" s="30" t="str">
        <f>""</f>
        <v/>
      </c>
      <c r="K23" s="30" t="str">
        <f>"0.003"</f>
        <v>0.003</v>
      </c>
      <c r="L23" s="30" t="str">
        <f>""</f>
        <v/>
      </c>
    </row>
    <row r="24" spans="2:12" x14ac:dyDescent="0.2">
      <c r="B24" s="15"/>
      <c r="C24" s="12" t="str">
        <f>""</f>
        <v/>
      </c>
      <c r="D24" s="12" t="str">
        <f>""</f>
        <v/>
      </c>
      <c r="E24" s="30" t="str">
        <f>""</f>
        <v/>
      </c>
      <c r="F24" s="30" t="str">
        <f>""</f>
        <v/>
      </c>
      <c r="G24" s="30" t="str">
        <f>""</f>
        <v/>
      </c>
      <c r="H24" s="30" t="str">
        <f>""</f>
        <v/>
      </c>
      <c r="I24" s="30" t="str">
        <f>""</f>
        <v/>
      </c>
      <c r="J24" s="30" t="str">
        <f>""</f>
        <v/>
      </c>
      <c r="K24" s="30" t="str">
        <f>"[0.002]"</f>
        <v>[0.002]</v>
      </c>
      <c r="L24" s="30" t="str">
        <f>""</f>
        <v/>
      </c>
    </row>
    <row r="25" spans="2:12" x14ac:dyDescent="0.2">
      <c r="B25" s="15" t="s">
        <v>17</v>
      </c>
      <c r="C25" s="12" t="str">
        <f>""</f>
        <v/>
      </c>
      <c r="D25" s="12" t="str">
        <f>""</f>
        <v/>
      </c>
      <c r="E25" s="30" t="str">
        <f>""</f>
        <v/>
      </c>
      <c r="F25" s="30" t="str">
        <f>""</f>
        <v/>
      </c>
      <c r="G25" s="30" t="str">
        <f>""</f>
        <v/>
      </c>
      <c r="H25" s="30" t="str">
        <f>""</f>
        <v/>
      </c>
      <c r="I25" s="30" t="str">
        <f>""</f>
        <v/>
      </c>
      <c r="J25" s="30" t="str">
        <f>""</f>
        <v/>
      </c>
      <c r="K25" s="30" t="str">
        <f>""</f>
        <v/>
      </c>
      <c r="L25" s="30" t="str">
        <f>"0.001"</f>
        <v>0.001</v>
      </c>
    </row>
    <row r="26" spans="2:12" x14ac:dyDescent="0.2">
      <c r="B26" s="30"/>
      <c r="C26" s="12" t="str">
        <f>""</f>
        <v/>
      </c>
      <c r="D26" s="12" t="str">
        <f>""</f>
        <v/>
      </c>
      <c r="E26" s="30" t="str">
        <f>""</f>
        <v/>
      </c>
      <c r="F26" s="30" t="str">
        <f>""</f>
        <v/>
      </c>
      <c r="G26" s="30" t="str">
        <f>""</f>
        <v/>
      </c>
      <c r="H26" s="30" t="str">
        <f>""</f>
        <v/>
      </c>
      <c r="I26" s="30" t="str">
        <f>""</f>
        <v/>
      </c>
      <c r="J26" s="30" t="str">
        <f>""</f>
        <v/>
      </c>
      <c r="K26" s="30" t="str">
        <f>""</f>
        <v/>
      </c>
      <c r="L26" s="30" t="str">
        <f>"[0.002]"</f>
        <v>[0.002]</v>
      </c>
    </row>
    <row r="27" spans="2:12" x14ac:dyDescent="0.2">
      <c r="B27" s="16" t="s">
        <v>22</v>
      </c>
      <c r="C27" s="17" t="str">
        <f t="shared" ref="C27:L27" si="0">"2484"</f>
        <v>2484</v>
      </c>
      <c r="D27" s="17" t="str">
        <f t="shared" si="0"/>
        <v>2484</v>
      </c>
      <c r="E27" s="17" t="str">
        <f t="shared" si="0"/>
        <v>2484</v>
      </c>
      <c r="F27" s="17" t="str">
        <f t="shared" si="0"/>
        <v>2484</v>
      </c>
      <c r="G27" s="17" t="str">
        <f t="shared" si="0"/>
        <v>2484</v>
      </c>
      <c r="H27" s="17" t="str">
        <f t="shared" si="0"/>
        <v>2484</v>
      </c>
      <c r="I27" s="17" t="str">
        <f t="shared" si="0"/>
        <v>2484</v>
      </c>
      <c r="J27" s="17" t="str">
        <f t="shared" si="0"/>
        <v>2484</v>
      </c>
      <c r="K27" s="17" t="str">
        <f t="shared" si="0"/>
        <v>2484</v>
      </c>
      <c r="L27" s="17" t="str">
        <f t="shared" si="0"/>
        <v>2484</v>
      </c>
    </row>
    <row r="28" spans="2:12" x14ac:dyDescent="0.2">
      <c r="B28" s="18" t="s">
        <v>23</v>
      </c>
      <c r="C28" s="19" t="str">
        <f t="shared" ref="C28:L28" si="1">"0.021"</f>
        <v>0.021</v>
      </c>
      <c r="D28" s="19" t="str">
        <f t="shared" si="1"/>
        <v>0.021</v>
      </c>
      <c r="E28" s="19" t="str">
        <f t="shared" si="1"/>
        <v>0.021</v>
      </c>
      <c r="F28" s="19" t="str">
        <f t="shared" si="1"/>
        <v>0.021</v>
      </c>
      <c r="G28" s="19" t="str">
        <f t="shared" si="1"/>
        <v>0.021</v>
      </c>
      <c r="H28" s="19" t="str">
        <f t="shared" si="1"/>
        <v>0.021</v>
      </c>
      <c r="I28" s="19" t="str">
        <f t="shared" si="1"/>
        <v>0.021</v>
      </c>
      <c r="J28" s="19" t="str">
        <f t="shared" si="1"/>
        <v>0.021</v>
      </c>
      <c r="K28" s="19" t="str">
        <f t="shared" si="1"/>
        <v>0.021</v>
      </c>
      <c r="L28" s="19" t="str">
        <f t="shared" si="1"/>
        <v>0.021</v>
      </c>
    </row>
    <row r="29" spans="2:12" x14ac:dyDescent="0.2">
      <c r="B29" s="18" t="s">
        <v>46</v>
      </c>
      <c r="C29" s="21" t="s">
        <v>25</v>
      </c>
      <c r="D29" s="21" t="s">
        <v>25</v>
      </c>
      <c r="E29" s="21" t="s">
        <v>25</v>
      </c>
      <c r="F29" s="21" t="s">
        <v>25</v>
      </c>
      <c r="G29" s="21" t="s">
        <v>25</v>
      </c>
      <c r="H29" s="21" t="s">
        <v>25</v>
      </c>
      <c r="I29" s="21" t="s">
        <v>25</v>
      </c>
      <c r="J29" s="21" t="s">
        <v>25</v>
      </c>
      <c r="K29" s="21" t="s">
        <v>25</v>
      </c>
      <c r="L29" s="21" t="s">
        <v>25</v>
      </c>
    </row>
    <row r="30" spans="2:12" x14ac:dyDescent="0.2">
      <c r="B30" s="20" t="s">
        <v>26</v>
      </c>
      <c r="C30" s="21" t="s">
        <v>25</v>
      </c>
      <c r="D30" s="21" t="s">
        <v>25</v>
      </c>
      <c r="E30" s="21" t="s">
        <v>25</v>
      </c>
      <c r="F30" s="21" t="s">
        <v>25</v>
      </c>
      <c r="G30" s="21" t="s">
        <v>25</v>
      </c>
      <c r="H30" s="21" t="s">
        <v>25</v>
      </c>
      <c r="I30" s="21" t="s">
        <v>25</v>
      </c>
      <c r="J30" s="21" t="s">
        <v>25</v>
      </c>
      <c r="K30" s="21" t="s">
        <v>25</v>
      </c>
      <c r="L30" s="21" t="s">
        <v>25</v>
      </c>
    </row>
    <row r="31" spans="2:12" x14ac:dyDescent="0.2">
      <c r="B31" s="22" t="s">
        <v>27</v>
      </c>
      <c r="C31" s="23" t="s">
        <v>25</v>
      </c>
      <c r="D31" s="23" t="s">
        <v>25</v>
      </c>
      <c r="E31" s="23" t="s">
        <v>25</v>
      </c>
      <c r="F31" s="23" t="s">
        <v>25</v>
      </c>
      <c r="G31" s="23" t="s">
        <v>25</v>
      </c>
      <c r="H31" s="23" t="s">
        <v>25</v>
      </c>
      <c r="I31" s="23" t="s">
        <v>25</v>
      </c>
      <c r="J31" s="23" t="s">
        <v>25</v>
      </c>
      <c r="K31" s="23" t="s">
        <v>25</v>
      </c>
      <c r="L31" s="23" t="s">
        <v>25</v>
      </c>
    </row>
    <row r="32" spans="2:12" ht="93" customHeight="1" x14ac:dyDescent="0.2">
      <c r="B32" s="75" t="s">
        <v>75</v>
      </c>
      <c r="C32" s="75"/>
      <c r="D32" s="75"/>
      <c r="E32" s="75"/>
      <c r="F32" s="75"/>
      <c r="G32" s="75"/>
      <c r="H32" s="75"/>
      <c r="I32" s="75"/>
      <c r="J32" s="75"/>
      <c r="K32" s="75"/>
      <c r="L32" s="75"/>
    </row>
  </sheetData>
  <mergeCells count="2">
    <mergeCell ref="B32:L32"/>
    <mergeCell ref="B3:L3"/>
  </mergeCells>
  <pageMargins left="0.75" right="0.75" top="1" bottom="1" header="0.5" footer="0.5"/>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B9A16-1A3E-D84A-90C1-29BE3EA55F83}">
  <dimension ref="B2:L32"/>
  <sheetViews>
    <sheetView showGridLines="0" zoomScale="91" zoomScaleNormal="91" workbookViewId="0">
      <selection activeCell="D4" sqref="D4"/>
    </sheetView>
  </sheetViews>
  <sheetFormatPr baseColWidth="10" defaultColWidth="11" defaultRowHeight="16" x14ac:dyDescent="0.2"/>
  <cols>
    <col min="2" max="2" width="57.1640625" customWidth="1"/>
  </cols>
  <sheetData>
    <row r="2" spans="2:12" x14ac:dyDescent="0.2">
      <c r="B2" s="74" t="s">
        <v>117</v>
      </c>
      <c r="C2" s="74"/>
      <c r="D2" s="74"/>
      <c r="E2" s="74"/>
      <c r="F2" s="74"/>
      <c r="G2" s="74"/>
      <c r="H2" s="74"/>
      <c r="I2" s="74"/>
      <c r="J2" s="74"/>
      <c r="K2" s="74"/>
    </row>
    <row r="3" spans="2:12" ht="51" customHeight="1" thickBot="1" x14ac:dyDescent="0.25">
      <c r="B3" s="1" t="s">
        <v>78</v>
      </c>
      <c r="C3" s="2" t="s">
        <v>1</v>
      </c>
      <c r="D3" s="2" t="s">
        <v>2</v>
      </c>
      <c r="E3" s="2" t="s">
        <v>3</v>
      </c>
      <c r="F3" s="2" t="s">
        <v>4</v>
      </c>
      <c r="G3" s="2" t="s">
        <v>5</v>
      </c>
      <c r="H3" s="2" t="s">
        <v>6</v>
      </c>
      <c r="I3" s="2" t="s">
        <v>7</v>
      </c>
      <c r="J3" s="2" t="s">
        <v>8</v>
      </c>
      <c r="K3" s="2" t="s">
        <v>9</v>
      </c>
      <c r="L3" s="2" t="s">
        <v>10</v>
      </c>
    </row>
    <row r="4" spans="2:12" ht="23" customHeight="1" thickTop="1" x14ac:dyDescent="0.2">
      <c r="B4" s="3" t="s">
        <v>13</v>
      </c>
      <c r="C4" s="4"/>
      <c r="D4" s="4"/>
      <c r="E4" s="4"/>
      <c r="F4" s="4"/>
      <c r="G4" s="4"/>
      <c r="H4" s="4"/>
      <c r="I4" s="4"/>
      <c r="J4" s="4"/>
      <c r="K4" s="4"/>
    </row>
    <row r="5" spans="2:12" x14ac:dyDescent="0.2">
      <c r="B5" s="5" t="s">
        <v>14</v>
      </c>
      <c r="C5" t="str">
        <f>"-0.068"</f>
        <v>-0.068</v>
      </c>
      <c r="D5" t="str">
        <f>""</f>
        <v/>
      </c>
      <c r="E5" s="27" t="str">
        <f>""</f>
        <v/>
      </c>
      <c r="F5" s="27" t="str">
        <f>""</f>
        <v/>
      </c>
      <c r="G5" s="27" t="str">
        <f>""</f>
        <v/>
      </c>
      <c r="H5" s="27" t="str">
        <f>""</f>
        <v/>
      </c>
      <c r="I5" s="27" t="str">
        <f>""</f>
        <v/>
      </c>
      <c r="J5" s="27" t="str">
        <f>""</f>
        <v/>
      </c>
      <c r="K5" s="27" t="str">
        <f>""</f>
        <v/>
      </c>
      <c r="L5" t="str">
        <f>""</f>
        <v/>
      </c>
    </row>
    <row r="6" spans="2:12" x14ac:dyDescent="0.2">
      <c r="B6" s="7"/>
      <c r="C6" t="str">
        <f>"[0.043]"</f>
        <v>[0.043]</v>
      </c>
      <c r="D6" t="str">
        <f>""</f>
        <v/>
      </c>
      <c r="E6" s="27" t="str">
        <f>""</f>
        <v/>
      </c>
      <c r="F6" s="27" t="str">
        <f>""</f>
        <v/>
      </c>
      <c r="G6" s="27" t="str">
        <f>""</f>
        <v/>
      </c>
      <c r="H6" s="27" t="str">
        <f>""</f>
        <v/>
      </c>
      <c r="I6" s="27" t="str">
        <f>""</f>
        <v/>
      </c>
      <c r="J6" s="27" t="str">
        <f>""</f>
        <v/>
      </c>
      <c r="K6" s="27" t="str">
        <f>""</f>
        <v/>
      </c>
      <c r="L6" t="str">
        <f>""</f>
        <v/>
      </c>
    </row>
    <row r="7" spans="2:12" x14ac:dyDescent="0.2">
      <c r="B7" s="8" t="s">
        <v>15</v>
      </c>
      <c r="C7" t="str">
        <f>""</f>
        <v/>
      </c>
      <c r="D7" t="str">
        <f>"-0.140"</f>
        <v>-0.140</v>
      </c>
      <c r="E7" s="27" t="str">
        <f>""</f>
        <v/>
      </c>
      <c r="F7" s="27" t="str">
        <f>""</f>
        <v/>
      </c>
      <c r="G7" s="27" t="str">
        <f>""</f>
        <v/>
      </c>
      <c r="H7" s="27" t="str">
        <f>""</f>
        <v/>
      </c>
      <c r="I7" s="27" t="str">
        <f>""</f>
        <v/>
      </c>
      <c r="J7" s="27" t="str">
        <f>""</f>
        <v/>
      </c>
      <c r="K7" s="27" t="str">
        <f>""</f>
        <v/>
      </c>
      <c r="L7" t="str">
        <f>""</f>
        <v/>
      </c>
    </row>
    <row r="8" spans="2:12" x14ac:dyDescent="0.2">
      <c r="B8" s="5" t="str">
        <f>""</f>
        <v/>
      </c>
      <c r="C8" t="str">
        <f>""</f>
        <v/>
      </c>
      <c r="D8" t="str">
        <f>"[0.216]"</f>
        <v>[0.216]</v>
      </c>
      <c r="E8" s="27" t="str">
        <f>""</f>
        <v/>
      </c>
      <c r="F8" s="27" t="str">
        <f>""</f>
        <v/>
      </c>
      <c r="G8" s="27" t="str">
        <f>""</f>
        <v/>
      </c>
      <c r="H8" s="27" t="str">
        <f>""</f>
        <v/>
      </c>
      <c r="I8" s="27" t="str">
        <f>""</f>
        <v/>
      </c>
      <c r="J8" s="27" t="str">
        <f>""</f>
        <v/>
      </c>
      <c r="K8" s="27" t="str">
        <f>""</f>
        <v/>
      </c>
      <c r="L8" t="str">
        <f>""</f>
        <v/>
      </c>
    </row>
    <row r="9" spans="2:12" x14ac:dyDescent="0.2">
      <c r="B9" s="5"/>
      <c r="C9" s="27"/>
      <c r="D9" s="27"/>
      <c r="E9" s="27"/>
      <c r="F9" s="27"/>
      <c r="G9" s="27"/>
      <c r="H9" s="27"/>
      <c r="I9" s="27"/>
      <c r="J9" s="27"/>
      <c r="K9" s="27"/>
    </row>
    <row r="10" spans="2:12" ht="25" customHeight="1" x14ac:dyDescent="0.2">
      <c r="B10" s="9" t="s">
        <v>16</v>
      </c>
      <c r="C10" s="10"/>
      <c r="D10" s="10"/>
      <c r="E10" s="10"/>
      <c r="F10" s="10"/>
      <c r="G10" s="10"/>
      <c r="H10" s="10"/>
      <c r="I10" s="10"/>
      <c r="J10" s="10"/>
      <c r="K10" s="10"/>
      <c r="L10" s="10"/>
    </row>
    <row r="11" spans="2:12" ht="18" customHeight="1" x14ac:dyDescent="0.2">
      <c r="B11" s="11" t="str">
        <f>"Loss of land (yes=1) for a household in a given year"</f>
        <v>Loss of land (yes=1) for a household in a given year</v>
      </c>
      <c r="C11" s="12" t="str">
        <f>""</f>
        <v/>
      </c>
      <c r="D11" s="12" t="str">
        <f>""</f>
        <v/>
      </c>
      <c r="E11" t="str">
        <f>"-0.023"</f>
        <v>-0.023</v>
      </c>
      <c r="F11" t="str">
        <f>""</f>
        <v/>
      </c>
      <c r="G11" t="str">
        <f>""</f>
        <v/>
      </c>
      <c r="H11" t="str">
        <f>""</f>
        <v/>
      </c>
      <c r="I11" t="str">
        <f>""</f>
        <v/>
      </c>
      <c r="J11" t="str">
        <f>""</f>
        <v/>
      </c>
      <c r="K11" t="str">
        <f>""</f>
        <v/>
      </c>
      <c r="L11" t="str">
        <f>""</f>
        <v/>
      </c>
    </row>
    <row r="12" spans="2:12" ht="14" customHeight="1" x14ac:dyDescent="0.2">
      <c r="B12" s="11" t="str">
        <f>""</f>
        <v/>
      </c>
      <c r="C12" s="12" t="str">
        <f>""</f>
        <v/>
      </c>
      <c r="D12" s="12" t="str">
        <f>""</f>
        <v/>
      </c>
      <c r="E12" t="str">
        <f>"[0.019]"</f>
        <v>[0.019]</v>
      </c>
      <c r="F12" t="str">
        <f>""</f>
        <v/>
      </c>
      <c r="G12" t="str">
        <f>""</f>
        <v/>
      </c>
      <c r="H12" t="str">
        <f>""</f>
        <v/>
      </c>
      <c r="I12" t="str">
        <f>""</f>
        <v/>
      </c>
      <c r="J12" t="str">
        <f>""</f>
        <v/>
      </c>
      <c r="K12" t="str">
        <f>""</f>
        <v/>
      </c>
      <c r="L12" t="str">
        <f>""</f>
        <v/>
      </c>
    </row>
    <row r="13" spans="2:12" x14ac:dyDescent="0.2">
      <c r="B13" s="11" t="str">
        <f>"Theft of crops (yes=1) for a household in a given year"</f>
        <v>Theft of crops (yes=1) for a household in a given year</v>
      </c>
      <c r="C13" s="12" t="str">
        <f>""</f>
        <v/>
      </c>
      <c r="D13" s="12" t="str">
        <f>""</f>
        <v/>
      </c>
      <c r="E13" t="str">
        <f>""</f>
        <v/>
      </c>
      <c r="F13" t="str">
        <f>"-0.022"</f>
        <v>-0.022</v>
      </c>
      <c r="G13" t="str">
        <f>""</f>
        <v/>
      </c>
      <c r="H13" t="str">
        <f>""</f>
        <v/>
      </c>
      <c r="I13" t="str">
        <f>""</f>
        <v/>
      </c>
      <c r="J13" t="str">
        <f>""</f>
        <v/>
      </c>
      <c r="K13" t="str">
        <f>""</f>
        <v/>
      </c>
      <c r="L13" t="str">
        <f>""</f>
        <v/>
      </c>
    </row>
    <row r="14" spans="2:12" x14ac:dyDescent="0.2">
      <c r="B14" s="11" t="str">
        <f>""</f>
        <v/>
      </c>
      <c r="C14" s="12" t="str">
        <f>""</f>
        <v/>
      </c>
      <c r="D14" s="12" t="str">
        <f>""</f>
        <v/>
      </c>
      <c r="E14" t="str">
        <f>""</f>
        <v/>
      </c>
      <c r="F14" t="str">
        <f>"[0.015]"</f>
        <v>[0.015]</v>
      </c>
      <c r="G14" t="str">
        <f>""</f>
        <v/>
      </c>
      <c r="H14" t="str">
        <f>""</f>
        <v/>
      </c>
      <c r="I14" t="str">
        <f>""</f>
        <v/>
      </c>
      <c r="J14" t="str">
        <f>""</f>
        <v/>
      </c>
      <c r="K14" t="str">
        <f>""</f>
        <v/>
      </c>
      <c r="L14" t="str">
        <f>""</f>
        <v/>
      </c>
    </row>
    <row r="15" spans="2:12" x14ac:dyDescent="0.2">
      <c r="B15" s="13" t="str">
        <f>"Theft of money (yes=1) for a household in a given year"</f>
        <v>Theft of money (yes=1) for a household in a given year</v>
      </c>
      <c r="C15" s="14" t="str">
        <f>""</f>
        <v/>
      </c>
      <c r="D15" s="14" t="str">
        <f>""</f>
        <v/>
      </c>
      <c r="E15" t="str">
        <f>""</f>
        <v/>
      </c>
      <c r="F15" t="str">
        <f>""</f>
        <v/>
      </c>
      <c r="G15" t="str">
        <f>"0.026"</f>
        <v>0.026</v>
      </c>
      <c r="H15" t="str">
        <f>""</f>
        <v/>
      </c>
      <c r="I15" t="str">
        <f>""</f>
        <v/>
      </c>
      <c r="J15" t="str">
        <f>""</f>
        <v/>
      </c>
      <c r="K15" t="str">
        <f>""</f>
        <v/>
      </c>
      <c r="L15" t="str">
        <f>""</f>
        <v/>
      </c>
    </row>
    <row r="16" spans="2:12" x14ac:dyDescent="0.2">
      <c r="B16" s="11" t="str">
        <f>""</f>
        <v/>
      </c>
      <c r="C16" s="12" t="str">
        <f>""</f>
        <v/>
      </c>
      <c r="D16" s="12" t="str">
        <f>""</f>
        <v/>
      </c>
      <c r="E16" t="str">
        <f>""</f>
        <v/>
      </c>
      <c r="F16" t="str">
        <f>""</f>
        <v/>
      </c>
      <c r="G16" t="str">
        <f>"[0.029]"</f>
        <v>[0.029]</v>
      </c>
      <c r="H16" t="str">
        <f>""</f>
        <v/>
      </c>
      <c r="I16" t="str">
        <f>""</f>
        <v/>
      </c>
      <c r="J16" t="str">
        <f>""</f>
        <v/>
      </c>
      <c r="K16" t="str">
        <f>""</f>
        <v/>
      </c>
      <c r="L16" t="str">
        <f>""</f>
        <v/>
      </c>
    </row>
    <row r="17" spans="2:12" x14ac:dyDescent="0.2">
      <c r="B17" s="11" t="str">
        <f>"Theft or destruction of goods (yes=1) for a household in a given year"</f>
        <v>Theft or destruction of goods (yes=1) for a household in a given year</v>
      </c>
      <c r="C17" s="12" t="str">
        <f>""</f>
        <v/>
      </c>
      <c r="D17" s="12" t="str">
        <f>""</f>
        <v/>
      </c>
      <c r="E17" t="str">
        <f>""</f>
        <v/>
      </c>
      <c r="F17" t="str">
        <f>""</f>
        <v/>
      </c>
      <c r="G17" t="str">
        <f>""</f>
        <v/>
      </c>
      <c r="H17" t="str">
        <f>"0.015"</f>
        <v>0.015</v>
      </c>
      <c r="I17" t="str">
        <f>""</f>
        <v/>
      </c>
      <c r="J17" t="str">
        <f>""</f>
        <v/>
      </c>
      <c r="K17" t="str">
        <f>""</f>
        <v/>
      </c>
      <c r="L17" t="str">
        <f>""</f>
        <v/>
      </c>
    </row>
    <row r="18" spans="2:12" x14ac:dyDescent="0.2">
      <c r="B18" s="11"/>
      <c r="C18" s="12" t="str">
        <f>""</f>
        <v/>
      </c>
      <c r="D18" s="12" t="str">
        <f>""</f>
        <v/>
      </c>
      <c r="E18" t="str">
        <f>""</f>
        <v/>
      </c>
      <c r="F18" t="str">
        <f>""</f>
        <v/>
      </c>
      <c r="G18" t="str">
        <f>""</f>
        <v/>
      </c>
      <c r="H18" t="str">
        <f>"[0.023]"</f>
        <v>[0.023]</v>
      </c>
      <c r="I18" t="str">
        <f>""</f>
        <v/>
      </c>
      <c r="J18" t="str">
        <f>""</f>
        <v/>
      </c>
      <c r="K18" t="str">
        <f>""</f>
        <v/>
      </c>
      <c r="L18" t="str">
        <f>""</f>
        <v/>
      </c>
    </row>
    <row r="19" spans="2:12" x14ac:dyDescent="0.2">
      <c r="B19" s="11" t="str">
        <f>"Destruction of house (yes=1) for a household in a given year"</f>
        <v>Destruction of house (yes=1) for a household in a given year</v>
      </c>
      <c r="C19" s="12" t="str">
        <f>""</f>
        <v/>
      </c>
      <c r="D19" s="12" t="str">
        <f>""</f>
        <v/>
      </c>
      <c r="E19" t="str">
        <f>""</f>
        <v/>
      </c>
      <c r="F19" t="str">
        <f>""</f>
        <v/>
      </c>
      <c r="G19" t="str">
        <f>""</f>
        <v/>
      </c>
      <c r="H19" t="str">
        <f>""</f>
        <v/>
      </c>
      <c r="I19" t="str">
        <f>"0.020"</f>
        <v>0.020</v>
      </c>
      <c r="J19" t="str">
        <f>""</f>
        <v/>
      </c>
      <c r="K19" t="str">
        <f>""</f>
        <v/>
      </c>
      <c r="L19" t="str">
        <f>""</f>
        <v/>
      </c>
    </row>
    <row r="20" spans="2:12" x14ac:dyDescent="0.2">
      <c r="B20" s="11"/>
      <c r="C20" s="12" t="str">
        <f>""</f>
        <v/>
      </c>
      <c r="D20" s="12" t="str">
        <f>""</f>
        <v/>
      </c>
      <c r="E20" t="str">
        <f>""</f>
        <v/>
      </c>
      <c r="F20" t="str">
        <f>""</f>
        <v/>
      </c>
      <c r="G20" t="str">
        <f>""</f>
        <v/>
      </c>
      <c r="H20" t="str">
        <f>""</f>
        <v/>
      </c>
      <c r="I20" t="str">
        <f>"[0.033]"</f>
        <v>[0.033]</v>
      </c>
      <c r="J20" t="str">
        <f>""</f>
        <v/>
      </c>
      <c r="K20" t="str">
        <f>""</f>
        <v/>
      </c>
      <c r="L20" t="str">
        <f>""</f>
        <v/>
      </c>
    </row>
    <row r="21" spans="2:12" x14ac:dyDescent="0.2">
      <c r="B21" s="15" t="s">
        <v>18</v>
      </c>
      <c r="C21" s="12" t="str">
        <f>""</f>
        <v/>
      </c>
      <c r="D21" s="12" t="str">
        <f>""</f>
        <v/>
      </c>
      <c r="E21" t="str">
        <f>""</f>
        <v/>
      </c>
      <c r="F21" t="str">
        <f>""</f>
        <v/>
      </c>
      <c r="G21" t="str">
        <f>""</f>
        <v/>
      </c>
      <c r="H21" t="str">
        <f>""</f>
        <v/>
      </c>
      <c r="I21" t="str">
        <f>""</f>
        <v/>
      </c>
      <c r="J21" t="str">
        <f>"-0.006"</f>
        <v>-0.006</v>
      </c>
      <c r="K21" t="str">
        <f>""</f>
        <v/>
      </c>
      <c r="L21" t="str">
        <f>""</f>
        <v/>
      </c>
    </row>
    <row r="22" spans="2:12" x14ac:dyDescent="0.2">
      <c r="C22" s="12" t="str">
        <f>""</f>
        <v/>
      </c>
      <c r="D22" s="12" t="str">
        <f>""</f>
        <v/>
      </c>
      <c r="E22" t="str">
        <f>""</f>
        <v/>
      </c>
      <c r="F22" t="str">
        <f>""</f>
        <v/>
      </c>
      <c r="G22" t="str">
        <f>""</f>
        <v/>
      </c>
      <c r="H22" t="str">
        <f>""</f>
        <v/>
      </c>
      <c r="I22" t="str">
        <f>""</f>
        <v/>
      </c>
      <c r="J22" t="str">
        <f>"[0.004]"</f>
        <v>[0.004]</v>
      </c>
      <c r="K22" t="str">
        <f>""</f>
        <v/>
      </c>
      <c r="L22" t="str">
        <f>""</f>
        <v/>
      </c>
    </row>
    <row r="23" spans="2:12" x14ac:dyDescent="0.2">
      <c r="B23" s="15" t="s">
        <v>19</v>
      </c>
      <c r="C23" s="12" t="str">
        <f>""</f>
        <v/>
      </c>
      <c r="D23" s="12" t="str">
        <f>""</f>
        <v/>
      </c>
      <c r="E23" t="str">
        <f>""</f>
        <v/>
      </c>
      <c r="F23" t="str">
        <f>""</f>
        <v/>
      </c>
      <c r="G23" t="str">
        <f>""</f>
        <v/>
      </c>
      <c r="H23" t="str">
        <f>""</f>
        <v/>
      </c>
      <c r="I23" t="str">
        <f>""</f>
        <v/>
      </c>
      <c r="J23" t="str">
        <f>""</f>
        <v/>
      </c>
      <c r="K23" t="str">
        <f>"0.003"</f>
        <v>0.003</v>
      </c>
      <c r="L23" t="str">
        <f>""</f>
        <v/>
      </c>
    </row>
    <row r="24" spans="2:12" x14ac:dyDescent="0.2">
      <c r="B24" s="15"/>
      <c r="C24" s="12" t="str">
        <f>""</f>
        <v/>
      </c>
      <c r="D24" s="12" t="str">
        <f>""</f>
        <v/>
      </c>
      <c r="E24" t="str">
        <f>""</f>
        <v/>
      </c>
      <c r="F24" t="str">
        <f>""</f>
        <v/>
      </c>
      <c r="G24" t="str">
        <f>""</f>
        <v/>
      </c>
      <c r="H24" t="str">
        <f>""</f>
        <v/>
      </c>
      <c r="I24" t="str">
        <f>""</f>
        <v/>
      </c>
      <c r="J24" t="str">
        <f>""</f>
        <v/>
      </c>
      <c r="K24" t="str">
        <f>"[0.003]"</f>
        <v>[0.003]</v>
      </c>
      <c r="L24" t="str">
        <f>""</f>
        <v/>
      </c>
    </row>
    <row r="25" spans="2:12" x14ac:dyDescent="0.2">
      <c r="B25" s="15" t="s">
        <v>17</v>
      </c>
      <c r="C25" s="12" t="str">
        <f>""</f>
        <v/>
      </c>
      <c r="D25" s="12" t="str">
        <f>""</f>
        <v/>
      </c>
      <c r="E25" t="str">
        <f>""</f>
        <v/>
      </c>
      <c r="F25" t="str">
        <f>""</f>
        <v/>
      </c>
      <c r="G25" t="str">
        <f>""</f>
        <v/>
      </c>
      <c r="H25" t="str">
        <f>""</f>
        <v/>
      </c>
      <c r="I25" t="str">
        <f>""</f>
        <v/>
      </c>
      <c r="J25" t="str">
        <f>""</f>
        <v/>
      </c>
      <c r="K25" t="str">
        <f>""</f>
        <v/>
      </c>
      <c r="L25" t="str">
        <f>"0.001"</f>
        <v>0.001</v>
      </c>
    </row>
    <row r="26" spans="2:12" x14ac:dyDescent="0.2">
      <c r="C26" s="12" t="str">
        <f>""</f>
        <v/>
      </c>
      <c r="D26" s="12" t="str">
        <f>""</f>
        <v/>
      </c>
      <c r="E26" t="str">
        <f>""</f>
        <v/>
      </c>
      <c r="F26" t="str">
        <f>""</f>
        <v/>
      </c>
      <c r="G26" t="str">
        <f>""</f>
        <v/>
      </c>
      <c r="H26" t="str">
        <f>""</f>
        <v/>
      </c>
      <c r="I26" t="str">
        <f>""</f>
        <v/>
      </c>
      <c r="J26" t="str">
        <f>""</f>
        <v/>
      </c>
      <c r="K26" t="str">
        <f>""</f>
        <v/>
      </c>
      <c r="L26" t="str">
        <f>"[0.003]"</f>
        <v>[0.003]</v>
      </c>
    </row>
    <row r="27" spans="2:12" x14ac:dyDescent="0.2">
      <c r="B27" s="16" t="s">
        <v>22</v>
      </c>
      <c r="C27" s="64" t="str">
        <f t="shared" ref="C27:L27" si="0">"1885"</f>
        <v>1885</v>
      </c>
      <c r="D27" s="64" t="str">
        <f t="shared" si="0"/>
        <v>1885</v>
      </c>
      <c r="E27" s="64" t="str">
        <f t="shared" si="0"/>
        <v>1885</v>
      </c>
      <c r="F27" s="64" t="str">
        <f t="shared" si="0"/>
        <v>1885</v>
      </c>
      <c r="G27" s="64" t="str">
        <f t="shared" si="0"/>
        <v>1885</v>
      </c>
      <c r="H27" s="64" t="str">
        <f t="shared" si="0"/>
        <v>1885</v>
      </c>
      <c r="I27" s="64" t="str">
        <f t="shared" si="0"/>
        <v>1885</v>
      </c>
      <c r="J27" s="64" t="str">
        <f t="shared" si="0"/>
        <v>1885</v>
      </c>
      <c r="K27" s="64" t="str">
        <f t="shared" si="0"/>
        <v>1885</v>
      </c>
      <c r="L27" s="64" t="str">
        <f t="shared" si="0"/>
        <v>1885</v>
      </c>
    </row>
    <row r="28" spans="2:12" x14ac:dyDescent="0.2">
      <c r="B28" s="18" t="s">
        <v>23</v>
      </c>
      <c r="C28" s="21" t="str">
        <f t="shared" ref="C28:L28" si="1">"0.016"</f>
        <v>0.016</v>
      </c>
      <c r="D28" s="21" t="str">
        <f t="shared" si="1"/>
        <v>0.016</v>
      </c>
      <c r="E28" s="21" t="str">
        <f t="shared" si="1"/>
        <v>0.016</v>
      </c>
      <c r="F28" s="21" t="str">
        <f t="shared" si="1"/>
        <v>0.016</v>
      </c>
      <c r="G28" s="21" t="str">
        <f t="shared" si="1"/>
        <v>0.016</v>
      </c>
      <c r="H28" s="21" t="str">
        <f t="shared" si="1"/>
        <v>0.016</v>
      </c>
      <c r="I28" s="21" t="str">
        <f t="shared" si="1"/>
        <v>0.016</v>
      </c>
      <c r="J28" s="21" t="str">
        <f t="shared" si="1"/>
        <v>0.016</v>
      </c>
      <c r="K28" s="21" t="str">
        <f t="shared" si="1"/>
        <v>0.016</v>
      </c>
      <c r="L28" s="21" t="str">
        <f t="shared" si="1"/>
        <v>0.016</v>
      </c>
    </row>
    <row r="29" spans="2:12" x14ac:dyDescent="0.2">
      <c r="B29" s="20" t="s">
        <v>24</v>
      </c>
      <c r="C29" s="21" t="s">
        <v>25</v>
      </c>
      <c r="D29" s="21" t="s">
        <v>25</v>
      </c>
      <c r="E29" s="21" t="s">
        <v>25</v>
      </c>
      <c r="F29" s="21" t="s">
        <v>25</v>
      </c>
      <c r="G29" s="21" t="s">
        <v>25</v>
      </c>
      <c r="H29" s="21" t="s">
        <v>25</v>
      </c>
      <c r="I29" s="21" t="s">
        <v>25</v>
      </c>
      <c r="J29" s="21" t="s">
        <v>25</v>
      </c>
      <c r="K29" s="21" t="s">
        <v>25</v>
      </c>
      <c r="L29" s="21" t="s">
        <v>25</v>
      </c>
    </row>
    <row r="30" spans="2:12" x14ac:dyDescent="0.2">
      <c r="B30" s="20" t="s">
        <v>26</v>
      </c>
      <c r="C30" s="21" t="s">
        <v>25</v>
      </c>
      <c r="D30" s="21" t="s">
        <v>25</v>
      </c>
      <c r="E30" s="21" t="s">
        <v>25</v>
      </c>
      <c r="F30" s="21" t="s">
        <v>25</v>
      </c>
      <c r="G30" s="21" t="s">
        <v>25</v>
      </c>
      <c r="H30" s="21" t="s">
        <v>25</v>
      </c>
      <c r="I30" s="21" t="s">
        <v>25</v>
      </c>
      <c r="J30" s="21" t="s">
        <v>25</v>
      </c>
      <c r="K30" s="21" t="s">
        <v>25</v>
      </c>
      <c r="L30" s="21" t="s">
        <v>25</v>
      </c>
    </row>
    <row r="31" spans="2:12" x14ac:dyDescent="0.2">
      <c r="B31" s="22" t="s">
        <v>27</v>
      </c>
      <c r="C31" s="23" t="s">
        <v>25</v>
      </c>
      <c r="D31" s="23" t="s">
        <v>25</v>
      </c>
      <c r="E31" s="23" t="s">
        <v>25</v>
      </c>
      <c r="F31" s="23" t="s">
        <v>25</v>
      </c>
      <c r="G31" s="23" t="s">
        <v>25</v>
      </c>
      <c r="H31" s="23" t="s">
        <v>25</v>
      </c>
      <c r="I31" s="23" t="s">
        <v>25</v>
      </c>
      <c r="J31" s="23" t="s">
        <v>25</v>
      </c>
      <c r="K31" s="23" t="s">
        <v>25</v>
      </c>
      <c r="L31" s="23" t="s">
        <v>25</v>
      </c>
    </row>
    <row r="32" spans="2:12" ht="93" customHeight="1" x14ac:dyDescent="0.2">
      <c r="B32" s="75" t="s">
        <v>77</v>
      </c>
      <c r="C32" s="75"/>
      <c r="D32" s="75"/>
      <c r="E32" s="75"/>
      <c r="F32" s="75"/>
      <c r="G32" s="75"/>
      <c r="H32" s="75"/>
      <c r="I32" s="75"/>
      <c r="J32" s="75"/>
      <c r="K32" s="75"/>
      <c r="L32" s="75"/>
    </row>
  </sheetData>
  <mergeCells count="2">
    <mergeCell ref="B2:K2"/>
    <mergeCell ref="B32:L32"/>
  </mergeCells>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274E1-84CD-1647-B645-2885DF0E683E}">
  <dimension ref="B2:R32"/>
  <sheetViews>
    <sheetView showGridLines="0" workbookViewId="0">
      <selection activeCell="B2" sqref="B2:R2"/>
    </sheetView>
  </sheetViews>
  <sheetFormatPr baseColWidth="10" defaultColWidth="11" defaultRowHeight="16" x14ac:dyDescent="0.2"/>
  <cols>
    <col min="2" max="2" width="56.1640625" customWidth="1"/>
  </cols>
  <sheetData>
    <row r="2" spans="2:18" x14ac:dyDescent="0.2">
      <c r="B2" s="72" t="s">
        <v>124</v>
      </c>
      <c r="C2" s="72"/>
      <c r="D2" s="72"/>
      <c r="E2" s="72"/>
      <c r="F2" s="72"/>
      <c r="G2" s="72"/>
      <c r="H2" s="72"/>
      <c r="I2" s="72"/>
      <c r="J2" s="72"/>
      <c r="K2" s="72"/>
      <c r="L2" s="72"/>
      <c r="M2" s="72"/>
      <c r="N2" s="72"/>
      <c r="O2" s="72"/>
      <c r="P2" s="72"/>
      <c r="Q2" s="72"/>
      <c r="R2" s="72"/>
    </row>
    <row r="3" spans="2:18" ht="37" customHeight="1" thickBot="1" x14ac:dyDescent="0.25">
      <c r="B3" s="1" t="s">
        <v>40</v>
      </c>
      <c r="C3" s="2" t="s">
        <v>1</v>
      </c>
      <c r="D3" s="2" t="s">
        <v>2</v>
      </c>
      <c r="E3" s="2" t="s">
        <v>3</v>
      </c>
      <c r="F3" s="2" t="s">
        <v>4</v>
      </c>
      <c r="G3" s="85" t="s">
        <v>5</v>
      </c>
      <c r="H3" s="2" t="s">
        <v>6</v>
      </c>
      <c r="I3" s="2" t="s">
        <v>7</v>
      </c>
      <c r="J3" s="2" t="s">
        <v>8</v>
      </c>
      <c r="K3" s="2" t="s">
        <v>9</v>
      </c>
      <c r="L3" s="2" t="s">
        <v>10</v>
      </c>
      <c r="M3" s="2" t="s">
        <v>11</v>
      </c>
      <c r="N3" s="2" t="s">
        <v>12</v>
      </c>
      <c r="O3" s="2" t="s">
        <v>28</v>
      </c>
      <c r="P3" s="2" t="s">
        <v>29</v>
      </c>
      <c r="Q3" s="2" t="s">
        <v>30</v>
      </c>
      <c r="R3" s="2" t="s">
        <v>31</v>
      </c>
    </row>
    <row r="4" spans="2:18" ht="17" thickTop="1" x14ac:dyDescent="0.2">
      <c r="B4" s="3" t="s">
        <v>13</v>
      </c>
      <c r="C4" s="4"/>
      <c r="D4" s="4"/>
      <c r="E4" s="4"/>
      <c r="F4" s="4"/>
      <c r="G4" s="4"/>
      <c r="H4" s="4"/>
      <c r="I4" s="4"/>
      <c r="K4" s="4"/>
      <c r="L4" s="4"/>
      <c r="M4" s="4"/>
      <c r="N4" s="4"/>
      <c r="O4" s="4"/>
      <c r="P4" s="4"/>
      <c r="Q4" s="4"/>
    </row>
    <row r="5" spans="2:18" x14ac:dyDescent="0.2">
      <c r="B5" s="5" t="s">
        <v>14</v>
      </c>
      <c r="C5" s="27" t="str">
        <f t="shared" ref="C5:J5" si="0">"0.031**"</f>
        <v>0.031**</v>
      </c>
      <c r="D5" s="27" t="str">
        <f t="shared" si="0"/>
        <v>0.031**</v>
      </c>
      <c r="E5" s="27" t="str">
        <f t="shared" si="0"/>
        <v>0.031**</v>
      </c>
      <c r="F5" s="27" t="str">
        <f t="shared" si="0"/>
        <v>0.031**</v>
      </c>
      <c r="G5" s="27" t="str">
        <f t="shared" si="0"/>
        <v>0.031**</v>
      </c>
      <c r="H5" s="27" t="str">
        <f t="shared" si="0"/>
        <v>0.031**</v>
      </c>
      <c r="I5" s="27" t="str">
        <f t="shared" si="0"/>
        <v>0.031**</v>
      </c>
      <c r="J5" t="str">
        <f t="shared" si="0"/>
        <v>0.031**</v>
      </c>
      <c r="K5" s="27" t="str">
        <f>""</f>
        <v/>
      </c>
      <c r="L5" s="27" t="str">
        <f>""</f>
        <v/>
      </c>
      <c r="M5" s="27" t="str">
        <f>""</f>
        <v/>
      </c>
      <c r="N5" s="27" t="str">
        <f>""</f>
        <v/>
      </c>
      <c r="O5" s="27" t="str">
        <f>""</f>
        <v/>
      </c>
      <c r="P5" s="27" t="str">
        <f>""</f>
        <v/>
      </c>
      <c r="Q5" s="27" t="str">
        <f>""</f>
        <v/>
      </c>
      <c r="R5" t="str">
        <f>""</f>
        <v/>
      </c>
    </row>
    <row r="6" spans="2:18" x14ac:dyDescent="0.2">
      <c r="B6" s="7"/>
      <c r="C6" s="27" t="str">
        <f t="shared" ref="C6:J6" si="1">"[0.014]"</f>
        <v>[0.014]</v>
      </c>
      <c r="D6" s="27" t="str">
        <f t="shared" si="1"/>
        <v>[0.014]</v>
      </c>
      <c r="E6" s="27" t="str">
        <f t="shared" si="1"/>
        <v>[0.014]</v>
      </c>
      <c r="F6" s="27" t="str">
        <f t="shared" si="1"/>
        <v>[0.014]</v>
      </c>
      <c r="G6" s="27" t="str">
        <f t="shared" si="1"/>
        <v>[0.014]</v>
      </c>
      <c r="H6" s="27" t="str">
        <f t="shared" si="1"/>
        <v>[0.014]</v>
      </c>
      <c r="I6" s="27" t="str">
        <f t="shared" si="1"/>
        <v>[0.014]</v>
      </c>
      <c r="J6" t="str">
        <f t="shared" si="1"/>
        <v>[0.014]</v>
      </c>
      <c r="K6" s="27" t="str">
        <f>""</f>
        <v/>
      </c>
      <c r="L6" s="27" t="str">
        <f>""</f>
        <v/>
      </c>
      <c r="M6" s="27" t="str">
        <f>""</f>
        <v/>
      </c>
      <c r="N6" s="27" t="str">
        <f>""</f>
        <v/>
      </c>
      <c r="O6" s="27" t="str">
        <f>""</f>
        <v/>
      </c>
      <c r="P6" s="27" t="str">
        <f>""</f>
        <v/>
      </c>
      <c r="Q6" s="27" t="str">
        <f>""</f>
        <v/>
      </c>
      <c r="R6" t="str">
        <f>""</f>
        <v/>
      </c>
    </row>
    <row r="7" spans="2:18" x14ac:dyDescent="0.2">
      <c r="B7" s="8" t="s">
        <v>15</v>
      </c>
      <c r="C7" s="27" t="str">
        <f>""</f>
        <v/>
      </c>
      <c r="D7" s="27" t="str">
        <f>""</f>
        <v/>
      </c>
      <c r="E7" s="27" t="str">
        <f>""</f>
        <v/>
      </c>
      <c r="F7" s="27" t="str">
        <f>""</f>
        <v/>
      </c>
      <c r="G7" s="27" t="str">
        <f>""</f>
        <v/>
      </c>
      <c r="H7" s="27" t="str">
        <f>""</f>
        <v/>
      </c>
      <c r="I7" s="27" t="str">
        <f>""</f>
        <v/>
      </c>
      <c r="J7" t="str">
        <f>""</f>
        <v/>
      </c>
      <c r="K7" s="27" t="str">
        <f>"0.241***"</f>
        <v>0.241***</v>
      </c>
      <c r="L7" s="27" t="str">
        <f>"0.242***"</f>
        <v>0.242***</v>
      </c>
      <c r="M7" s="27" t="str">
        <f>"0.245***"</f>
        <v>0.245***</v>
      </c>
      <c r="N7" s="27" t="str">
        <f>"0.242***"</f>
        <v>0.242***</v>
      </c>
      <c r="O7" s="27" t="str">
        <f>"0.244***"</f>
        <v>0.244***</v>
      </c>
      <c r="P7" s="27" t="str">
        <f>"0.242***"</f>
        <v>0.242***</v>
      </c>
      <c r="Q7" s="27" t="str">
        <f>"0.246***"</f>
        <v>0.246***</v>
      </c>
      <c r="R7" t="str">
        <f>"0.246***"</f>
        <v>0.246***</v>
      </c>
    </row>
    <row r="8" spans="2:18" x14ac:dyDescent="0.2">
      <c r="B8" s="5" t="str">
        <f>""</f>
        <v/>
      </c>
      <c r="C8" s="27" t="str">
        <f>""</f>
        <v/>
      </c>
      <c r="D8" s="27" t="str">
        <f>""</f>
        <v/>
      </c>
      <c r="E8" s="27" t="str">
        <f>""</f>
        <v/>
      </c>
      <c r="F8" s="27" t="str">
        <f>""</f>
        <v/>
      </c>
      <c r="G8" s="27" t="str">
        <f>""</f>
        <v/>
      </c>
      <c r="H8" s="27" t="str">
        <f>""</f>
        <v/>
      </c>
      <c r="I8" s="27" t="str">
        <f>""</f>
        <v/>
      </c>
      <c r="J8" t="str">
        <f>""</f>
        <v/>
      </c>
      <c r="K8" s="27" t="str">
        <f>"[0.090]"</f>
        <v>[0.090]</v>
      </c>
      <c r="L8" s="27" t="str">
        <f>"[0.089]"</f>
        <v>[0.089]</v>
      </c>
      <c r="M8" s="27" t="str">
        <f>"[0.089]"</f>
        <v>[0.089]</v>
      </c>
      <c r="N8" s="27" t="str">
        <f>"[0.088]"</f>
        <v>[0.088]</v>
      </c>
      <c r="O8" s="27" t="str">
        <f>"[0.088]"</f>
        <v>[0.088]</v>
      </c>
      <c r="P8" s="27" t="str">
        <f>"[0.089]"</f>
        <v>[0.089]</v>
      </c>
      <c r="Q8" s="27" t="str">
        <f>"[0.087]"</f>
        <v>[0.087]</v>
      </c>
      <c r="R8" t="str">
        <f>"[0.087]"</f>
        <v>[0.087]</v>
      </c>
    </row>
    <row r="9" spans="2:18" x14ac:dyDescent="0.2">
      <c r="B9" s="5"/>
      <c r="C9" s="27"/>
      <c r="D9" s="27"/>
      <c r="E9" s="27"/>
      <c r="F9" s="27"/>
      <c r="G9" s="27"/>
      <c r="H9" s="27"/>
      <c r="I9" s="27"/>
      <c r="K9" s="27"/>
      <c r="L9" s="27"/>
      <c r="M9" s="27"/>
      <c r="N9" s="27"/>
      <c r="O9" s="27"/>
      <c r="P9" s="27"/>
      <c r="Q9" s="27"/>
    </row>
    <row r="10" spans="2:18" x14ac:dyDescent="0.2">
      <c r="B10" s="9" t="s">
        <v>16</v>
      </c>
      <c r="C10" s="10"/>
      <c r="D10" s="10"/>
      <c r="E10" s="10"/>
      <c r="F10" s="10"/>
      <c r="G10" s="10"/>
      <c r="H10" s="10"/>
      <c r="I10" s="10"/>
      <c r="J10" s="10"/>
      <c r="K10" s="10"/>
      <c r="L10" s="10"/>
      <c r="M10" s="10"/>
      <c r="N10" s="10"/>
      <c r="O10" s="10"/>
      <c r="P10" s="10"/>
      <c r="Q10" s="10"/>
      <c r="R10" s="10"/>
    </row>
    <row r="11" spans="2:18" x14ac:dyDescent="0.2">
      <c r="B11" s="11" t="str">
        <f>"Loss of land (yes=1) for a household in a given year"</f>
        <v>Loss of land (yes=1) for a household in a given year</v>
      </c>
      <c r="C11" t="str">
        <f>"-0.002"</f>
        <v>-0.002</v>
      </c>
      <c r="D11" t="str">
        <f>""</f>
        <v/>
      </c>
      <c r="E11" t="str">
        <f>""</f>
        <v/>
      </c>
      <c r="F11" t="str">
        <f>""</f>
        <v/>
      </c>
      <c r="G11" t="str">
        <f>""</f>
        <v/>
      </c>
      <c r="H11" t="str">
        <f>""</f>
        <v/>
      </c>
      <c r="I11" t="str">
        <f>""</f>
        <v/>
      </c>
      <c r="J11" t="str">
        <f>""</f>
        <v/>
      </c>
      <c r="K11" t="str">
        <f>"-0.002"</f>
        <v>-0.002</v>
      </c>
      <c r="L11" t="str">
        <f>""</f>
        <v/>
      </c>
      <c r="M11" t="str">
        <f>""</f>
        <v/>
      </c>
      <c r="N11" t="str">
        <f>""</f>
        <v/>
      </c>
      <c r="O11" t="str">
        <f>""</f>
        <v/>
      </c>
      <c r="P11" t="str">
        <f>""</f>
        <v/>
      </c>
      <c r="Q11" t="str">
        <f>""</f>
        <v/>
      </c>
      <c r="R11" t="str">
        <f>""</f>
        <v/>
      </c>
    </row>
    <row r="12" spans="2:18" x14ac:dyDescent="0.2">
      <c r="B12" s="11" t="str">
        <f>""</f>
        <v/>
      </c>
      <c r="C12" t="str">
        <f>"[0.018]"</f>
        <v>[0.018]</v>
      </c>
      <c r="D12" t="str">
        <f>""</f>
        <v/>
      </c>
      <c r="E12" t="str">
        <f>""</f>
        <v/>
      </c>
      <c r="F12" t="str">
        <f>""</f>
        <v/>
      </c>
      <c r="G12" t="str">
        <f>""</f>
        <v/>
      </c>
      <c r="H12" t="str">
        <f>""</f>
        <v/>
      </c>
      <c r="I12" t="str">
        <f>""</f>
        <v/>
      </c>
      <c r="J12" t="str">
        <f>""</f>
        <v/>
      </c>
      <c r="K12" t="str">
        <f>"[0.018]"</f>
        <v>[0.018]</v>
      </c>
      <c r="L12" t="str">
        <f>""</f>
        <v/>
      </c>
      <c r="M12" t="str">
        <f>""</f>
        <v/>
      </c>
      <c r="N12" t="str">
        <f>""</f>
        <v/>
      </c>
      <c r="O12" t="str">
        <f>""</f>
        <v/>
      </c>
      <c r="P12" t="str">
        <f>""</f>
        <v/>
      </c>
      <c r="Q12" t="str">
        <f>""</f>
        <v/>
      </c>
      <c r="R12" t="str">
        <f>""</f>
        <v/>
      </c>
    </row>
    <row r="13" spans="2:18" x14ac:dyDescent="0.2">
      <c r="B13" s="11" t="str">
        <f>"Theft of crops (yes=1) for a household in a given year"</f>
        <v>Theft of crops (yes=1) for a household in a given year</v>
      </c>
      <c r="C13" t="str">
        <f>""</f>
        <v/>
      </c>
      <c r="D13" t="str">
        <f>"0.013*"</f>
        <v>0.013*</v>
      </c>
      <c r="E13" t="str">
        <f>""</f>
        <v/>
      </c>
      <c r="F13" t="str">
        <f>""</f>
        <v/>
      </c>
      <c r="G13" t="str">
        <f>""</f>
        <v/>
      </c>
      <c r="H13" t="str">
        <f>""</f>
        <v/>
      </c>
      <c r="I13" t="str">
        <f>""</f>
        <v/>
      </c>
      <c r="J13" t="str">
        <f>""</f>
        <v/>
      </c>
      <c r="K13" t="str">
        <f>""</f>
        <v/>
      </c>
      <c r="L13" t="str">
        <f>"0.014*"</f>
        <v>0.014*</v>
      </c>
      <c r="M13" t="str">
        <f>""</f>
        <v/>
      </c>
      <c r="N13" t="str">
        <f>""</f>
        <v/>
      </c>
      <c r="O13" t="str">
        <f>""</f>
        <v/>
      </c>
      <c r="P13" t="str">
        <f>""</f>
        <v/>
      </c>
      <c r="Q13" t="str">
        <f>""</f>
        <v/>
      </c>
      <c r="R13" t="str">
        <f>""</f>
        <v/>
      </c>
    </row>
    <row r="14" spans="2:18" x14ac:dyDescent="0.2">
      <c r="B14" s="11" t="str">
        <f>""</f>
        <v/>
      </c>
      <c r="C14" t="str">
        <f>""</f>
        <v/>
      </c>
      <c r="D14" t="str">
        <f>"[0.008]"</f>
        <v>[0.008]</v>
      </c>
      <c r="E14" t="str">
        <f>""</f>
        <v/>
      </c>
      <c r="F14" t="str">
        <f>""</f>
        <v/>
      </c>
      <c r="G14" t="str">
        <f>""</f>
        <v/>
      </c>
      <c r="H14" t="str">
        <f>""</f>
        <v/>
      </c>
      <c r="I14" t="str">
        <f>""</f>
        <v/>
      </c>
      <c r="J14" t="str">
        <f>""</f>
        <v/>
      </c>
      <c r="K14" t="str">
        <f>""</f>
        <v/>
      </c>
      <c r="L14" t="str">
        <f>"[0.008]"</f>
        <v>[0.008]</v>
      </c>
      <c r="M14" t="str">
        <f>""</f>
        <v/>
      </c>
      <c r="N14" t="str">
        <f>""</f>
        <v/>
      </c>
      <c r="O14" t="str">
        <f>""</f>
        <v/>
      </c>
      <c r="P14" t="str">
        <f>""</f>
        <v/>
      </c>
      <c r="Q14" t="str">
        <f>""</f>
        <v/>
      </c>
      <c r="R14" t="str">
        <f>""</f>
        <v/>
      </c>
    </row>
    <row r="15" spans="2:18" x14ac:dyDescent="0.2">
      <c r="B15" s="13" t="str">
        <f>"Theft of money (yes=1) for a household in a given year"</f>
        <v>Theft of money (yes=1) for a household in a given year</v>
      </c>
      <c r="C15" t="str">
        <f>""</f>
        <v/>
      </c>
      <c r="D15" t="str">
        <f>""</f>
        <v/>
      </c>
      <c r="E15" t="str">
        <f>"0.046***"</f>
        <v>0.046***</v>
      </c>
      <c r="F15" t="str">
        <f>""</f>
        <v/>
      </c>
      <c r="G15" t="str">
        <f>""</f>
        <v/>
      </c>
      <c r="H15" t="str">
        <f>""</f>
        <v/>
      </c>
      <c r="I15" t="str">
        <f>""</f>
        <v/>
      </c>
      <c r="J15" t="str">
        <f>""</f>
        <v/>
      </c>
      <c r="K15" t="str">
        <f>""</f>
        <v/>
      </c>
      <c r="L15" t="str">
        <f>""</f>
        <v/>
      </c>
      <c r="M15" t="str">
        <f>"0.047***"</f>
        <v>0.047***</v>
      </c>
      <c r="N15" t="str">
        <f>""</f>
        <v/>
      </c>
      <c r="O15" t="str">
        <f>""</f>
        <v/>
      </c>
      <c r="P15" t="str">
        <f>""</f>
        <v/>
      </c>
      <c r="Q15" t="str">
        <f>""</f>
        <v/>
      </c>
      <c r="R15" t="str">
        <f>""</f>
        <v/>
      </c>
    </row>
    <row r="16" spans="2:18" x14ac:dyDescent="0.2">
      <c r="B16" s="11" t="str">
        <f>""</f>
        <v/>
      </c>
      <c r="C16" t="str">
        <f>""</f>
        <v/>
      </c>
      <c r="D16" t="str">
        <f>""</f>
        <v/>
      </c>
      <c r="E16" t="str">
        <f>"[0.014]"</f>
        <v>[0.014]</v>
      </c>
      <c r="F16" t="str">
        <f>""</f>
        <v/>
      </c>
      <c r="G16" t="str">
        <f>""</f>
        <v/>
      </c>
      <c r="H16" t="str">
        <f>""</f>
        <v/>
      </c>
      <c r="I16" t="str">
        <f>""</f>
        <v/>
      </c>
      <c r="J16" t="str">
        <f>""</f>
        <v/>
      </c>
      <c r="K16" t="str">
        <f>""</f>
        <v/>
      </c>
      <c r="L16" t="str">
        <f>""</f>
        <v/>
      </c>
      <c r="M16" t="str">
        <f>"[0.014]"</f>
        <v>[0.014]</v>
      </c>
      <c r="N16" t="str">
        <f>""</f>
        <v/>
      </c>
      <c r="O16" t="str">
        <f>""</f>
        <v/>
      </c>
      <c r="P16" t="str">
        <f>""</f>
        <v/>
      </c>
      <c r="Q16" t="str">
        <f>""</f>
        <v/>
      </c>
      <c r="R16" t="str">
        <f>""</f>
        <v/>
      </c>
    </row>
    <row r="17" spans="2:18" x14ac:dyDescent="0.2">
      <c r="B17" s="11" t="str">
        <f>"Theft or destruction of goods (yes=1) for a household in a given year"</f>
        <v>Theft or destruction of goods (yes=1) for a household in a given year</v>
      </c>
      <c r="C17" t="str">
        <f>""</f>
        <v/>
      </c>
      <c r="D17" t="str">
        <f>""</f>
        <v/>
      </c>
      <c r="E17" t="str">
        <f>""</f>
        <v/>
      </c>
      <c r="F17" t="str">
        <f>"0.040***"</f>
        <v>0.040***</v>
      </c>
      <c r="G17" t="str">
        <f>""</f>
        <v/>
      </c>
      <c r="H17" t="str">
        <f>""</f>
        <v/>
      </c>
      <c r="I17" t="str">
        <f>""</f>
        <v/>
      </c>
      <c r="J17" t="str">
        <f>""</f>
        <v/>
      </c>
      <c r="K17" t="str">
        <f>""</f>
        <v/>
      </c>
      <c r="L17" t="str">
        <f>""</f>
        <v/>
      </c>
      <c r="M17" t="str">
        <f>""</f>
        <v/>
      </c>
      <c r="N17" t="str">
        <f>"0.040***"</f>
        <v>0.040***</v>
      </c>
      <c r="O17" t="str">
        <f>""</f>
        <v/>
      </c>
      <c r="P17" t="str">
        <f>""</f>
        <v/>
      </c>
      <c r="Q17" t="str">
        <f>""</f>
        <v/>
      </c>
      <c r="R17" t="str">
        <f>""</f>
        <v/>
      </c>
    </row>
    <row r="18" spans="2:18" x14ac:dyDescent="0.2">
      <c r="B18" s="11"/>
      <c r="C18" t="str">
        <f>""</f>
        <v/>
      </c>
      <c r="D18" t="str">
        <f>""</f>
        <v/>
      </c>
      <c r="E18" t="str">
        <f>""</f>
        <v/>
      </c>
      <c r="F18" t="str">
        <f>"[0.014]"</f>
        <v>[0.014]</v>
      </c>
      <c r="G18" t="str">
        <f>""</f>
        <v/>
      </c>
      <c r="H18" t="str">
        <f>""</f>
        <v/>
      </c>
      <c r="I18" t="str">
        <f>""</f>
        <v/>
      </c>
      <c r="J18" t="str">
        <f>""</f>
        <v/>
      </c>
      <c r="K18" t="str">
        <f>""</f>
        <v/>
      </c>
      <c r="L18" t="str">
        <f>""</f>
        <v/>
      </c>
      <c r="M18" t="str">
        <f>""</f>
        <v/>
      </c>
      <c r="N18" t="str">
        <f>"[0.014]"</f>
        <v>[0.014]</v>
      </c>
      <c r="O18" t="str">
        <f>""</f>
        <v/>
      </c>
      <c r="P18" t="str">
        <f>""</f>
        <v/>
      </c>
      <c r="Q18" t="str">
        <f>""</f>
        <v/>
      </c>
      <c r="R18" t="str">
        <f>""</f>
        <v/>
      </c>
    </row>
    <row r="19" spans="2:18" x14ac:dyDescent="0.2">
      <c r="B19" s="11" t="str">
        <f>"Destruction of house (yes=1) for a household in a given year"</f>
        <v>Destruction of house (yes=1) for a household in a given year</v>
      </c>
      <c r="C19" t="str">
        <f>""</f>
        <v/>
      </c>
      <c r="D19" t="str">
        <f>""</f>
        <v/>
      </c>
      <c r="E19" t="str">
        <f>""</f>
        <v/>
      </c>
      <c r="F19" t="str">
        <f>""</f>
        <v/>
      </c>
      <c r="G19" t="str">
        <f>"0.059**"</f>
        <v>0.059**</v>
      </c>
      <c r="H19" t="str">
        <f>""</f>
        <v/>
      </c>
      <c r="I19" t="str">
        <f>""</f>
        <v/>
      </c>
      <c r="J19" t="str">
        <f>""</f>
        <v/>
      </c>
      <c r="K19" t="str">
        <f>""</f>
        <v/>
      </c>
      <c r="L19" t="str">
        <f>""</f>
        <v/>
      </c>
      <c r="M19" t="str">
        <f>""</f>
        <v/>
      </c>
      <c r="N19" t="str">
        <f>""</f>
        <v/>
      </c>
      <c r="O19" t="str">
        <f>"0.061***"</f>
        <v>0.061***</v>
      </c>
      <c r="P19" t="str">
        <f>""</f>
        <v/>
      </c>
      <c r="Q19" t="str">
        <f>""</f>
        <v/>
      </c>
      <c r="R19" t="str">
        <f>""</f>
        <v/>
      </c>
    </row>
    <row r="20" spans="2:18" x14ac:dyDescent="0.2">
      <c r="B20" s="11"/>
      <c r="C20" t="str">
        <f>""</f>
        <v/>
      </c>
      <c r="D20" t="str">
        <f>""</f>
        <v/>
      </c>
      <c r="E20" t="str">
        <f>""</f>
        <v/>
      </c>
      <c r="F20" t="str">
        <f>""</f>
        <v/>
      </c>
      <c r="G20" t="str">
        <f>"[0.023]"</f>
        <v>[0.023]</v>
      </c>
      <c r="H20" t="str">
        <f>""</f>
        <v/>
      </c>
      <c r="I20" t="str">
        <f>""</f>
        <v/>
      </c>
      <c r="J20" t="str">
        <f>""</f>
        <v/>
      </c>
      <c r="K20" t="str">
        <f>""</f>
        <v/>
      </c>
      <c r="L20" t="str">
        <f>""</f>
        <v/>
      </c>
      <c r="M20" t="str">
        <f>""</f>
        <v/>
      </c>
      <c r="N20" t="str">
        <f>""</f>
        <v/>
      </c>
      <c r="O20" t="str">
        <f>"[0.023]"</f>
        <v>[0.023]</v>
      </c>
      <c r="P20" t="str">
        <f>""</f>
        <v/>
      </c>
      <c r="Q20" t="str">
        <f>""</f>
        <v/>
      </c>
      <c r="R20" t="str">
        <f>""</f>
        <v/>
      </c>
    </row>
    <row r="21" spans="2:18" x14ac:dyDescent="0.2">
      <c r="B21" s="15" t="s">
        <v>18</v>
      </c>
      <c r="C21" t="str">
        <f>""</f>
        <v/>
      </c>
      <c r="D21" t="str">
        <f>""</f>
        <v/>
      </c>
      <c r="E21" t="str">
        <f>""</f>
        <v/>
      </c>
      <c r="F21" t="str">
        <f>""</f>
        <v/>
      </c>
      <c r="G21" t="str">
        <f>""</f>
        <v/>
      </c>
      <c r="H21" t="str">
        <f>"0.002"</f>
        <v>0.002</v>
      </c>
      <c r="I21" t="str">
        <f>""</f>
        <v/>
      </c>
      <c r="J21" t="str">
        <f>""</f>
        <v/>
      </c>
      <c r="K21" t="str">
        <f>""</f>
        <v/>
      </c>
      <c r="L21" t="str">
        <f>""</f>
        <v/>
      </c>
      <c r="M21" t="str">
        <f>""</f>
        <v/>
      </c>
      <c r="N21" t="str">
        <f>""</f>
        <v/>
      </c>
      <c r="O21" t="str">
        <f>""</f>
        <v/>
      </c>
      <c r="P21" t="str">
        <f>"0.002"</f>
        <v>0.002</v>
      </c>
      <c r="Q21" t="str">
        <f>""</f>
        <v/>
      </c>
      <c r="R21" t="str">
        <f>""</f>
        <v/>
      </c>
    </row>
    <row r="22" spans="2:18" x14ac:dyDescent="0.2">
      <c r="C22" t="str">
        <f>""</f>
        <v/>
      </c>
      <c r="D22" t="str">
        <f>""</f>
        <v/>
      </c>
      <c r="E22" t="str">
        <f>""</f>
        <v/>
      </c>
      <c r="F22" t="str">
        <f>""</f>
        <v/>
      </c>
      <c r="G22" t="str">
        <f>""</f>
        <v/>
      </c>
      <c r="H22" t="str">
        <f>"[0.002]"</f>
        <v>[0.002]</v>
      </c>
      <c r="I22" t="str">
        <f>""</f>
        <v/>
      </c>
      <c r="J22" t="str">
        <f>""</f>
        <v/>
      </c>
      <c r="K22" t="str">
        <f>""</f>
        <v/>
      </c>
      <c r="L22" t="str">
        <f>""</f>
        <v/>
      </c>
      <c r="M22" t="str">
        <f>""</f>
        <v/>
      </c>
      <c r="N22" t="str">
        <f>""</f>
        <v/>
      </c>
      <c r="O22" t="str">
        <f>""</f>
        <v/>
      </c>
      <c r="P22" t="str">
        <f>"[0.002]"</f>
        <v>[0.002]</v>
      </c>
      <c r="Q22" t="str">
        <f>""</f>
        <v/>
      </c>
      <c r="R22" t="str">
        <f>""</f>
        <v/>
      </c>
    </row>
    <row r="23" spans="2:18" x14ac:dyDescent="0.2">
      <c r="B23" s="15" t="s">
        <v>19</v>
      </c>
      <c r="C23" t="str">
        <f>""</f>
        <v/>
      </c>
      <c r="D23" t="str">
        <f>""</f>
        <v/>
      </c>
      <c r="E23" t="str">
        <f>""</f>
        <v/>
      </c>
      <c r="F23" t="str">
        <f>""</f>
        <v/>
      </c>
      <c r="G23" t="str">
        <f>""</f>
        <v/>
      </c>
      <c r="H23" t="str">
        <f>""</f>
        <v/>
      </c>
      <c r="I23" t="str">
        <f>"0.008***"</f>
        <v>0.008***</v>
      </c>
      <c r="J23" t="str">
        <f>""</f>
        <v/>
      </c>
      <c r="K23" t="str">
        <f>""</f>
        <v/>
      </c>
      <c r="L23" t="str">
        <f>""</f>
        <v/>
      </c>
      <c r="M23" t="str">
        <f>""</f>
        <v/>
      </c>
      <c r="N23" t="str">
        <f>""</f>
        <v/>
      </c>
      <c r="O23" t="str">
        <f>""</f>
        <v/>
      </c>
      <c r="P23" t="str">
        <f>""</f>
        <v/>
      </c>
      <c r="Q23" t="str">
        <f>"0.008***"</f>
        <v>0.008***</v>
      </c>
      <c r="R23" t="str">
        <f>""</f>
        <v/>
      </c>
    </row>
    <row r="24" spans="2:18" x14ac:dyDescent="0.2">
      <c r="C24" t="str">
        <f>""</f>
        <v/>
      </c>
      <c r="D24" t="str">
        <f>""</f>
        <v/>
      </c>
      <c r="E24" t="str">
        <f>""</f>
        <v/>
      </c>
      <c r="F24" t="str">
        <f>""</f>
        <v/>
      </c>
      <c r="G24" t="str">
        <f>""</f>
        <v/>
      </c>
      <c r="H24" t="str">
        <f>""</f>
        <v/>
      </c>
      <c r="I24" t="str">
        <f>"[0.002]"</f>
        <v>[0.002]</v>
      </c>
      <c r="J24" t="str">
        <f>""</f>
        <v/>
      </c>
      <c r="K24" t="str">
        <f>""</f>
        <v/>
      </c>
      <c r="L24" t="str">
        <f>""</f>
        <v/>
      </c>
      <c r="M24" t="str">
        <f>""</f>
        <v/>
      </c>
      <c r="N24" t="str">
        <f>""</f>
        <v/>
      </c>
      <c r="O24" t="str">
        <f>""</f>
        <v/>
      </c>
      <c r="P24" t="str">
        <f>""</f>
        <v/>
      </c>
      <c r="Q24" t="str">
        <f>"[0.002]"</f>
        <v>[0.002]</v>
      </c>
      <c r="R24" t="str">
        <f>""</f>
        <v/>
      </c>
    </row>
    <row r="25" spans="2:18" x14ac:dyDescent="0.2">
      <c r="B25" s="15" t="s">
        <v>17</v>
      </c>
      <c r="C25" t="str">
        <f>""</f>
        <v/>
      </c>
      <c r="D25" t="str">
        <f>""</f>
        <v/>
      </c>
      <c r="E25" t="str">
        <f>""</f>
        <v/>
      </c>
      <c r="F25" t="str">
        <f>""</f>
        <v/>
      </c>
      <c r="G25" t="str">
        <f>""</f>
        <v/>
      </c>
      <c r="H25" t="str">
        <f>""</f>
        <v/>
      </c>
      <c r="I25" t="str">
        <f>""</f>
        <v/>
      </c>
      <c r="J25" t="str">
        <f>"0.007***"</f>
        <v>0.007***</v>
      </c>
      <c r="K25" t="str">
        <f>""</f>
        <v/>
      </c>
      <c r="L25" t="str">
        <f>""</f>
        <v/>
      </c>
      <c r="M25" t="str">
        <f>""</f>
        <v/>
      </c>
      <c r="N25" t="str">
        <f>""</f>
        <v/>
      </c>
      <c r="O25" t="str">
        <f>""</f>
        <v/>
      </c>
      <c r="P25" t="str">
        <f>""</f>
        <v/>
      </c>
      <c r="Q25" t="str">
        <f>""</f>
        <v/>
      </c>
      <c r="R25" t="str">
        <f>"0.007***"</f>
        <v>0.007***</v>
      </c>
    </row>
    <row r="26" spans="2:18" x14ac:dyDescent="0.2">
      <c r="B26" s="15"/>
      <c r="C26" t="str">
        <f>""</f>
        <v/>
      </c>
      <c r="D26" t="str">
        <f>""</f>
        <v/>
      </c>
      <c r="E26" t="str">
        <f>""</f>
        <v/>
      </c>
      <c r="F26" t="str">
        <f>""</f>
        <v/>
      </c>
      <c r="G26" t="str">
        <f>""</f>
        <v/>
      </c>
      <c r="H26" t="str">
        <f>""</f>
        <v/>
      </c>
      <c r="I26" t="str">
        <f>""</f>
        <v/>
      </c>
      <c r="J26" t="str">
        <f>"[0.002]"</f>
        <v>[0.002]</v>
      </c>
      <c r="K26" t="str">
        <f>""</f>
        <v/>
      </c>
      <c r="L26" t="str">
        <f>""</f>
        <v/>
      </c>
      <c r="M26" t="str">
        <f>""</f>
        <v/>
      </c>
      <c r="N26" t="str">
        <f>""</f>
        <v/>
      </c>
      <c r="O26" t="str">
        <f>""</f>
        <v/>
      </c>
      <c r="P26" t="str">
        <f>""</f>
        <v/>
      </c>
      <c r="Q26" t="str">
        <f>""</f>
        <v/>
      </c>
      <c r="R26" t="str">
        <f>"[0.002]"</f>
        <v>[0.002]</v>
      </c>
    </row>
    <row r="27" spans="2:18" x14ac:dyDescent="0.2">
      <c r="B27" s="16" t="s">
        <v>22</v>
      </c>
      <c r="C27" s="17" t="str">
        <f t="shared" ref="C27:R27" si="2">"34800"</f>
        <v>34800</v>
      </c>
      <c r="D27" s="17" t="str">
        <f t="shared" si="2"/>
        <v>34800</v>
      </c>
      <c r="E27" s="17" t="str">
        <f t="shared" si="2"/>
        <v>34800</v>
      </c>
      <c r="F27" s="17" t="str">
        <f t="shared" si="2"/>
        <v>34800</v>
      </c>
      <c r="G27" s="17" t="str">
        <f t="shared" si="2"/>
        <v>34800</v>
      </c>
      <c r="H27" s="17" t="str">
        <f t="shared" si="2"/>
        <v>34800</v>
      </c>
      <c r="I27" s="17" t="str">
        <f t="shared" si="2"/>
        <v>34800</v>
      </c>
      <c r="J27" s="17" t="str">
        <f t="shared" si="2"/>
        <v>34800</v>
      </c>
      <c r="K27" s="17" t="str">
        <f t="shared" si="2"/>
        <v>34800</v>
      </c>
      <c r="L27" s="17" t="str">
        <f t="shared" si="2"/>
        <v>34800</v>
      </c>
      <c r="M27" s="17" t="str">
        <f t="shared" si="2"/>
        <v>34800</v>
      </c>
      <c r="N27" s="17" t="str">
        <f t="shared" si="2"/>
        <v>34800</v>
      </c>
      <c r="O27" s="17" t="str">
        <f t="shared" si="2"/>
        <v>34800</v>
      </c>
      <c r="P27" s="17" t="str">
        <f t="shared" si="2"/>
        <v>34800</v>
      </c>
      <c r="Q27" s="17" t="str">
        <f t="shared" si="2"/>
        <v>34800</v>
      </c>
      <c r="R27" s="17" t="str">
        <f t="shared" si="2"/>
        <v>34800</v>
      </c>
    </row>
    <row r="28" spans="2:18" x14ac:dyDescent="0.2">
      <c r="B28" s="18" t="s">
        <v>23</v>
      </c>
      <c r="C28" s="19" t="str">
        <f t="shared" ref="C28:R28" si="3">"0.045"</f>
        <v>0.045</v>
      </c>
      <c r="D28" s="19" t="str">
        <f t="shared" si="3"/>
        <v>0.045</v>
      </c>
      <c r="E28" s="19" t="str">
        <f t="shared" si="3"/>
        <v>0.045</v>
      </c>
      <c r="F28" s="19" t="str">
        <f t="shared" si="3"/>
        <v>0.045</v>
      </c>
      <c r="G28" s="19" t="str">
        <f t="shared" si="3"/>
        <v>0.045</v>
      </c>
      <c r="H28" s="19" t="str">
        <f t="shared" si="3"/>
        <v>0.045</v>
      </c>
      <c r="I28" s="19" t="str">
        <f t="shared" si="3"/>
        <v>0.045</v>
      </c>
      <c r="J28" s="19" t="str">
        <f t="shared" si="3"/>
        <v>0.045</v>
      </c>
      <c r="K28" s="19" t="str">
        <f t="shared" si="3"/>
        <v>0.045</v>
      </c>
      <c r="L28" s="19" t="str">
        <f t="shared" si="3"/>
        <v>0.045</v>
      </c>
      <c r="M28" s="19" t="str">
        <f t="shared" si="3"/>
        <v>0.045</v>
      </c>
      <c r="N28" s="19" t="str">
        <f t="shared" si="3"/>
        <v>0.045</v>
      </c>
      <c r="O28" s="19" t="str">
        <f t="shared" si="3"/>
        <v>0.045</v>
      </c>
      <c r="P28" s="19" t="str">
        <f t="shared" si="3"/>
        <v>0.045</v>
      </c>
      <c r="Q28" s="19" t="str">
        <f t="shared" si="3"/>
        <v>0.045</v>
      </c>
      <c r="R28" s="19" t="str">
        <f t="shared" si="3"/>
        <v>0.045</v>
      </c>
    </row>
    <row r="29" spans="2:18" x14ac:dyDescent="0.2">
      <c r="B29" s="18" t="s">
        <v>46</v>
      </c>
      <c r="C29" s="21" t="s">
        <v>25</v>
      </c>
      <c r="D29" s="21" t="s">
        <v>25</v>
      </c>
      <c r="E29" s="21" t="s">
        <v>25</v>
      </c>
      <c r="F29" s="21" t="s">
        <v>25</v>
      </c>
      <c r="G29" s="21" t="s">
        <v>25</v>
      </c>
      <c r="H29" s="21" t="s">
        <v>25</v>
      </c>
      <c r="I29" s="21" t="s">
        <v>25</v>
      </c>
      <c r="J29" s="21" t="s">
        <v>25</v>
      </c>
      <c r="K29" s="21" t="s">
        <v>25</v>
      </c>
      <c r="L29" s="21" t="s">
        <v>25</v>
      </c>
      <c r="M29" s="21" t="s">
        <v>25</v>
      </c>
      <c r="N29" s="21" t="s">
        <v>25</v>
      </c>
      <c r="O29" s="21" t="s">
        <v>25</v>
      </c>
      <c r="P29" s="21" t="s">
        <v>25</v>
      </c>
      <c r="Q29" s="21" t="s">
        <v>25</v>
      </c>
      <c r="R29" s="21" t="s">
        <v>25</v>
      </c>
    </row>
    <row r="30" spans="2:18" x14ac:dyDescent="0.2">
      <c r="B30" s="20" t="s">
        <v>26</v>
      </c>
      <c r="C30" s="21" t="s">
        <v>25</v>
      </c>
      <c r="D30" s="21" t="s">
        <v>25</v>
      </c>
      <c r="E30" s="21" t="s">
        <v>25</v>
      </c>
      <c r="F30" s="21" t="s">
        <v>25</v>
      </c>
      <c r="G30" s="21" t="s">
        <v>25</v>
      </c>
      <c r="H30" s="21" t="s">
        <v>25</v>
      </c>
      <c r="I30" s="21" t="s">
        <v>25</v>
      </c>
      <c r="J30" s="21" t="s">
        <v>25</v>
      </c>
      <c r="K30" s="21" t="s">
        <v>25</v>
      </c>
      <c r="L30" s="21" t="s">
        <v>25</v>
      </c>
      <c r="M30" s="21" t="s">
        <v>25</v>
      </c>
      <c r="N30" s="21" t="s">
        <v>25</v>
      </c>
      <c r="O30" s="21" t="s">
        <v>25</v>
      </c>
      <c r="P30" s="21" t="s">
        <v>25</v>
      </c>
      <c r="Q30" s="21" t="s">
        <v>25</v>
      </c>
      <c r="R30" s="21" t="s">
        <v>25</v>
      </c>
    </row>
    <row r="31" spans="2:18" x14ac:dyDescent="0.2">
      <c r="B31" s="22" t="s">
        <v>27</v>
      </c>
      <c r="C31" s="23" t="s">
        <v>25</v>
      </c>
      <c r="D31" s="23" t="s">
        <v>25</v>
      </c>
      <c r="E31" s="23" t="s">
        <v>25</v>
      </c>
      <c r="F31" s="23" t="s">
        <v>25</v>
      </c>
      <c r="G31" s="23" t="s">
        <v>25</v>
      </c>
      <c r="H31" s="23" t="s">
        <v>25</v>
      </c>
      <c r="I31" s="23" t="s">
        <v>25</v>
      </c>
      <c r="J31" s="23" t="s">
        <v>25</v>
      </c>
      <c r="K31" s="23" t="s">
        <v>25</v>
      </c>
      <c r="L31" s="23" t="s">
        <v>25</v>
      </c>
      <c r="M31" s="23" t="s">
        <v>25</v>
      </c>
      <c r="N31" s="23" t="s">
        <v>25</v>
      </c>
      <c r="O31" s="23" t="s">
        <v>25</v>
      </c>
      <c r="P31" s="23" t="s">
        <v>25</v>
      </c>
      <c r="Q31" s="23" t="s">
        <v>25</v>
      </c>
      <c r="R31" s="23" t="s">
        <v>25</v>
      </c>
    </row>
    <row r="32" spans="2:18" ht="84" customHeight="1" x14ac:dyDescent="0.2">
      <c r="B32" s="75" t="s">
        <v>70</v>
      </c>
      <c r="C32" s="75"/>
      <c r="D32" s="75"/>
      <c r="E32" s="75"/>
      <c r="F32" s="75"/>
      <c r="G32" s="75"/>
      <c r="H32" s="75"/>
      <c r="I32" s="75"/>
      <c r="J32" s="75"/>
      <c r="K32" s="75"/>
      <c r="L32" s="75"/>
      <c r="M32" s="75"/>
      <c r="N32" s="75"/>
      <c r="O32" s="75"/>
      <c r="P32" s="75"/>
      <c r="Q32" s="75"/>
      <c r="R32" s="75"/>
    </row>
  </sheetData>
  <mergeCells count="2">
    <mergeCell ref="B2:R2"/>
    <mergeCell ref="B32:R32"/>
  </mergeCells>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E3FF7-A9E6-2E43-89AD-3411777C4E83}">
  <dimension ref="B2:R32"/>
  <sheetViews>
    <sheetView showGridLines="0" topLeftCell="B1" workbookViewId="0">
      <selection activeCell="B3" sqref="B3"/>
    </sheetView>
  </sheetViews>
  <sheetFormatPr baseColWidth="10" defaultColWidth="11" defaultRowHeight="16" x14ac:dyDescent="0.2"/>
  <cols>
    <col min="2" max="2" width="56.1640625" customWidth="1"/>
  </cols>
  <sheetData>
    <row r="2" spans="2:18" x14ac:dyDescent="0.2">
      <c r="B2" s="72" t="s">
        <v>127</v>
      </c>
      <c r="C2" s="72"/>
      <c r="D2" s="72"/>
      <c r="E2" s="72"/>
      <c r="F2" s="72"/>
      <c r="G2" s="72"/>
      <c r="H2" s="72"/>
      <c r="I2" s="72"/>
      <c r="J2" s="72"/>
      <c r="K2" s="72"/>
      <c r="L2" s="72"/>
      <c r="M2" s="72"/>
      <c r="N2" s="72"/>
      <c r="O2" s="72"/>
      <c r="P2" s="72"/>
      <c r="Q2" s="72"/>
      <c r="R2" s="72"/>
    </row>
    <row r="3" spans="2:18" ht="37" customHeight="1" thickBot="1" x14ac:dyDescent="0.25">
      <c r="B3" s="1" t="s">
        <v>0</v>
      </c>
      <c r="C3" s="2" t="s">
        <v>1</v>
      </c>
      <c r="D3" s="2" t="s">
        <v>2</v>
      </c>
      <c r="E3" s="2" t="s">
        <v>3</v>
      </c>
      <c r="F3" s="2" t="s">
        <v>4</v>
      </c>
      <c r="G3" s="85" t="s">
        <v>5</v>
      </c>
      <c r="H3" s="2" t="s">
        <v>6</v>
      </c>
      <c r="I3" s="2" t="s">
        <v>7</v>
      </c>
      <c r="J3" s="2" t="s">
        <v>8</v>
      </c>
      <c r="K3" s="2" t="s">
        <v>9</v>
      </c>
      <c r="L3" s="2" t="s">
        <v>10</v>
      </c>
      <c r="M3" s="2" t="s">
        <v>11</v>
      </c>
      <c r="N3" s="2" t="s">
        <v>12</v>
      </c>
      <c r="O3" s="2" t="s">
        <v>28</v>
      </c>
      <c r="P3" s="2" t="s">
        <v>29</v>
      </c>
      <c r="Q3" s="2" t="s">
        <v>30</v>
      </c>
      <c r="R3" s="2" t="s">
        <v>31</v>
      </c>
    </row>
    <row r="4" spans="2:18" ht="17" thickTop="1" x14ac:dyDescent="0.2">
      <c r="B4" s="3" t="s">
        <v>13</v>
      </c>
      <c r="C4" s="4"/>
      <c r="D4" s="4"/>
      <c r="E4" s="4"/>
      <c r="F4" s="4"/>
      <c r="G4" s="4"/>
      <c r="H4" s="4"/>
      <c r="I4" s="4"/>
      <c r="K4" s="4"/>
      <c r="L4" s="4"/>
      <c r="M4" s="4"/>
      <c r="N4" s="4"/>
      <c r="O4" s="4"/>
      <c r="P4" s="4"/>
      <c r="Q4" s="4"/>
    </row>
    <row r="5" spans="2:18" x14ac:dyDescent="0.2">
      <c r="B5" s="5" t="s">
        <v>14</v>
      </c>
      <c r="C5" s="27" t="str">
        <f t="shared" ref="C5:J5" si="0">"0.038**"</f>
        <v>0.038**</v>
      </c>
      <c r="D5" s="27" t="str">
        <f t="shared" si="0"/>
        <v>0.038**</v>
      </c>
      <c r="E5" s="27" t="str">
        <f t="shared" si="0"/>
        <v>0.038**</v>
      </c>
      <c r="F5" s="27" t="str">
        <f t="shared" si="0"/>
        <v>0.038**</v>
      </c>
      <c r="G5" s="27" t="str">
        <f t="shared" si="0"/>
        <v>0.038**</v>
      </c>
      <c r="H5" s="27" t="str">
        <f t="shared" si="0"/>
        <v>0.038**</v>
      </c>
      <c r="I5" s="27" t="str">
        <f t="shared" si="0"/>
        <v>0.038**</v>
      </c>
      <c r="J5" t="str">
        <f t="shared" si="0"/>
        <v>0.038**</v>
      </c>
      <c r="K5" s="27" t="str">
        <f>""</f>
        <v/>
      </c>
      <c r="L5" s="27" t="str">
        <f>""</f>
        <v/>
      </c>
      <c r="M5" s="27" t="str">
        <f>""</f>
        <v/>
      </c>
      <c r="N5" s="27" t="str">
        <f>""</f>
        <v/>
      </c>
      <c r="O5" s="27" t="str">
        <f>""</f>
        <v/>
      </c>
      <c r="P5" s="27" t="str">
        <f>""</f>
        <v/>
      </c>
      <c r="Q5" s="27" t="str">
        <f>""</f>
        <v/>
      </c>
      <c r="R5" t="str">
        <f>""</f>
        <v/>
      </c>
    </row>
    <row r="6" spans="2:18" x14ac:dyDescent="0.2">
      <c r="B6" s="7"/>
      <c r="C6" s="27" t="str">
        <f t="shared" ref="C6:J6" si="1">"[0.016]"</f>
        <v>[0.016]</v>
      </c>
      <c r="D6" s="27" t="str">
        <f t="shared" si="1"/>
        <v>[0.016]</v>
      </c>
      <c r="E6" s="27" t="str">
        <f t="shared" si="1"/>
        <v>[0.016]</v>
      </c>
      <c r="F6" s="27" t="str">
        <f t="shared" si="1"/>
        <v>[0.016]</v>
      </c>
      <c r="G6" s="27" t="str">
        <f t="shared" si="1"/>
        <v>[0.016]</v>
      </c>
      <c r="H6" s="27" t="str">
        <f t="shared" si="1"/>
        <v>[0.016]</v>
      </c>
      <c r="I6" s="27" t="str">
        <f t="shared" si="1"/>
        <v>[0.016]</v>
      </c>
      <c r="J6" t="str">
        <f t="shared" si="1"/>
        <v>[0.016]</v>
      </c>
      <c r="K6" s="27" t="str">
        <f>""</f>
        <v/>
      </c>
      <c r="L6" s="27" t="str">
        <f>""</f>
        <v/>
      </c>
      <c r="M6" s="27" t="str">
        <f>""</f>
        <v/>
      </c>
      <c r="N6" s="27" t="str">
        <f>""</f>
        <v/>
      </c>
      <c r="O6" s="27" t="str">
        <f>""</f>
        <v/>
      </c>
      <c r="P6" s="27" t="str">
        <f>""</f>
        <v/>
      </c>
      <c r="Q6" s="27" t="str">
        <f>""</f>
        <v/>
      </c>
      <c r="R6" t="str">
        <f>""</f>
        <v/>
      </c>
    </row>
    <row r="7" spans="2:18" x14ac:dyDescent="0.2">
      <c r="B7" s="8" t="s">
        <v>15</v>
      </c>
      <c r="C7" s="27"/>
      <c r="D7" s="27"/>
      <c r="E7" s="27"/>
      <c r="F7" s="27"/>
      <c r="G7" s="27"/>
      <c r="H7" s="27"/>
      <c r="I7" s="27"/>
      <c r="K7" s="27" t="str">
        <f>"0.284***"</f>
        <v>0.284***</v>
      </c>
      <c r="L7" s="27" t="str">
        <f>"0.285***"</f>
        <v>0.285***</v>
      </c>
      <c r="M7" s="27" t="str">
        <f>"0.291***"</f>
        <v>0.291***</v>
      </c>
      <c r="N7" s="27" t="str">
        <f>"0.284***"</f>
        <v>0.284***</v>
      </c>
      <c r="O7" s="27" t="str">
        <f>"0.290***"</f>
        <v>0.290***</v>
      </c>
      <c r="P7" s="27" t="str">
        <f>"0.285***"</f>
        <v>0.285***</v>
      </c>
      <c r="Q7" s="27" t="str">
        <f>"0.292***"</f>
        <v>0.292***</v>
      </c>
      <c r="R7" t="str">
        <f>"0.291***"</f>
        <v>0.291***</v>
      </c>
    </row>
    <row r="8" spans="2:18" x14ac:dyDescent="0.2">
      <c r="B8" s="5" t="str">
        <f>""</f>
        <v/>
      </c>
      <c r="C8" s="27"/>
      <c r="D8" s="27"/>
      <c r="E8" s="27"/>
      <c r="F8" s="27"/>
      <c r="G8" s="27"/>
      <c r="H8" s="27"/>
      <c r="I8" s="27"/>
      <c r="K8" s="27" t="str">
        <f>"[0.092]"</f>
        <v>[0.092]</v>
      </c>
      <c r="L8" s="27" t="str">
        <f>"[0.092]"</f>
        <v>[0.092]</v>
      </c>
      <c r="M8" s="27" t="str">
        <f>"[0.091]"</f>
        <v>[0.091]</v>
      </c>
      <c r="N8" s="27" t="str">
        <f>"[0.089]"</f>
        <v>[0.089]</v>
      </c>
      <c r="O8" s="27" t="str">
        <f>"[0.090]"</f>
        <v>[0.090]</v>
      </c>
      <c r="P8" s="27" t="str">
        <f>"[0.092]"</f>
        <v>[0.092]</v>
      </c>
      <c r="Q8" s="27" t="str">
        <f>"[0.088]"</f>
        <v>[0.088]</v>
      </c>
      <c r="R8" t="str">
        <f>"[0.088]"</f>
        <v>[0.088]</v>
      </c>
    </row>
    <row r="9" spans="2:18" x14ac:dyDescent="0.2">
      <c r="B9" s="5"/>
      <c r="C9" s="27"/>
      <c r="D9" s="27"/>
      <c r="E9" s="27"/>
      <c r="F9" s="27"/>
      <c r="G9" s="27"/>
      <c r="H9" s="27"/>
      <c r="I9" s="27"/>
      <c r="K9" s="27"/>
      <c r="L9" s="27"/>
      <c r="M9" s="27"/>
      <c r="N9" s="27"/>
      <c r="O9" s="27"/>
      <c r="P9" s="27"/>
      <c r="Q9" s="27"/>
    </row>
    <row r="10" spans="2:18" x14ac:dyDescent="0.2">
      <c r="B10" s="9" t="s">
        <v>16</v>
      </c>
      <c r="C10" s="10"/>
      <c r="D10" s="10"/>
      <c r="E10" s="10"/>
      <c r="F10" s="10"/>
      <c r="G10" s="10"/>
      <c r="H10" s="10"/>
      <c r="I10" s="10"/>
      <c r="J10" s="10"/>
      <c r="K10" s="10"/>
      <c r="L10" s="10"/>
      <c r="M10" s="10"/>
      <c r="N10" s="10"/>
      <c r="O10" s="10"/>
      <c r="P10" s="10"/>
      <c r="Q10" s="10"/>
      <c r="R10" s="10"/>
    </row>
    <row r="11" spans="2:18" x14ac:dyDescent="0.2">
      <c r="B11" s="11" t="str">
        <f>"Loss of land (yes=1) for a household in a given year"</f>
        <v>Loss of land (yes=1) for a household in a given year</v>
      </c>
      <c r="C11" t="str">
        <f>"-0.006"</f>
        <v>-0.006</v>
      </c>
      <c r="D11" t="str">
        <f>""</f>
        <v/>
      </c>
      <c r="E11" t="str">
        <f>""</f>
        <v/>
      </c>
      <c r="F11" t="str">
        <f>""</f>
        <v/>
      </c>
      <c r="G11" t="str">
        <f>""</f>
        <v/>
      </c>
      <c r="H11" t="str">
        <f>""</f>
        <v/>
      </c>
      <c r="I11" t="str">
        <f>""</f>
        <v/>
      </c>
      <c r="J11" t="str">
        <f>""</f>
        <v/>
      </c>
      <c r="K11" t="str">
        <f>"-0.006"</f>
        <v>-0.006</v>
      </c>
      <c r="L11" t="str">
        <f>""</f>
        <v/>
      </c>
      <c r="M11" t="str">
        <f>""</f>
        <v/>
      </c>
      <c r="N11" t="str">
        <f>""</f>
        <v/>
      </c>
      <c r="O11" t="str">
        <f>""</f>
        <v/>
      </c>
      <c r="P11" t="str">
        <f>""</f>
        <v/>
      </c>
      <c r="Q11" t="str">
        <f>""</f>
        <v/>
      </c>
      <c r="R11" t="str">
        <f>""</f>
        <v/>
      </c>
    </row>
    <row r="12" spans="2:18" x14ac:dyDescent="0.2">
      <c r="B12" s="11" t="str">
        <f>""</f>
        <v/>
      </c>
      <c r="C12" t="str">
        <f>"[0.023]"</f>
        <v>[0.023]</v>
      </c>
      <c r="D12" t="str">
        <f>""</f>
        <v/>
      </c>
      <c r="E12" t="str">
        <f>""</f>
        <v/>
      </c>
      <c r="F12" t="str">
        <f>""</f>
        <v/>
      </c>
      <c r="G12" t="str">
        <f>""</f>
        <v/>
      </c>
      <c r="H12" t="str">
        <f>""</f>
        <v/>
      </c>
      <c r="I12" t="str">
        <f>""</f>
        <v/>
      </c>
      <c r="J12" t="str">
        <f>""</f>
        <v/>
      </c>
      <c r="K12" t="str">
        <f>"[0.022]"</f>
        <v>[0.022]</v>
      </c>
      <c r="L12" t="str">
        <f>""</f>
        <v/>
      </c>
      <c r="M12" t="str">
        <f>""</f>
        <v/>
      </c>
      <c r="N12" t="str">
        <f>""</f>
        <v/>
      </c>
      <c r="O12" t="str">
        <f>""</f>
        <v/>
      </c>
      <c r="P12" t="str">
        <f>""</f>
        <v/>
      </c>
      <c r="Q12" t="str">
        <f>""</f>
        <v/>
      </c>
      <c r="R12" t="str">
        <f>""</f>
        <v/>
      </c>
    </row>
    <row r="13" spans="2:18" x14ac:dyDescent="0.2">
      <c r="B13" s="11" t="str">
        <f>"Theft of crops (yes=1) for a household in a given year"</f>
        <v>Theft of crops (yes=1) for a household in a given year</v>
      </c>
      <c r="C13" t="str">
        <f>""</f>
        <v/>
      </c>
      <c r="D13" t="str">
        <f>"0.006"</f>
        <v>0.006</v>
      </c>
      <c r="E13" t="str">
        <f>""</f>
        <v/>
      </c>
      <c r="F13" t="str">
        <f>""</f>
        <v/>
      </c>
      <c r="G13" t="str">
        <f>""</f>
        <v/>
      </c>
      <c r="H13" t="str">
        <f>""</f>
        <v/>
      </c>
      <c r="I13" t="str">
        <f>""</f>
        <v/>
      </c>
      <c r="J13" t="str">
        <f>""</f>
        <v/>
      </c>
      <c r="K13" t="str">
        <f>""</f>
        <v/>
      </c>
      <c r="L13" t="str">
        <f>"0.006"</f>
        <v>0.006</v>
      </c>
      <c r="M13" t="str">
        <f>""</f>
        <v/>
      </c>
      <c r="N13" t="str">
        <f>""</f>
        <v/>
      </c>
      <c r="O13" t="str">
        <f>""</f>
        <v/>
      </c>
      <c r="P13" t="str">
        <f>""</f>
        <v/>
      </c>
      <c r="Q13" t="str">
        <f>""</f>
        <v/>
      </c>
      <c r="R13" t="str">
        <f>""</f>
        <v/>
      </c>
    </row>
    <row r="14" spans="2:18" x14ac:dyDescent="0.2">
      <c r="B14" s="11" t="str">
        <f>""</f>
        <v/>
      </c>
      <c r="C14" t="str">
        <f>""</f>
        <v/>
      </c>
      <c r="D14" t="str">
        <f>"[0.012]"</f>
        <v>[0.012]</v>
      </c>
      <c r="E14" t="str">
        <f>""</f>
        <v/>
      </c>
      <c r="F14" t="str">
        <f>""</f>
        <v/>
      </c>
      <c r="G14" t="str">
        <f>""</f>
        <v/>
      </c>
      <c r="H14" t="str">
        <f>""</f>
        <v/>
      </c>
      <c r="I14" t="str">
        <f>""</f>
        <v/>
      </c>
      <c r="J14" t="str">
        <f>""</f>
        <v/>
      </c>
      <c r="K14" t="str">
        <f>""</f>
        <v/>
      </c>
      <c r="L14" t="str">
        <f>"[0.012]"</f>
        <v>[0.012]</v>
      </c>
      <c r="M14" t="str">
        <f>""</f>
        <v/>
      </c>
      <c r="N14" t="str">
        <f>""</f>
        <v/>
      </c>
      <c r="O14" t="str">
        <f>""</f>
        <v/>
      </c>
      <c r="P14" t="str">
        <f>""</f>
        <v/>
      </c>
      <c r="Q14" t="str">
        <f>""</f>
        <v/>
      </c>
      <c r="R14" t="str">
        <f>""</f>
        <v/>
      </c>
    </row>
    <row r="15" spans="2:18" x14ac:dyDescent="0.2">
      <c r="B15" s="13" t="str">
        <f>"Theft of money (yes=1) for a household in a given year"</f>
        <v>Theft of money (yes=1) for a household in a given year</v>
      </c>
      <c r="C15" t="str">
        <f>""</f>
        <v/>
      </c>
      <c r="D15" t="str">
        <f>""</f>
        <v/>
      </c>
      <c r="E15" t="str">
        <f>"0.059***"</f>
        <v>0.059***</v>
      </c>
      <c r="F15" t="str">
        <f>""</f>
        <v/>
      </c>
      <c r="G15" t="str">
        <f>""</f>
        <v/>
      </c>
      <c r="H15" t="str">
        <f>""</f>
        <v/>
      </c>
      <c r="I15" t="str">
        <f>""</f>
        <v/>
      </c>
      <c r="J15" t="str">
        <f>""</f>
        <v/>
      </c>
      <c r="K15" t="str">
        <f>""</f>
        <v/>
      </c>
      <c r="L15" t="str">
        <f>""</f>
        <v/>
      </c>
      <c r="M15" t="str">
        <f>"0.060***"</f>
        <v>0.060***</v>
      </c>
      <c r="N15" t="str">
        <f>""</f>
        <v/>
      </c>
      <c r="O15" t="str">
        <f>""</f>
        <v/>
      </c>
      <c r="P15" t="str">
        <f>""</f>
        <v/>
      </c>
      <c r="Q15" t="str">
        <f>""</f>
        <v/>
      </c>
      <c r="R15" t="str">
        <f>""</f>
        <v/>
      </c>
    </row>
    <row r="16" spans="2:18" x14ac:dyDescent="0.2">
      <c r="B16" s="11" t="str">
        <f>""</f>
        <v/>
      </c>
      <c r="C16" t="str">
        <f>""</f>
        <v/>
      </c>
      <c r="D16" t="str">
        <f>""</f>
        <v/>
      </c>
      <c r="E16" t="str">
        <f>"[0.020]"</f>
        <v>[0.020]</v>
      </c>
      <c r="F16" t="str">
        <f>""</f>
        <v/>
      </c>
      <c r="G16" t="str">
        <f>""</f>
        <v/>
      </c>
      <c r="H16" t="str">
        <f>""</f>
        <v/>
      </c>
      <c r="I16" t="str">
        <f>""</f>
        <v/>
      </c>
      <c r="J16" t="str">
        <f>""</f>
        <v/>
      </c>
      <c r="K16" t="str">
        <f>""</f>
        <v/>
      </c>
      <c r="L16" t="str">
        <f>""</f>
        <v/>
      </c>
      <c r="M16" t="str">
        <f>"[0.020]"</f>
        <v>[0.020]</v>
      </c>
      <c r="N16" t="str">
        <f>""</f>
        <v/>
      </c>
      <c r="O16" t="str">
        <f>""</f>
        <v/>
      </c>
      <c r="P16" t="str">
        <f>""</f>
        <v/>
      </c>
      <c r="Q16" t="str">
        <f>""</f>
        <v/>
      </c>
      <c r="R16" t="str">
        <f>""</f>
        <v/>
      </c>
    </row>
    <row r="17" spans="2:18" x14ac:dyDescent="0.2">
      <c r="B17" s="11" t="str">
        <f>"Theft or destruction of goods (yes=1) for a household in a given year"</f>
        <v>Theft or destruction of goods (yes=1) for a household in a given year</v>
      </c>
      <c r="C17" t="str">
        <f>""</f>
        <v/>
      </c>
      <c r="D17" t="str">
        <f>""</f>
        <v/>
      </c>
      <c r="E17" t="str">
        <f>""</f>
        <v/>
      </c>
      <c r="F17" t="str">
        <f>"0.058***"</f>
        <v>0.058***</v>
      </c>
      <c r="G17" t="str">
        <f>""</f>
        <v/>
      </c>
      <c r="H17" t="str">
        <f>""</f>
        <v/>
      </c>
      <c r="I17" t="str">
        <f>""</f>
        <v/>
      </c>
      <c r="J17" t="str">
        <f>""</f>
        <v/>
      </c>
      <c r="K17" t="str">
        <f>""</f>
        <v/>
      </c>
      <c r="L17" t="str">
        <f>""</f>
        <v/>
      </c>
      <c r="M17" t="str">
        <f>""</f>
        <v/>
      </c>
      <c r="N17" t="str">
        <f>"0.057***"</f>
        <v>0.057***</v>
      </c>
      <c r="O17" t="str">
        <f>""</f>
        <v/>
      </c>
      <c r="P17" t="str">
        <f>""</f>
        <v/>
      </c>
      <c r="Q17" t="str">
        <f>""</f>
        <v/>
      </c>
      <c r="R17" t="str">
        <f>""</f>
        <v/>
      </c>
    </row>
    <row r="18" spans="2:18" x14ac:dyDescent="0.2">
      <c r="B18" s="11"/>
      <c r="C18" t="str">
        <f>""</f>
        <v/>
      </c>
      <c r="D18" t="str">
        <f>""</f>
        <v/>
      </c>
      <c r="E18" t="str">
        <f>""</f>
        <v/>
      </c>
      <c r="F18" t="str">
        <f>"[0.021]"</f>
        <v>[0.021]</v>
      </c>
      <c r="G18" t="str">
        <f>""</f>
        <v/>
      </c>
      <c r="H18" t="str">
        <f>""</f>
        <v/>
      </c>
      <c r="I18" t="str">
        <f>""</f>
        <v/>
      </c>
      <c r="J18" t="str">
        <f>""</f>
        <v/>
      </c>
      <c r="K18" t="str">
        <f>""</f>
        <v/>
      </c>
      <c r="L18" t="str">
        <f>""</f>
        <v/>
      </c>
      <c r="M18" t="str">
        <f>""</f>
        <v/>
      </c>
      <c r="N18" t="str">
        <f>"[0.021]"</f>
        <v>[0.021]</v>
      </c>
      <c r="O18" t="str">
        <f>""</f>
        <v/>
      </c>
      <c r="P18" t="str">
        <f>""</f>
        <v/>
      </c>
      <c r="Q18" t="str">
        <f>""</f>
        <v/>
      </c>
      <c r="R18" t="str">
        <f>""</f>
        <v/>
      </c>
    </row>
    <row r="19" spans="2:18" x14ac:dyDescent="0.2">
      <c r="B19" s="11" t="str">
        <f>"Destruction of house (yes=1) for a household in a given year"</f>
        <v>Destruction of house (yes=1) for a household in a given year</v>
      </c>
      <c r="C19" t="str">
        <f>""</f>
        <v/>
      </c>
      <c r="D19" t="str">
        <f>""</f>
        <v/>
      </c>
      <c r="E19" t="str">
        <f>""</f>
        <v/>
      </c>
      <c r="F19" t="str">
        <f>""</f>
        <v/>
      </c>
      <c r="G19" t="str">
        <f>"0.078**"</f>
        <v>0.078**</v>
      </c>
      <c r="H19" t="str">
        <f>""</f>
        <v/>
      </c>
      <c r="I19" t="str">
        <f>""</f>
        <v/>
      </c>
      <c r="J19" t="str">
        <f>""</f>
        <v/>
      </c>
      <c r="K19" t="str">
        <f>""</f>
        <v/>
      </c>
      <c r="L19" t="str">
        <f>""</f>
        <v/>
      </c>
      <c r="M19" t="str">
        <f>""</f>
        <v/>
      </c>
      <c r="N19" t="str">
        <f>""</f>
        <v/>
      </c>
      <c r="O19" t="str">
        <f>"0.080**"</f>
        <v>0.080**</v>
      </c>
      <c r="P19" t="str">
        <f>""</f>
        <v/>
      </c>
      <c r="Q19" t="str">
        <f>""</f>
        <v/>
      </c>
      <c r="R19" t="str">
        <f>""</f>
        <v/>
      </c>
    </row>
    <row r="20" spans="2:18" x14ac:dyDescent="0.2">
      <c r="B20" s="11"/>
      <c r="C20" t="str">
        <f>""</f>
        <v/>
      </c>
      <c r="D20" t="str">
        <f>""</f>
        <v/>
      </c>
      <c r="E20" t="str">
        <f>""</f>
        <v/>
      </c>
      <c r="F20" t="str">
        <f>""</f>
        <v/>
      </c>
      <c r="G20" t="str">
        <f>"[0.031]"</f>
        <v>[0.031]</v>
      </c>
      <c r="H20" t="str">
        <f>""</f>
        <v/>
      </c>
      <c r="I20" t="str">
        <f>""</f>
        <v/>
      </c>
      <c r="J20" t="str">
        <f>""</f>
        <v/>
      </c>
      <c r="K20" t="str">
        <f>""</f>
        <v/>
      </c>
      <c r="L20" t="str">
        <f>""</f>
        <v/>
      </c>
      <c r="M20" t="str">
        <f>""</f>
        <v/>
      </c>
      <c r="N20" t="str">
        <f>""</f>
        <v/>
      </c>
      <c r="O20" t="str">
        <f>"[0.031]"</f>
        <v>[0.031]</v>
      </c>
      <c r="P20" t="str">
        <f>""</f>
        <v/>
      </c>
      <c r="Q20" t="str">
        <f>""</f>
        <v/>
      </c>
      <c r="R20" t="str">
        <f>""</f>
        <v/>
      </c>
    </row>
    <row r="21" spans="2:18" x14ac:dyDescent="0.2">
      <c r="B21" s="15" t="s">
        <v>18</v>
      </c>
      <c r="C21" t="str">
        <f>""</f>
        <v/>
      </c>
      <c r="D21" t="str">
        <f>""</f>
        <v/>
      </c>
      <c r="E21" t="str">
        <f>""</f>
        <v/>
      </c>
      <c r="F21" t="str">
        <f>""</f>
        <v/>
      </c>
      <c r="G21" t="str">
        <f>""</f>
        <v/>
      </c>
      <c r="H21" t="str">
        <f>"0.001"</f>
        <v>0.001</v>
      </c>
      <c r="I21" t="str">
        <f>""</f>
        <v/>
      </c>
      <c r="J21" t="str">
        <f>""</f>
        <v/>
      </c>
      <c r="K21" t="str">
        <f>""</f>
        <v/>
      </c>
      <c r="L21" t="str">
        <f>""</f>
        <v/>
      </c>
      <c r="M21" t="str">
        <f>""</f>
        <v/>
      </c>
      <c r="N21" t="str">
        <f>""</f>
        <v/>
      </c>
      <c r="O21" t="str">
        <f>""</f>
        <v/>
      </c>
      <c r="P21" t="str">
        <f>"0.001"</f>
        <v>0.001</v>
      </c>
      <c r="Q21" t="str">
        <f>""</f>
        <v/>
      </c>
      <c r="R21" t="str">
        <f>""</f>
        <v/>
      </c>
    </row>
    <row r="22" spans="2:18" x14ac:dyDescent="0.2">
      <c r="C22" t="str">
        <f>""</f>
        <v/>
      </c>
      <c r="D22" t="str">
        <f>""</f>
        <v/>
      </c>
      <c r="E22" t="str">
        <f>""</f>
        <v/>
      </c>
      <c r="F22" t="str">
        <f>""</f>
        <v/>
      </c>
      <c r="G22" t="str">
        <f>""</f>
        <v/>
      </c>
      <c r="H22" t="str">
        <f>"[0.003]"</f>
        <v>[0.003]</v>
      </c>
      <c r="I22" t="str">
        <f>""</f>
        <v/>
      </c>
      <c r="J22" t="str">
        <f>""</f>
        <v/>
      </c>
      <c r="K22" t="str">
        <f>""</f>
        <v/>
      </c>
      <c r="L22" t="str">
        <f>""</f>
        <v/>
      </c>
      <c r="M22" t="str">
        <f>""</f>
        <v/>
      </c>
      <c r="N22" t="str">
        <f>""</f>
        <v/>
      </c>
      <c r="O22" t="str">
        <f>""</f>
        <v/>
      </c>
      <c r="P22" t="str">
        <f>"[0.003]"</f>
        <v>[0.003]</v>
      </c>
      <c r="Q22" t="str">
        <f>""</f>
        <v/>
      </c>
      <c r="R22" t="str">
        <f>""</f>
        <v/>
      </c>
    </row>
    <row r="23" spans="2:18" x14ac:dyDescent="0.2">
      <c r="B23" s="15" t="s">
        <v>19</v>
      </c>
      <c r="C23" t="str">
        <f>""</f>
        <v/>
      </c>
      <c r="D23" t="str">
        <f>""</f>
        <v/>
      </c>
      <c r="E23" t="str">
        <f>""</f>
        <v/>
      </c>
      <c r="F23" t="str">
        <f>""</f>
        <v/>
      </c>
      <c r="G23" t="str">
        <f>""</f>
        <v/>
      </c>
      <c r="H23" t="str">
        <f>""</f>
        <v/>
      </c>
      <c r="I23" t="str">
        <f>"0.011***"</f>
        <v>0.011***</v>
      </c>
      <c r="J23" t="str">
        <f>""</f>
        <v/>
      </c>
      <c r="K23" t="str">
        <f>""</f>
        <v/>
      </c>
      <c r="L23" t="str">
        <f>""</f>
        <v/>
      </c>
      <c r="M23" t="str">
        <f>""</f>
        <v/>
      </c>
      <c r="N23" t="str">
        <f>""</f>
        <v/>
      </c>
      <c r="O23" t="str">
        <f>""</f>
        <v/>
      </c>
      <c r="P23" t="str">
        <f>""</f>
        <v/>
      </c>
      <c r="Q23" t="str">
        <f>"0.011***"</f>
        <v>0.011***</v>
      </c>
      <c r="R23" t="str">
        <f>""</f>
        <v/>
      </c>
    </row>
    <row r="24" spans="2:18" x14ac:dyDescent="0.2">
      <c r="C24" t="str">
        <f>""</f>
        <v/>
      </c>
      <c r="D24" t="str">
        <f>""</f>
        <v/>
      </c>
      <c r="E24" t="str">
        <f>""</f>
        <v/>
      </c>
      <c r="F24" t="str">
        <f>""</f>
        <v/>
      </c>
      <c r="G24" t="str">
        <f>""</f>
        <v/>
      </c>
      <c r="H24" t="str">
        <f>""</f>
        <v/>
      </c>
      <c r="I24" t="str">
        <f>"[0.003]"</f>
        <v>[0.003]</v>
      </c>
      <c r="J24" t="str">
        <f>""</f>
        <v/>
      </c>
      <c r="K24" t="str">
        <f>""</f>
        <v/>
      </c>
      <c r="L24" t="str">
        <f>""</f>
        <v/>
      </c>
      <c r="M24" t="str">
        <f>""</f>
        <v/>
      </c>
      <c r="N24" t="str">
        <f>""</f>
        <v/>
      </c>
      <c r="O24" t="str">
        <f>""</f>
        <v/>
      </c>
      <c r="P24" t="str">
        <f>""</f>
        <v/>
      </c>
      <c r="Q24" t="str">
        <f>"[0.003]"</f>
        <v>[0.003]</v>
      </c>
      <c r="R24" t="str">
        <f>""</f>
        <v/>
      </c>
    </row>
    <row r="25" spans="2:18" x14ac:dyDescent="0.2">
      <c r="B25" s="15" t="s">
        <v>17</v>
      </c>
      <c r="C25" t="str">
        <f>""</f>
        <v/>
      </c>
      <c r="D25" t="str">
        <f>""</f>
        <v/>
      </c>
      <c r="E25" t="str">
        <f>""</f>
        <v/>
      </c>
      <c r="F25" t="str">
        <f>""</f>
        <v/>
      </c>
      <c r="G25" t="str">
        <f>""</f>
        <v/>
      </c>
      <c r="H25" t="str">
        <f>""</f>
        <v/>
      </c>
      <c r="I25" t="str">
        <f>""</f>
        <v/>
      </c>
      <c r="J25" t="str">
        <f>"0.009***"</f>
        <v>0.009***</v>
      </c>
      <c r="K25" t="str">
        <f>""</f>
        <v/>
      </c>
      <c r="L25" t="str">
        <f>""</f>
        <v/>
      </c>
      <c r="M25" t="str">
        <f>""</f>
        <v/>
      </c>
      <c r="N25" t="str">
        <f>""</f>
        <v/>
      </c>
      <c r="O25" t="str">
        <f>""</f>
        <v/>
      </c>
      <c r="P25" t="str">
        <f>""</f>
        <v/>
      </c>
      <c r="Q25" t="str">
        <f>""</f>
        <v/>
      </c>
      <c r="R25" t="str">
        <f>"0.009***"</f>
        <v>0.009***</v>
      </c>
    </row>
    <row r="26" spans="2:18" x14ac:dyDescent="0.2">
      <c r="B26" s="15"/>
      <c r="C26" t="str">
        <f>""</f>
        <v/>
      </c>
      <c r="D26" t="str">
        <f>""</f>
        <v/>
      </c>
      <c r="E26" t="str">
        <f>""</f>
        <v/>
      </c>
      <c r="F26" t="str">
        <f>""</f>
        <v/>
      </c>
      <c r="G26" t="str">
        <f>""</f>
        <v/>
      </c>
      <c r="H26" t="str">
        <f>""</f>
        <v/>
      </c>
      <c r="I26" t="str">
        <f>""</f>
        <v/>
      </c>
      <c r="J26" t="str">
        <f>"[0.003]"</f>
        <v>[0.003]</v>
      </c>
      <c r="K26" t="str">
        <f>""</f>
        <v/>
      </c>
      <c r="L26" t="str">
        <f>""</f>
        <v/>
      </c>
      <c r="M26" t="str">
        <f>""</f>
        <v/>
      </c>
      <c r="N26" t="str">
        <f>""</f>
        <v/>
      </c>
      <c r="O26" t="str">
        <f>""</f>
        <v/>
      </c>
      <c r="P26" t="str">
        <f>""</f>
        <v/>
      </c>
      <c r="Q26" t="str">
        <f>""</f>
        <v/>
      </c>
      <c r="R26" t="str">
        <f>"[0.003]"</f>
        <v>[0.003]</v>
      </c>
    </row>
    <row r="27" spans="2:18" x14ac:dyDescent="0.2">
      <c r="B27" s="16" t="s">
        <v>22</v>
      </c>
      <c r="C27" s="17" t="str">
        <f t="shared" ref="C27:R27" si="2">"8720"</f>
        <v>8720</v>
      </c>
      <c r="D27" s="17" t="str">
        <f t="shared" si="2"/>
        <v>8720</v>
      </c>
      <c r="E27" s="17" t="str">
        <f t="shared" si="2"/>
        <v>8720</v>
      </c>
      <c r="F27" s="17" t="str">
        <f t="shared" si="2"/>
        <v>8720</v>
      </c>
      <c r="G27" s="17" t="str">
        <f t="shared" si="2"/>
        <v>8720</v>
      </c>
      <c r="H27" s="17" t="str">
        <f t="shared" si="2"/>
        <v>8720</v>
      </c>
      <c r="I27" s="17" t="str">
        <f t="shared" si="2"/>
        <v>8720</v>
      </c>
      <c r="J27" s="17" t="str">
        <f t="shared" si="2"/>
        <v>8720</v>
      </c>
      <c r="K27" s="17" t="str">
        <f t="shared" si="2"/>
        <v>8720</v>
      </c>
      <c r="L27" s="17" t="str">
        <f t="shared" si="2"/>
        <v>8720</v>
      </c>
      <c r="M27" s="17" t="str">
        <f t="shared" si="2"/>
        <v>8720</v>
      </c>
      <c r="N27" s="17" t="str">
        <f t="shared" si="2"/>
        <v>8720</v>
      </c>
      <c r="O27" s="17" t="str">
        <f t="shared" si="2"/>
        <v>8720</v>
      </c>
      <c r="P27" s="17" t="str">
        <f t="shared" si="2"/>
        <v>8720</v>
      </c>
      <c r="Q27" s="17" t="str">
        <f t="shared" si="2"/>
        <v>8720</v>
      </c>
      <c r="R27" s="17" t="str">
        <f t="shared" si="2"/>
        <v>8720</v>
      </c>
    </row>
    <row r="28" spans="2:18" x14ac:dyDescent="0.2">
      <c r="B28" s="18" t="s">
        <v>23</v>
      </c>
      <c r="C28" s="19" t="str">
        <f t="shared" ref="C28:R28" si="3">"0.099"</f>
        <v>0.099</v>
      </c>
      <c r="D28" s="19" t="str">
        <f t="shared" si="3"/>
        <v>0.099</v>
      </c>
      <c r="E28" s="19" t="str">
        <f t="shared" si="3"/>
        <v>0.099</v>
      </c>
      <c r="F28" s="19" t="str">
        <f t="shared" si="3"/>
        <v>0.099</v>
      </c>
      <c r="G28" s="19" t="str">
        <f t="shared" si="3"/>
        <v>0.099</v>
      </c>
      <c r="H28" s="19" t="str">
        <f t="shared" si="3"/>
        <v>0.099</v>
      </c>
      <c r="I28" s="19" t="str">
        <f t="shared" si="3"/>
        <v>0.099</v>
      </c>
      <c r="J28" s="19" t="str">
        <f t="shared" si="3"/>
        <v>0.099</v>
      </c>
      <c r="K28" s="19" t="str">
        <f t="shared" si="3"/>
        <v>0.099</v>
      </c>
      <c r="L28" s="19" t="str">
        <f t="shared" si="3"/>
        <v>0.099</v>
      </c>
      <c r="M28" s="19" t="str">
        <f t="shared" si="3"/>
        <v>0.099</v>
      </c>
      <c r="N28" s="19" t="str">
        <f t="shared" si="3"/>
        <v>0.099</v>
      </c>
      <c r="O28" s="19" t="str">
        <f t="shared" si="3"/>
        <v>0.099</v>
      </c>
      <c r="P28" s="19" t="str">
        <f t="shared" si="3"/>
        <v>0.099</v>
      </c>
      <c r="Q28" s="19" t="str">
        <f t="shared" si="3"/>
        <v>0.099</v>
      </c>
      <c r="R28" s="19" t="str">
        <f t="shared" si="3"/>
        <v>0.099</v>
      </c>
    </row>
    <row r="29" spans="2:18" x14ac:dyDescent="0.2">
      <c r="B29" s="20" t="s">
        <v>24</v>
      </c>
      <c r="C29" s="21" t="s">
        <v>25</v>
      </c>
      <c r="D29" s="21" t="s">
        <v>25</v>
      </c>
      <c r="E29" s="21" t="s">
        <v>25</v>
      </c>
      <c r="F29" s="21" t="s">
        <v>25</v>
      </c>
      <c r="G29" s="21" t="s">
        <v>25</v>
      </c>
      <c r="H29" s="21" t="s">
        <v>25</v>
      </c>
      <c r="I29" s="21" t="s">
        <v>25</v>
      </c>
      <c r="J29" s="21" t="s">
        <v>25</v>
      </c>
      <c r="K29" s="21" t="s">
        <v>25</v>
      </c>
      <c r="L29" s="21" t="s">
        <v>25</v>
      </c>
      <c r="M29" s="21" t="s">
        <v>25</v>
      </c>
      <c r="N29" s="21" t="s">
        <v>25</v>
      </c>
      <c r="O29" s="21" t="s">
        <v>25</v>
      </c>
      <c r="P29" s="21" t="s">
        <v>25</v>
      </c>
      <c r="Q29" s="21" t="s">
        <v>25</v>
      </c>
      <c r="R29" s="21" t="s">
        <v>25</v>
      </c>
    </row>
    <row r="30" spans="2:18" x14ac:dyDescent="0.2">
      <c r="B30" s="20" t="s">
        <v>26</v>
      </c>
      <c r="C30" s="21" t="s">
        <v>25</v>
      </c>
      <c r="D30" s="21" t="s">
        <v>25</v>
      </c>
      <c r="E30" s="21" t="s">
        <v>25</v>
      </c>
      <c r="F30" s="21" t="s">
        <v>25</v>
      </c>
      <c r="G30" s="21" t="s">
        <v>25</v>
      </c>
      <c r="H30" s="21" t="s">
        <v>25</v>
      </c>
      <c r="I30" s="21" t="s">
        <v>25</v>
      </c>
      <c r="J30" s="21" t="s">
        <v>25</v>
      </c>
      <c r="K30" s="21" t="s">
        <v>25</v>
      </c>
      <c r="L30" s="21" t="s">
        <v>25</v>
      </c>
      <c r="M30" s="21" t="s">
        <v>25</v>
      </c>
      <c r="N30" s="21" t="s">
        <v>25</v>
      </c>
      <c r="O30" s="21" t="s">
        <v>25</v>
      </c>
      <c r="P30" s="21" t="s">
        <v>25</v>
      </c>
      <c r="Q30" s="21" t="s">
        <v>25</v>
      </c>
      <c r="R30" s="21" t="s">
        <v>25</v>
      </c>
    </row>
    <row r="31" spans="2:18" x14ac:dyDescent="0.2">
      <c r="B31" s="22" t="s">
        <v>27</v>
      </c>
      <c r="C31" s="23" t="s">
        <v>25</v>
      </c>
      <c r="D31" s="23" t="s">
        <v>25</v>
      </c>
      <c r="E31" s="23" t="s">
        <v>25</v>
      </c>
      <c r="F31" s="23" t="s">
        <v>25</v>
      </c>
      <c r="G31" s="23" t="s">
        <v>25</v>
      </c>
      <c r="H31" s="23" t="s">
        <v>25</v>
      </c>
      <c r="I31" s="23" t="s">
        <v>25</v>
      </c>
      <c r="J31" s="23" t="s">
        <v>25</v>
      </c>
      <c r="K31" s="23" t="s">
        <v>25</v>
      </c>
      <c r="L31" s="23" t="s">
        <v>25</v>
      </c>
      <c r="M31" s="23" t="s">
        <v>25</v>
      </c>
      <c r="N31" s="23" t="s">
        <v>25</v>
      </c>
      <c r="O31" s="23" t="s">
        <v>25</v>
      </c>
      <c r="P31" s="23" t="s">
        <v>25</v>
      </c>
      <c r="Q31" s="23" t="s">
        <v>25</v>
      </c>
      <c r="R31" s="23" t="s">
        <v>25</v>
      </c>
    </row>
    <row r="32" spans="2:18" ht="84" customHeight="1" x14ac:dyDescent="0.2">
      <c r="B32" s="75" t="s">
        <v>54</v>
      </c>
      <c r="C32" s="75"/>
      <c r="D32" s="75"/>
      <c r="E32" s="75"/>
      <c r="F32" s="75"/>
      <c r="G32" s="75"/>
      <c r="H32" s="75"/>
      <c r="I32" s="75"/>
      <c r="J32" s="75"/>
      <c r="K32" s="75"/>
      <c r="L32" s="75"/>
      <c r="M32" s="75"/>
      <c r="N32" s="75"/>
      <c r="O32" s="75"/>
      <c r="P32" s="75"/>
      <c r="Q32" s="75"/>
      <c r="R32" s="75"/>
    </row>
  </sheetData>
  <mergeCells count="2">
    <mergeCell ref="B2:R2"/>
    <mergeCell ref="B32:R32"/>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7BD3-532B-0A44-A21F-1D4BCFD857B2}">
  <dimension ref="B2:L32"/>
  <sheetViews>
    <sheetView showGridLines="0" topLeftCell="B1" workbookViewId="0">
      <selection activeCell="B2" sqref="B2:L2"/>
    </sheetView>
  </sheetViews>
  <sheetFormatPr baseColWidth="10" defaultColWidth="11" defaultRowHeight="16" x14ac:dyDescent="0.2"/>
  <cols>
    <col min="2" max="2" width="71.6640625" customWidth="1"/>
  </cols>
  <sheetData>
    <row r="2" spans="2:12" x14ac:dyDescent="0.2">
      <c r="B2" s="72" t="s">
        <v>64</v>
      </c>
      <c r="C2" s="72"/>
      <c r="D2" s="72"/>
      <c r="E2" s="72"/>
      <c r="F2" s="72"/>
      <c r="G2" s="72"/>
      <c r="H2" s="72"/>
      <c r="I2" s="72"/>
      <c r="J2" s="72"/>
      <c r="K2" s="72"/>
      <c r="L2" s="72"/>
    </row>
    <row r="3" spans="2:12" ht="37" customHeight="1" thickBot="1" x14ac:dyDescent="0.25">
      <c r="B3" s="1" t="s">
        <v>40</v>
      </c>
      <c r="C3" s="2" t="s">
        <v>1</v>
      </c>
      <c r="D3" s="2" t="s">
        <v>2</v>
      </c>
      <c r="E3" s="2" t="s">
        <v>3</v>
      </c>
      <c r="F3" s="2" t="s">
        <v>4</v>
      </c>
      <c r="G3" s="2" t="s">
        <v>5</v>
      </c>
      <c r="H3" s="2" t="s">
        <v>6</v>
      </c>
      <c r="I3" s="2" t="s">
        <v>7</v>
      </c>
      <c r="J3" s="2" t="s">
        <v>8</v>
      </c>
      <c r="K3" s="2" t="s">
        <v>9</v>
      </c>
      <c r="L3" s="2" t="s">
        <v>10</v>
      </c>
    </row>
    <row r="4" spans="2:12" ht="17" thickTop="1" x14ac:dyDescent="0.2">
      <c r="B4" s="3" t="s">
        <v>13</v>
      </c>
      <c r="C4" s="4"/>
      <c r="D4" s="4"/>
      <c r="E4" s="4"/>
      <c r="F4" s="4"/>
      <c r="G4" s="4"/>
      <c r="H4" s="4"/>
      <c r="I4" s="4"/>
      <c r="J4" s="4"/>
      <c r="K4" s="4"/>
    </row>
    <row r="5" spans="2:12" x14ac:dyDescent="0.2">
      <c r="B5" s="5" t="s">
        <v>14</v>
      </c>
      <c r="C5" s="26" t="str">
        <f>"0.028**"</f>
        <v>0.028**</v>
      </c>
      <c r="D5" s="27" t="str">
        <f>""</f>
        <v/>
      </c>
      <c r="E5" s="27" t="str">
        <f>""</f>
        <v/>
      </c>
      <c r="F5" s="27" t="str">
        <f>""</f>
        <v/>
      </c>
      <c r="G5" s="27" t="str">
        <f>""</f>
        <v/>
      </c>
      <c r="H5" s="27" t="str">
        <f>""</f>
        <v/>
      </c>
      <c r="I5" s="27" t="str">
        <f>""</f>
        <v/>
      </c>
      <c r="J5" s="27" t="str">
        <f>""</f>
        <v/>
      </c>
      <c r="K5" s="27" t="str">
        <f>""</f>
        <v/>
      </c>
      <c r="L5" t="str">
        <f>""</f>
        <v/>
      </c>
    </row>
    <row r="6" spans="2:12" x14ac:dyDescent="0.2">
      <c r="B6" s="7"/>
      <c r="C6" s="26" t="str">
        <f>"[0.014]"</f>
        <v>[0.014]</v>
      </c>
      <c r="D6" s="27" t="str">
        <f>""</f>
        <v/>
      </c>
      <c r="E6" s="27" t="str">
        <f>""</f>
        <v/>
      </c>
      <c r="F6" s="27" t="str">
        <f>""</f>
        <v/>
      </c>
      <c r="G6" s="27" t="str">
        <f>""</f>
        <v/>
      </c>
      <c r="H6" s="27" t="str">
        <f>""</f>
        <v/>
      </c>
      <c r="I6" s="27" t="str">
        <f>""</f>
        <v/>
      </c>
      <c r="J6" s="27" t="str">
        <f>""</f>
        <v/>
      </c>
      <c r="K6" s="27" t="str">
        <f>""</f>
        <v/>
      </c>
      <c r="L6" t="str">
        <f>""</f>
        <v/>
      </c>
    </row>
    <row r="7" spans="2:12" x14ac:dyDescent="0.2">
      <c r="B7" s="8" t="s">
        <v>15</v>
      </c>
      <c r="C7" s="27" t="str">
        <f>""</f>
        <v/>
      </c>
      <c r="D7" s="26" t="str">
        <f>"0.244**"</f>
        <v>0.244**</v>
      </c>
      <c r="E7" s="27" t="str">
        <f>""</f>
        <v/>
      </c>
      <c r="F7" s="27" t="str">
        <f>""</f>
        <v/>
      </c>
      <c r="G7" s="27" t="str">
        <f>""</f>
        <v/>
      </c>
      <c r="H7" s="27" t="str">
        <f>""</f>
        <v/>
      </c>
      <c r="I7" s="27" t="str">
        <f>""</f>
        <v/>
      </c>
      <c r="J7" s="27" t="str">
        <f>""</f>
        <v/>
      </c>
      <c r="K7" s="27" t="str">
        <f>""</f>
        <v/>
      </c>
      <c r="L7" t="str">
        <f>""</f>
        <v/>
      </c>
    </row>
    <row r="8" spans="2:12" x14ac:dyDescent="0.2">
      <c r="B8" s="5" t="str">
        <f>""</f>
        <v/>
      </c>
      <c r="C8" s="27" t="str">
        <f>""</f>
        <v/>
      </c>
      <c r="D8" s="26" t="str">
        <f>"[0.095]"</f>
        <v>[0.095]</v>
      </c>
      <c r="E8" s="27" t="str">
        <f>""</f>
        <v/>
      </c>
      <c r="F8" s="27" t="str">
        <f>""</f>
        <v/>
      </c>
      <c r="G8" s="27" t="str">
        <f>""</f>
        <v/>
      </c>
      <c r="H8" s="27" t="str">
        <f>""</f>
        <v/>
      </c>
      <c r="I8" s="27" t="str">
        <f>""</f>
        <v/>
      </c>
      <c r="J8" s="27" t="str">
        <f>""</f>
        <v/>
      </c>
      <c r="K8" s="27" t="str">
        <f>""</f>
        <v/>
      </c>
      <c r="L8" t="str">
        <f>""</f>
        <v/>
      </c>
    </row>
    <row r="9" spans="2:12" x14ac:dyDescent="0.2">
      <c r="B9" s="5"/>
      <c r="C9" s="27"/>
      <c r="D9" s="27"/>
      <c r="E9" s="27"/>
      <c r="F9" s="27"/>
      <c r="G9" s="27"/>
      <c r="H9" s="27"/>
      <c r="I9" s="27"/>
      <c r="J9" s="27"/>
      <c r="K9" s="27"/>
    </row>
    <row r="10" spans="2:12" x14ac:dyDescent="0.2">
      <c r="B10" s="9" t="s">
        <v>16</v>
      </c>
      <c r="C10" s="10"/>
      <c r="D10" s="10"/>
      <c r="E10" s="10"/>
      <c r="F10" s="10"/>
      <c r="G10" s="10"/>
      <c r="H10" s="10"/>
      <c r="I10" s="10"/>
      <c r="J10" s="10"/>
      <c r="K10" s="10"/>
      <c r="L10" s="10"/>
    </row>
    <row r="11" spans="2:12" x14ac:dyDescent="0.2">
      <c r="B11" s="11" t="str">
        <f>"Loss of land (yes=1) for a household in a given year"</f>
        <v>Loss of land (yes=1) for a household in a given year</v>
      </c>
      <c r="C11" s="12" t="str">
        <f>""</f>
        <v/>
      </c>
      <c r="D11" s="12" t="str">
        <f>""</f>
        <v/>
      </c>
      <c r="E11" t="str">
        <f>"0.005"</f>
        <v>0.005</v>
      </c>
      <c r="F11" t="str">
        <f>""</f>
        <v/>
      </c>
      <c r="G11" t="str">
        <f>""</f>
        <v/>
      </c>
      <c r="H11" t="str">
        <f>""</f>
        <v/>
      </c>
      <c r="I11" t="str">
        <f>""</f>
        <v/>
      </c>
      <c r="J11" t="str">
        <f>""</f>
        <v/>
      </c>
      <c r="K11" t="str">
        <f>""</f>
        <v/>
      </c>
      <c r="L11" t="str">
        <f>""</f>
        <v/>
      </c>
    </row>
    <row r="12" spans="2:12" x14ac:dyDescent="0.2">
      <c r="B12" s="11" t="str">
        <f>""</f>
        <v/>
      </c>
      <c r="C12" s="12" t="str">
        <f>""</f>
        <v/>
      </c>
      <c r="D12" s="12" t="str">
        <f>""</f>
        <v/>
      </c>
      <c r="E12" t="str">
        <f>"[0.018]"</f>
        <v>[0.018]</v>
      </c>
      <c r="F12" t="str">
        <f>""</f>
        <v/>
      </c>
      <c r="G12" t="str">
        <f>""</f>
        <v/>
      </c>
      <c r="H12" t="str">
        <f>""</f>
        <v/>
      </c>
      <c r="I12" t="str">
        <f>""</f>
        <v/>
      </c>
      <c r="J12" t="str">
        <f>""</f>
        <v/>
      </c>
      <c r="K12" t="str">
        <f>""</f>
        <v/>
      </c>
      <c r="L12" t="str">
        <f>""</f>
        <v/>
      </c>
    </row>
    <row r="13" spans="2:12" x14ac:dyDescent="0.2">
      <c r="B13" s="11" t="str">
        <f>"Theft of crops (yes=1) for a household in a given year"</f>
        <v>Theft of crops (yes=1) for a household in a given year</v>
      </c>
      <c r="C13" s="12" t="str">
        <f>""</f>
        <v/>
      </c>
      <c r="D13" s="12" t="str">
        <f>""</f>
        <v/>
      </c>
      <c r="E13" t="str">
        <f>""</f>
        <v/>
      </c>
      <c r="F13" t="str">
        <f>"0.012"</f>
        <v>0.012</v>
      </c>
      <c r="G13" t="str">
        <f>""</f>
        <v/>
      </c>
      <c r="H13" t="str">
        <f>""</f>
        <v/>
      </c>
      <c r="I13" t="str">
        <f>""</f>
        <v/>
      </c>
      <c r="J13" t="str">
        <f>""</f>
        <v/>
      </c>
      <c r="K13" t="str">
        <f>""</f>
        <v/>
      </c>
      <c r="L13" t="str">
        <f>""</f>
        <v/>
      </c>
    </row>
    <row r="14" spans="2:12" x14ac:dyDescent="0.2">
      <c r="B14" s="11" t="str">
        <f>""</f>
        <v/>
      </c>
      <c r="C14" s="12" t="str">
        <f>""</f>
        <v/>
      </c>
      <c r="D14" s="12" t="str">
        <f>""</f>
        <v/>
      </c>
      <c r="E14" t="str">
        <f>""</f>
        <v/>
      </c>
      <c r="F14" t="str">
        <f>"[0.008]"</f>
        <v>[0.008]</v>
      </c>
      <c r="G14" t="str">
        <f>""</f>
        <v/>
      </c>
      <c r="H14" t="str">
        <f>""</f>
        <v/>
      </c>
      <c r="I14" t="str">
        <f>""</f>
        <v/>
      </c>
      <c r="J14" t="str">
        <f>""</f>
        <v/>
      </c>
      <c r="K14" t="str">
        <f>""</f>
        <v/>
      </c>
      <c r="L14" t="str">
        <f>""</f>
        <v/>
      </c>
    </row>
    <row r="15" spans="2:12" x14ac:dyDescent="0.2">
      <c r="B15" s="13" t="str">
        <f>"Theft of money (yes=1) for a household in a given year"</f>
        <v>Theft of money (yes=1) for a household in a given year</v>
      </c>
      <c r="C15" s="14" t="str">
        <f>""</f>
        <v/>
      </c>
      <c r="D15" s="14" t="str">
        <f>""</f>
        <v/>
      </c>
      <c r="E15" t="str">
        <f>""</f>
        <v/>
      </c>
      <c r="F15" t="str">
        <f>""</f>
        <v/>
      </c>
      <c r="G15" t="str">
        <f>"0.049***"</f>
        <v>0.049***</v>
      </c>
      <c r="H15" t="str">
        <f>""</f>
        <v/>
      </c>
      <c r="I15" t="str">
        <f>""</f>
        <v/>
      </c>
      <c r="J15" t="str">
        <f>""</f>
        <v/>
      </c>
      <c r="K15" t="str">
        <f>""</f>
        <v/>
      </c>
      <c r="L15" t="str">
        <f>""</f>
        <v/>
      </c>
    </row>
    <row r="16" spans="2:12" x14ac:dyDescent="0.2">
      <c r="B16" s="11" t="str">
        <f>""</f>
        <v/>
      </c>
      <c r="C16" s="12" t="str">
        <f>""</f>
        <v/>
      </c>
      <c r="D16" s="12" t="str">
        <f>""</f>
        <v/>
      </c>
      <c r="E16" t="str">
        <f>""</f>
        <v/>
      </c>
      <c r="F16" t="str">
        <f>""</f>
        <v/>
      </c>
      <c r="G16" t="str">
        <f>"[0.014]"</f>
        <v>[0.014]</v>
      </c>
      <c r="H16" t="str">
        <f>""</f>
        <v/>
      </c>
      <c r="I16" t="str">
        <f>""</f>
        <v/>
      </c>
      <c r="J16" t="str">
        <f>""</f>
        <v/>
      </c>
      <c r="K16" t="str">
        <f>""</f>
        <v/>
      </c>
      <c r="L16" t="str">
        <f>""</f>
        <v/>
      </c>
    </row>
    <row r="17" spans="2:12" x14ac:dyDescent="0.2">
      <c r="B17" s="11" t="str">
        <f>"Theft or destruction of goods (yes=1) for a household in a given year"</f>
        <v>Theft or destruction of goods (yes=1) for a household in a given year</v>
      </c>
      <c r="C17" s="12" t="str">
        <f>""</f>
        <v/>
      </c>
      <c r="D17" s="12" t="str">
        <f>""</f>
        <v/>
      </c>
      <c r="E17" t="str">
        <f>""</f>
        <v/>
      </c>
      <c r="F17" t="str">
        <f>""</f>
        <v/>
      </c>
      <c r="G17" t="str">
        <f>""</f>
        <v/>
      </c>
      <c r="H17" t="str">
        <f>"0.044***"</f>
        <v>0.044***</v>
      </c>
      <c r="I17" t="str">
        <f>""</f>
        <v/>
      </c>
      <c r="J17" t="str">
        <f>""</f>
        <v/>
      </c>
      <c r="K17" t="str">
        <f>""</f>
        <v/>
      </c>
      <c r="L17" t="str">
        <f>""</f>
        <v/>
      </c>
    </row>
    <row r="18" spans="2:12" x14ac:dyDescent="0.2">
      <c r="B18" s="11"/>
      <c r="C18" s="12" t="str">
        <f>""</f>
        <v/>
      </c>
      <c r="D18" s="12" t="str">
        <f>""</f>
        <v/>
      </c>
      <c r="E18" t="str">
        <f>""</f>
        <v/>
      </c>
      <c r="F18" t="str">
        <f>""</f>
        <v/>
      </c>
      <c r="G18" t="str">
        <f>""</f>
        <v/>
      </c>
      <c r="H18" t="str">
        <f>"[0.014]"</f>
        <v>[0.014]</v>
      </c>
      <c r="I18" t="str">
        <f>""</f>
        <v/>
      </c>
      <c r="J18" t="str">
        <f>""</f>
        <v/>
      </c>
      <c r="K18" t="str">
        <f>""</f>
        <v/>
      </c>
      <c r="L18" t="str">
        <f>""</f>
        <v/>
      </c>
    </row>
    <row r="19" spans="2:12" x14ac:dyDescent="0.2">
      <c r="B19" s="11" t="str">
        <f>"Destruction of house (yes=1) for a household in a given year"</f>
        <v>Destruction of house (yes=1) for a household in a given year</v>
      </c>
      <c r="C19" s="12" t="str">
        <f>""</f>
        <v/>
      </c>
      <c r="D19" s="12" t="str">
        <f>""</f>
        <v/>
      </c>
      <c r="E19" t="str">
        <f>""</f>
        <v/>
      </c>
      <c r="F19" t="str">
        <f>""</f>
        <v/>
      </c>
      <c r="G19" t="str">
        <f>""</f>
        <v/>
      </c>
      <c r="H19" t="str">
        <f>""</f>
        <v/>
      </c>
      <c r="I19" t="str">
        <f>"0.061***"</f>
        <v>0.061***</v>
      </c>
      <c r="J19" t="str">
        <f>""</f>
        <v/>
      </c>
      <c r="K19" t="str">
        <f>""</f>
        <v/>
      </c>
      <c r="L19" t="str">
        <f>""</f>
        <v/>
      </c>
    </row>
    <row r="20" spans="2:12" x14ac:dyDescent="0.2">
      <c r="B20" s="11"/>
      <c r="C20" s="12" t="str">
        <f>""</f>
        <v/>
      </c>
      <c r="D20" s="12" t="str">
        <f>""</f>
        <v/>
      </c>
      <c r="E20" t="str">
        <f>""</f>
        <v/>
      </c>
      <c r="F20" t="str">
        <f>""</f>
        <v/>
      </c>
      <c r="G20" t="str">
        <f>""</f>
        <v/>
      </c>
      <c r="H20" t="str">
        <f>""</f>
        <v/>
      </c>
      <c r="I20" t="str">
        <f>"[0.022]"</f>
        <v>[0.022]</v>
      </c>
      <c r="J20" t="str">
        <f>""</f>
        <v/>
      </c>
      <c r="K20" t="str">
        <f>""</f>
        <v/>
      </c>
      <c r="L20" t="str">
        <f>""</f>
        <v/>
      </c>
    </row>
    <row r="21" spans="2:12" x14ac:dyDescent="0.2">
      <c r="B21" s="15" t="s">
        <v>18</v>
      </c>
      <c r="C21" s="12" t="str">
        <f>""</f>
        <v/>
      </c>
      <c r="D21" s="12" t="str">
        <f>""</f>
        <v/>
      </c>
      <c r="E21" t="str">
        <f>""</f>
        <v/>
      </c>
      <c r="F21" t="str">
        <f>""</f>
        <v/>
      </c>
      <c r="G21" t="str">
        <f>""</f>
        <v/>
      </c>
      <c r="H21" t="str">
        <f>""</f>
        <v/>
      </c>
      <c r="I21" t="str">
        <f>""</f>
        <v/>
      </c>
      <c r="J21" t="str">
        <f>"0.003"</f>
        <v>0.003</v>
      </c>
      <c r="K21" t="str">
        <f>""</f>
        <v/>
      </c>
      <c r="L21" t="str">
        <f>""</f>
        <v/>
      </c>
    </row>
    <row r="22" spans="2:12" x14ac:dyDescent="0.2">
      <c r="C22" s="12" t="str">
        <f>""</f>
        <v/>
      </c>
      <c r="D22" s="12" t="str">
        <f>""</f>
        <v/>
      </c>
      <c r="E22" t="str">
        <f>""</f>
        <v/>
      </c>
      <c r="F22" t="str">
        <f>""</f>
        <v/>
      </c>
      <c r="G22" t="str">
        <f>""</f>
        <v/>
      </c>
      <c r="H22" t="str">
        <f>""</f>
        <v/>
      </c>
      <c r="I22" t="str">
        <f>""</f>
        <v/>
      </c>
      <c r="J22" t="str">
        <f>"[0.002]"</f>
        <v>[0.002]</v>
      </c>
      <c r="K22" t="str">
        <f>""</f>
        <v/>
      </c>
      <c r="L22" t="str">
        <f>""</f>
        <v/>
      </c>
    </row>
    <row r="23" spans="2:12" x14ac:dyDescent="0.2">
      <c r="B23" s="15" t="s">
        <v>19</v>
      </c>
      <c r="C23" s="12" t="str">
        <f>""</f>
        <v/>
      </c>
      <c r="D23" s="12" t="str">
        <f>""</f>
        <v/>
      </c>
      <c r="E23" t="str">
        <f>""</f>
        <v/>
      </c>
      <c r="F23" t="str">
        <f>""</f>
        <v/>
      </c>
      <c r="G23" t="str">
        <f>""</f>
        <v/>
      </c>
      <c r="H23" t="str">
        <f>""</f>
        <v/>
      </c>
      <c r="I23" t="str">
        <f>""</f>
        <v/>
      </c>
      <c r="J23" t="str">
        <f>""</f>
        <v/>
      </c>
      <c r="K23" t="str">
        <f>"0.009***"</f>
        <v>0.009***</v>
      </c>
      <c r="L23" t="str">
        <f>""</f>
        <v/>
      </c>
    </row>
    <row r="24" spans="2:12" x14ac:dyDescent="0.2">
      <c r="C24" s="12" t="str">
        <f>""</f>
        <v/>
      </c>
      <c r="D24" s="12" t="str">
        <f>""</f>
        <v/>
      </c>
      <c r="E24" t="str">
        <f>""</f>
        <v/>
      </c>
      <c r="F24" t="str">
        <f>""</f>
        <v/>
      </c>
      <c r="G24" t="str">
        <f>""</f>
        <v/>
      </c>
      <c r="H24" t="str">
        <f>""</f>
        <v/>
      </c>
      <c r="I24" t="str">
        <f>""</f>
        <v/>
      </c>
      <c r="J24" t="str">
        <f>""</f>
        <v/>
      </c>
      <c r="K24" t="str">
        <f>"[0.002]"</f>
        <v>[0.002]</v>
      </c>
      <c r="L24" t="str">
        <f>""</f>
        <v/>
      </c>
    </row>
    <row r="25" spans="2:12" x14ac:dyDescent="0.2">
      <c r="B25" s="15" t="s">
        <v>17</v>
      </c>
      <c r="C25" s="12" t="str">
        <f>""</f>
        <v/>
      </c>
      <c r="D25" s="12" t="str">
        <f>""</f>
        <v/>
      </c>
      <c r="E25" t="str">
        <f>""</f>
        <v/>
      </c>
      <c r="F25" t="str">
        <f>""</f>
        <v/>
      </c>
      <c r="G25" t="str">
        <f>""</f>
        <v/>
      </c>
      <c r="H25" t="str">
        <f>""</f>
        <v/>
      </c>
      <c r="I25" t="str">
        <f>""</f>
        <v/>
      </c>
      <c r="J25" t="str">
        <f>""</f>
        <v/>
      </c>
      <c r="K25" t="str">
        <f>""</f>
        <v/>
      </c>
      <c r="L25" t="str">
        <f>"0.007***"</f>
        <v>0.007***</v>
      </c>
    </row>
    <row r="26" spans="2:12" x14ac:dyDescent="0.2">
      <c r="B26" s="15"/>
      <c r="C26" s="12" t="str">
        <f>""</f>
        <v/>
      </c>
      <c r="D26" s="12" t="str">
        <f>""</f>
        <v/>
      </c>
      <c r="E26" t="str">
        <f>""</f>
        <v/>
      </c>
      <c r="F26" t="str">
        <f>""</f>
        <v/>
      </c>
      <c r="G26" t="str">
        <f>""</f>
        <v/>
      </c>
      <c r="H26" t="str">
        <f>""</f>
        <v/>
      </c>
      <c r="I26" t="str">
        <f>""</f>
        <v/>
      </c>
      <c r="J26" t="str">
        <f>""</f>
        <v/>
      </c>
      <c r="K26" t="str">
        <f>""</f>
        <v/>
      </c>
      <c r="L26" t="str">
        <f>"[0.002]"</f>
        <v>[0.002]</v>
      </c>
    </row>
    <row r="27" spans="2:12" x14ac:dyDescent="0.2">
      <c r="B27" s="16" t="s">
        <v>22</v>
      </c>
      <c r="C27" s="17" t="str">
        <f t="shared" ref="C27:L27" si="0">"35830"</f>
        <v>35830</v>
      </c>
      <c r="D27" s="17" t="str">
        <f t="shared" si="0"/>
        <v>35830</v>
      </c>
      <c r="E27" s="17" t="str">
        <f t="shared" si="0"/>
        <v>35830</v>
      </c>
      <c r="F27" s="17" t="str">
        <f t="shared" si="0"/>
        <v>35830</v>
      </c>
      <c r="G27" s="17" t="str">
        <f t="shared" si="0"/>
        <v>35830</v>
      </c>
      <c r="H27" s="17" t="str">
        <f t="shared" si="0"/>
        <v>35830</v>
      </c>
      <c r="I27" s="17" t="str">
        <f t="shared" si="0"/>
        <v>35830</v>
      </c>
      <c r="J27" s="17" t="str">
        <f t="shared" si="0"/>
        <v>35830</v>
      </c>
      <c r="K27" s="17" t="str">
        <f t="shared" si="0"/>
        <v>35830</v>
      </c>
      <c r="L27" s="17" t="str">
        <f t="shared" si="0"/>
        <v>35830</v>
      </c>
    </row>
    <row r="28" spans="2:12" x14ac:dyDescent="0.2">
      <c r="B28" s="18" t="s">
        <v>23</v>
      </c>
      <c r="C28" s="19" t="str">
        <f t="shared" ref="C28:L28" si="1">"0.056"</f>
        <v>0.056</v>
      </c>
      <c r="D28" s="19" t="str">
        <f t="shared" si="1"/>
        <v>0.056</v>
      </c>
      <c r="E28" s="19" t="str">
        <f t="shared" si="1"/>
        <v>0.056</v>
      </c>
      <c r="F28" s="19" t="str">
        <f t="shared" si="1"/>
        <v>0.056</v>
      </c>
      <c r="G28" s="19" t="str">
        <f t="shared" si="1"/>
        <v>0.056</v>
      </c>
      <c r="H28" s="19" t="str">
        <f t="shared" si="1"/>
        <v>0.056</v>
      </c>
      <c r="I28" s="19" t="str">
        <f t="shared" si="1"/>
        <v>0.056</v>
      </c>
      <c r="J28" s="19" t="str">
        <f t="shared" si="1"/>
        <v>0.056</v>
      </c>
      <c r="K28" s="19" t="str">
        <f t="shared" si="1"/>
        <v>0.056</v>
      </c>
      <c r="L28" s="19" t="str">
        <f t="shared" si="1"/>
        <v>0.056</v>
      </c>
    </row>
    <row r="29" spans="2:12" x14ac:dyDescent="0.2">
      <c r="B29" s="18" t="s">
        <v>46</v>
      </c>
      <c r="C29" s="21" t="s">
        <v>25</v>
      </c>
      <c r="D29" s="21" t="s">
        <v>25</v>
      </c>
      <c r="E29" s="21" t="s">
        <v>25</v>
      </c>
      <c r="F29" s="21" t="s">
        <v>25</v>
      </c>
      <c r="G29" s="21" t="s">
        <v>25</v>
      </c>
      <c r="H29" s="21" t="s">
        <v>25</v>
      </c>
      <c r="I29" s="21" t="s">
        <v>25</v>
      </c>
      <c r="J29" s="21" t="s">
        <v>25</v>
      </c>
      <c r="K29" s="21" t="s">
        <v>25</v>
      </c>
      <c r="L29" s="21" t="s">
        <v>25</v>
      </c>
    </row>
    <row r="30" spans="2:12" x14ac:dyDescent="0.2">
      <c r="B30" s="20" t="s">
        <v>26</v>
      </c>
      <c r="C30" s="21" t="s">
        <v>25</v>
      </c>
      <c r="D30" s="21" t="s">
        <v>25</v>
      </c>
      <c r="E30" s="21" t="s">
        <v>25</v>
      </c>
      <c r="F30" s="21" t="s">
        <v>25</v>
      </c>
      <c r="G30" s="21" t="s">
        <v>25</v>
      </c>
      <c r="H30" s="21" t="s">
        <v>25</v>
      </c>
      <c r="I30" s="21" t="s">
        <v>25</v>
      </c>
      <c r="J30" s="21" t="s">
        <v>25</v>
      </c>
      <c r="K30" s="21" t="s">
        <v>25</v>
      </c>
      <c r="L30" s="21" t="s">
        <v>25</v>
      </c>
    </row>
    <row r="31" spans="2:12" x14ac:dyDescent="0.2">
      <c r="B31" s="22" t="s">
        <v>27</v>
      </c>
      <c r="C31" s="23" t="s">
        <v>25</v>
      </c>
      <c r="D31" s="23" t="s">
        <v>25</v>
      </c>
      <c r="E31" s="23" t="s">
        <v>25</v>
      </c>
      <c r="F31" s="23" t="s">
        <v>25</v>
      </c>
      <c r="G31" s="23" t="s">
        <v>25</v>
      </c>
      <c r="H31" s="23" t="s">
        <v>25</v>
      </c>
      <c r="I31" s="23" t="s">
        <v>25</v>
      </c>
      <c r="J31" s="23" t="s">
        <v>25</v>
      </c>
      <c r="K31" s="23" t="s">
        <v>25</v>
      </c>
      <c r="L31" s="23" t="s">
        <v>25</v>
      </c>
    </row>
    <row r="32" spans="2:12" ht="84" customHeight="1" x14ac:dyDescent="0.2">
      <c r="B32" s="73" t="s">
        <v>67</v>
      </c>
      <c r="C32" s="73"/>
      <c r="D32" s="73"/>
      <c r="E32" s="73"/>
      <c r="F32" s="73"/>
      <c r="G32" s="73"/>
      <c r="H32" s="73"/>
      <c r="I32" s="73"/>
      <c r="J32" s="73"/>
      <c r="K32" s="73"/>
      <c r="L32" s="73"/>
    </row>
  </sheetData>
  <mergeCells count="2">
    <mergeCell ref="B2:L2"/>
    <mergeCell ref="B32:L3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25F3E-B5BF-3E4B-84D1-CBF4C5D3C37D}">
  <dimension ref="B2:L32"/>
  <sheetViews>
    <sheetView showGridLines="0" workbookViewId="0">
      <selection activeCell="B2" sqref="B2:L2"/>
    </sheetView>
  </sheetViews>
  <sheetFormatPr baseColWidth="10" defaultColWidth="11" defaultRowHeight="16" x14ac:dyDescent="0.2"/>
  <cols>
    <col min="2" max="2" width="57.1640625" customWidth="1"/>
  </cols>
  <sheetData>
    <row r="2" spans="2:12" x14ac:dyDescent="0.2">
      <c r="B2" s="74" t="s">
        <v>65</v>
      </c>
      <c r="C2" s="74"/>
      <c r="D2" s="74"/>
      <c r="E2" s="74"/>
      <c r="F2" s="74"/>
      <c r="G2" s="74"/>
      <c r="H2" s="74"/>
      <c r="I2" s="74"/>
      <c r="J2" s="74"/>
      <c r="K2" s="74"/>
      <c r="L2" s="74"/>
    </row>
    <row r="3" spans="2:12" ht="51" customHeight="1" thickBot="1" x14ac:dyDescent="0.25">
      <c r="B3" s="1" t="s">
        <v>0</v>
      </c>
      <c r="C3" s="2" t="s">
        <v>1</v>
      </c>
      <c r="D3" s="2" t="s">
        <v>2</v>
      </c>
      <c r="E3" s="2" t="s">
        <v>3</v>
      </c>
      <c r="F3" s="2" t="s">
        <v>4</v>
      </c>
      <c r="G3" s="2" t="s">
        <v>5</v>
      </c>
      <c r="H3" s="2" t="s">
        <v>6</v>
      </c>
      <c r="I3" s="2" t="s">
        <v>7</v>
      </c>
      <c r="J3" s="2" t="s">
        <v>8</v>
      </c>
      <c r="K3" s="2" t="s">
        <v>9</v>
      </c>
      <c r="L3" s="2" t="s">
        <v>10</v>
      </c>
    </row>
    <row r="4" spans="2:12" ht="23" customHeight="1" thickTop="1" x14ac:dyDescent="0.2">
      <c r="B4" s="3" t="s">
        <v>13</v>
      </c>
      <c r="C4" s="4"/>
      <c r="D4" s="4"/>
      <c r="E4" s="4"/>
      <c r="F4" s="4"/>
      <c r="G4" s="4"/>
      <c r="H4" s="4"/>
      <c r="I4" s="4"/>
      <c r="J4" s="4"/>
      <c r="K4" s="4"/>
    </row>
    <row r="5" spans="2:12" x14ac:dyDescent="0.2">
      <c r="B5" s="5" t="s">
        <v>14</v>
      </c>
      <c r="C5" s="40" t="str">
        <f>"0.029"</f>
        <v>0.029</v>
      </c>
      <c r="D5" s="40" t="str">
        <f>""</f>
        <v/>
      </c>
      <c r="E5" s="40" t="str">
        <f>""</f>
        <v/>
      </c>
      <c r="F5" s="41" t="str">
        <f>""</f>
        <v/>
      </c>
      <c r="G5" s="41" t="str">
        <f>""</f>
        <v/>
      </c>
      <c r="H5" s="41" t="str">
        <f>""</f>
        <v/>
      </c>
      <c r="I5" s="41" t="str">
        <f>""</f>
        <v/>
      </c>
      <c r="J5" s="41" t="str">
        <f>""</f>
        <v/>
      </c>
      <c r="K5" s="41" t="str">
        <f>""</f>
        <v/>
      </c>
      <c r="L5" s="41" t="str">
        <f>""</f>
        <v/>
      </c>
    </row>
    <row r="6" spans="2:12" x14ac:dyDescent="0.2">
      <c r="B6" s="7"/>
      <c r="C6" s="40" t="str">
        <f>"[0.022]"</f>
        <v>[0.022]</v>
      </c>
      <c r="D6" s="40" t="str">
        <f>""</f>
        <v/>
      </c>
      <c r="E6" s="40" t="str">
        <f>""</f>
        <v/>
      </c>
      <c r="F6" s="41" t="str">
        <f>""</f>
        <v/>
      </c>
      <c r="G6" s="41" t="str">
        <f>""</f>
        <v/>
      </c>
      <c r="H6" s="41" t="str">
        <f>""</f>
        <v/>
      </c>
      <c r="I6" s="41" t="str">
        <f>""</f>
        <v/>
      </c>
      <c r="J6" s="41" t="str">
        <f>""</f>
        <v/>
      </c>
      <c r="K6" s="41" t="str">
        <f>""</f>
        <v/>
      </c>
      <c r="L6" s="41" t="str">
        <f>""</f>
        <v/>
      </c>
    </row>
    <row r="7" spans="2:12" x14ac:dyDescent="0.2">
      <c r="B7" s="8" t="s">
        <v>15</v>
      </c>
      <c r="C7" s="40" t="str">
        <f>""</f>
        <v/>
      </c>
      <c r="D7" s="27" t="str">
        <f>"0.281**"</f>
        <v>0.281**</v>
      </c>
      <c r="E7" s="40" t="str">
        <f>""</f>
        <v/>
      </c>
      <c r="F7" s="41" t="str">
        <f>""</f>
        <v/>
      </c>
      <c r="G7" s="41" t="str">
        <f>""</f>
        <v/>
      </c>
      <c r="H7" s="41" t="str">
        <f>""</f>
        <v/>
      </c>
      <c r="I7" s="41" t="str">
        <f>""</f>
        <v/>
      </c>
      <c r="J7" s="41" t="str">
        <f>""</f>
        <v/>
      </c>
      <c r="K7" s="41" t="str">
        <f>""</f>
        <v/>
      </c>
      <c r="L7" s="41" t="str">
        <f>""</f>
        <v/>
      </c>
    </row>
    <row r="8" spans="2:12" x14ac:dyDescent="0.2">
      <c r="B8" s="5" t="str">
        <f>""</f>
        <v/>
      </c>
      <c r="C8" s="40" t="str">
        <f>""</f>
        <v/>
      </c>
      <c r="D8" s="27" t="str">
        <f>"[0.124]"</f>
        <v>[0.124]</v>
      </c>
      <c r="E8" s="40" t="str">
        <f>""</f>
        <v/>
      </c>
      <c r="F8" s="41" t="str">
        <f>""</f>
        <v/>
      </c>
      <c r="G8" s="41" t="str">
        <f>""</f>
        <v/>
      </c>
      <c r="H8" s="41" t="str">
        <f>""</f>
        <v/>
      </c>
      <c r="I8" s="41" t="str">
        <f>""</f>
        <v/>
      </c>
      <c r="J8" s="41" t="str">
        <f>""</f>
        <v/>
      </c>
      <c r="K8" s="41" t="str">
        <f>""</f>
        <v/>
      </c>
      <c r="L8" s="41" t="str">
        <f>""</f>
        <v/>
      </c>
    </row>
    <row r="9" spans="2:12" x14ac:dyDescent="0.2">
      <c r="B9" s="5"/>
      <c r="C9" s="42"/>
      <c r="D9" s="42"/>
      <c r="E9" s="42"/>
      <c r="F9" s="43"/>
      <c r="G9" s="43"/>
      <c r="H9" s="43"/>
      <c r="I9" s="43"/>
      <c r="J9" s="43"/>
      <c r="K9" s="43"/>
      <c r="L9" s="43"/>
    </row>
    <row r="10" spans="2:12" ht="25" customHeight="1" x14ac:dyDescent="0.2">
      <c r="B10" s="9" t="s">
        <v>16</v>
      </c>
      <c r="C10" s="40"/>
      <c r="D10" s="40"/>
      <c r="E10" s="40"/>
      <c r="F10" s="44"/>
      <c r="G10" s="44"/>
      <c r="H10" s="44"/>
      <c r="I10" s="44"/>
      <c r="J10" s="44"/>
      <c r="K10" s="44"/>
      <c r="L10" s="44"/>
    </row>
    <row r="11" spans="2:12" ht="18" customHeight="1" x14ac:dyDescent="0.2">
      <c r="B11" s="11" t="str">
        <f>"Loss of land (yes=1) for a household in a given year"</f>
        <v>Loss of land (yes=1) for a household in a given year</v>
      </c>
      <c r="C11" s="40" t="str">
        <f>""</f>
        <v/>
      </c>
      <c r="D11" s="40" t="str">
        <f>""</f>
        <v/>
      </c>
      <c r="E11" s="40" t="str">
        <f>"0.021"</f>
        <v>0.021</v>
      </c>
      <c r="F11" s="40" t="str">
        <f>""</f>
        <v/>
      </c>
      <c r="G11" s="40" t="str">
        <f>""</f>
        <v/>
      </c>
      <c r="H11" s="40" t="str">
        <f>""</f>
        <v/>
      </c>
      <c r="I11" s="40" t="str">
        <f>""</f>
        <v/>
      </c>
      <c r="J11" s="40" t="str">
        <f>""</f>
        <v/>
      </c>
      <c r="K11" s="40" t="str">
        <f>""</f>
        <v/>
      </c>
      <c r="L11" s="40" t="str">
        <f>""</f>
        <v/>
      </c>
    </row>
    <row r="12" spans="2:12" ht="14" customHeight="1" x14ac:dyDescent="0.2">
      <c r="B12" s="11" t="str">
        <f>""</f>
        <v/>
      </c>
      <c r="C12" s="40" t="str">
        <f>""</f>
        <v/>
      </c>
      <c r="D12" s="40" t="str">
        <f>""</f>
        <v/>
      </c>
      <c r="E12" s="40" t="str">
        <f>"[0.028]"</f>
        <v>[0.028]</v>
      </c>
      <c r="F12" s="40" t="str">
        <f>""</f>
        <v/>
      </c>
      <c r="G12" s="40" t="str">
        <f>""</f>
        <v/>
      </c>
      <c r="H12" s="40" t="str">
        <f>""</f>
        <v/>
      </c>
      <c r="I12" s="40" t="str">
        <f>""</f>
        <v/>
      </c>
      <c r="J12" s="40" t="str">
        <f>""</f>
        <v/>
      </c>
      <c r="K12" s="40" t="str">
        <f>""</f>
        <v/>
      </c>
      <c r="L12" s="40" t="str">
        <f>""</f>
        <v/>
      </c>
    </row>
    <row r="13" spans="2:12" x14ac:dyDescent="0.2">
      <c r="B13" s="11" t="str">
        <f>"Theft of crops (yes=1) for a household in a given year"</f>
        <v>Theft of crops (yes=1) for a household in a given year</v>
      </c>
      <c r="C13" s="40" t="str">
        <f>""</f>
        <v/>
      </c>
      <c r="D13" s="40" t="str">
        <f>""</f>
        <v/>
      </c>
      <c r="E13" s="40" t="str">
        <f>""</f>
        <v/>
      </c>
      <c r="F13" s="40" t="str">
        <f>"0.003"</f>
        <v>0.003</v>
      </c>
      <c r="G13" s="40" t="str">
        <f>""</f>
        <v/>
      </c>
      <c r="H13" s="40" t="str">
        <f>""</f>
        <v/>
      </c>
      <c r="I13" s="40" t="str">
        <f>""</f>
        <v/>
      </c>
      <c r="J13" s="40" t="str">
        <f>""</f>
        <v/>
      </c>
      <c r="K13" s="40" t="str">
        <f>""</f>
        <v/>
      </c>
      <c r="L13" s="40" t="str">
        <f>""</f>
        <v/>
      </c>
    </row>
    <row r="14" spans="2:12" x14ac:dyDescent="0.2">
      <c r="B14" s="11" t="str">
        <f>""</f>
        <v/>
      </c>
      <c r="C14" s="40" t="str">
        <f>""</f>
        <v/>
      </c>
      <c r="D14" s="40" t="str">
        <f>""</f>
        <v/>
      </c>
      <c r="E14" s="40" t="str">
        <f>""</f>
        <v/>
      </c>
      <c r="F14" s="40" t="str">
        <f>"[0.014]"</f>
        <v>[0.014]</v>
      </c>
      <c r="G14" s="40" t="str">
        <f>""</f>
        <v/>
      </c>
      <c r="H14" s="40" t="str">
        <f>""</f>
        <v/>
      </c>
      <c r="I14" s="40" t="str">
        <f>""</f>
        <v/>
      </c>
      <c r="J14" s="40" t="str">
        <f>""</f>
        <v/>
      </c>
      <c r="K14" s="40" t="str">
        <f>""</f>
        <v/>
      </c>
      <c r="L14" s="40" t="str">
        <f>""</f>
        <v/>
      </c>
    </row>
    <row r="15" spans="2:12" x14ac:dyDescent="0.2">
      <c r="B15" s="13" t="str">
        <f>"Theft of money (yes=1) for a household in a given year"</f>
        <v>Theft of money (yes=1) for a household in a given year</v>
      </c>
      <c r="C15" s="40" t="str">
        <f>""</f>
        <v/>
      </c>
      <c r="D15" s="40" t="str">
        <f>""</f>
        <v/>
      </c>
      <c r="E15" s="40" t="str">
        <f>""</f>
        <v/>
      </c>
      <c r="F15" s="40" t="str">
        <f>""</f>
        <v/>
      </c>
      <c r="G15" s="40" t="str">
        <f>"0.069***"</f>
        <v>0.069***</v>
      </c>
      <c r="H15" s="40" t="str">
        <f>""</f>
        <v/>
      </c>
      <c r="I15" s="40" t="str">
        <f>""</f>
        <v/>
      </c>
      <c r="J15" s="40" t="str">
        <f>""</f>
        <v/>
      </c>
      <c r="K15" s="40" t="str">
        <f>""</f>
        <v/>
      </c>
      <c r="L15" s="40" t="str">
        <f>""</f>
        <v/>
      </c>
    </row>
    <row r="16" spans="2:12" x14ac:dyDescent="0.2">
      <c r="B16" s="11" t="str">
        <f>""</f>
        <v/>
      </c>
      <c r="C16" s="40" t="str">
        <f>""</f>
        <v/>
      </c>
      <c r="D16" s="40" t="str">
        <f>""</f>
        <v/>
      </c>
      <c r="E16" s="40" t="str">
        <f>""</f>
        <v/>
      </c>
      <c r="F16" s="40" t="str">
        <f>""</f>
        <v/>
      </c>
      <c r="G16" s="40" t="str">
        <f>"[0.021]"</f>
        <v>[0.021]</v>
      </c>
      <c r="H16" s="40" t="str">
        <f>""</f>
        <v/>
      </c>
      <c r="I16" s="40" t="str">
        <f>""</f>
        <v/>
      </c>
      <c r="J16" s="40" t="str">
        <f>""</f>
        <v/>
      </c>
      <c r="K16" s="40" t="str">
        <f>""</f>
        <v/>
      </c>
      <c r="L16" s="40" t="str">
        <f>""</f>
        <v/>
      </c>
    </row>
    <row r="17" spans="2:12" x14ac:dyDescent="0.2">
      <c r="B17" s="11" t="str">
        <f>"Theft or destruction of goods (yes=1) for a household in a given year"</f>
        <v>Theft or destruction of goods (yes=1) for a household in a given year</v>
      </c>
      <c r="C17" s="40" t="str">
        <f>""</f>
        <v/>
      </c>
      <c r="D17" s="40" t="str">
        <f>""</f>
        <v/>
      </c>
      <c r="E17" s="40" t="str">
        <f>""</f>
        <v/>
      </c>
      <c r="F17" s="40" t="str">
        <f>""</f>
        <v/>
      </c>
      <c r="G17" s="40" t="str">
        <f>""</f>
        <v/>
      </c>
      <c r="H17" s="40" t="str">
        <f>"0.054**"</f>
        <v>0.054**</v>
      </c>
      <c r="I17" s="40" t="str">
        <f>""</f>
        <v/>
      </c>
      <c r="J17" s="40" t="str">
        <f>""</f>
        <v/>
      </c>
      <c r="K17" s="40" t="str">
        <f>""</f>
        <v/>
      </c>
      <c r="L17" s="40" t="str">
        <f>""</f>
        <v/>
      </c>
    </row>
    <row r="18" spans="2:12" x14ac:dyDescent="0.2">
      <c r="B18" s="11"/>
      <c r="C18" s="40" t="str">
        <f>""</f>
        <v/>
      </c>
      <c r="D18" s="40" t="str">
        <f>""</f>
        <v/>
      </c>
      <c r="E18" s="40" t="str">
        <f>""</f>
        <v/>
      </c>
      <c r="F18" s="40" t="str">
        <f>""</f>
        <v/>
      </c>
      <c r="G18" s="40" t="str">
        <f>""</f>
        <v/>
      </c>
      <c r="H18" s="40" t="str">
        <f>"[0.021]"</f>
        <v>[0.021]</v>
      </c>
      <c r="I18" s="40" t="str">
        <f>""</f>
        <v/>
      </c>
      <c r="J18" s="40" t="str">
        <f>""</f>
        <v/>
      </c>
      <c r="K18" s="40" t="str">
        <f>""</f>
        <v/>
      </c>
      <c r="L18" s="40" t="str">
        <f>""</f>
        <v/>
      </c>
    </row>
    <row r="19" spans="2:12" x14ac:dyDescent="0.2">
      <c r="B19" s="11" t="str">
        <f>"Destruction of house (yes=1) for a household in a given year"</f>
        <v>Destruction of house (yes=1) for a household in a given year</v>
      </c>
      <c r="C19" s="40" t="str">
        <f>""</f>
        <v/>
      </c>
      <c r="D19" s="40" t="str">
        <f>""</f>
        <v/>
      </c>
      <c r="E19" s="40" t="str">
        <f>""</f>
        <v/>
      </c>
      <c r="F19" s="40" t="str">
        <f>""</f>
        <v/>
      </c>
      <c r="G19" s="40" t="str">
        <f>""</f>
        <v/>
      </c>
      <c r="H19" s="40" t="str">
        <f>""</f>
        <v/>
      </c>
      <c r="I19" s="40" t="str">
        <f>"0.088***"</f>
        <v>0.088***</v>
      </c>
      <c r="J19" s="40" t="str">
        <f>""</f>
        <v/>
      </c>
      <c r="K19" s="40" t="str">
        <f>""</f>
        <v/>
      </c>
      <c r="L19" s="40" t="str">
        <f>""</f>
        <v/>
      </c>
    </row>
    <row r="20" spans="2:12" x14ac:dyDescent="0.2">
      <c r="B20" s="11"/>
      <c r="C20" s="40" t="str">
        <f>""</f>
        <v/>
      </c>
      <c r="D20" s="40" t="str">
        <f>""</f>
        <v/>
      </c>
      <c r="E20" s="40" t="str">
        <f>""</f>
        <v/>
      </c>
      <c r="F20" s="40" t="str">
        <f>""</f>
        <v/>
      </c>
      <c r="G20" s="40" t="str">
        <f>""</f>
        <v/>
      </c>
      <c r="H20" s="40" t="str">
        <f>""</f>
        <v/>
      </c>
      <c r="I20" s="40" t="str">
        <f>"[0.031]"</f>
        <v>[0.031]</v>
      </c>
      <c r="J20" s="40" t="str">
        <f>""</f>
        <v/>
      </c>
      <c r="K20" s="40" t="str">
        <f>""</f>
        <v/>
      </c>
      <c r="L20" s="40" t="str">
        <f>""</f>
        <v/>
      </c>
    </row>
    <row r="21" spans="2:12" x14ac:dyDescent="0.2">
      <c r="B21" s="15" t="s">
        <v>18</v>
      </c>
      <c r="C21" s="40" t="str">
        <f>""</f>
        <v/>
      </c>
      <c r="D21" s="40" t="str">
        <f>""</f>
        <v/>
      </c>
      <c r="E21" s="40" t="str">
        <f>""</f>
        <v/>
      </c>
      <c r="F21" s="40" t="str">
        <f>""</f>
        <v/>
      </c>
      <c r="G21" s="40" t="str">
        <f>""</f>
        <v/>
      </c>
      <c r="H21" s="40" t="str">
        <f>""</f>
        <v/>
      </c>
      <c r="I21" s="40" t="str">
        <f>""</f>
        <v/>
      </c>
      <c r="J21" s="40" t="str">
        <f>"0.002"</f>
        <v>0.002</v>
      </c>
      <c r="K21" s="40" t="str">
        <f>""</f>
        <v/>
      </c>
      <c r="L21" s="40" t="str">
        <f>""</f>
        <v/>
      </c>
    </row>
    <row r="22" spans="2:12" x14ac:dyDescent="0.2">
      <c r="C22" s="40" t="str">
        <f>""</f>
        <v/>
      </c>
      <c r="D22" s="40" t="str">
        <f>""</f>
        <v/>
      </c>
      <c r="E22" s="40" t="str">
        <f>""</f>
        <v/>
      </c>
      <c r="F22" s="40" t="str">
        <f>""</f>
        <v/>
      </c>
      <c r="G22" s="40" t="str">
        <f>""</f>
        <v/>
      </c>
      <c r="H22" s="40" t="str">
        <f>""</f>
        <v/>
      </c>
      <c r="I22" s="40" t="str">
        <f>""</f>
        <v/>
      </c>
      <c r="J22" s="40" t="str">
        <f>"[0.003]"</f>
        <v>[0.003]</v>
      </c>
      <c r="K22" s="40" t="str">
        <f>""</f>
        <v/>
      </c>
      <c r="L22" s="40" t="str">
        <f>""</f>
        <v/>
      </c>
    </row>
    <row r="23" spans="2:12" x14ac:dyDescent="0.2">
      <c r="B23" s="15" t="s">
        <v>19</v>
      </c>
      <c r="C23" s="40" t="str">
        <f>""</f>
        <v/>
      </c>
      <c r="D23" s="40" t="str">
        <f>""</f>
        <v/>
      </c>
      <c r="E23" s="40" t="str">
        <f>""</f>
        <v/>
      </c>
      <c r="F23" s="40" t="str">
        <f>""</f>
        <v/>
      </c>
      <c r="G23" s="40" t="str">
        <f>""</f>
        <v/>
      </c>
      <c r="H23" s="40" t="str">
        <f>""</f>
        <v/>
      </c>
      <c r="I23" s="40" t="str">
        <f>""</f>
        <v/>
      </c>
      <c r="J23" s="40" t="str">
        <f>""</f>
        <v/>
      </c>
      <c r="K23" s="40" t="str">
        <f>"0.012***"</f>
        <v>0.012***</v>
      </c>
      <c r="L23" s="40" t="str">
        <f>""</f>
        <v/>
      </c>
    </row>
    <row r="24" spans="2:12" x14ac:dyDescent="0.2">
      <c r="B24" s="15"/>
      <c r="C24" s="40" t="str">
        <f>""</f>
        <v/>
      </c>
      <c r="D24" s="40" t="str">
        <f>""</f>
        <v/>
      </c>
      <c r="E24" s="40" t="str">
        <f>""</f>
        <v/>
      </c>
      <c r="F24" s="40" t="str">
        <f>""</f>
        <v/>
      </c>
      <c r="G24" s="40" t="str">
        <f>""</f>
        <v/>
      </c>
      <c r="H24" s="40" t="str">
        <f>""</f>
        <v/>
      </c>
      <c r="I24" s="40" t="str">
        <f>""</f>
        <v/>
      </c>
      <c r="J24" s="40" t="str">
        <f>""</f>
        <v/>
      </c>
      <c r="K24" s="40" t="str">
        <f>"[0.003]"</f>
        <v>[0.003]</v>
      </c>
      <c r="L24" s="40" t="str">
        <f>""</f>
        <v/>
      </c>
    </row>
    <row r="25" spans="2:12" x14ac:dyDescent="0.2">
      <c r="B25" s="15" t="s">
        <v>17</v>
      </c>
      <c r="C25" s="40" t="str">
        <f>""</f>
        <v/>
      </c>
      <c r="D25" s="40" t="str">
        <f>""</f>
        <v/>
      </c>
      <c r="E25" s="40" t="str">
        <f>""</f>
        <v/>
      </c>
      <c r="F25" s="40" t="str">
        <f>""</f>
        <v/>
      </c>
      <c r="G25" s="40" t="str">
        <f>""</f>
        <v/>
      </c>
      <c r="H25" s="40" t="str">
        <f>""</f>
        <v/>
      </c>
      <c r="I25" s="40" t="str">
        <f>""</f>
        <v/>
      </c>
      <c r="J25" s="40" t="str">
        <f>""</f>
        <v/>
      </c>
      <c r="K25" s="40" t="str">
        <f>""</f>
        <v/>
      </c>
      <c r="L25" s="40" t="str">
        <f>"0.009***"</f>
        <v>0.009***</v>
      </c>
    </row>
    <row r="26" spans="2:12" x14ac:dyDescent="0.2">
      <c r="C26" s="40" t="str">
        <f>""</f>
        <v/>
      </c>
      <c r="D26" s="40" t="str">
        <f>""</f>
        <v/>
      </c>
      <c r="E26" s="40" t="str">
        <f>""</f>
        <v/>
      </c>
      <c r="F26" s="40" t="str">
        <f>""</f>
        <v/>
      </c>
      <c r="G26" s="40" t="str">
        <f>""</f>
        <v/>
      </c>
      <c r="H26" s="40" t="str">
        <f>""</f>
        <v/>
      </c>
      <c r="I26" s="40" t="str">
        <f>""</f>
        <v/>
      </c>
      <c r="J26" s="40" t="str">
        <f>""</f>
        <v/>
      </c>
      <c r="K26" s="40" t="str">
        <f>""</f>
        <v/>
      </c>
      <c r="L26" s="40" t="str">
        <f>"[0.003]"</f>
        <v>[0.003]</v>
      </c>
    </row>
    <row r="27" spans="2:12" x14ac:dyDescent="0.2">
      <c r="B27" s="16" t="s">
        <v>22</v>
      </c>
      <c r="C27" s="45" t="str">
        <f t="shared" ref="C27:L27" si="0">"8750"</f>
        <v>8750</v>
      </c>
      <c r="D27" s="45" t="str">
        <f t="shared" si="0"/>
        <v>8750</v>
      </c>
      <c r="E27" s="45" t="str">
        <f t="shared" si="0"/>
        <v>8750</v>
      </c>
      <c r="F27" s="45" t="str">
        <f t="shared" si="0"/>
        <v>8750</v>
      </c>
      <c r="G27" s="45" t="str">
        <f t="shared" si="0"/>
        <v>8750</v>
      </c>
      <c r="H27" s="45" t="str">
        <f t="shared" si="0"/>
        <v>8750</v>
      </c>
      <c r="I27" s="45" t="str">
        <f t="shared" si="0"/>
        <v>8750</v>
      </c>
      <c r="J27" s="45" t="str">
        <f t="shared" si="0"/>
        <v>8750</v>
      </c>
      <c r="K27" s="45" t="str">
        <f t="shared" si="0"/>
        <v>8750</v>
      </c>
      <c r="L27" s="45" t="str">
        <f t="shared" si="0"/>
        <v>8750</v>
      </c>
    </row>
    <row r="28" spans="2:12" x14ac:dyDescent="0.2">
      <c r="B28" s="18" t="s">
        <v>23</v>
      </c>
      <c r="C28" s="40" t="str">
        <f t="shared" ref="C28:L28" si="1">"0.135"</f>
        <v>0.135</v>
      </c>
      <c r="D28" s="40" t="str">
        <f t="shared" si="1"/>
        <v>0.135</v>
      </c>
      <c r="E28" s="40" t="str">
        <f t="shared" si="1"/>
        <v>0.135</v>
      </c>
      <c r="F28" s="40" t="str">
        <f t="shared" si="1"/>
        <v>0.135</v>
      </c>
      <c r="G28" s="40" t="str">
        <f t="shared" si="1"/>
        <v>0.135</v>
      </c>
      <c r="H28" s="40" t="str">
        <f t="shared" si="1"/>
        <v>0.135</v>
      </c>
      <c r="I28" s="40" t="str">
        <f t="shared" si="1"/>
        <v>0.135</v>
      </c>
      <c r="J28" s="40" t="str">
        <f t="shared" si="1"/>
        <v>0.135</v>
      </c>
      <c r="K28" s="40" t="str">
        <f t="shared" si="1"/>
        <v>0.135</v>
      </c>
      <c r="L28" s="40" t="str">
        <f t="shared" si="1"/>
        <v>0.135</v>
      </c>
    </row>
    <row r="29" spans="2:12" x14ac:dyDescent="0.2">
      <c r="B29" s="20" t="s">
        <v>24</v>
      </c>
      <c r="C29" s="21" t="s">
        <v>25</v>
      </c>
      <c r="D29" s="21" t="s">
        <v>25</v>
      </c>
      <c r="E29" s="21" t="s">
        <v>25</v>
      </c>
      <c r="F29" s="21" t="s">
        <v>25</v>
      </c>
      <c r="G29" s="21" t="s">
        <v>25</v>
      </c>
      <c r="H29" s="21" t="s">
        <v>25</v>
      </c>
      <c r="I29" s="21" t="s">
        <v>25</v>
      </c>
      <c r="J29" s="21" t="s">
        <v>25</v>
      </c>
      <c r="K29" s="21" t="s">
        <v>25</v>
      </c>
      <c r="L29" s="21" t="s">
        <v>25</v>
      </c>
    </row>
    <row r="30" spans="2:12" x14ac:dyDescent="0.2">
      <c r="B30" s="20" t="s">
        <v>26</v>
      </c>
      <c r="C30" s="21" t="s">
        <v>25</v>
      </c>
      <c r="D30" s="21" t="s">
        <v>25</v>
      </c>
      <c r="E30" s="21" t="s">
        <v>25</v>
      </c>
      <c r="F30" s="21" t="s">
        <v>25</v>
      </c>
      <c r="G30" s="21" t="s">
        <v>25</v>
      </c>
      <c r="H30" s="21" t="s">
        <v>25</v>
      </c>
      <c r="I30" s="21" t="s">
        <v>25</v>
      </c>
      <c r="J30" s="21" t="s">
        <v>25</v>
      </c>
      <c r="K30" s="21" t="s">
        <v>25</v>
      </c>
      <c r="L30" s="21" t="s">
        <v>25</v>
      </c>
    </row>
    <row r="31" spans="2:12" x14ac:dyDescent="0.2">
      <c r="B31" s="22" t="s">
        <v>27</v>
      </c>
      <c r="C31" s="23" t="s">
        <v>25</v>
      </c>
      <c r="D31" s="23" t="s">
        <v>25</v>
      </c>
      <c r="E31" s="23" t="s">
        <v>25</v>
      </c>
      <c r="F31" s="23" t="s">
        <v>25</v>
      </c>
      <c r="G31" s="23" t="s">
        <v>25</v>
      </c>
      <c r="H31" s="23" t="s">
        <v>25</v>
      </c>
      <c r="I31" s="23" t="s">
        <v>25</v>
      </c>
      <c r="J31" s="23" t="s">
        <v>25</v>
      </c>
      <c r="K31" s="23" t="s">
        <v>25</v>
      </c>
      <c r="L31" s="23" t="s">
        <v>25</v>
      </c>
    </row>
    <row r="32" spans="2:12" ht="93" customHeight="1" x14ac:dyDescent="0.2">
      <c r="B32" s="75" t="s">
        <v>68</v>
      </c>
      <c r="C32" s="75"/>
      <c r="D32" s="75"/>
      <c r="E32" s="75"/>
      <c r="F32" s="75"/>
      <c r="G32" s="75"/>
      <c r="H32" s="75"/>
      <c r="I32" s="75"/>
      <c r="J32" s="75"/>
      <c r="K32" s="75"/>
      <c r="L32" s="75"/>
    </row>
  </sheetData>
  <mergeCells count="2">
    <mergeCell ref="B2:L2"/>
    <mergeCell ref="B32:L32"/>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B009-A0E5-024F-A499-63E5393F1082}">
  <dimension ref="B1:K27"/>
  <sheetViews>
    <sheetView showGridLines="0" workbookViewId="0">
      <selection activeCell="B2" sqref="B2:H2"/>
    </sheetView>
  </sheetViews>
  <sheetFormatPr baseColWidth="10" defaultColWidth="11" defaultRowHeight="16" x14ac:dyDescent="0.2"/>
  <cols>
    <col min="2" max="2" width="33" customWidth="1"/>
  </cols>
  <sheetData>
    <row r="1" spans="2:11" x14ac:dyDescent="0.2">
      <c r="D1" s="76"/>
      <c r="E1" s="76"/>
      <c r="F1" s="76"/>
      <c r="G1" s="76"/>
      <c r="H1" s="76"/>
      <c r="I1" s="76"/>
      <c r="J1" s="76"/>
      <c r="K1" s="76"/>
    </row>
    <row r="2" spans="2:11" x14ac:dyDescent="0.2">
      <c r="B2" s="76" t="s">
        <v>66</v>
      </c>
      <c r="C2" s="76"/>
      <c r="D2" s="76"/>
      <c r="E2" s="76"/>
      <c r="F2" s="76"/>
      <c r="G2" s="76"/>
      <c r="H2" s="76"/>
    </row>
    <row r="3" spans="2:11" ht="64" x14ac:dyDescent="0.2">
      <c r="B3" s="77" t="s">
        <v>40</v>
      </c>
      <c r="C3" s="57" t="s">
        <v>41</v>
      </c>
      <c r="D3" s="57" t="s">
        <v>58</v>
      </c>
      <c r="E3" s="57" t="s">
        <v>42</v>
      </c>
      <c r="F3" s="57" t="s">
        <v>43</v>
      </c>
      <c r="G3" s="57" t="s">
        <v>44</v>
      </c>
      <c r="H3" s="57" t="s">
        <v>45</v>
      </c>
    </row>
    <row r="4" spans="2:11" ht="17" thickBot="1" x14ac:dyDescent="0.25">
      <c r="B4" s="78"/>
      <c r="C4" s="25" t="s">
        <v>1</v>
      </c>
      <c r="D4" s="25" t="s">
        <v>2</v>
      </c>
      <c r="E4" s="25" t="s">
        <v>3</v>
      </c>
      <c r="F4" s="25" t="s">
        <v>4</v>
      </c>
      <c r="G4" s="25" t="s">
        <v>5</v>
      </c>
      <c r="H4" s="25" t="s">
        <v>6</v>
      </c>
    </row>
    <row r="5" spans="2:11" ht="17" thickTop="1" x14ac:dyDescent="0.2">
      <c r="B5" s="79" t="s">
        <v>13</v>
      </c>
      <c r="C5" s="79"/>
      <c r="D5" s="79"/>
      <c r="E5" s="79"/>
      <c r="F5" s="79"/>
      <c r="G5" s="79"/>
      <c r="H5" s="79"/>
    </row>
    <row r="6" spans="2:11" x14ac:dyDescent="0.2">
      <c r="B6" s="68" t="s">
        <v>59</v>
      </c>
      <c r="C6" s="69"/>
      <c r="D6" s="69"/>
      <c r="E6" s="69"/>
      <c r="F6" s="69"/>
      <c r="G6" s="69"/>
      <c r="H6" s="69"/>
    </row>
    <row r="7" spans="2:11" x14ac:dyDescent="0.2">
      <c r="B7" s="59" t="s">
        <v>14</v>
      </c>
      <c r="C7" s="26" t="str">
        <f>"0.018"</f>
        <v>0.018</v>
      </c>
      <c r="D7" s="26" t="str">
        <f>"0.039**"</f>
        <v>0.039**</v>
      </c>
      <c r="E7" s="26" t="str">
        <f>"0.022"</f>
        <v>0.022</v>
      </c>
      <c r="F7" s="26" t="str">
        <f>"0.026*"</f>
        <v>0.026*</v>
      </c>
      <c r="G7" s="26" t="str">
        <f>"0.033*"</f>
        <v>0.033*</v>
      </c>
      <c r="H7" s="26" t="str">
        <f>"0.004"</f>
        <v>0.004</v>
      </c>
    </row>
    <row r="8" spans="2:11" x14ac:dyDescent="0.2">
      <c r="B8" s="5"/>
      <c r="C8" s="26" t="str">
        <f>"[0.015]"</f>
        <v>[0.015]</v>
      </c>
      <c r="D8" s="26" t="str">
        <f>"[0.016]"</f>
        <v>[0.016]</v>
      </c>
      <c r="E8" s="26" t="str">
        <f>"[0.017]"</f>
        <v>[0.017]</v>
      </c>
      <c r="F8" s="26" t="str">
        <f>"[0.015]"</f>
        <v>[0.015]</v>
      </c>
      <c r="G8" s="26" t="str">
        <f>"[0.017]"</f>
        <v>[0.017]</v>
      </c>
      <c r="H8" s="26" t="str">
        <f>"[0.008]"</f>
        <v>[0.008]</v>
      </c>
    </row>
    <row r="9" spans="2:11" x14ac:dyDescent="0.2">
      <c r="B9" s="60" t="s">
        <v>60</v>
      </c>
      <c r="C9" s="61"/>
      <c r="D9" s="61"/>
      <c r="E9" s="61"/>
      <c r="F9" s="61"/>
      <c r="G9" s="61"/>
      <c r="H9" s="61"/>
    </row>
    <row r="10" spans="2:11" x14ac:dyDescent="0.2">
      <c r="B10" s="59" t="s">
        <v>15</v>
      </c>
      <c r="C10" s="26" t="str">
        <f>"0.273**"</f>
        <v>0.273**</v>
      </c>
      <c r="D10" s="26" t="str">
        <f>"0.214***"</f>
        <v>0.214***</v>
      </c>
      <c r="E10" s="26" t="str">
        <f>"0.188*"</f>
        <v>0.188*</v>
      </c>
      <c r="F10" s="26" t="str">
        <f>"0.276**"</f>
        <v>0.276**</v>
      </c>
      <c r="G10" s="26" t="str">
        <f>"0.246**"</f>
        <v>0.246**</v>
      </c>
      <c r="H10" s="26" t="str">
        <f>"0.119"</f>
        <v>0.119</v>
      </c>
    </row>
    <row r="11" spans="2:11" x14ac:dyDescent="0.2">
      <c r="B11" s="7"/>
      <c r="C11" s="26" t="str">
        <f>"[0.119]"</f>
        <v>[0.119]</v>
      </c>
      <c r="D11" s="26" t="str">
        <f>"[0.078]"</f>
        <v>[0.078]</v>
      </c>
      <c r="E11" s="26" t="str">
        <f>"[0.103]"</f>
        <v>[0.103]</v>
      </c>
      <c r="F11" s="26" t="str">
        <f>"[0.108]"</f>
        <v>[0.108]</v>
      </c>
      <c r="G11" s="26" t="str">
        <f>"[0.096]"</f>
        <v>[0.096]</v>
      </c>
      <c r="H11" s="26" t="str">
        <f>"[0.079]"</f>
        <v>[0.079]</v>
      </c>
    </row>
    <row r="12" spans="2:11" x14ac:dyDescent="0.2">
      <c r="B12" s="80" t="s">
        <v>16</v>
      </c>
      <c r="C12" s="80"/>
      <c r="D12" s="80"/>
      <c r="E12" s="80"/>
      <c r="F12" s="80"/>
      <c r="G12" s="80"/>
      <c r="H12" s="80"/>
    </row>
    <row r="13" spans="2:11" x14ac:dyDescent="0.2">
      <c r="B13" s="68" t="s">
        <v>61</v>
      </c>
      <c r="C13" s="70"/>
      <c r="D13" s="70"/>
      <c r="E13" s="70"/>
      <c r="F13" s="70"/>
      <c r="G13" s="70"/>
      <c r="H13" s="70"/>
    </row>
    <row r="14" spans="2:11" ht="29" x14ac:dyDescent="0.2">
      <c r="B14" s="62" t="s">
        <v>18</v>
      </c>
      <c r="C14" s="26" t="str">
        <f>"0.002"</f>
        <v>0.002</v>
      </c>
      <c r="D14" s="26" t="str">
        <f>"0.003"</f>
        <v>0.003</v>
      </c>
      <c r="E14" s="26" t="str">
        <f>"0.001"</f>
        <v>0.001</v>
      </c>
      <c r="F14" s="26" t="str">
        <f>"0.003"</f>
        <v>0.003</v>
      </c>
      <c r="G14" s="26" t="str">
        <f>"0.004"</f>
        <v>0.004</v>
      </c>
      <c r="H14" s="26" t="str">
        <f>"-0.001"</f>
        <v>-0.001</v>
      </c>
    </row>
    <row r="15" spans="2:11" x14ac:dyDescent="0.2">
      <c r="B15" s="7"/>
      <c r="C15" s="26" t="str">
        <f>"[0.002]"</f>
        <v>[0.002]</v>
      </c>
      <c r="D15" s="26" t="str">
        <f>"[0.003]"</f>
        <v>[0.003]</v>
      </c>
      <c r="E15" s="26" t="str">
        <f>"[0.002]"</f>
        <v>[0.002]</v>
      </c>
      <c r="F15" s="26" t="str">
        <f>"[0.003]"</f>
        <v>[0.003]</v>
      </c>
      <c r="G15" s="26" t="str">
        <f>"[0.003]"</f>
        <v>[0.003]</v>
      </c>
      <c r="H15" s="26" t="str">
        <f>"[0.002]"</f>
        <v>[0.002]</v>
      </c>
    </row>
    <row r="16" spans="2:11" x14ac:dyDescent="0.2">
      <c r="B16" s="60" t="s">
        <v>62</v>
      </c>
      <c r="C16" s="61"/>
      <c r="D16" s="61"/>
      <c r="E16" s="61"/>
      <c r="F16" s="61"/>
      <c r="G16" s="61"/>
      <c r="H16" s="61"/>
    </row>
    <row r="17" spans="2:8" ht="29" x14ac:dyDescent="0.2">
      <c r="B17" s="62" t="s">
        <v>19</v>
      </c>
      <c r="C17" s="26" t="str">
        <f>"0.009***"</f>
        <v>0.009***</v>
      </c>
      <c r="D17" s="26" t="str">
        <f>"0.008***"</f>
        <v>0.008***</v>
      </c>
      <c r="E17" s="26" t="str">
        <f>"0.008***"</f>
        <v>0.008***</v>
      </c>
      <c r="F17" s="26" t="str">
        <f>"0.007***"</f>
        <v>0.007***</v>
      </c>
      <c r="G17" s="26" t="str">
        <f>"0.011***"</f>
        <v>0.011***</v>
      </c>
      <c r="H17" s="26" t="str">
        <f>"0.004*"</f>
        <v>0.004*</v>
      </c>
    </row>
    <row r="18" spans="2:8" x14ac:dyDescent="0.2">
      <c r="B18" s="7"/>
      <c r="C18" s="26" t="str">
        <f>"[0.003]"</f>
        <v>[0.003]</v>
      </c>
      <c r="D18" s="26" t="str">
        <f>"[0.002]"</f>
        <v>[0.002]</v>
      </c>
      <c r="E18" s="26" t="str">
        <f>"[0.002]"</f>
        <v>[0.002]</v>
      </c>
      <c r="F18" s="26" t="str">
        <f>"[0.003]"</f>
        <v>[0.003]</v>
      </c>
      <c r="G18" s="26" t="str">
        <f>"[0.003]"</f>
        <v>[0.003]</v>
      </c>
      <c r="H18" s="26" t="str">
        <f>"[0.002]"</f>
        <v>[0.002]</v>
      </c>
    </row>
    <row r="19" spans="2:8" x14ac:dyDescent="0.2">
      <c r="B19" s="60" t="s">
        <v>63</v>
      </c>
      <c r="C19" s="61"/>
      <c r="D19" s="61"/>
      <c r="E19" s="61"/>
      <c r="F19" s="61"/>
      <c r="G19" s="61"/>
      <c r="H19" s="61"/>
    </row>
    <row r="20" spans="2:8" x14ac:dyDescent="0.2">
      <c r="B20" s="62" t="s">
        <v>17</v>
      </c>
      <c r="C20" s="26" t="str">
        <f>"0.007***"</f>
        <v>0.007***</v>
      </c>
      <c r="D20" s="26" t="str">
        <f>"0.007***"</f>
        <v>0.007***</v>
      </c>
      <c r="E20" s="26" t="str">
        <f>"0.007***"</f>
        <v>0.007***</v>
      </c>
      <c r="F20" s="26" t="str">
        <f>"0.007***"</f>
        <v>0.007***</v>
      </c>
      <c r="G20" s="26" t="str">
        <f>"0.009***"</f>
        <v>0.009***</v>
      </c>
      <c r="H20" s="26" t="str">
        <f>"0.003"</f>
        <v>0.003</v>
      </c>
    </row>
    <row r="21" spans="2:8" x14ac:dyDescent="0.2">
      <c r="B21" s="7"/>
      <c r="C21" s="26" t="str">
        <f>"[0.002]"</f>
        <v>[0.002]</v>
      </c>
      <c r="D21" s="26" t="str">
        <f>"[0.002]"</f>
        <v>[0.002]</v>
      </c>
      <c r="E21" s="26" t="str">
        <f>"[0.002]"</f>
        <v>[0.002]</v>
      </c>
      <c r="F21" s="26" t="str">
        <f>"[0.002]"</f>
        <v>[0.002]</v>
      </c>
      <c r="G21" s="26" t="str">
        <f>"[0.003]"</f>
        <v>[0.003]</v>
      </c>
      <c r="H21" s="26" t="str">
        <f>"[0.002]"</f>
        <v>[0.002]</v>
      </c>
    </row>
    <row r="22" spans="2:8" x14ac:dyDescent="0.2">
      <c r="B22" s="63" t="s">
        <v>22</v>
      </c>
      <c r="C22" s="64" t="str">
        <f>"18730"</f>
        <v>18730</v>
      </c>
      <c r="D22" s="64" t="str">
        <f>"17100"</f>
        <v>17100</v>
      </c>
      <c r="E22" s="64" t="str">
        <f>"18594"</f>
        <v>18594</v>
      </c>
      <c r="F22" s="64" t="str">
        <f>"17236"</f>
        <v>17236</v>
      </c>
      <c r="G22" s="64" t="str">
        <f>"25700"</f>
        <v>25700</v>
      </c>
      <c r="H22" s="64" t="str">
        <f>"10100"</f>
        <v>10100</v>
      </c>
    </row>
    <row r="23" spans="2:8" x14ac:dyDescent="0.2">
      <c r="B23" s="18" t="s">
        <v>23</v>
      </c>
      <c r="C23" s="65" t="str">
        <f>"0.059"</f>
        <v>0.059</v>
      </c>
      <c r="D23" s="65" t="str">
        <f>"0.053"</f>
        <v>0.053</v>
      </c>
      <c r="E23" s="65" t="str">
        <f>"0.072"</f>
        <v>0.072</v>
      </c>
      <c r="F23" s="65" t="str">
        <f>"0.039"</f>
        <v>0.039</v>
      </c>
      <c r="G23" s="65" t="str">
        <f>"0.060"</f>
        <v>0.060</v>
      </c>
      <c r="H23" s="65" t="str">
        <f>"0.047"</f>
        <v>0.047</v>
      </c>
    </row>
    <row r="24" spans="2:8" x14ac:dyDescent="0.2">
      <c r="B24" s="18" t="s">
        <v>46</v>
      </c>
      <c r="C24" s="65" t="s">
        <v>25</v>
      </c>
      <c r="D24" s="65" t="s">
        <v>25</v>
      </c>
      <c r="E24" s="65" t="s">
        <v>25</v>
      </c>
      <c r="F24" s="65" t="s">
        <v>25</v>
      </c>
      <c r="G24" s="65" t="s">
        <v>25</v>
      </c>
      <c r="H24" s="65" t="s">
        <v>25</v>
      </c>
    </row>
    <row r="25" spans="2:8" x14ac:dyDescent="0.2">
      <c r="B25" s="18" t="s">
        <v>26</v>
      </c>
      <c r="C25" s="65" t="s">
        <v>25</v>
      </c>
      <c r="D25" s="65" t="s">
        <v>25</v>
      </c>
      <c r="E25" s="65" t="s">
        <v>25</v>
      </c>
      <c r="F25" s="65" t="s">
        <v>25</v>
      </c>
      <c r="G25" s="65" t="s">
        <v>25</v>
      </c>
      <c r="H25" s="65" t="s">
        <v>25</v>
      </c>
    </row>
    <row r="26" spans="2:8" x14ac:dyDescent="0.2">
      <c r="B26" s="18" t="s">
        <v>27</v>
      </c>
      <c r="C26" s="66" t="s">
        <v>25</v>
      </c>
      <c r="D26" s="66" t="s">
        <v>25</v>
      </c>
      <c r="E26" s="66" t="s">
        <v>25</v>
      </c>
      <c r="F26" s="66" t="s">
        <v>25</v>
      </c>
      <c r="G26" s="66" t="s">
        <v>25</v>
      </c>
      <c r="H26" s="66" t="s">
        <v>25</v>
      </c>
    </row>
    <row r="27" spans="2:8" ht="106" customHeight="1" x14ac:dyDescent="0.2">
      <c r="B27" s="73" t="s">
        <v>69</v>
      </c>
      <c r="C27" s="73"/>
      <c r="D27" s="73"/>
      <c r="E27" s="73"/>
      <c r="F27" s="73"/>
      <c r="G27" s="73"/>
      <c r="H27" s="73"/>
    </row>
  </sheetData>
  <mergeCells count="6">
    <mergeCell ref="D1:K1"/>
    <mergeCell ref="B2:H2"/>
    <mergeCell ref="B3:B4"/>
    <mergeCell ref="B27:H27"/>
    <mergeCell ref="B5:H5"/>
    <mergeCell ref="B12:H1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160D-64DB-A34D-8EDB-995A6620167E}">
  <dimension ref="B2:V32"/>
  <sheetViews>
    <sheetView showGridLines="0" topLeftCell="B1" workbookViewId="0">
      <selection activeCell="B2" sqref="B2:V2"/>
    </sheetView>
  </sheetViews>
  <sheetFormatPr baseColWidth="10" defaultColWidth="11" defaultRowHeight="16" x14ac:dyDescent="0.2"/>
  <cols>
    <col min="2" max="2" width="57.1640625" customWidth="1"/>
  </cols>
  <sheetData>
    <row r="2" spans="2:22" x14ac:dyDescent="0.2">
      <c r="B2" s="74" t="s">
        <v>118</v>
      </c>
      <c r="C2" s="74"/>
      <c r="D2" s="74"/>
      <c r="E2" s="74"/>
      <c r="F2" s="74"/>
      <c r="G2" s="74"/>
      <c r="H2" s="74"/>
      <c r="I2" s="74"/>
      <c r="J2" s="74"/>
      <c r="K2" s="74"/>
      <c r="L2" s="74"/>
      <c r="M2" s="74"/>
      <c r="N2" s="74"/>
      <c r="O2" s="74"/>
      <c r="P2" s="74"/>
      <c r="Q2" s="74"/>
      <c r="R2" s="74"/>
      <c r="S2" s="74"/>
      <c r="T2" s="74"/>
      <c r="U2" s="74"/>
      <c r="V2" s="74"/>
    </row>
    <row r="3" spans="2:22" x14ac:dyDescent="0.2">
      <c r="B3" s="39"/>
      <c r="C3" s="81" t="s">
        <v>55</v>
      </c>
      <c r="D3" s="81"/>
      <c r="E3" s="81"/>
      <c r="F3" s="81"/>
      <c r="G3" s="81"/>
      <c r="H3" s="81"/>
      <c r="I3" s="81"/>
      <c r="J3" s="81"/>
      <c r="K3" s="81"/>
      <c r="L3" s="82"/>
      <c r="M3" s="83" t="s">
        <v>53</v>
      </c>
      <c r="N3" s="81"/>
      <c r="O3" s="81"/>
      <c r="P3" s="81"/>
      <c r="Q3" s="81"/>
      <c r="R3" s="81"/>
      <c r="S3" s="81"/>
      <c r="T3" s="81"/>
      <c r="U3" s="81"/>
      <c r="V3" s="81"/>
    </row>
    <row r="4" spans="2:22" ht="33" thickBot="1" x14ac:dyDescent="0.25">
      <c r="B4" s="29" t="s">
        <v>0</v>
      </c>
      <c r="C4" s="25" t="s">
        <v>1</v>
      </c>
      <c r="D4" s="25" t="s">
        <v>2</v>
      </c>
      <c r="E4" s="25" t="s">
        <v>3</v>
      </c>
      <c r="F4" s="25" t="s">
        <v>4</v>
      </c>
      <c r="G4" s="25" t="s">
        <v>5</v>
      </c>
      <c r="H4" s="25" t="s">
        <v>6</v>
      </c>
      <c r="I4" s="25" t="s">
        <v>7</v>
      </c>
      <c r="J4" s="25" t="s">
        <v>8</v>
      </c>
      <c r="K4" s="25" t="s">
        <v>9</v>
      </c>
      <c r="L4" s="37" t="s">
        <v>10</v>
      </c>
      <c r="M4" s="25" t="s">
        <v>11</v>
      </c>
      <c r="N4" s="25" t="s">
        <v>12</v>
      </c>
      <c r="O4" s="25" t="s">
        <v>28</v>
      </c>
      <c r="P4" s="25" t="s">
        <v>29</v>
      </c>
      <c r="Q4" s="25" t="s">
        <v>30</v>
      </c>
      <c r="R4" s="25" t="s">
        <v>31</v>
      </c>
      <c r="S4" s="25" t="s">
        <v>32</v>
      </c>
      <c r="T4" s="25" t="s">
        <v>33</v>
      </c>
      <c r="U4" s="25" t="s">
        <v>34</v>
      </c>
      <c r="V4" s="25" t="s">
        <v>35</v>
      </c>
    </row>
    <row r="5" spans="2:22" ht="17" thickTop="1" x14ac:dyDescent="0.2">
      <c r="B5" s="3" t="s">
        <v>13</v>
      </c>
      <c r="C5" s="4"/>
      <c r="D5" s="4"/>
      <c r="E5" s="4"/>
      <c r="F5" s="4"/>
      <c r="G5" s="4"/>
      <c r="H5" s="4"/>
      <c r="I5" s="4"/>
      <c r="J5" s="4"/>
      <c r="K5" s="4"/>
      <c r="L5" s="50"/>
      <c r="M5" s="4"/>
      <c r="N5" s="4"/>
      <c r="O5" s="4"/>
      <c r="P5" s="4"/>
      <c r="Q5" s="4"/>
      <c r="R5" s="4"/>
      <c r="S5" s="4"/>
      <c r="T5" s="4"/>
      <c r="U5" s="4"/>
      <c r="V5" s="48"/>
    </row>
    <row r="6" spans="2:22" x14ac:dyDescent="0.2">
      <c r="B6" s="5" t="s">
        <v>14</v>
      </c>
      <c r="C6" s="40" t="str">
        <f>"0.033**"</f>
        <v>0.033**</v>
      </c>
      <c r="D6" s="40" t="str">
        <f>""</f>
        <v/>
      </c>
      <c r="E6" s="40" t="str">
        <f>""</f>
        <v/>
      </c>
      <c r="F6" s="41" t="str">
        <f>""</f>
        <v/>
      </c>
      <c r="G6" s="41" t="str">
        <f>""</f>
        <v/>
      </c>
      <c r="H6" s="41" t="str">
        <f>""</f>
        <v/>
      </c>
      <c r="I6" s="41" t="str">
        <f>""</f>
        <v/>
      </c>
      <c r="J6" s="41" t="str">
        <f>""</f>
        <v/>
      </c>
      <c r="K6" s="41" t="str">
        <f>""</f>
        <v/>
      </c>
      <c r="L6" s="51" t="str">
        <f>""</f>
        <v/>
      </c>
      <c r="M6" s="40" t="str">
        <f>"0.035**"</f>
        <v>0.035**</v>
      </c>
      <c r="N6" s="40" t="str">
        <f>""</f>
        <v/>
      </c>
      <c r="O6" s="40" t="str">
        <f>""</f>
        <v/>
      </c>
      <c r="P6" s="41" t="str">
        <f>""</f>
        <v/>
      </c>
      <c r="Q6" s="41" t="str">
        <f>""</f>
        <v/>
      </c>
      <c r="R6" s="41" t="str">
        <f>""</f>
        <v/>
      </c>
      <c r="S6" s="41" t="str">
        <f>""</f>
        <v/>
      </c>
      <c r="T6" s="41" t="str">
        <f>""</f>
        <v/>
      </c>
      <c r="U6" s="41" t="str">
        <f>""</f>
        <v/>
      </c>
      <c r="V6" s="41" t="str">
        <f>""</f>
        <v/>
      </c>
    </row>
    <row r="7" spans="2:22" x14ac:dyDescent="0.2">
      <c r="B7" s="5"/>
      <c r="C7" s="40" t="str">
        <f>"[0.014]"</f>
        <v>[0.014]</v>
      </c>
      <c r="D7" s="40" t="str">
        <f>""</f>
        <v/>
      </c>
      <c r="E7" s="40" t="str">
        <f>""</f>
        <v/>
      </c>
      <c r="F7" s="41" t="str">
        <f>""</f>
        <v/>
      </c>
      <c r="G7" s="41" t="str">
        <f>""</f>
        <v/>
      </c>
      <c r="H7" s="41" t="str">
        <f>""</f>
        <v/>
      </c>
      <c r="I7" s="41" t="str">
        <f>""</f>
        <v/>
      </c>
      <c r="J7" s="41" t="str">
        <f>""</f>
        <v/>
      </c>
      <c r="K7" s="41" t="str">
        <f>""</f>
        <v/>
      </c>
      <c r="L7" s="51" t="str">
        <f>""</f>
        <v/>
      </c>
      <c r="M7" s="40" t="str">
        <f>"[0.014]"</f>
        <v>[0.014]</v>
      </c>
      <c r="N7" s="40" t="str">
        <f>""</f>
        <v/>
      </c>
      <c r="O7" s="40" t="str">
        <f>""</f>
        <v/>
      </c>
      <c r="P7" s="41" t="str">
        <f>""</f>
        <v/>
      </c>
      <c r="Q7" s="41" t="str">
        <f>""</f>
        <v/>
      </c>
      <c r="R7" s="41" t="str">
        <f>""</f>
        <v/>
      </c>
      <c r="S7" s="41" t="str">
        <f>""</f>
        <v/>
      </c>
      <c r="T7" s="41" t="str">
        <f>""</f>
        <v/>
      </c>
      <c r="U7" s="41" t="str">
        <f>""</f>
        <v/>
      </c>
      <c r="V7" s="41" t="str">
        <f>""</f>
        <v/>
      </c>
    </row>
    <row r="8" spans="2:22" x14ac:dyDescent="0.2">
      <c r="B8" s="8" t="s">
        <v>15</v>
      </c>
      <c r="C8" s="40" t="str">
        <f>""</f>
        <v/>
      </c>
      <c r="D8" s="12" t="str">
        <f>"0.256***"</f>
        <v>0.256***</v>
      </c>
      <c r="E8" s="40" t="str">
        <f>""</f>
        <v/>
      </c>
      <c r="F8" s="41" t="str">
        <f>""</f>
        <v/>
      </c>
      <c r="G8" s="41" t="str">
        <f>""</f>
        <v/>
      </c>
      <c r="H8" s="41" t="str">
        <f>""</f>
        <v/>
      </c>
      <c r="I8" s="41" t="str">
        <f>""</f>
        <v/>
      </c>
      <c r="J8" s="41" t="str">
        <f>""</f>
        <v/>
      </c>
      <c r="K8" s="41" t="str">
        <f>""</f>
        <v/>
      </c>
      <c r="L8" s="51" t="str">
        <f>""</f>
        <v/>
      </c>
      <c r="M8" s="40" t="str">
        <f>""</f>
        <v/>
      </c>
      <c r="N8" s="12" t="str">
        <f>"0.296***"</f>
        <v>0.296***</v>
      </c>
      <c r="O8" s="40" t="str">
        <f>""</f>
        <v/>
      </c>
      <c r="P8" s="41" t="str">
        <f>""</f>
        <v/>
      </c>
      <c r="Q8" s="41" t="str">
        <f>""</f>
        <v/>
      </c>
      <c r="R8" s="41" t="str">
        <f>""</f>
        <v/>
      </c>
      <c r="S8" s="41" t="str">
        <f>""</f>
        <v/>
      </c>
      <c r="T8" s="41" t="str">
        <f>""</f>
        <v/>
      </c>
      <c r="U8" s="41" t="str">
        <f>""</f>
        <v/>
      </c>
      <c r="V8" s="41" t="str">
        <f>""</f>
        <v/>
      </c>
    </row>
    <row r="9" spans="2:22" x14ac:dyDescent="0.2">
      <c r="B9" s="49" t="str">
        <f>""</f>
        <v/>
      </c>
      <c r="C9" s="42" t="str">
        <f>""</f>
        <v/>
      </c>
      <c r="D9" s="12" t="str">
        <f>"[0.092]"</f>
        <v>[0.092]</v>
      </c>
      <c r="E9" s="42" t="str">
        <f>""</f>
        <v/>
      </c>
      <c r="F9" s="43" t="str">
        <f>""</f>
        <v/>
      </c>
      <c r="G9" s="43" t="str">
        <f>""</f>
        <v/>
      </c>
      <c r="H9" s="43" t="str">
        <f>""</f>
        <v/>
      </c>
      <c r="I9" s="43" t="str">
        <f>""</f>
        <v/>
      </c>
      <c r="J9" s="43" t="str">
        <f>""</f>
        <v/>
      </c>
      <c r="K9" s="43" t="str">
        <f>""</f>
        <v/>
      </c>
      <c r="L9" s="52" t="str">
        <f>""</f>
        <v/>
      </c>
      <c r="M9" s="42" t="str">
        <f>""</f>
        <v/>
      </c>
      <c r="N9" s="28" t="str">
        <f>"[0.107]"</f>
        <v>[0.107]</v>
      </c>
      <c r="O9" s="42" t="str">
        <f>""</f>
        <v/>
      </c>
      <c r="P9" s="43" t="str">
        <f>""</f>
        <v/>
      </c>
      <c r="Q9" s="43" t="str">
        <f>""</f>
        <v/>
      </c>
      <c r="R9" s="43" t="str">
        <f>""</f>
        <v/>
      </c>
      <c r="S9" s="43" t="str">
        <f>""</f>
        <v/>
      </c>
      <c r="T9" s="43" t="str">
        <f>""</f>
        <v/>
      </c>
      <c r="U9" s="43" t="str">
        <f>""</f>
        <v/>
      </c>
      <c r="V9" s="43" t="str">
        <f>""</f>
        <v/>
      </c>
    </row>
    <row r="10" spans="2:22" x14ac:dyDescent="0.2">
      <c r="B10" s="9" t="s">
        <v>16</v>
      </c>
      <c r="C10" s="45"/>
      <c r="D10" s="45"/>
      <c r="E10" s="45"/>
      <c r="F10" s="46"/>
      <c r="G10" s="46"/>
      <c r="H10" s="46"/>
      <c r="I10" s="46"/>
      <c r="J10" s="46"/>
      <c r="K10" s="46"/>
      <c r="L10" s="53"/>
      <c r="M10" s="45"/>
      <c r="N10" s="45"/>
      <c r="O10" s="45"/>
      <c r="P10" s="46"/>
      <c r="Q10" s="46"/>
      <c r="R10" s="46"/>
      <c r="S10" s="46"/>
      <c r="T10" s="46"/>
      <c r="U10" s="46"/>
      <c r="V10" s="46"/>
    </row>
    <row r="11" spans="2:22" x14ac:dyDescent="0.2">
      <c r="B11" s="11" t="str">
        <f>"Loss of land (yes=1) for a household in a given year"</f>
        <v>Loss of land (yes=1) for a household in a given year</v>
      </c>
      <c r="C11" s="40" t="str">
        <f>""</f>
        <v/>
      </c>
      <c r="D11" s="40" t="str">
        <f>""</f>
        <v/>
      </c>
      <c r="E11" s="40" t="str">
        <f>"-0.013"</f>
        <v>-0.013</v>
      </c>
      <c r="F11" s="40" t="str">
        <f>""</f>
        <v/>
      </c>
      <c r="G11" s="40" t="str">
        <f>""</f>
        <v/>
      </c>
      <c r="H11" s="40" t="str">
        <f>""</f>
        <v/>
      </c>
      <c r="I11" s="40" t="str">
        <f>""</f>
        <v/>
      </c>
      <c r="J11" s="40" t="str">
        <f>""</f>
        <v/>
      </c>
      <c r="K11" s="40" t="str">
        <f>""</f>
        <v/>
      </c>
      <c r="L11" s="54" t="str">
        <f>""</f>
        <v/>
      </c>
      <c r="M11" s="40" t="str">
        <f>""</f>
        <v/>
      </c>
      <c r="N11" s="40" t="str">
        <f>""</f>
        <v/>
      </c>
      <c r="O11" s="40" t="str">
        <f>"0.007"</f>
        <v>0.007</v>
      </c>
      <c r="P11" s="40" t="str">
        <f>""</f>
        <v/>
      </c>
      <c r="Q11" s="40" t="str">
        <f>""</f>
        <v/>
      </c>
      <c r="R11" s="40" t="str">
        <f>""</f>
        <v/>
      </c>
      <c r="S11" s="40" t="str">
        <f>""</f>
        <v/>
      </c>
      <c r="T11" s="40" t="str">
        <f>""</f>
        <v/>
      </c>
      <c r="U11" s="40" t="str">
        <f>""</f>
        <v/>
      </c>
      <c r="V11" s="40" t="str">
        <f>""</f>
        <v/>
      </c>
    </row>
    <row r="12" spans="2:22" x14ac:dyDescent="0.2">
      <c r="B12" s="11" t="str">
        <f>""</f>
        <v/>
      </c>
      <c r="C12" s="40" t="str">
        <f>""</f>
        <v/>
      </c>
      <c r="D12" s="40" t="str">
        <f>""</f>
        <v/>
      </c>
      <c r="E12" s="40" t="str">
        <f>"[0.018]"</f>
        <v>[0.018]</v>
      </c>
      <c r="F12" s="40" t="str">
        <f>""</f>
        <v/>
      </c>
      <c r="G12" s="40" t="str">
        <f>""</f>
        <v/>
      </c>
      <c r="H12" s="40" t="str">
        <f>""</f>
        <v/>
      </c>
      <c r="I12" s="40" t="str">
        <f>""</f>
        <v/>
      </c>
      <c r="J12" s="40" t="str">
        <f>""</f>
        <v/>
      </c>
      <c r="K12" s="40" t="str">
        <f>""</f>
        <v/>
      </c>
      <c r="L12" s="54" t="str">
        <f>""</f>
        <v/>
      </c>
      <c r="M12" s="40" t="str">
        <f>""</f>
        <v/>
      </c>
      <c r="N12" s="40" t="str">
        <f>""</f>
        <v/>
      </c>
      <c r="O12" s="40" t="str">
        <f>"[0.022]"</f>
        <v>[0.022]</v>
      </c>
      <c r="P12" s="40" t="str">
        <f>""</f>
        <v/>
      </c>
      <c r="Q12" s="40" t="str">
        <f>""</f>
        <v/>
      </c>
      <c r="R12" s="40" t="str">
        <f>""</f>
        <v/>
      </c>
      <c r="S12" s="40" t="str">
        <f>""</f>
        <v/>
      </c>
      <c r="T12" s="40" t="str">
        <f>""</f>
        <v/>
      </c>
      <c r="U12" s="40" t="str">
        <f>""</f>
        <v/>
      </c>
      <c r="V12" s="40" t="str">
        <f>""</f>
        <v/>
      </c>
    </row>
    <row r="13" spans="2:22" x14ac:dyDescent="0.2">
      <c r="B13" s="11" t="str">
        <f>"Theft of crops (yes=1) for a household in a given year"</f>
        <v>Theft of crops (yes=1) for a household in a given year</v>
      </c>
      <c r="C13" s="40" t="str">
        <f>""</f>
        <v/>
      </c>
      <c r="D13" s="40" t="str">
        <f>""</f>
        <v/>
      </c>
      <c r="E13" s="40" t="str">
        <f>""</f>
        <v/>
      </c>
      <c r="F13" s="40" t="str">
        <f>"0.013"</f>
        <v>0.013</v>
      </c>
      <c r="G13" s="40" t="str">
        <f>""</f>
        <v/>
      </c>
      <c r="H13" s="40" t="str">
        <f>""</f>
        <v/>
      </c>
      <c r="I13" s="40" t="str">
        <f>""</f>
        <v/>
      </c>
      <c r="J13" s="40" t="str">
        <f>""</f>
        <v/>
      </c>
      <c r="K13" s="40" t="str">
        <f>""</f>
        <v/>
      </c>
      <c r="L13" s="54" t="str">
        <f>""</f>
        <v/>
      </c>
      <c r="M13" s="40" t="str">
        <f>""</f>
        <v/>
      </c>
      <c r="N13" s="40" t="str">
        <f>""</f>
        <v/>
      </c>
      <c r="O13" s="40" t="str">
        <f>""</f>
        <v/>
      </c>
      <c r="P13" s="40" t="str">
        <f>"0.012"</f>
        <v>0.012</v>
      </c>
      <c r="Q13" s="40" t="str">
        <f>""</f>
        <v/>
      </c>
      <c r="R13" s="40" t="str">
        <f>""</f>
        <v/>
      </c>
      <c r="S13" s="40" t="str">
        <f>""</f>
        <v/>
      </c>
      <c r="T13" s="40" t="str">
        <f>""</f>
        <v/>
      </c>
      <c r="U13" s="40" t="str">
        <f>""</f>
        <v/>
      </c>
      <c r="V13" s="40" t="str">
        <f>""</f>
        <v/>
      </c>
    </row>
    <row r="14" spans="2:22" x14ac:dyDescent="0.2">
      <c r="B14" s="11" t="str">
        <f>""</f>
        <v/>
      </c>
      <c r="C14" s="40" t="str">
        <f>""</f>
        <v/>
      </c>
      <c r="D14" s="40" t="str">
        <f>""</f>
        <v/>
      </c>
      <c r="E14" s="40" t="str">
        <f>""</f>
        <v/>
      </c>
      <c r="F14" s="40" t="str">
        <f>"[0.012]"</f>
        <v>[0.012]</v>
      </c>
      <c r="G14" s="40" t="str">
        <f>""</f>
        <v/>
      </c>
      <c r="H14" s="40" t="str">
        <f>""</f>
        <v/>
      </c>
      <c r="I14" s="40" t="str">
        <f>""</f>
        <v/>
      </c>
      <c r="J14" s="40" t="str">
        <f>""</f>
        <v/>
      </c>
      <c r="K14" s="40" t="str">
        <f>""</f>
        <v/>
      </c>
      <c r="L14" s="54" t="str">
        <f>""</f>
        <v/>
      </c>
      <c r="M14" s="40" t="str">
        <f>""</f>
        <v/>
      </c>
      <c r="N14" s="40" t="str">
        <f>""</f>
        <v/>
      </c>
      <c r="O14" s="40" t="str">
        <f>""</f>
        <v/>
      </c>
      <c r="P14" s="40" t="str">
        <f>"[0.010]"</f>
        <v>[0.010]</v>
      </c>
      <c r="Q14" s="40" t="str">
        <f>""</f>
        <v/>
      </c>
      <c r="R14" s="40" t="str">
        <f>""</f>
        <v/>
      </c>
      <c r="S14" s="40" t="str">
        <f>""</f>
        <v/>
      </c>
      <c r="T14" s="40" t="str">
        <f>""</f>
        <v/>
      </c>
      <c r="U14" s="40" t="str">
        <f>""</f>
        <v/>
      </c>
      <c r="V14" s="40" t="str">
        <f>""</f>
        <v/>
      </c>
    </row>
    <row r="15" spans="2:22" x14ac:dyDescent="0.2">
      <c r="B15" s="13" t="str">
        <f>"Theft of money (yes=1) for a household in a given year"</f>
        <v>Theft of money (yes=1) for a household in a given year</v>
      </c>
      <c r="C15" s="40" t="str">
        <f>""</f>
        <v/>
      </c>
      <c r="D15" s="40" t="str">
        <f>""</f>
        <v/>
      </c>
      <c r="E15" s="40" t="str">
        <f>""</f>
        <v/>
      </c>
      <c r="F15" s="40" t="str">
        <f>""</f>
        <v/>
      </c>
      <c r="G15" s="40" t="str">
        <f>"0.031*"</f>
        <v>0.031*</v>
      </c>
      <c r="H15" s="40" t="str">
        <f>""</f>
        <v/>
      </c>
      <c r="I15" s="40" t="str">
        <f>""</f>
        <v/>
      </c>
      <c r="J15" s="40" t="str">
        <f>""</f>
        <v/>
      </c>
      <c r="K15" s="40" t="str">
        <f>""</f>
        <v/>
      </c>
      <c r="L15" s="54" t="str">
        <f>""</f>
        <v/>
      </c>
      <c r="M15" s="40" t="str">
        <f>""</f>
        <v/>
      </c>
      <c r="N15" s="40" t="str">
        <f>""</f>
        <v/>
      </c>
      <c r="O15" s="40" t="str">
        <f>""</f>
        <v/>
      </c>
      <c r="P15" s="40" t="str">
        <f>""</f>
        <v/>
      </c>
      <c r="Q15" s="40" t="str">
        <f>"0.071***"</f>
        <v>0.071***</v>
      </c>
      <c r="R15" s="40" t="str">
        <f>""</f>
        <v/>
      </c>
      <c r="S15" s="40" t="str">
        <f>""</f>
        <v/>
      </c>
      <c r="T15" s="40" t="str">
        <f>""</f>
        <v/>
      </c>
      <c r="U15" s="40" t="str">
        <f>""</f>
        <v/>
      </c>
      <c r="V15" s="40" t="str">
        <f>""</f>
        <v/>
      </c>
    </row>
    <row r="16" spans="2:22" x14ac:dyDescent="0.2">
      <c r="B16" s="11" t="str">
        <f>""</f>
        <v/>
      </c>
      <c r="C16" s="40" t="str">
        <f>""</f>
        <v/>
      </c>
      <c r="D16" s="40" t="str">
        <f>""</f>
        <v/>
      </c>
      <c r="E16" s="40" t="str">
        <f>""</f>
        <v/>
      </c>
      <c r="F16" s="40" t="str">
        <f>""</f>
        <v/>
      </c>
      <c r="G16" s="40" t="str">
        <f>"[0.017]"</f>
        <v>[0.017]</v>
      </c>
      <c r="H16" s="40" t="str">
        <f>""</f>
        <v/>
      </c>
      <c r="I16" s="40" t="str">
        <f>""</f>
        <v/>
      </c>
      <c r="J16" s="40" t="str">
        <f>""</f>
        <v/>
      </c>
      <c r="K16" s="40" t="str">
        <f>""</f>
        <v/>
      </c>
      <c r="L16" s="54" t="str">
        <f>""</f>
        <v/>
      </c>
      <c r="M16" s="40" t="str">
        <f>""</f>
        <v/>
      </c>
      <c r="N16" s="40" t="str">
        <f>""</f>
        <v/>
      </c>
      <c r="O16" s="40" t="str">
        <f>""</f>
        <v/>
      </c>
      <c r="P16" s="40" t="str">
        <f>""</f>
        <v/>
      </c>
      <c r="Q16" s="40" t="str">
        <f>"[0.018]"</f>
        <v>[0.018]</v>
      </c>
      <c r="R16" s="40" t="str">
        <f>""</f>
        <v/>
      </c>
      <c r="S16" s="40" t="str">
        <f>""</f>
        <v/>
      </c>
      <c r="T16" s="40" t="str">
        <f>""</f>
        <v/>
      </c>
      <c r="U16" s="40" t="str">
        <f>""</f>
        <v/>
      </c>
      <c r="V16" s="40" t="str">
        <f>""</f>
        <v/>
      </c>
    </row>
    <row r="17" spans="2:22" x14ac:dyDescent="0.2">
      <c r="B17" s="11" t="str">
        <f>"Theft or destruction of goods (yes=1) for a household in a given year"</f>
        <v>Theft or destruction of goods (yes=1) for a household in a given year</v>
      </c>
      <c r="C17" s="40" t="str">
        <f>""</f>
        <v/>
      </c>
      <c r="D17" s="40" t="str">
        <f>""</f>
        <v/>
      </c>
      <c r="E17" s="40" t="str">
        <f>""</f>
        <v/>
      </c>
      <c r="F17" s="40" t="str">
        <f>""</f>
        <v/>
      </c>
      <c r="G17" s="40" t="str">
        <f>""</f>
        <v/>
      </c>
      <c r="H17" s="40" t="str">
        <f>"0.039**"</f>
        <v>0.039**</v>
      </c>
      <c r="I17" s="40" t="str">
        <f>""</f>
        <v/>
      </c>
      <c r="J17" s="40" t="str">
        <f>""</f>
        <v/>
      </c>
      <c r="K17" s="40" t="str">
        <f>""</f>
        <v/>
      </c>
      <c r="L17" s="54" t="str">
        <f>""</f>
        <v/>
      </c>
      <c r="M17" s="40" t="str">
        <f>""</f>
        <v/>
      </c>
      <c r="N17" s="40" t="str">
        <f>""</f>
        <v/>
      </c>
      <c r="O17" s="40" t="str">
        <f>""</f>
        <v/>
      </c>
      <c r="P17" s="40" t="str">
        <f>""</f>
        <v/>
      </c>
      <c r="Q17" s="40" t="str">
        <f>""</f>
        <v/>
      </c>
      <c r="R17" s="40" t="str">
        <f>"0.053***"</f>
        <v>0.053***</v>
      </c>
      <c r="S17" s="40" t="str">
        <f>""</f>
        <v/>
      </c>
      <c r="T17" s="40" t="str">
        <f>""</f>
        <v/>
      </c>
      <c r="U17" s="40" t="str">
        <f>""</f>
        <v/>
      </c>
      <c r="V17" s="40" t="str">
        <f>""</f>
        <v/>
      </c>
    </row>
    <row r="18" spans="2:22" x14ac:dyDescent="0.2">
      <c r="B18" s="11"/>
      <c r="C18" s="40" t="str">
        <f>""</f>
        <v/>
      </c>
      <c r="D18" s="40" t="str">
        <f>""</f>
        <v/>
      </c>
      <c r="E18" s="40" t="str">
        <f>""</f>
        <v/>
      </c>
      <c r="F18" s="40" t="str">
        <f>""</f>
        <v/>
      </c>
      <c r="G18" s="40" t="str">
        <f>""</f>
        <v/>
      </c>
      <c r="H18" s="40" t="str">
        <f>"[0.016]"</f>
        <v>[0.016]</v>
      </c>
      <c r="I18" s="40" t="str">
        <f>""</f>
        <v/>
      </c>
      <c r="J18" s="40" t="str">
        <f>""</f>
        <v/>
      </c>
      <c r="K18" s="40" t="str">
        <f>""</f>
        <v/>
      </c>
      <c r="L18" s="54" t="str">
        <f>""</f>
        <v/>
      </c>
      <c r="M18" s="40" t="str">
        <f>""</f>
        <v/>
      </c>
      <c r="N18" s="40" t="str">
        <f>""</f>
        <v/>
      </c>
      <c r="O18" s="40" t="str">
        <f>""</f>
        <v/>
      </c>
      <c r="P18" s="40" t="str">
        <f>""</f>
        <v/>
      </c>
      <c r="Q18" s="40" t="str">
        <f>""</f>
        <v/>
      </c>
      <c r="R18" s="40" t="str">
        <f>"[0.019]"</f>
        <v>[0.019]</v>
      </c>
      <c r="S18" s="40" t="str">
        <f>""</f>
        <v/>
      </c>
      <c r="T18" s="40" t="str">
        <f>""</f>
        <v/>
      </c>
      <c r="U18" s="40" t="str">
        <f>""</f>
        <v/>
      </c>
      <c r="V18" s="40" t="str">
        <f>""</f>
        <v/>
      </c>
    </row>
    <row r="19" spans="2:22" x14ac:dyDescent="0.2">
      <c r="B19" s="11" t="str">
        <f>"Destruction of house (yes=1) for a household in a given year"</f>
        <v>Destruction of house (yes=1) for a household in a given year</v>
      </c>
      <c r="C19" s="40" t="str">
        <f>""</f>
        <v/>
      </c>
      <c r="D19" s="40" t="str">
        <f>""</f>
        <v/>
      </c>
      <c r="E19" s="40" t="str">
        <f>""</f>
        <v/>
      </c>
      <c r="F19" s="40" t="str">
        <f>""</f>
        <v/>
      </c>
      <c r="G19" s="40" t="str">
        <f>""</f>
        <v/>
      </c>
      <c r="H19" s="40" t="str">
        <f>""</f>
        <v/>
      </c>
      <c r="I19" s="40" t="str">
        <f>"0.082***"</f>
        <v>0.082***</v>
      </c>
      <c r="J19" s="40" t="str">
        <f>""</f>
        <v/>
      </c>
      <c r="K19" s="40" t="str">
        <f>""</f>
        <v/>
      </c>
      <c r="L19" s="54" t="str">
        <f>""</f>
        <v/>
      </c>
      <c r="M19" s="40" t="str">
        <f>""</f>
        <v/>
      </c>
      <c r="N19" s="40" t="str">
        <f>""</f>
        <v/>
      </c>
      <c r="O19" s="40" t="str">
        <f>""</f>
        <v/>
      </c>
      <c r="P19" s="40" t="str">
        <f>""</f>
        <v/>
      </c>
      <c r="Q19" s="40" t="str">
        <f>""</f>
        <v/>
      </c>
      <c r="R19" s="40" t="str">
        <f>""</f>
        <v/>
      </c>
      <c r="S19" s="40" t="str">
        <f>"0.052*"</f>
        <v>0.052*</v>
      </c>
      <c r="T19" s="40" t="str">
        <f>""</f>
        <v/>
      </c>
      <c r="U19" s="40" t="str">
        <f>""</f>
        <v/>
      </c>
      <c r="V19" s="40" t="str">
        <f>""</f>
        <v/>
      </c>
    </row>
    <row r="20" spans="2:22" x14ac:dyDescent="0.2">
      <c r="B20" s="11"/>
      <c r="C20" s="40" t="str">
        <f>""</f>
        <v/>
      </c>
      <c r="D20" s="40" t="str">
        <f>""</f>
        <v/>
      </c>
      <c r="E20" s="40" t="str">
        <f>""</f>
        <v/>
      </c>
      <c r="F20" s="40" t="str">
        <f>""</f>
        <v/>
      </c>
      <c r="G20" s="40" t="str">
        <f>""</f>
        <v/>
      </c>
      <c r="H20" s="40" t="str">
        <f>""</f>
        <v/>
      </c>
      <c r="I20" s="40" t="str">
        <f>"[0.026]"</f>
        <v>[0.026]</v>
      </c>
      <c r="J20" s="40" t="str">
        <f>""</f>
        <v/>
      </c>
      <c r="K20" s="40" t="str">
        <f>""</f>
        <v/>
      </c>
      <c r="L20" s="54" t="str">
        <f>""</f>
        <v/>
      </c>
      <c r="M20" s="40" t="str">
        <f>""</f>
        <v/>
      </c>
      <c r="N20" s="40" t="str">
        <f>""</f>
        <v/>
      </c>
      <c r="O20" s="40" t="str">
        <f>""</f>
        <v/>
      </c>
      <c r="P20" s="40" t="str">
        <f>""</f>
        <v/>
      </c>
      <c r="Q20" s="40" t="str">
        <f>""</f>
        <v/>
      </c>
      <c r="R20" s="40" t="str">
        <f>""</f>
        <v/>
      </c>
      <c r="S20" s="40" t="str">
        <f>"[0.029]"</f>
        <v>[0.029]</v>
      </c>
      <c r="T20" s="40" t="str">
        <f>""</f>
        <v/>
      </c>
      <c r="U20" s="40" t="str">
        <f>""</f>
        <v/>
      </c>
      <c r="V20" s="40" t="str">
        <f>""</f>
        <v/>
      </c>
    </row>
    <row r="21" spans="2:22" x14ac:dyDescent="0.2">
      <c r="B21" s="15" t="s">
        <v>18</v>
      </c>
      <c r="C21" s="40" t="str">
        <f>""</f>
        <v/>
      </c>
      <c r="D21" s="40" t="str">
        <f>""</f>
        <v/>
      </c>
      <c r="E21" s="40" t="str">
        <f>""</f>
        <v/>
      </c>
      <c r="F21" s="40" t="str">
        <f>""</f>
        <v/>
      </c>
      <c r="G21" s="40" t="str">
        <f>""</f>
        <v/>
      </c>
      <c r="H21" s="40" t="str">
        <f>""</f>
        <v/>
      </c>
      <c r="I21" s="40" t="str">
        <f>""</f>
        <v/>
      </c>
      <c r="J21" s="40" t="str">
        <f>"0.001"</f>
        <v>0.001</v>
      </c>
      <c r="K21" s="40" t="str">
        <f>""</f>
        <v/>
      </c>
      <c r="L21" s="54" t="str">
        <f>""</f>
        <v/>
      </c>
      <c r="M21" s="40" t="str">
        <f>""</f>
        <v/>
      </c>
      <c r="N21" s="40" t="str">
        <f>""</f>
        <v/>
      </c>
      <c r="O21" s="40" t="str">
        <f>""</f>
        <v/>
      </c>
      <c r="P21" s="40" t="str">
        <f>""</f>
        <v/>
      </c>
      <c r="Q21" s="40" t="str">
        <f>""</f>
        <v/>
      </c>
      <c r="R21" s="40" t="str">
        <f>""</f>
        <v/>
      </c>
      <c r="S21" s="40" t="str">
        <f>""</f>
        <v/>
      </c>
      <c r="T21" s="40" t="str">
        <f>"0.003"</f>
        <v>0.003</v>
      </c>
      <c r="U21" s="40" t="str">
        <f>""</f>
        <v/>
      </c>
      <c r="V21" s="40" t="str">
        <f>""</f>
        <v/>
      </c>
    </row>
    <row r="22" spans="2:22" x14ac:dyDescent="0.2">
      <c r="B22" s="30"/>
      <c r="C22" s="40" t="str">
        <f>""</f>
        <v/>
      </c>
      <c r="D22" s="40" t="str">
        <f>""</f>
        <v/>
      </c>
      <c r="E22" s="40" t="str">
        <f>""</f>
        <v/>
      </c>
      <c r="F22" s="40" t="str">
        <f>""</f>
        <v/>
      </c>
      <c r="G22" s="40" t="str">
        <f>""</f>
        <v/>
      </c>
      <c r="H22" s="40" t="str">
        <f>""</f>
        <v/>
      </c>
      <c r="I22" s="40" t="str">
        <f>""</f>
        <v/>
      </c>
      <c r="J22" s="40" t="str">
        <f>"[0.003]"</f>
        <v>[0.003]</v>
      </c>
      <c r="K22" s="40" t="str">
        <f>""</f>
        <v/>
      </c>
      <c r="L22" s="54" t="str">
        <f>""</f>
        <v/>
      </c>
      <c r="M22" s="40" t="str">
        <f>""</f>
        <v/>
      </c>
      <c r="N22" s="40" t="str">
        <f>""</f>
        <v/>
      </c>
      <c r="O22" s="40" t="str">
        <f>""</f>
        <v/>
      </c>
      <c r="P22" s="40" t="str">
        <f>""</f>
        <v/>
      </c>
      <c r="Q22" s="40" t="str">
        <f>""</f>
        <v/>
      </c>
      <c r="R22" s="40" t="str">
        <f>""</f>
        <v/>
      </c>
      <c r="S22" s="40" t="str">
        <f>""</f>
        <v/>
      </c>
      <c r="T22" s="40" t="str">
        <f>"[0.003]"</f>
        <v>[0.003]</v>
      </c>
      <c r="U22" s="40" t="str">
        <f>""</f>
        <v/>
      </c>
      <c r="V22" s="40" t="str">
        <f>""</f>
        <v/>
      </c>
    </row>
    <row r="23" spans="2:22" x14ac:dyDescent="0.2">
      <c r="B23" s="15" t="s">
        <v>19</v>
      </c>
      <c r="C23" s="40" t="str">
        <f>""</f>
        <v/>
      </c>
      <c r="D23" s="40" t="str">
        <f>""</f>
        <v/>
      </c>
      <c r="E23" s="40" t="str">
        <f>""</f>
        <v/>
      </c>
      <c r="F23" s="40" t="str">
        <f>""</f>
        <v/>
      </c>
      <c r="G23" s="40" t="str">
        <f>""</f>
        <v/>
      </c>
      <c r="H23" s="40" t="str">
        <f>""</f>
        <v/>
      </c>
      <c r="I23" s="40" t="str">
        <f>""</f>
        <v/>
      </c>
      <c r="J23" s="40" t="str">
        <f>""</f>
        <v/>
      </c>
      <c r="K23" s="40" t="str">
        <f>"0.008***"</f>
        <v>0.008***</v>
      </c>
      <c r="L23" s="54" t="str">
        <f>""</f>
        <v/>
      </c>
      <c r="M23" s="40" t="str">
        <f>""</f>
        <v/>
      </c>
      <c r="N23" s="40" t="str">
        <f>""</f>
        <v/>
      </c>
      <c r="O23" s="40" t="str">
        <f>""</f>
        <v/>
      </c>
      <c r="P23" s="40" t="str">
        <f>""</f>
        <v/>
      </c>
      <c r="Q23" s="40" t="str">
        <f>""</f>
        <v/>
      </c>
      <c r="R23" s="40" t="str">
        <f>""</f>
        <v/>
      </c>
      <c r="S23" s="40" t="str">
        <f>""</f>
        <v/>
      </c>
      <c r="T23" s="40" t="str">
        <f>""</f>
        <v/>
      </c>
      <c r="U23" s="40" t="str">
        <f>"0.010***"</f>
        <v>0.010***</v>
      </c>
      <c r="V23" s="40" t="str">
        <f>""</f>
        <v/>
      </c>
    </row>
    <row r="24" spans="2:22" x14ac:dyDescent="0.2">
      <c r="B24" s="15"/>
      <c r="C24" s="40" t="str">
        <f>""</f>
        <v/>
      </c>
      <c r="D24" s="40" t="str">
        <f>""</f>
        <v/>
      </c>
      <c r="E24" s="40" t="str">
        <f>""</f>
        <v/>
      </c>
      <c r="F24" s="40" t="str">
        <f>""</f>
        <v/>
      </c>
      <c r="G24" s="40" t="str">
        <f>""</f>
        <v/>
      </c>
      <c r="H24" s="40" t="str">
        <f>""</f>
        <v/>
      </c>
      <c r="I24" s="40" t="str">
        <f>""</f>
        <v/>
      </c>
      <c r="J24" s="40" t="str">
        <f>""</f>
        <v/>
      </c>
      <c r="K24" s="40" t="str">
        <f>"[0.002]"</f>
        <v>[0.002]</v>
      </c>
      <c r="L24" s="54" t="str">
        <f>""</f>
        <v/>
      </c>
      <c r="M24" s="40" t="str">
        <f>""</f>
        <v/>
      </c>
      <c r="N24" s="40" t="str">
        <f>""</f>
        <v/>
      </c>
      <c r="O24" s="40" t="str">
        <f>""</f>
        <v/>
      </c>
      <c r="P24" s="40" t="str">
        <f>""</f>
        <v/>
      </c>
      <c r="Q24" s="40" t="str">
        <f>""</f>
        <v/>
      </c>
      <c r="R24" s="40" t="str">
        <f>""</f>
        <v/>
      </c>
      <c r="S24" s="40" t="str">
        <f>""</f>
        <v/>
      </c>
      <c r="T24" s="40" t="str">
        <f>""</f>
        <v/>
      </c>
      <c r="U24" s="40" t="str">
        <f>"[0.003]"</f>
        <v>[0.003]</v>
      </c>
      <c r="V24" s="40" t="str">
        <f>""</f>
        <v/>
      </c>
    </row>
    <row r="25" spans="2:22" x14ac:dyDescent="0.2">
      <c r="B25" s="15" t="s">
        <v>17</v>
      </c>
      <c r="C25" s="40" t="str">
        <f>""</f>
        <v/>
      </c>
      <c r="D25" s="40" t="str">
        <f>""</f>
        <v/>
      </c>
      <c r="E25" s="40" t="str">
        <f>""</f>
        <v/>
      </c>
      <c r="F25" s="40" t="str">
        <f>""</f>
        <v/>
      </c>
      <c r="G25" s="40" t="str">
        <f>""</f>
        <v/>
      </c>
      <c r="H25" s="40" t="str">
        <f>""</f>
        <v/>
      </c>
      <c r="I25" s="40" t="str">
        <f>""</f>
        <v/>
      </c>
      <c r="J25" s="40" t="str">
        <f>""</f>
        <v/>
      </c>
      <c r="K25" s="40" t="str">
        <f>""</f>
        <v/>
      </c>
      <c r="L25" s="54" t="str">
        <f>"0.007***"</f>
        <v>0.007***</v>
      </c>
      <c r="M25" s="40" t="str">
        <f>""</f>
        <v/>
      </c>
      <c r="N25" s="40" t="str">
        <f>""</f>
        <v/>
      </c>
      <c r="O25" s="40" t="str">
        <f>""</f>
        <v/>
      </c>
      <c r="P25" s="40" t="str">
        <f>""</f>
        <v/>
      </c>
      <c r="Q25" s="40" t="str">
        <f>""</f>
        <v/>
      </c>
      <c r="R25" s="40" t="str">
        <f>""</f>
        <v/>
      </c>
      <c r="S25" s="40" t="str">
        <f>""</f>
        <v/>
      </c>
      <c r="T25" s="40" t="str">
        <f>""</f>
        <v/>
      </c>
      <c r="U25" s="40" t="str">
        <f>""</f>
        <v/>
      </c>
      <c r="V25" s="40" t="str">
        <f>"0.009***"</f>
        <v>0.009***</v>
      </c>
    </row>
    <row r="26" spans="2:22" x14ac:dyDescent="0.2">
      <c r="B26" s="47"/>
      <c r="C26" s="42" t="str">
        <f>""</f>
        <v/>
      </c>
      <c r="D26" s="42" t="str">
        <f>""</f>
        <v/>
      </c>
      <c r="E26" s="42" t="str">
        <f>""</f>
        <v/>
      </c>
      <c r="F26" s="42" t="str">
        <f>""</f>
        <v/>
      </c>
      <c r="G26" s="42" t="str">
        <f>""</f>
        <v/>
      </c>
      <c r="H26" s="42" t="str">
        <f>""</f>
        <v/>
      </c>
      <c r="I26" s="42" t="str">
        <f>""</f>
        <v/>
      </c>
      <c r="J26" s="42" t="str">
        <f>""</f>
        <v/>
      </c>
      <c r="K26" s="42" t="str">
        <f>""</f>
        <v/>
      </c>
      <c r="L26" s="55" t="str">
        <f>"[0.002]"</f>
        <v>[0.002]</v>
      </c>
      <c r="M26" s="42" t="str">
        <f>""</f>
        <v/>
      </c>
      <c r="N26" s="42" t="str">
        <f>""</f>
        <v/>
      </c>
      <c r="O26" s="42" t="str">
        <f>""</f>
        <v/>
      </c>
      <c r="P26" s="42" t="str">
        <f>""</f>
        <v/>
      </c>
      <c r="Q26" s="42" t="str">
        <f>""</f>
        <v/>
      </c>
      <c r="R26" s="42" t="str">
        <f>""</f>
        <v/>
      </c>
      <c r="S26" s="42" t="str">
        <f>""</f>
        <v/>
      </c>
      <c r="T26" s="42" t="str">
        <f>""</f>
        <v/>
      </c>
      <c r="U26" s="42" t="str">
        <f>""</f>
        <v/>
      </c>
      <c r="V26" s="42" t="str">
        <f>"[0.002]"</f>
        <v>[0.002]</v>
      </c>
    </row>
    <row r="27" spans="2:22" x14ac:dyDescent="0.2">
      <c r="B27" s="16" t="s">
        <v>22</v>
      </c>
      <c r="C27" s="45" t="str">
        <f t="shared" ref="C27:V27" si="0">"8720"</f>
        <v>8720</v>
      </c>
      <c r="D27" s="45" t="str">
        <f t="shared" si="0"/>
        <v>8720</v>
      </c>
      <c r="E27" s="45" t="str">
        <f t="shared" si="0"/>
        <v>8720</v>
      </c>
      <c r="F27" s="45" t="str">
        <f t="shared" si="0"/>
        <v>8720</v>
      </c>
      <c r="G27" s="45" t="str">
        <f t="shared" si="0"/>
        <v>8720</v>
      </c>
      <c r="H27" s="45" t="str">
        <f t="shared" si="0"/>
        <v>8720</v>
      </c>
      <c r="I27" s="45" t="str">
        <f t="shared" si="0"/>
        <v>8720</v>
      </c>
      <c r="J27" s="45" t="str">
        <f t="shared" si="0"/>
        <v>8720</v>
      </c>
      <c r="K27" s="45" t="str">
        <f t="shared" si="0"/>
        <v>8720</v>
      </c>
      <c r="L27" s="56" t="str">
        <f t="shared" si="0"/>
        <v>8720</v>
      </c>
      <c r="M27" s="45" t="str">
        <f t="shared" si="0"/>
        <v>8720</v>
      </c>
      <c r="N27" s="45" t="str">
        <f t="shared" si="0"/>
        <v>8720</v>
      </c>
      <c r="O27" s="45" t="str">
        <f t="shared" si="0"/>
        <v>8720</v>
      </c>
      <c r="P27" s="45" t="str">
        <f t="shared" si="0"/>
        <v>8720</v>
      </c>
      <c r="Q27" s="45" t="str">
        <f t="shared" si="0"/>
        <v>8720</v>
      </c>
      <c r="R27" s="45" t="str">
        <f t="shared" si="0"/>
        <v>8720</v>
      </c>
      <c r="S27" s="45" t="str">
        <f t="shared" si="0"/>
        <v>8720</v>
      </c>
      <c r="T27" s="45" t="str">
        <f t="shared" si="0"/>
        <v>8720</v>
      </c>
      <c r="U27" s="45" t="str">
        <f t="shared" si="0"/>
        <v>8720</v>
      </c>
      <c r="V27" s="45" t="str">
        <f t="shared" si="0"/>
        <v>8720</v>
      </c>
    </row>
    <row r="28" spans="2:22" x14ac:dyDescent="0.2">
      <c r="B28" s="18" t="s">
        <v>23</v>
      </c>
      <c r="C28" s="40" t="str">
        <f t="shared" ref="C28:L28" si="1">"0.056"</f>
        <v>0.056</v>
      </c>
      <c r="D28" s="40" t="str">
        <f t="shared" si="1"/>
        <v>0.056</v>
      </c>
      <c r="E28" s="40" t="str">
        <f t="shared" si="1"/>
        <v>0.056</v>
      </c>
      <c r="F28" s="40" t="str">
        <f t="shared" si="1"/>
        <v>0.056</v>
      </c>
      <c r="G28" s="40" t="str">
        <f t="shared" si="1"/>
        <v>0.056</v>
      </c>
      <c r="H28" s="40" t="str">
        <f t="shared" si="1"/>
        <v>0.056</v>
      </c>
      <c r="I28" s="40" t="str">
        <f t="shared" si="1"/>
        <v>0.056</v>
      </c>
      <c r="J28" s="40" t="str">
        <f t="shared" si="1"/>
        <v>0.056</v>
      </c>
      <c r="K28" s="40" t="str">
        <f t="shared" si="1"/>
        <v>0.056</v>
      </c>
      <c r="L28" s="54" t="str">
        <f t="shared" si="1"/>
        <v>0.056</v>
      </c>
      <c r="M28" s="40" t="str">
        <f t="shared" ref="M28:V28" si="2">"0.070"</f>
        <v>0.070</v>
      </c>
      <c r="N28" s="40" t="str">
        <f t="shared" si="2"/>
        <v>0.070</v>
      </c>
      <c r="O28" s="40" t="str">
        <f t="shared" si="2"/>
        <v>0.070</v>
      </c>
      <c r="P28" s="40" t="str">
        <f t="shared" si="2"/>
        <v>0.070</v>
      </c>
      <c r="Q28" s="40" t="str">
        <f t="shared" si="2"/>
        <v>0.070</v>
      </c>
      <c r="R28" s="40" t="str">
        <f t="shared" si="2"/>
        <v>0.070</v>
      </c>
      <c r="S28" s="40" t="str">
        <f t="shared" si="2"/>
        <v>0.070</v>
      </c>
      <c r="T28" s="40" t="str">
        <f t="shared" si="2"/>
        <v>0.070</v>
      </c>
      <c r="U28" s="40" t="str">
        <f t="shared" si="2"/>
        <v>0.070</v>
      </c>
      <c r="V28" s="40" t="str">
        <f t="shared" si="2"/>
        <v>0.070</v>
      </c>
    </row>
    <row r="29" spans="2:22" x14ac:dyDescent="0.2">
      <c r="B29" s="20" t="s">
        <v>24</v>
      </c>
      <c r="C29" s="21" t="s">
        <v>25</v>
      </c>
      <c r="D29" s="21" t="s">
        <v>25</v>
      </c>
      <c r="E29" s="21" t="s">
        <v>25</v>
      </c>
      <c r="F29" s="21" t="s">
        <v>25</v>
      </c>
      <c r="G29" s="21" t="s">
        <v>25</v>
      </c>
      <c r="H29" s="21" t="s">
        <v>25</v>
      </c>
      <c r="I29" s="21" t="s">
        <v>25</v>
      </c>
      <c r="J29" s="21" t="s">
        <v>25</v>
      </c>
      <c r="K29" s="21" t="s">
        <v>25</v>
      </c>
      <c r="L29" s="35" t="s">
        <v>25</v>
      </c>
      <c r="M29" s="21" t="s">
        <v>25</v>
      </c>
      <c r="N29" s="21" t="s">
        <v>25</v>
      </c>
      <c r="O29" s="21" t="s">
        <v>25</v>
      </c>
      <c r="P29" s="21" t="s">
        <v>25</v>
      </c>
      <c r="Q29" s="21" t="s">
        <v>25</v>
      </c>
      <c r="R29" s="21" t="s">
        <v>25</v>
      </c>
      <c r="S29" s="21" t="s">
        <v>25</v>
      </c>
      <c r="T29" s="21" t="s">
        <v>25</v>
      </c>
      <c r="U29" s="21" t="s">
        <v>25</v>
      </c>
      <c r="V29" s="21" t="s">
        <v>25</v>
      </c>
    </row>
    <row r="30" spans="2:22" x14ac:dyDescent="0.2">
      <c r="B30" s="20" t="s">
        <v>26</v>
      </c>
      <c r="C30" s="21" t="s">
        <v>25</v>
      </c>
      <c r="D30" s="21" t="s">
        <v>25</v>
      </c>
      <c r="E30" s="21" t="s">
        <v>25</v>
      </c>
      <c r="F30" s="21" t="s">
        <v>25</v>
      </c>
      <c r="G30" s="21" t="s">
        <v>25</v>
      </c>
      <c r="H30" s="21" t="s">
        <v>25</v>
      </c>
      <c r="I30" s="21" t="s">
        <v>25</v>
      </c>
      <c r="J30" s="21" t="s">
        <v>25</v>
      </c>
      <c r="K30" s="21" t="s">
        <v>25</v>
      </c>
      <c r="L30" s="35" t="s">
        <v>25</v>
      </c>
      <c r="M30" s="21" t="s">
        <v>25</v>
      </c>
      <c r="N30" s="21" t="s">
        <v>25</v>
      </c>
      <c r="O30" s="21" t="s">
        <v>25</v>
      </c>
      <c r="P30" s="21" t="s">
        <v>25</v>
      </c>
      <c r="Q30" s="21" t="s">
        <v>25</v>
      </c>
      <c r="R30" s="21" t="s">
        <v>25</v>
      </c>
      <c r="S30" s="21" t="s">
        <v>25</v>
      </c>
      <c r="T30" s="21" t="s">
        <v>25</v>
      </c>
      <c r="U30" s="21" t="s">
        <v>25</v>
      </c>
      <c r="V30" s="21" t="s">
        <v>25</v>
      </c>
    </row>
    <row r="31" spans="2:22" x14ac:dyDescent="0.2">
      <c r="B31" s="22" t="s">
        <v>27</v>
      </c>
      <c r="C31" s="23" t="s">
        <v>25</v>
      </c>
      <c r="D31" s="23" t="s">
        <v>25</v>
      </c>
      <c r="E31" s="23" t="s">
        <v>25</v>
      </c>
      <c r="F31" s="23" t="s">
        <v>25</v>
      </c>
      <c r="G31" s="23" t="s">
        <v>25</v>
      </c>
      <c r="H31" s="23" t="s">
        <v>25</v>
      </c>
      <c r="I31" s="23" t="s">
        <v>25</v>
      </c>
      <c r="J31" s="23" t="s">
        <v>25</v>
      </c>
      <c r="K31" s="23" t="s">
        <v>25</v>
      </c>
      <c r="L31" s="36" t="s">
        <v>25</v>
      </c>
      <c r="M31" s="23" t="s">
        <v>25</v>
      </c>
      <c r="N31" s="23" t="s">
        <v>25</v>
      </c>
      <c r="O31" s="23" t="s">
        <v>25</v>
      </c>
      <c r="P31" s="23" t="s">
        <v>25</v>
      </c>
      <c r="Q31" s="23" t="s">
        <v>25</v>
      </c>
      <c r="R31" s="23" t="s">
        <v>25</v>
      </c>
      <c r="S31" s="23" t="s">
        <v>25</v>
      </c>
      <c r="T31" s="23" t="s">
        <v>25</v>
      </c>
      <c r="U31" s="23" t="s">
        <v>25</v>
      </c>
      <c r="V31" s="23" t="s">
        <v>25</v>
      </c>
    </row>
    <row r="32" spans="2:22" ht="72" customHeight="1" x14ac:dyDescent="0.2">
      <c r="B32" s="75" t="s">
        <v>54</v>
      </c>
      <c r="C32" s="75"/>
      <c r="D32" s="75"/>
      <c r="E32" s="75"/>
      <c r="F32" s="75"/>
      <c r="G32" s="75"/>
      <c r="H32" s="75"/>
      <c r="I32" s="75"/>
      <c r="J32" s="75"/>
      <c r="K32" s="75"/>
      <c r="L32" s="75"/>
      <c r="M32" s="75"/>
      <c r="N32" s="75"/>
      <c r="O32" s="75"/>
      <c r="P32" s="75"/>
      <c r="Q32" s="75"/>
      <c r="R32" s="75"/>
      <c r="S32" s="75"/>
      <c r="T32" s="75"/>
      <c r="U32" s="75"/>
      <c r="V32" s="75"/>
    </row>
  </sheetData>
  <mergeCells count="4">
    <mergeCell ref="B2:V2"/>
    <mergeCell ref="C3:L3"/>
    <mergeCell ref="M3:V3"/>
    <mergeCell ref="B32:V3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V32"/>
  <sheetViews>
    <sheetView showGridLines="0" topLeftCell="B1" workbookViewId="0">
      <selection activeCell="B2" sqref="B2:V2"/>
    </sheetView>
  </sheetViews>
  <sheetFormatPr baseColWidth="10" defaultColWidth="11" defaultRowHeight="16" x14ac:dyDescent="0.2"/>
  <cols>
    <col min="2" max="2" width="57.1640625" customWidth="1"/>
  </cols>
  <sheetData>
    <row r="2" spans="2:22" x14ac:dyDescent="0.2">
      <c r="B2" s="74" t="s">
        <v>119</v>
      </c>
      <c r="C2" s="74"/>
      <c r="D2" s="74"/>
      <c r="E2" s="74"/>
      <c r="F2" s="74"/>
      <c r="G2" s="74"/>
      <c r="H2" s="74"/>
      <c r="I2" s="74"/>
      <c r="J2" s="74"/>
      <c r="K2" s="74"/>
      <c r="L2" s="74"/>
      <c r="M2" s="74"/>
      <c r="N2" s="74"/>
      <c r="O2" s="74"/>
      <c r="P2" s="74"/>
      <c r="Q2" s="74"/>
      <c r="R2" s="74"/>
      <c r="S2" s="74"/>
      <c r="T2" s="74"/>
      <c r="U2" s="74"/>
      <c r="V2" s="74"/>
    </row>
    <row r="3" spans="2:22" x14ac:dyDescent="0.2">
      <c r="B3" s="39"/>
      <c r="C3" s="81" t="s">
        <v>42</v>
      </c>
      <c r="D3" s="81"/>
      <c r="E3" s="81"/>
      <c r="F3" s="81"/>
      <c r="G3" s="81"/>
      <c r="H3" s="81"/>
      <c r="I3" s="81"/>
      <c r="J3" s="81"/>
      <c r="K3" s="81"/>
      <c r="L3" s="82"/>
      <c r="M3" s="83" t="s">
        <v>43</v>
      </c>
      <c r="N3" s="81"/>
      <c r="O3" s="81"/>
      <c r="P3" s="81"/>
      <c r="Q3" s="81"/>
      <c r="R3" s="81"/>
      <c r="S3" s="81"/>
      <c r="T3" s="81"/>
      <c r="U3" s="81"/>
      <c r="V3" s="81"/>
    </row>
    <row r="4" spans="2:22" ht="33" thickBot="1" x14ac:dyDescent="0.25">
      <c r="B4" s="29" t="s">
        <v>0</v>
      </c>
      <c r="C4" s="25" t="s">
        <v>1</v>
      </c>
      <c r="D4" s="25" t="s">
        <v>2</v>
      </c>
      <c r="E4" s="25" t="s">
        <v>3</v>
      </c>
      <c r="F4" s="25" t="s">
        <v>4</v>
      </c>
      <c r="G4" s="25" t="s">
        <v>5</v>
      </c>
      <c r="H4" s="25" t="s">
        <v>6</v>
      </c>
      <c r="I4" s="25" t="s">
        <v>7</v>
      </c>
      <c r="J4" s="25" t="s">
        <v>8</v>
      </c>
      <c r="K4" s="25" t="s">
        <v>9</v>
      </c>
      <c r="L4" s="37" t="s">
        <v>10</v>
      </c>
      <c r="M4" s="25" t="s">
        <v>11</v>
      </c>
      <c r="N4" s="25" t="s">
        <v>12</v>
      </c>
      <c r="O4" s="25" t="s">
        <v>28</v>
      </c>
      <c r="P4" s="25" t="s">
        <v>29</v>
      </c>
      <c r="Q4" s="25" t="s">
        <v>30</v>
      </c>
      <c r="R4" s="25" t="s">
        <v>31</v>
      </c>
      <c r="S4" s="25" t="s">
        <v>32</v>
      </c>
      <c r="T4" s="25" t="s">
        <v>33</v>
      </c>
      <c r="U4" s="25" t="s">
        <v>34</v>
      </c>
      <c r="V4" s="25" t="s">
        <v>35</v>
      </c>
    </row>
    <row r="5" spans="2:22" ht="17" thickTop="1" x14ac:dyDescent="0.2">
      <c r="B5" s="3" t="s">
        <v>13</v>
      </c>
      <c r="C5" s="4"/>
      <c r="D5" s="4"/>
      <c r="E5" s="4"/>
      <c r="F5" s="4"/>
      <c r="G5" s="4"/>
      <c r="H5" s="4"/>
      <c r="I5" s="4"/>
      <c r="J5" s="4"/>
      <c r="K5" s="4"/>
      <c r="L5" s="50"/>
      <c r="M5" s="4"/>
      <c r="N5" s="4"/>
      <c r="O5" s="4"/>
      <c r="P5" s="4"/>
      <c r="Q5" s="4"/>
      <c r="R5" s="4"/>
      <c r="S5" s="4"/>
      <c r="T5" s="4"/>
      <c r="U5" s="4"/>
      <c r="V5" s="48"/>
    </row>
    <row r="6" spans="2:22" x14ac:dyDescent="0.2">
      <c r="B6" s="5" t="s">
        <v>14</v>
      </c>
      <c r="C6" s="40" t="str">
        <f>"0.040**"</f>
        <v>0.040**</v>
      </c>
      <c r="D6" s="40" t="str">
        <f>""</f>
        <v/>
      </c>
      <c r="E6" s="40" t="str">
        <f>""</f>
        <v/>
      </c>
      <c r="F6" s="41" t="str">
        <f>""</f>
        <v/>
      </c>
      <c r="G6" s="41" t="str">
        <f>""</f>
        <v/>
      </c>
      <c r="H6" s="41" t="str">
        <f>""</f>
        <v/>
      </c>
      <c r="I6" s="41" t="str">
        <f>""</f>
        <v/>
      </c>
      <c r="J6" s="41" t="str">
        <f>""</f>
        <v/>
      </c>
      <c r="K6" s="41" t="str">
        <f>""</f>
        <v/>
      </c>
      <c r="L6" s="51" t="str">
        <f>""</f>
        <v/>
      </c>
      <c r="M6" s="40" t="str">
        <f>"0.026*"</f>
        <v>0.026*</v>
      </c>
      <c r="N6" s="40" t="str">
        <f>""</f>
        <v/>
      </c>
      <c r="O6" s="40" t="str">
        <f>""</f>
        <v/>
      </c>
      <c r="P6" s="41" t="str">
        <f>""</f>
        <v/>
      </c>
      <c r="Q6" s="41" t="str">
        <f>""</f>
        <v/>
      </c>
      <c r="R6" s="41" t="str">
        <f>""</f>
        <v/>
      </c>
      <c r="S6" s="41" t="str">
        <f>""</f>
        <v/>
      </c>
      <c r="T6" s="41" t="str">
        <f>""</f>
        <v/>
      </c>
      <c r="U6" s="41" t="str">
        <f>""</f>
        <v/>
      </c>
      <c r="V6" s="41" t="str">
        <f>""</f>
        <v/>
      </c>
    </row>
    <row r="7" spans="2:22" x14ac:dyDescent="0.2">
      <c r="B7" s="5"/>
      <c r="C7" s="40" t="str">
        <f>"[0.016]"</f>
        <v>[0.016]</v>
      </c>
      <c r="D7" s="40" t="str">
        <f>""</f>
        <v/>
      </c>
      <c r="E7" s="40" t="str">
        <f>""</f>
        <v/>
      </c>
      <c r="F7" s="41" t="str">
        <f>""</f>
        <v/>
      </c>
      <c r="G7" s="41" t="str">
        <f>""</f>
        <v/>
      </c>
      <c r="H7" s="41" t="str">
        <f>""</f>
        <v/>
      </c>
      <c r="I7" s="41" t="str">
        <f>""</f>
        <v/>
      </c>
      <c r="J7" s="41" t="str">
        <f>""</f>
        <v/>
      </c>
      <c r="K7" s="41" t="str">
        <f>""</f>
        <v/>
      </c>
      <c r="L7" s="51" t="str">
        <f>""</f>
        <v/>
      </c>
      <c r="M7" s="40" t="str">
        <f>"[0.014]"</f>
        <v>[0.014]</v>
      </c>
      <c r="N7" s="40" t="str">
        <f>""</f>
        <v/>
      </c>
      <c r="O7" s="40" t="str">
        <f>""</f>
        <v/>
      </c>
      <c r="P7" s="41" t="str">
        <f>""</f>
        <v/>
      </c>
      <c r="Q7" s="41" t="str">
        <f>""</f>
        <v/>
      </c>
      <c r="R7" s="41" t="str">
        <f>""</f>
        <v/>
      </c>
      <c r="S7" s="41" t="str">
        <f>""</f>
        <v/>
      </c>
      <c r="T7" s="41" t="str">
        <f>""</f>
        <v/>
      </c>
      <c r="U7" s="41" t="str">
        <f>""</f>
        <v/>
      </c>
      <c r="V7" s="41" t="str">
        <f>""</f>
        <v/>
      </c>
    </row>
    <row r="8" spans="2:22" x14ac:dyDescent="0.2">
      <c r="B8" s="8" t="s">
        <v>15</v>
      </c>
      <c r="C8" s="40" t="str">
        <f>""</f>
        <v/>
      </c>
      <c r="D8" s="12" t="str">
        <f>"0.273***"</f>
        <v>0.273***</v>
      </c>
      <c r="E8" s="40" t="str">
        <f>""</f>
        <v/>
      </c>
      <c r="F8" s="41" t="str">
        <f>""</f>
        <v/>
      </c>
      <c r="G8" s="41" t="str">
        <f>""</f>
        <v/>
      </c>
      <c r="H8" s="41" t="str">
        <f>""</f>
        <v/>
      </c>
      <c r="I8" s="41" t="str">
        <f>""</f>
        <v/>
      </c>
      <c r="J8" s="41" t="str">
        <f>""</f>
        <v/>
      </c>
      <c r="K8" s="41" t="str">
        <f>""</f>
        <v/>
      </c>
      <c r="L8" s="51" t="str">
        <f>""</f>
        <v/>
      </c>
      <c r="M8" s="40" t="str">
        <f>""</f>
        <v/>
      </c>
      <c r="N8" s="12" t="str">
        <f>"0.320***"</f>
        <v>0.320***</v>
      </c>
      <c r="O8" s="40" t="str">
        <f>""</f>
        <v/>
      </c>
      <c r="P8" s="41" t="str">
        <f>""</f>
        <v/>
      </c>
      <c r="Q8" s="41" t="str">
        <f>""</f>
        <v/>
      </c>
      <c r="R8" s="41" t="str">
        <f>""</f>
        <v/>
      </c>
      <c r="S8" s="41" t="str">
        <f>""</f>
        <v/>
      </c>
      <c r="T8" s="41" t="str">
        <f>""</f>
        <v/>
      </c>
      <c r="U8" s="41" t="str">
        <f>""</f>
        <v/>
      </c>
      <c r="V8" s="41" t="str">
        <f>""</f>
        <v/>
      </c>
    </row>
    <row r="9" spans="2:22" x14ac:dyDescent="0.2">
      <c r="B9" s="49" t="str">
        <f>""</f>
        <v/>
      </c>
      <c r="C9" s="42" t="str">
        <f>""</f>
        <v/>
      </c>
      <c r="D9" s="28" t="str">
        <f>"[0.092]"</f>
        <v>[0.092]</v>
      </c>
      <c r="E9" s="42" t="str">
        <f>""</f>
        <v/>
      </c>
      <c r="F9" s="43" t="str">
        <f>""</f>
        <v/>
      </c>
      <c r="G9" s="43" t="str">
        <f>""</f>
        <v/>
      </c>
      <c r="H9" s="43" t="str">
        <f>""</f>
        <v/>
      </c>
      <c r="I9" s="43" t="str">
        <f>""</f>
        <v/>
      </c>
      <c r="J9" s="43" t="str">
        <f>""</f>
        <v/>
      </c>
      <c r="K9" s="43" t="str">
        <f>""</f>
        <v/>
      </c>
      <c r="L9" s="52" t="str">
        <f>""</f>
        <v/>
      </c>
      <c r="M9" s="42" t="str">
        <f>""</f>
        <v/>
      </c>
      <c r="N9" s="28" t="str">
        <f>"[0.119]"</f>
        <v>[0.119]</v>
      </c>
      <c r="O9" s="42" t="str">
        <f>""</f>
        <v/>
      </c>
      <c r="P9" s="43" t="str">
        <f>""</f>
        <v/>
      </c>
      <c r="Q9" s="43" t="str">
        <f>""</f>
        <v/>
      </c>
      <c r="R9" s="43" t="str">
        <f>""</f>
        <v/>
      </c>
      <c r="S9" s="43" t="str">
        <f>""</f>
        <v/>
      </c>
      <c r="T9" s="43" t="str">
        <f>""</f>
        <v/>
      </c>
      <c r="U9" s="43" t="str">
        <f>""</f>
        <v/>
      </c>
      <c r="V9" s="43" t="str">
        <f>""</f>
        <v/>
      </c>
    </row>
    <row r="10" spans="2:22" x14ac:dyDescent="0.2">
      <c r="B10" s="9" t="s">
        <v>16</v>
      </c>
      <c r="C10" s="45"/>
      <c r="D10" s="45"/>
      <c r="E10" s="45"/>
      <c r="F10" s="46"/>
      <c r="G10" s="46"/>
      <c r="H10" s="46"/>
      <c r="I10" s="46"/>
      <c r="J10" s="46"/>
      <c r="K10" s="46"/>
      <c r="L10" s="53"/>
      <c r="M10" s="45"/>
      <c r="N10" s="45"/>
      <c r="O10" s="45"/>
      <c r="P10" s="46"/>
      <c r="Q10" s="46"/>
      <c r="R10" s="46"/>
      <c r="S10" s="46"/>
      <c r="T10" s="46"/>
      <c r="U10" s="46"/>
      <c r="V10" s="46"/>
    </row>
    <row r="11" spans="2:22" x14ac:dyDescent="0.2">
      <c r="B11" s="11" t="str">
        <f>"Loss of land (yes=1) for a household in a given year"</f>
        <v>Loss of land (yes=1) for a household in a given year</v>
      </c>
      <c r="C11" s="40" t="str">
        <f>""</f>
        <v/>
      </c>
      <c r="D11" s="40" t="str">
        <f>""</f>
        <v/>
      </c>
      <c r="E11" s="40" t="str">
        <f>"-0.026"</f>
        <v>-0.026</v>
      </c>
      <c r="F11" s="40" t="str">
        <f>""</f>
        <v/>
      </c>
      <c r="G11" s="40" t="str">
        <f>""</f>
        <v/>
      </c>
      <c r="H11" s="40" t="str">
        <f>""</f>
        <v/>
      </c>
      <c r="I11" s="40" t="str">
        <f>""</f>
        <v/>
      </c>
      <c r="J11" s="40" t="str">
        <f>""</f>
        <v/>
      </c>
      <c r="K11" s="40" t="str">
        <f>""</f>
        <v/>
      </c>
      <c r="L11" s="54" t="str">
        <f>""</f>
        <v/>
      </c>
      <c r="M11" s="40" t="str">
        <f>""</f>
        <v/>
      </c>
      <c r="N11" s="40" t="str">
        <f>""</f>
        <v/>
      </c>
      <c r="O11" s="40" t="str">
        <f>"0.013"</f>
        <v>0.013</v>
      </c>
      <c r="P11" s="40" t="str">
        <f>""</f>
        <v/>
      </c>
      <c r="Q11" s="40" t="str">
        <f>""</f>
        <v/>
      </c>
      <c r="R11" s="40" t="str">
        <f>""</f>
        <v/>
      </c>
      <c r="S11" s="40" t="str">
        <f>""</f>
        <v/>
      </c>
      <c r="T11" s="40" t="str">
        <f>""</f>
        <v/>
      </c>
      <c r="U11" s="40" t="str">
        <f>""</f>
        <v/>
      </c>
      <c r="V11" s="40" t="str">
        <f>""</f>
        <v/>
      </c>
    </row>
    <row r="12" spans="2:22" x14ac:dyDescent="0.2">
      <c r="B12" s="11" t="str">
        <f>""</f>
        <v/>
      </c>
      <c r="C12" s="40" t="str">
        <f>""</f>
        <v/>
      </c>
      <c r="D12" s="40" t="str">
        <f>""</f>
        <v/>
      </c>
      <c r="E12" s="40" t="str">
        <f>"[0.019]"</f>
        <v>[0.019]</v>
      </c>
      <c r="F12" s="40" t="str">
        <f>""</f>
        <v/>
      </c>
      <c r="G12" s="40" t="str">
        <f>""</f>
        <v/>
      </c>
      <c r="H12" s="40" t="str">
        <f>""</f>
        <v/>
      </c>
      <c r="I12" s="40" t="str">
        <f>""</f>
        <v/>
      </c>
      <c r="J12" s="40" t="str">
        <f>""</f>
        <v/>
      </c>
      <c r="K12" s="40" t="str">
        <f>""</f>
        <v/>
      </c>
      <c r="L12" s="54" t="str">
        <f>""</f>
        <v/>
      </c>
      <c r="M12" s="40" t="str">
        <f>""</f>
        <v/>
      </c>
      <c r="N12" s="40" t="str">
        <f>""</f>
        <v/>
      </c>
      <c r="O12" s="40" t="str">
        <f>"[0.019]"</f>
        <v>[0.019]</v>
      </c>
      <c r="P12" s="40" t="str">
        <f>""</f>
        <v/>
      </c>
      <c r="Q12" s="40" t="str">
        <f>""</f>
        <v/>
      </c>
      <c r="R12" s="40" t="str">
        <f>""</f>
        <v/>
      </c>
      <c r="S12" s="40" t="str">
        <f>""</f>
        <v/>
      </c>
      <c r="T12" s="40" t="str">
        <f>""</f>
        <v/>
      </c>
      <c r="U12" s="40" t="str">
        <f>""</f>
        <v/>
      </c>
      <c r="V12" s="40" t="str">
        <f>""</f>
        <v/>
      </c>
    </row>
    <row r="13" spans="2:22" x14ac:dyDescent="0.2">
      <c r="B13" s="11" t="str">
        <f>"Theft of crops (yes=1) for a household in a given year"</f>
        <v>Theft of crops (yes=1) for a household in a given year</v>
      </c>
      <c r="C13" s="40" t="str">
        <f>""</f>
        <v/>
      </c>
      <c r="D13" s="40" t="str">
        <f>""</f>
        <v/>
      </c>
      <c r="E13" s="40" t="str">
        <f>""</f>
        <v/>
      </c>
      <c r="F13" s="40" t="str">
        <f>"0.003"</f>
        <v>0.003</v>
      </c>
      <c r="G13" s="40" t="str">
        <f>""</f>
        <v/>
      </c>
      <c r="H13" s="40" t="str">
        <f>""</f>
        <v/>
      </c>
      <c r="I13" s="40" t="str">
        <f>""</f>
        <v/>
      </c>
      <c r="J13" s="40" t="str">
        <f>""</f>
        <v/>
      </c>
      <c r="K13" s="40" t="str">
        <f>""</f>
        <v/>
      </c>
      <c r="L13" s="54" t="str">
        <f>""</f>
        <v/>
      </c>
      <c r="M13" s="40" t="str">
        <f>""</f>
        <v/>
      </c>
      <c r="N13" s="40" t="str">
        <f>""</f>
        <v/>
      </c>
      <c r="O13" s="40" t="str">
        <f>""</f>
        <v/>
      </c>
      <c r="P13" s="40" t="str">
        <f>"0.012"</f>
        <v>0.012</v>
      </c>
      <c r="Q13" s="40" t="str">
        <f>""</f>
        <v/>
      </c>
      <c r="R13" s="40" t="str">
        <f>""</f>
        <v/>
      </c>
      <c r="S13" s="40" t="str">
        <f>""</f>
        <v/>
      </c>
      <c r="T13" s="40" t="str">
        <f>""</f>
        <v/>
      </c>
      <c r="U13" s="40" t="str">
        <f>""</f>
        <v/>
      </c>
      <c r="V13" s="40" t="str">
        <f>""</f>
        <v/>
      </c>
    </row>
    <row r="14" spans="2:22" x14ac:dyDescent="0.2">
      <c r="B14" s="11" t="str">
        <f>""</f>
        <v/>
      </c>
      <c r="C14" s="40" t="str">
        <f>""</f>
        <v/>
      </c>
      <c r="D14" s="40" t="str">
        <f>""</f>
        <v/>
      </c>
      <c r="E14" s="40" t="str">
        <f>""</f>
        <v/>
      </c>
      <c r="F14" s="40" t="str">
        <f>"[0.011]"</f>
        <v>[0.011]</v>
      </c>
      <c r="G14" s="40" t="str">
        <f>""</f>
        <v/>
      </c>
      <c r="H14" s="40" t="str">
        <f>""</f>
        <v/>
      </c>
      <c r="I14" s="40" t="str">
        <f>""</f>
        <v/>
      </c>
      <c r="J14" s="40" t="str">
        <f>""</f>
        <v/>
      </c>
      <c r="K14" s="40" t="str">
        <f>""</f>
        <v/>
      </c>
      <c r="L14" s="54" t="str">
        <f>""</f>
        <v/>
      </c>
      <c r="M14" s="40" t="str">
        <f>""</f>
        <v/>
      </c>
      <c r="N14" s="40" t="str">
        <f>""</f>
        <v/>
      </c>
      <c r="O14" s="40" t="str">
        <f>""</f>
        <v/>
      </c>
      <c r="P14" s="40" t="str">
        <f>"[0.010]"</f>
        <v>[0.010]</v>
      </c>
      <c r="Q14" s="40" t="str">
        <f>""</f>
        <v/>
      </c>
      <c r="R14" s="40" t="str">
        <f>""</f>
        <v/>
      </c>
      <c r="S14" s="40" t="str">
        <f>""</f>
        <v/>
      </c>
      <c r="T14" s="40" t="str">
        <f>""</f>
        <v/>
      </c>
      <c r="U14" s="40" t="str">
        <f>""</f>
        <v/>
      </c>
      <c r="V14" s="40" t="str">
        <f>""</f>
        <v/>
      </c>
    </row>
    <row r="15" spans="2:22" x14ac:dyDescent="0.2">
      <c r="B15" s="13" t="str">
        <f>"Theft of money (yes=1) for a household in a given year"</f>
        <v>Theft of money (yes=1) for a household in a given year</v>
      </c>
      <c r="C15" s="40" t="str">
        <f>""</f>
        <v/>
      </c>
      <c r="D15" s="40" t="str">
        <f>""</f>
        <v/>
      </c>
      <c r="E15" s="40" t="str">
        <f>""</f>
        <v/>
      </c>
      <c r="F15" s="40" t="str">
        <f>""</f>
        <v/>
      </c>
      <c r="G15" s="40" t="str">
        <f>"0.058***"</f>
        <v>0.058***</v>
      </c>
      <c r="H15" s="40" t="str">
        <f>""</f>
        <v/>
      </c>
      <c r="I15" s="40" t="str">
        <f>""</f>
        <v/>
      </c>
      <c r="J15" s="40" t="str">
        <f>""</f>
        <v/>
      </c>
      <c r="K15" s="40" t="str">
        <f>""</f>
        <v/>
      </c>
      <c r="L15" s="54" t="str">
        <f>""</f>
        <v/>
      </c>
      <c r="M15" s="40" t="str">
        <f>""</f>
        <v/>
      </c>
      <c r="N15" s="40" t="str">
        <f>""</f>
        <v/>
      </c>
      <c r="O15" s="40" t="str">
        <f>""</f>
        <v/>
      </c>
      <c r="P15" s="40" t="str">
        <f>""</f>
        <v/>
      </c>
      <c r="Q15" s="40" t="str">
        <f>"0.035**"</f>
        <v>0.035**</v>
      </c>
      <c r="R15" s="40" t="str">
        <f>""</f>
        <v/>
      </c>
      <c r="S15" s="40" t="str">
        <f>""</f>
        <v/>
      </c>
      <c r="T15" s="40" t="str">
        <f>""</f>
        <v/>
      </c>
      <c r="U15" s="40" t="str">
        <f>""</f>
        <v/>
      </c>
      <c r="V15" s="40" t="str">
        <f>""</f>
        <v/>
      </c>
    </row>
    <row r="16" spans="2:22" x14ac:dyDescent="0.2">
      <c r="B16" s="11" t="str">
        <f>""</f>
        <v/>
      </c>
      <c r="C16" s="40" t="str">
        <f>""</f>
        <v/>
      </c>
      <c r="D16" s="40" t="str">
        <f>""</f>
        <v/>
      </c>
      <c r="E16" s="40" t="str">
        <f>""</f>
        <v/>
      </c>
      <c r="F16" s="40" t="str">
        <f>""</f>
        <v/>
      </c>
      <c r="G16" s="40" t="str">
        <f>"[0.018]"</f>
        <v>[0.018]</v>
      </c>
      <c r="H16" s="40" t="str">
        <f>""</f>
        <v/>
      </c>
      <c r="I16" s="40" t="str">
        <f>""</f>
        <v/>
      </c>
      <c r="J16" s="40" t="str">
        <f>""</f>
        <v/>
      </c>
      <c r="K16" s="40" t="str">
        <f>""</f>
        <v/>
      </c>
      <c r="L16" s="54" t="str">
        <f>""</f>
        <v/>
      </c>
      <c r="M16" s="40" t="str">
        <f>""</f>
        <v/>
      </c>
      <c r="N16" s="40" t="str">
        <f>""</f>
        <v/>
      </c>
      <c r="O16" s="40" t="str">
        <f>""</f>
        <v/>
      </c>
      <c r="P16" s="40" t="str">
        <f>""</f>
        <v/>
      </c>
      <c r="Q16" s="40" t="str">
        <f>"[0.017]"</f>
        <v>[0.017]</v>
      </c>
      <c r="R16" s="40" t="str">
        <f>""</f>
        <v/>
      </c>
      <c r="S16" s="40" t="str">
        <f>""</f>
        <v/>
      </c>
      <c r="T16" s="40" t="str">
        <f>""</f>
        <v/>
      </c>
      <c r="U16" s="40" t="str">
        <f>""</f>
        <v/>
      </c>
      <c r="V16" s="40" t="str">
        <f>""</f>
        <v/>
      </c>
    </row>
    <row r="17" spans="2:22" x14ac:dyDescent="0.2">
      <c r="B17" s="11" t="str">
        <f>"Theft or destruction of goods (yes=1) for a household in a given year"</f>
        <v>Theft or destruction of goods (yes=1) for a household in a given year</v>
      </c>
      <c r="C17" s="40" t="str">
        <f>""</f>
        <v/>
      </c>
      <c r="D17" s="40" t="str">
        <f>""</f>
        <v/>
      </c>
      <c r="E17" s="40" t="str">
        <f>""</f>
        <v/>
      </c>
      <c r="F17" s="40" t="str">
        <f>""</f>
        <v/>
      </c>
      <c r="G17" s="40" t="str">
        <f>""</f>
        <v/>
      </c>
      <c r="H17" s="40" t="str">
        <f>"0.064***"</f>
        <v>0.064***</v>
      </c>
      <c r="I17" s="40" t="str">
        <f>""</f>
        <v/>
      </c>
      <c r="J17" s="40" t="str">
        <f>""</f>
        <v/>
      </c>
      <c r="K17" s="40" t="str">
        <f>""</f>
        <v/>
      </c>
      <c r="L17" s="54" t="str">
        <f>""</f>
        <v/>
      </c>
      <c r="M17" s="40" t="str">
        <f>""</f>
        <v/>
      </c>
      <c r="N17" s="40" t="str">
        <f>""</f>
        <v/>
      </c>
      <c r="O17" s="40" t="str">
        <f>""</f>
        <v/>
      </c>
      <c r="P17" s="40" t="str">
        <f>""</f>
        <v/>
      </c>
      <c r="Q17" s="40" t="str">
        <f>""</f>
        <v/>
      </c>
      <c r="R17" s="40" t="str">
        <f>"0.029**"</f>
        <v>0.029**</v>
      </c>
      <c r="S17" s="40" t="str">
        <f>""</f>
        <v/>
      </c>
      <c r="T17" s="40" t="str">
        <f>""</f>
        <v/>
      </c>
      <c r="U17" s="40" t="str">
        <f>""</f>
        <v/>
      </c>
      <c r="V17" s="40" t="str">
        <f>""</f>
        <v/>
      </c>
    </row>
    <row r="18" spans="2:22" x14ac:dyDescent="0.2">
      <c r="B18" s="11"/>
      <c r="C18" s="40" t="str">
        <f>""</f>
        <v/>
      </c>
      <c r="D18" s="40" t="str">
        <f>""</f>
        <v/>
      </c>
      <c r="E18" s="40" t="str">
        <f>""</f>
        <v/>
      </c>
      <c r="F18" s="40" t="str">
        <f>""</f>
        <v/>
      </c>
      <c r="G18" s="40" t="str">
        <f>""</f>
        <v/>
      </c>
      <c r="H18" s="40" t="str">
        <f>"[0.021]"</f>
        <v>[0.021]</v>
      </c>
      <c r="I18" s="40" t="str">
        <f>""</f>
        <v/>
      </c>
      <c r="J18" s="40" t="str">
        <f>""</f>
        <v/>
      </c>
      <c r="K18" s="40" t="str">
        <f>""</f>
        <v/>
      </c>
      <c r="L18" s="54" t="str">
        <f>""</f>
        <v/>
      </c>
      <c r="M18" s="40" t="str">
        <f>""</f>
        <v/>
      </c>
      <c r="N18" s="40" t="str">
        <f>""</f>
        <v/>
      </c>
      <c r="O18" s="40" t="str">
        <f>""</f>
        <v/>
      </c>
      <c r="P18" s="40" t="str">
        <f>""</f>
        <v/>
      </c>
      <c r="Q18" s="40" t="str">
        <f>""</f>
        <v/>
      </c>
      <c r="R18" s="40" t="str">
        <f>"[0.013]"</f>
        <v>[0.013]</v>
      </c>
      <c r="S18" s="40" t="str">
        <f>""</f>
        <v/>
      </c>
      <c r="T18" s="40" t="str">
        <f>""</f>
        <v/>
      </c>
      <c r="U18" s="40" t="str">
        <f>""</f>
        <v/>
      </c>
      <c r="V18" s="40" t="str">
        <f>""</f>
        <v/>
      </c>
    </row>
    <row r="19" spans="2:22" x14ac:dyDescent="0.2">
      <c r="B19" s="11" t="str">
        <f>"Destruction of house (yes=1) for a household in a given year"</f>
        <v>Destruction of house (yes=1) for a household in a given year</v>
      </c>
      <c r="C19" s="40" t="str">
        <f>""</f>
        <v/>
      </c>
      <c r="D19" s="40" t="str">
        <f>""</f>
        <v/>
      </c>
      <c r="E19" s="40" t="str">
        <f>""</f>
        <v/>
      </c>
      <c r="F19" s="40" t="str">
        <f>""</f>
        <v/>
      </c>
      <c r="G19" s="40" t="str">
        <f>""</f>
        <v/>
      </c>
      <c r="H19" s="40" t="str">
        <f>""</f>
        <v/>
      </c>
      <c r="I19" s="40" t="str">
        <f>"0.073**"</f>
        <v>0.073**</v>
      </c>
      <c r="J19" s="40" t="str">
        <f>""</f>
        <v/>
      </c>
      <c r="K19" s="40" t="str">
        <f>""</f>
        <v/>
      </c>
      <c r="L19" s="54" t="str">
        <f>""</f>
        <v/>
      </c>
      <c r="M19" s="40" t="str">
        <f>""</f>
        <v/>
      </c>
      <c r="N19" s="40" t="str">
        <f>""</f>
        <v/>
      </c>
      <c r="O19" s="40" t="str">
        <f>""</f>
        <v/>
      </c>
      <c r="P19" s="40" t="str">
        <f>""</f>
        <v/>
      </c>
      <c r="Q19" s="40" t="str">
        <f>""</f>
        <v/>
      </c>
      <c r="R19" s="40" t="str">
        <f>""</f>
        <v/>
      </c>
      <c r="S19" s="40" t="str">
        <f>"0.054**"</f>
        <v>0.054**</v>
      </c>
      <c r="T19" s="40" t="str">
        <f>""</f>
        <v/>
      </c>
      <c r="U19" s="40" t="str">
        <f>""</f>
        <v/>
      </c>
      <c r="V19" s="40" t="str">
        <f>""</f>
        <v/>
      </c>
    </row>
    <row r="20" spans="2:22" x14ac:dyDescent="0.2">
      <c r="B20" s="11"/>
      <c r="C20" s="40" t="str">
        <f>""</f>
        <v/>
      </c>
      <c r="D20" s="40" t="str">
        <f>""</f>
        <v/>
      </c>
      <c r="E20" s="40" t="str">
        <f>""</f>
        <v/>
      </c>
      <c r="F20" s="40" t="str">
        <f>""</f>
        <v/>
      </c>
      <c r="G20" s="40" t="str">
        <f>""</f>
        <v/>
      </c>
      <c r="H20" s="40" t="str">
        <f>""</f>
        <v/>
      </c>
      <c r="I20" s="40" t="str">
        <f>"[0.030]"</f>
        <v>[0.030]</v>
      </c>
      <c r="J20" s="40" t="str">
        <f>""</f>
        <v/>
      </c>
      <c r="K20" s="40" t="str">
        <f>""</f>
        <v/>
      </c>
      <c r="L20" s="54" t="str">
        <f>""</f>
        <v/>
      </c>
      <c r="M20" s="40" t="str">
        <f>""</f>
        <v/>
      </c>
      <c r="N20" s="40" t="str">
        <f>""</f>
        <v/>
      </c>
      <c r="O20" s="40" t="str">
        <f>""</f>
        <v/>
      </c>
      <c r="P20" s="40" t="str">
        <f>""</f>
        <v/>
      </c>
      <c r="Q20" s="40" t="str">
        <f>""</f>
        <v/>
      </c>
      <c r="R20" s="40" t="str">
        <f>""</f>
        <v/>
      </c>
      <c r="S20" s="40" t="str">
        <f>"[0.022]"</f>
        <v>[0.022]</v>
      </c>
      <c r="T20" s="40" t="str">
        <f>""</f>
        <v/>
      </c>
      <c r="U20" s="40" t="str">
        <f>""</f>
        <v/>
      </c>
      <c r="V20" s="40" t="str">
        <f>""</f>
        <v/>
      </c>
    </row>
    <row r="21" spans="2:22" x14ac:dyDescent="0.2">
      <c r="B21" s="15" t="s">
        <v>18</v>
      </c>
      <c r="C21" s="40" t="str">
        <f>""</f>
        <v/>
      </c>
      <c r="D21" s="40" t="str">
        <f>""</f>
        <v/>
      </c>
      <c r="E21" s="40" t="str">
        <f>""</f>
        <v/>
      </c>
      <c r="F21" s="40" t="str">
        <f>""</f>
        <v/>
      </c>
      <c r="G21" s="40" t="str">
        <f>""</f>
        <v/>
      </c>
      <c r="H21" s="40" t="str">
        <f>""</f>
        <v/>
      </c>
      <c r="I21" s="40" t="str">
        <f>""</f>
        <v/>
      </c>
      <c r="J21" s="40" t="str">
        <f>"-0.002"</f>
        <v>-0.002</v>
      </c>
      <c r="K21" s="40" t="str">
        <f>""</f>
        <v/>
      </c>
      <c r="L21" s="54" t="str">
        <f>""</f>
        <v/>
      </c>
      <c r="M21" s="40" t="str">
        <f>""</f>
        <v/>
      </c>
      <c r="N21" s="40" t="str">
        <f>""</f>
        <v/>
      </c>
      <c r="O21" s="40" t="str">
        <f>""</f>
        <v/>
      </c>
      <c r="P21" s="40" t="str">
        <f>""</f>
        <v/>
      </c>
      <c r="Q21" s="40" t="str">
        <f>""</f>
        <v/>
      </c>
      <c r="R21" s="40" t="str">
        <f>""</f>
        <v/>
      </c>
      <c r="S21" s="40" t="str">
        <f>""</f>
        <v/>
      </c>
      <c r="T21" s="40" t="str">
        <f>"0.003"</f>
        <v>0.003</v>
      </c>
      <c r="U21" s="40" t="str">
        <f>""</f>
        <v/>
      </c>
      <c r="V21" s="40" t="str">
        <f>""</f>
        <v/>
      </c>
    </row>
    <row r="22" spans="2:22" x14ac:dyDescent="0.2">
      <c r="B22" s="30"/>
      <c r="C22" s="40" t="str">
        <f>""</f>
        <v/>
      </c>
      <c r="D22" s="40" t="str">
        <f>""</f>
        <v/>
      </c>
      <c r="E22" s="40" t="str">
        <f>""</f>
        <v/>
      </c>
      <c r="F22" s="40" t="str">
        <f>""</f>
        <v/>
      </c>
      <c r="G22" s="40" t="str">
        <f>""</f>
        <v/>
      </c>
      <c r="H22" s="40" t="str">
        <f>""</f>
        <v/>
      </c>
      <c r="I22" s="40" t="str">
        <f>""</f>
        <v/>
      </c>
      <c r="J22" s="40" t="str">
        <f>"[0.003]"</f>
        <v>[0.003]</v>
      </c>
      <c r="K22" s="40" t="str">
        <f>""</f>
        <v/>
      </c>
      <c r="L22" s="54" t="str">
        <f>""</f>
        <v/>
      </c>
      <c r="M22" s="40" t="str">
        <f>""</f>
        <v/>
      </c>
      <c r="N22" s="40" t="str">
        <f>""</f>
        <v/>
      </c>
      <c r="O22" s="40" t="str">
        <f>""</f>
        <v/>
      </c>
      <c r="P22" s="40" t="str">
        <f>""</f>
        <v/>
      </c>
      <c r="Q22" s="40" t="str">
        <f>""</f>
        <v/>
      </c>
      <c r="R22" s="40" t="str">
        <f>""</f>
        <v/>
      </c>
      <c r="S22" s="40" t="str">
        <f>""</f>
        <v/>
      </c>
      <c r="T22" s="40" t="str">
        <f>"[0.003]"</f>
        <v>[0.003]</v>
      </c>
      <c r="U22" s="40" t="str">
        <f>""</f>
        <v/>
      </c>
      <c r="V22" s="40" t="str">
        <f>""</f>
        <v/>
      </c>
    </row>
    <row r="23" spans="2:22" x14ac:dyDescent="0.2">
      <c r="B23" s="15" t="s">
        <v>19</v>
      </c>
      <c r="C23" s="40" t="str">
        <f>""</f>
        <v/>
      </c>
      <c r="D23" s="40" t="str">
        <f>""</f>
        <v/>
      </c>
      <c r="E23" s="40" t="str">
        <f>""</f>
        <v/>
      </c>
      <c r="F23" s="40" t="str">
        <f>""</f>
        <v/>
      </c>
      <c r="G23" s="40" t="str">
        <f>""</f>
        <v/>
      </c>
      <c r="H23" s="40" t="str">
        <f>""</f>
        <v/>
      </c>
      <c r="I23" s="40" t="str">
        <f>""</f>
        <v/>
      </c>
      <c r="J23" s="40" t="str">
        <f>""</f>
        <v/>
      </c>
      <c r="K23" s="40" t="str">
        <f>"0.011***"</f>
        <v>0.011***</v>
      </c>
      <c r="L23" s="54" t="str">
        <f>""</f>
        <v/>
      </c>
      <c r="M23" s="40" t="str">
        <f>""</f>
        <v/>
      </c>
      <c r="N23" s="40" t="str">
        <f>""</f>
        <v/>
      </c>
      <c r="O23" s="40" t="str">
        <f>""</f>
        <v/>
      </c>
      <c r="P23" s="40" t="str">
        <f>""</f>
        <v/>
      </c>
      <c r="Q23" s="40" t="str">
        <f>""</f>
        <v/>
      </c>
      <c r="R23" s="40" t="str">
        <f>""</f>
        <v/>
      </c>
      <c r="S23" s="40" t="str">
        <f>""</f>
        <v/>
      </c>
      <c r="T23" s="40" t="str">
        <f>""</f>
        <v/>
      </c>
      <c r="U23" s="40" t="str">
        <f>"0.006***"</f>
        <v>0.006***</v>
      </c>
      <c r="V23" s="40" t="str">
        <f>""</f>
        <v/>
      </c>
    </row>
    <row r="24" spans="2:22" x14ac:dyDescent="0.2">
      <c r="B24" s="15"/>
      <c r="C24" s="40" t="str">
        <f>""</f>
        <v/>
      </c>
      <c r="D24" s="40" t="str">
        <f>""</f>
        <v/>
      </c>
      <c r="E24" s="40" t="str">
        <f>""</f>
        <v/>
      </c>
      <c r="F24" s="40" t="str">
        <f>""</f>
        <v/>
      </c>
      <c r="G24" s="40" t="str">
        <f>""</f>
        <v/>
      </c>
      <c r="H24" s="40" t="str">
        <f>""</f>
        <v/>
      </c>
      <c r="I24" s="40" t="str">
        <f>""</f>
        <v/>
      </c>
      <c r="J24" s="40" t="str">
        <f>""</f>
        <v/>
      </c>
      <c r="K24" s="40" t="str">
        <f>"[0.003]"</f>
        <v>[0.003]</v>
      </c>
      <c r="L24" s="54" t="str">
        <f>""</f>
        <v/>
      </c>
      <c r="M24" s="40" t="str">
        <f>""</f>
        <v/>
      </c>
      <c r="N24" s="40" t="str">
        <f>""</f>
        <v/>
      </c>
      <c r="O24" s="40" t="str">
        <f>""</f>
        <v/>
      </c>
      <c r="P24" s="40" t="str">
        <f>""</f>
        <v/>
      </c>
      <c r="Q24" s="40" t="str">
        <f>""</f>
        <v/>
      </c>
      <c r="R24" s="40" t="str">
        <f>""</f>
        <v/>
      </c>
      <c r="S24" s="40" t="str">
        <f>""</f>
        <v/>
      </c>
      <c r="T24" s="40" t="str">
        <f>""</f>
        <v/>
      </c>
      <c r="U24" s="40" t="str">
        <f>"[0.002]"</f>
        <v>[0.002]</v>
      </c>
      <c r="V24" s="40" t="str">
        <f>""</f>
        <v/>
      </c>
    </row>
    <row r="25" spans="2:22" x14ac:dyDescent="0.2">
      <c r="B25" s="15" t="s">
        <v>17</v>
      </c>
      <c r="C25" s="40" t="str">
        <f>""</f>
        <v/>
      </c>
      <c r="D25" s="40" t="str">
        <f>""</f>
        <v/>
      </c>
      <c r="E25" s="40" t="str">
        <f>""</f>
        <v/>
      </c>
      <c r="F25" s="40" t="str">
        <f>""</f>
        <v/>
      </c>
      <c r="G25" s="40" t="str">
        <f>""</f>
        <v/>
      </c>
      <c r="H25" s="40" t="str">
        <f>""</f>
        <v/>
      </c>
      <c r="I25" s="40" t="str">
        <f>""</f>
        <v/>
      </c>
      <c r="J25" s="40" t="str">
        <f>""</f>
        <v/>
      </c>
      <c r="K25" s="40" t="str">
        <f>""</f>
        <v/>
      </c>
      <c r="L25" s="54" t="str">
        <f>"0.008***"</f>
        <v>0.008***</v>
      </c>
      <c r="M25" s="40" t="str">
        <f>""</f>
        <v/>
      </c>
      <c r="N25" s="40" t="str">
        <f>""</f>
        <v/>
      </c>
      <c r="O25" s="40" t="str">
        <f>""</f>
        <v/>
      </c>
      <c r="P25" s="40" t="str">
        <f>""</f>
        <v/>
      </c>
      <c r="Q25" s="40" t="str">
        <f>""</f>
        <v/>
      </c>
      <c r="R25" s="40" t="str">
        <f>""</f>
        <v/>
      </c>
      <c r="S25" s="40" t="str">
        <f>""</f>
        <v/>
      </c>
      <c r="T25" s="40" t="str">
        <f>""</f>
        <v/>
      </c>
      <c r="U25" s="40" t="str">
        <f>""</f>
        <v/>
      </c>
      <c r="V25" s="40" t="str">
        <f>"0.006***"</f>
        <v>0.006***</v>
      </c>
    </row>
    <row r="26" spans="2:22" x14ac:dyDescent="0.2">
      <c r="B26" s="47"/>
      <c r="C26" s="42" t="str">
        <f>""</f>
        <v/>
      </c>
      <c r="D26" s="42" t="str">
        <f>""</f>
        <v/>
      </c>
      <c r="E26" s="42" t="str">
        <f>""</f>
        <v/>
      </c>
      <c r="F26" s="42" t="str">
        <f>""</f>
        <v/>
      </c>
      <c r="G26" s="42" t="str">
        <f>""</f>
        <v/>
      </c>
      <c r="H26" s="42" t="str">
        <f>""</f>
        <v/>
      </c>
      <c r="I26" s="42" t="str">
        <f>""</f>
        <v/>
      </c>
      <c r="J26" s="42" t="str">
        <f>""</f>
        <v/>
      </c>
      <c r="K26" s="42" t="str">
        <f>""</f>
        <v/>
      </c>
      <c r="L26" s="55" t="str">
        <f>"[0.003]"</f>
        <v>[0.003]</v>
      </c>
      <c r="M26" s="42" t="str">
        <f>""</f>
        <v/>
      </c>
      <c r="N26" s="42" t="str">
        <f>""</f>
        <v/>
      </c>
      <c r="O26" s="42" t="str">
        <f>""</f>
        <v/>
      </c>
      <c r="P26" s="42" t="str">
        <f>""</f>
        <v/>
      </c>
      <c r="Q26" s="42" t="str">
        <f>""</f>
        <v/>
      </c>
      <c r="R26" s="42" t="str">
        <f>""</f>
        <v/>
      </c>
      <c r="S26" s="42" t="str">
        <f>""</f>
        <v/>
      </c>
      <c r="T26" s="42" t="str">
        <f>""</f>
        <v/>
      </c>
      <c r="U26" s="42" t="str">
        <f>""</f>
        <v/>
      </c>
      <c r="V26" s="42" t="str">
        <f>"[0.002]"</f>
        <v>[0.002]</v>
      </c>
    </row>
    <row r="27" spans="2:22" x14ac:dyDescent="0.2">
      <c r="B27" s="16" t="s">
        <v>22</v>
      </c>
      <c r="C27" s="45" t="str">
        <f t="shared" ref="C27:V27" si="0">"8720"</f>
        <v>8720</v>
      </c>
      <c r="D27" s="45" t="str">
        <f t="shared" si="0"/>
        <v>8720</v>
      </c>
      <c r="E27" s="45" t="str">
        <f t="shared" si="0"/>
        <v>8720</v>
      </c>
      <c r="F27" s="45" t="str">
        <f t="shared" si="0"/>
        <v>8720</v>
      </c>
      <c r="G27" s="45" t="str">
        <f t="shared" si="0"/>
        <v>8720</v>
      </c>
      <c r="H27" s="45" t="str">
        <f t="shared" si="0"/>
        <v>8720</v>
      </c>
      <c r="I27" s="45" t="str">
        <f t="shared" si="0"/>
        <v>8720</v>
      </c>
      <c r="J27" s="45" t="str">
        <f t="shared" si="0"/>
        <v>8720</v>
      </c>
      <c r="K27" s="45" t="str">
        <f t="shared" si="0"/>
        <v>8720</v>
      </c>
      <c r="L27" s="56" t="str">
        <f t="shared" si="0"/>
        <v>8720</v>
      </c>
      <c r="M27" s="45" t="str">
        <f t="shared" si="0"/>
        <v>8720</v>
      </c>
      <c r="N27" s="45" t="str">
        <f t="shared" si="0"/>
        <v>8720</v>
      </c>
      <c r="O27" s="45" t="str">
        <f t="shared" si="0"/>
        <v>8720</v>
      </c>
      <c r="P27" s="45" t="str">
        <f t="shared" si="0"/>
        <v>8720</v>
      </c>
      <c r="Q27" s="45" t="str">
        <f t="shared" si="0"/>
        <v>8720</v>
      </c>
      <c r="R27" s="45" t="str">
        <f t="shared" si="0"/>
        <v>8720</v>
      </c>
      <c r="S27" s="45" t="str">
        <f t="shared" si="0"/>
        <v>8720</v>
      </c>
      <c r="T27" s="45" t="str">
        <f t="shared" si="0"/>
        <v>8720</v>
      </c>
      <c r="U27" s="45" t="str">
        <f t="shared" si="0"/>
        <v>8720</v>
      </c>
      <c r="V27" s="45" t="str">
        <f t="shared" si="0"/>
        <v>8720</v>
      </c>
    </row>
    <row r="28" spans="2:22" x14ac:dyDescent="0.2">
      <c r="B28" s="18" t="s">
        <v>23</v>
      </c>
      <c r="C28" s="40" t="str">
        <f t="shared" ref="C28:L28" si="1">"0.075"</f>
        <v>0.075</v>
      </c>
      <c r="D28" s="40" t="str">
        <f t="shared" si="1"/>
        <v>0.075</v>
      </c>
      <c r="E28" s="40" t="str">
        <f t="shared" si="1"/>
        <v>0.075</v>
      </c>
      <c r="F28" s="40" t="str">
        <f t="shared" si="1"/>
        <v>0.075</v>
      </c>
      <c r="G28" s="40" t="str">
        <f t="shared" si="1"/>
        <v>0.075</v>
      </c>
      <c r="H28" s="40" t="str">
        <f t="shared" si="1"/>
        <v>0.075</v>
      </c>
      <c r="I28" s="40" t="str">
        <f t="shared" si="1"/>
        <v>0.075</v>
      </c>
      <c r="J28" s="40" t="str">
        <f t="shared" si="1"/>
        <v>0.075</v>
      </c>
      <c r="K28" s="40" t="str">
        <f t="shared" si="1"/>
        <v>0.075</v>
      </c>
      <c r="L28" s="54" t="str">
        <f t="shared" si="1"/>
        <v>0.075</v>
      </c>
      <c r="M28" s="40" t="str">
        <f t="shared" ref="M28:V28" si="2">"0.047"</f>
        <v>0.047</v>
      </c>
      <c r="N28" s="40" t="str">
        <f t="shared" si="2"/>
        <v>0.047</v>
      </c>
      <c r="O28" s="40" t="str">
        <f t="shared" si="2"/>
        <v>0.047</v>
      </c>
      <c r="P28" s="40" t="str">
        <f t="shared" si="2"/>
        <v>0.047</v>
      </c>
      <c r="Q28" s="40" t="str">
        <f t="shared" si="2"/>
        <v>0.047</v>
      </c>
      <c r="R28" s="40" t="str">
        <f t="shared" si="2"/>
        <v>0.047</v>
      </c>
      <c r="S28" s="40" t="str">
        <f t="shared" si="2"/>
        <v>0.047</v>
      </c>
      <c r="T28" s="40" t="str">
        <f t="shared" si="2"/>
        <v>0.047</v>
      </c>
      <c r="U28" s="40" t="str">
        <f t="shared" si="2"/>
        <v>0.047</v>
      </c>
      <c r="V28" s="40" t="str">
        <f t="shared" si="2"/>
        <v>0.047</v>
      </c>
    </row>
    <row r="29" spans="2:22" x14ac:dyDescent="0.2">
      <c r="B29" s="20" t="s">
        <v>24</v>
      </c>
      <c r="C29" s="21" t="s">
        <v>25</v>
      </c>
      <c r="D29" s="21" t="s">
        <v>25</v>
      </c>
      <c r="E29" s="21" t="s">
        <v>25</v>
      </c>
      <c r="F29" s="21" t="s">
        <v>25</v>
      </c>
      <c r="G29" s="21" t="s">
        <v>25</v>
      </c>
      <c r="H29" s="21" t="s">
        <v>25</v>
      </c>
      <c r="I29" s="21" t="s">
        <v>25</v>
      </c>
      <c r="J29" s="21" t="s">
        <v>25</v>
      </c>
      <c r="K29" s="21" t="s">
        <v>25</v>
      </c>
      <c r="L29" s="35" t="s">
        <v>25</v>
      </c>
      <c r="M29" s="21" t="s">
        <v>25</v>
      </c>
      <c r="N29" s="21" t="s">
        <v>25</v>
      </c>
      <c r="O29" s="21" t="s">
        <v>25</v>
      </c>
      <c r="P29" s="21" t="s">
        <v>25</v>
      </c>
      <c r="Q29" s="21" t="s">
        <v>25</v>
      </c>
      <c r="R29" s="21" t="s">
        <v>25</v>
      </c>
      <c r="S29" s="21" t="s">
        <v>25</v>
      </c>
      <c r="T29" s="21" t="s">
        <v>25</v>
      </c>
      <c r="U29" s="21" t="s">
        <v>25</v>
      </c>
      <c r="V29" s="21" t="s">
        <v>25</v>
      </c>
    </row>
    <row r="30" spans="2:22" x14ac:dyDescent="0.2">
      <c r="B30" s="20" t="s">
        <v>26</v>
      </c>
      <c r="C30" s="21" t="s">
        <v>25</v>
      </c>
      <c r="D30" s="21" t="s">
        <v>25</v>
      </c>
      <c r="E30" s="21" t="s">
        <v>25</v>
      </c>
      <c r="F30" s="21" t="s">
        <v>25</v>
      </c>
      <c r="G30" s="21" t="s">
        <v>25</v>
      </c>
      <c r="H30" s="21" t="s">
        <v>25</v>
      </c>
      <c r="I30" s="21" t="s">
        <v>25</v>
      </c>
      <c r="J30" s="21" t="s">
        <v>25</v>
      </c>
      <c r="K30" s="21" t="s">
        <v>25</v>
      </c>
      <c r="L30" s="35" t="s">
        <v>25</v>
      </c>
      <c r="M30" s="21" t="s">
        <v>25</v>
      </c>
      <c r="N30" s="21" t="s">
        <v>25</v>
      </c>
      <c r="O30" s="21" t="s">
        <v>25</v>
      </c>
      <c r="P30" s="21" t="s">
        <v>25</v>
      </c>
      <c r="Q30" s="21" t="s">
        <v>25</v>
      </c>
      <c r="R30" s="21" t="s">
        <v>25</v>
      </c>
      <c r="S30" s="21" t="s">
        <v>25</v>
      </c>
      <c r="T30" s="21" t="s">
        <v>25</v>
      </c>
      <c r="U30" s="21" t="s">
        <v>25</v>
      </c>
      <c r="V30" s="21" t="s">
        <v>25</v>
      </c>
    </row>
    <row r="31" spans="2:22" x14ac:dyDescent="0.2">
      <c r="B31" s="22" t="s">
        <v>27</v>
      </c>
      <c r="C31" s="23" t="s">
        <v>25</v>
      </c>
      <c r="D31" s="23" t="s">
        <v>25</v>
      </c>
      <c r="E31" s="23" t="s">
        <v>25</v>
      </c>
      <c r="F31" s="23" t="s">
        <v>25</v>
      </c>
      <c r="G31" s="23" t="s">
        <v>25</v>
      </c>
      <c r="H31" s="23" t="s">
        <v>25</v>
      </c>
      <c r="I31" s="23" t="s">
        <v>25</v>
      </c>
      <c r="J31" s="23" t="s">
        <v>25</v>
      </c>
      <c r="K31" s="23" t="s">
        <v>25</v>
      </c>
      <c r="L31" s="36" t="s">
        <v>25</v>
      </c>
      <c r="M31" s="23" t="s">
        <v>25</v>
      </c>
      <c r="N31" s="23" t="s">
        <v>25</v>
      </c>
      <c r="O31" s="23" t="s">
        <v>25</v>
      </c>
      <c r="P31" s="23" t="s">
        <v>25</v>
      </c>
      <c r="Q31" s="23" t="s">
        <v>25</v>
      </c>
      <c r="R31" s="23" t="s">
        <v>25</v>
      </c>
      <c r="S31" s="23" t="s">
        <v>25</v>
      </c>
      <c r="T31" s="23" t="s">
        <v>25</v>
      </c>
      <c r="U31" s="23" t="s">
        <v>25</v>
      </c>
      <c r="V31" s="23" t="s">
        <v>25</v>
      </c>
    </row>
    <row r="32" spans="2:22" ht="72" customHeight="1" x14ac:dyDescent="0.2">
      <c r="B32" s="75" t="s">
        <v>54</v>
      </c>
      <c r="C32" s="75"/>
      <c r="D32" s="75"/>
      <c r="E32" s="75"/>
      <c r="F32" s="75"/>
      <c r="G32" s="75"/>
      <c r="H32" s="75"/>
      <c r="I32" s="75"/>
      <c r="J32" s="75"/>
      <c r="K32" s="75"/>
      <c r="L32" s="75"/>
      <c r="M32" s="75"/>
      <c r="N32" s="75"/>
      <c r="O32" s="75"/>
      <c r="P32" s="75"/>
      <c r="Q32" s="75"/>
      <c r="R32" s="75"/>
      <c r="S32" s="75"/>
      <c r="T32" s="75"/>
      <c r="U32" s="75"/>
      <c r="V32" s="75"/>
    </row>
  </sheetData>
  <mergeCells count="4">
    <mergeCell ref="B2:V2"/>
    <mergeCell ref="B32:V32"/>
    <mergeCell ref="C3:L3"/>
    <mergeCell ref="M3:V3"/>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7ED07-A7C7-C044-957C-56B016EDB792}">
  <dimension ref="B2:V32"/>
  <sheetViews>
    <sheetView showGridLines="0" workbookViewId="0">
      <selection activeCell="B3" sqref="B3"/>
    </sheetView>
  </sheetViews>
  <sheetFormatPr baseColWidth="10" defaultColWidth="11" defaultRowHeight="16" x14ac:dyDescent="0.2"/>
  <cols>
    <col min="2" max="2" width="57.1640625" customWidth="1"/>
  </cols>
  <sheetData>
    <row r="2" spans="2:22" x14ac:dyDescent="0.2">
      <c r="B2" s="74" t="s">
        <v>120</v>
      </c>
      <c r="C2" s="74"/>
      <c r="D2" s="74"/>
      <c r="E2" s="74"/>
      <c r="F2" s="74"/>
      <c r="G2" s="74"/>
      <c r="H2" s="74"/>
      <c r="I2" s="74"/>
      <c r="J2" s="74"/>
      <c r="K2" s="74"/>
      <c r="L2" s="74"/>
      <c r="M2" s="74"/>
      <c r="N2" s="74"/>
      <c r="O2" s="74"/>
      <c r="P2" s="74"/>
      <c r="Q2" s="74"/>
      <c r="R2" s="74"/>
      <c r="S2" s="74"/>
      <c r="T2" s="74"/>
      <c r="U2" s="74"/>
      <c r="V2" s="74"/>
    </row>
    <row r="3" spans="2:22" x14ac:dyDescent="0.2">
      <c r="B3" s="39"/>
      <c r="C3" s="81" t="s">
        <v>56</v>
      </c>
      <c r="D3" s="81"/>
      <c r="E3" s="81"/>
      <c r="F3" s="81"/>
      <c r="G3" s="81"/>
      <c r="H3" s="81"/>
      <c r="I3" s="81"/>
      <c r="J3" s="81"/>
      <c r="K3" s="81"/>
      <c r="L3" s="82"/>
      <c r="M3" s="83" t="s">
        <v>57</v>
      </c>
      <c r="N3" s="81"/>
      <c r="O3" s="81"/>
      <c r="P3" s="81"/>
      <c r="Q3" s="81"/>
      <c r="R3" s="81"/>
      <c r="S3" s="81"/>
      <c r="T3" s="81"/>
      <c r="U3" s="81"/>
      <c r="V3" s="81"/>
    </row>
    <row r="4" spans="2:22" ht="33" thickBot="1" x14ac:dyDescent="0.25">
      <c r="B4" s="29" t="s">
        <v>0</v>
      </c>
      <c r="C4" s="25" t="s">
        <v>1</v>
      </c>
      <c r="D4" s="25" t="s">
        <v>2</v>
      </c>
      <c r="E4" s="25" t="s">
        <v>3</v>
      </c>
      <c r="F4" s="25" t="s">
        <v>4</v>
      </c>
      <c r="G4" s="25" t="s">
        <v>5</v>
      </c>
      <c r="H4" s="25" t="s">
        <v>6</v>
      </c>
      <c r="I4" s="25" t="s">
        <v>7</v>
      </c>
      <c r="J4" s="25" t="s">
        <v>8</v>
      </c>
      <c r="K4" s="25" t="s">
        <v>9</v>
      </c>
      <c r="L4" s="37" t="s">
        <v>10</v>
      </c>
      <c r="M4" s="25" t="s">
        <v>11</v>
      </c>
      <c r="N4" s="25" t="s">
        <v>12</v>
      </c>
      <c r="O4" s="25" t="s">
        <v>28</v>
      </c>
      <c r="P4" s="25" t="s">
        <v>29</v>
      </c>
      <c r="Q4" s="25" t="s">
        <v>30</v>
      </c>
      <c r="R4" s="25" t="s">
        <v>31</v>
      </c>
      <c r="S4" s="25" t="s">
        <v>32</v>
      </c>
      <c r="T4" s="25" t="s">
        <v>33</v>
      </c>
      <c r="U4" s="25" t="s">
        <v>34</v>
      </c>
      <c r="V4" s="25" t="s">
        <v>35</v>
      </c>
    </row>
    <row r="5" spans="2:22" ht="17" thickTop="1" x14ac:dyDescent="0.2">
      <c r="B5" s="3" t="s">
        <v>13</v>
      </c>
      <c r="C5" s="4"/>
      <c r="D5" s="4"/>
      <c r="E5" s="4"/>
      <c r="F5" s="4"/>
      <c r="G5" s="4"/>
      <c r="H5" s="4"/>
      <c r="I5" s="4"/>
      <c r="J5" s="4"/>
      <c r="K5" s="4"/>
      <c r="L5" s="50"/>
      <c r="M5" s="4"/>
      <c r="N5" s="4"/>
      <c r="O5" s="4"/>
      <c r="P5" s="4"/>
      <c r="Q5" s="4"/>
      <c r="R5" s="4"/>
      <c r="S5" s="4"/>
      <c r="T5" s="4"/>
      <c r="U5" s="4"/>
      <c r="V5" s="48"/>
    </row>
    <row r="6" spans="2:22" x14ac:dyDescent="0.2">
      <c r="B6" s="5" t="s">
        <v>14</v>
      </c>
      <c r="C6" s="40" t="str">
        <f>"0.047**"</f>
        <v>0.047**</v>
      </c>
      <c r="D6" s="40" t="str">
        <f>""</f>
        <v/>
      </c>
      <c r="E6" s="40" t="str">
        <f>""</f>
        <v/>
      </c>
      <c r="F6" s="41" t="str">
        <f>""</f>
        <v/>
      </c>
      <c r="G6" s="41" t="str">
        <f>""</f>
        <v/>
      </c>
      <c r="H6" s="41" t="str">
        <f>""</f>
        <v/>
      </c>
      <c r="I6" s="41" t="str">
        <f>""</f>
        <v/>
      </c>
      <c r="J6" s="41" t="str">
        <f>""</f>
        <v/>
      </c>
      <c r="K6" s="41" t="str">
        <f>""</f>
        <v/>
      </c>
      <c r="L6" s="51" t="str">
        <f>""</f>
        <v/>
      </c>
      <c r="M6" s="40" t="str">
        <f>"0.008"</f>
        <v>0.008</v>
      </c>
      <c r="N6" s="40" t="str">
        <f>""</f>
        <v/>
      </c>
      <c r="O6" s="40" t="str">
        <f>""</f>
        <v/>
      </c>
      <c r="P6" s="41" t="str">
        <f>""</f>
        <v/>
      </c>
      <c r="Q6" s="41" t="str">
        <f>""</f>
        <v/>
      </c>
      <c r="R6" s="41" t="str">
        <f>""</f>
        <v/>
      </c>
      <c r="S6" s="41" t="str">
        <f>""</f>
        <v/>
      </c>
      <c r="T6" s="41" t="str">
        <f>""</f>
        <v/>
      </c>
      <c r="U6" s="41" t="str">
        <f>""</f>
        <v/>
      </c>
      <c r="V6" s="41" t="str">
        <f>""</f>
        <v/>
      </c>
    </row>
    <row r="7" spans="2:22" x14ac:dyDescent="0.2">
      <c r="B7" s="5"/>
      <c r="C7" s="40" t="str">
        <f>"[0.018]"</f>
        <v>[0.018]</v>
      </c>
      <c r="D7" s="40" t="str">
        <f>""</f>
        <v/>
      </c>
      <c r="E7" s="40" t="str">
        <f>""</f>
        <v/>
      </c>
      <c r="F7" s="41" t="str">
        <f>""</f>
        <v/>
      </c>
      <c r="G7" s="41" t="str">
        <f>""</f>
        <v/>
      </c>
      <c r="H7" s="41" t="str">
        <f>""</f>
        <v/>
      </c>
      <c r="I7" s="41" t="str">
        <f>""</f>
        <v/>
      </c>
      <c r="J7" s="41" t="str">
        <f>""</f>
        <v/>
      </c>
      <c r="K7" s="41" t="str">
        <f>""</f>
        <v/>
      </c>
      <c r="L7" s="51" t="str">
        <f>""</f>
        <v/>
      </c>
      <c r="M7" s="40" t="str">
        <f>"[0.017]"</f>
        <v>[0.017]</v>
      </c>
      <c r="N7" s="40" t="str">
        <f>""</f>
        <v/>
      </c>
      <c r="O7" s="40" t="str">
        <f>""</f>
        <v/>
      </c>
      <c r="P7" s="41" t="str">
        <f>""</f>
        <v/>
      </c>
      <c r="Q7" s="41" t="str">
        <f>""</f>
        <v/>
      </c>
      <c r="R7" s="41" t="str">
        <f>""</f>
        <v/>
      </c>
      <c r="S7" s="41" t="str">
        <f>""</f>
        <v/>
      </c>
      <c r="T7" s="41" t="str">
        <f>""</f>
        <v/>
      </c>
      <c r="U7" s="41" t="str">
        <f>""</f>
        <v/>
      </c>
      <c r="V7" s="41" t="str">
        <f>""</f>
        <v/>
      </c>
    </row>
    <row r="8" spans="2:22" x14ac:dyDescent="0.2">
      <c r="B8" s="8" t="s">
        <v>15</v>
      </c>
      <c r="C8" s="40" t="str">
        <f>""</f>
        <v/>
      </c>
      <c r="D8" s="12" t="str">
        <f>"0.281***"</f>
        <v>0.281***</v>
      </c>
      <c r="E8" s="40" t="str">
        <f>""</f>
        <v/>
      </c>
      <c r="F8" s="41" t="str">
        <f>""</f>
        <v/>
      </c>
      <c r="G8" s="41" t="str">
        <f>""</f>
        <v/>
      </c>
      <c r="H8" s="41" t="str">
        <f>""</f>
        <v/>
      </c>
      <c r="I8" s="41" t="str">
        <f>""</f>
        <v/>
      </c>
      <c r="J8" s="41" t="str">
        <f>""</f>
        <v/>
      </c>
      <c r="K8" s="41" t="str">
        <f>""</f>
        <v/>
      </c>
      <c r="L8" s="51" t="str">
        <f>""</f>
        <v/>
      </c>
      <c r="M8" s="40" t="str">
        <f>""</f>
        <v/>
      </c>
      <c r="N8" s="12" t="str">
        <f>"0.285**"</f>
        <v>0.285**</v>
      </c>
      <c r="O8" s="40" t="str">
        <f>""</f>
        <v/>
      </c>
      <c r="P8" s="41" t="str">
        <f>""</f>
        <v/>
      </c>
      <c r="Q8" s="41" t="str">
        <f>""</f>
        <v/>
      </c>
      <c r="R8" s="41" t="str">
        <f>""</f>
        <v/>
      </c>
      <c r="S8" s="41" t="str">
        <f>""</f>
        <v/>
      </c>
      <c r="T8" s="41" t="str">
        <f>""</f>
        <v/>
      </c>
      <c r="U8" s="41" t="str">
        <f>""</f>
        <v/>
      </c>
      <c r="V8" s="41" t="str">
        <f>""</f>
        <v/>
      </c>
    </row>
    <row r="9" spans="2:22" x14ac:dyDescent="0.2">
      <c r="B9" s="49" t="str">
        <f>""</f>
        <v/>
      </c>
      <c r="C9" s="42" t="str">
        <f>""</f>
        <v/>
      </c>
      <c r="D9" s="12" t="str">
        <f>"[0.099]"</f>
        <v>[0.099]</v>
      </c>
      <c r="E9" s="42" t="str">
        <f>""</f>
        <v/>
      </c>
      <c r="F9" s="43" t="str">
        <f>""</f>
        <v/>
      </c>
      <c r="G9" s="43" t="str">
        <f>""</f>
        <v/>
      </c>
      <c r="H9" s="43" t="str">
        <f>""</f>
        <v/>
      </c>
      <c r="I9" s="43" t="str">
        <f>""</f>
        <v/>
      </c>
      <c r="J9" s="43" t="str">
        <f>""</f>
        <v/>
      </c>
      <c r="K9" s="43" t="str">
        <f>""</f>
        <v/>
      </c>
      <c r="L9" s="52" t="str">
        <f>""</f>
        <v/>
      </c>
      <c r="M9" s="42" t="str">
        <f>""</f>
        <v/>
      </c>
      <c r="N9" s="28" t="str">
        <f>"[0.122]"</f>
        <v>[0.122]</v>
      </c>
      <c r="O9" s="42" t="str">
        <f>""</f>
        <v/>
      </c>
      <c r="P9" s="43" t="str">
        <f>""</f>
        <v/>
      </c>
      <c r="Q9" s="43" t="str">
        <f>""</f>
        <v/>
      </c>
      <c r="R9" s="43" t="str">
        <f>""</f>
        <v/>
      </c>
      <c r="S9" s="43" t="str">
        <f>""</f>
        <v/>
      </c>
      <c r="T9" s="43" t="str">
        <f>""</f>
        <v/>
      </c>
      <c r="U9" s="43" t="str">
        <f>""</f>
        <v/>
      </c>
      <c r="V9" s="43" t="str">
        <f>""</f>
        <v/>
      </c>
    </row>
    <row r="10" spans="2:22" x14ac:dyDescent="0.2">
      <c r="B10" s="9" t="s">
        <v>16</v>
      </c>
      <c r="C10" s="45"/>
      <c r="D10" s="45"/>
      <c r="E10" s="45"/>
      <c r="F10" s="46"/>
      <c r="G10" s="46"/>
      <c r="H10" s="46"/>
      <c r="I10" s="46"/>
      <c r="J10" s="46"/>
      <c r="K10" s="46"/>
      <c r="L10" s="53"/>
      <c r="M10" s="45"/>
      <c r="N10" s="45"/>
      <c r="O10" s="45"/>
      <c r="P10" s="46"/>
      <c r="Q10" s="46"/>
      <c r="R10" s="46"/>
      <c r="S10" s="46"/>
      <c r="T10" s="46"/>
      <c r="U10" s="46"/>
      <c r="V10" s="46"/>
    </row>
    <row r="11" spans="2:22" x14ac:dyDescent="0.2">
      <c r="B11" s="11" t="str">
        <f>"Loss of land (yes=1) for a household in a given year"</f>
        <v>Loss of land (yes=1) for a household in a given year</v>
      </c>
      <c r="C11" s="40" t="str">
        <f>""</f>
        <v/>
      </c>
      <c r="D11" s="40" t="str">
        <f>""</f>
        <v/>
      </c>
      <c r="E11" s="40" t="str">
        <f>"0.017"</f>
        <v>0.017</v>
      </c>
      <c r="F11" s="40" t="str">
        <f>""</f>
        <v/>
      </c>
      <c r="G11" s="40" t="str">
        <f>""</f>
        <v/>
      </c>
      <c r="H11" s="40" t="str">
        <f>""</f>
        <v/>
      </c>
      <c r="I11" s="40" t="str">
        <f>""</f>
        <v/>
      </c>
      <c r="J11" s="40" t="str">
        <f>""</f>
        <v/>
      </c>
      <c r="K11" s="40" t="str">
        <f>""</f>
        <v/>
      </c>
      <c r="L11" s="54" t="str">
        <f>""</f>
        <v/>
      </c>
      <c r="M11" s="40" t="str">
        <f>""</f>
        <v/>
      </c>
      <c r="N11" s="40" t="str">
        <f>""</f>
        <v/>
      </c>
      <c r="O11" s="40" t="str">
        <f>"-0.057**"</f>
        <v>-0.057**</v>
      </c>
      <c r="P11" s="40" t="str">
        <f>""</f>
        <v/>
      </c>
      <c r="Q11" s="40" t="str">
        <f>""</f>
        <v/>
      </c>
      <c r="R11" s="40" t="str">
        <f>""</f>
        <v/>
      </c>
      <c r="S11" s="40" t="str">
        <f>""</f>
        <v/>
      </c>
      <c r="T11" s="40" t="str">
        <f>""</f>
        <v/>
      </c>
      <c r="U11" s="40" t="str">
        <f>""</f>
        <v/>
      </c>
      <c r="V11" s="40" t="str">
        <f>""</f>
        <v/>
      </c>
    </row>
    <row r="12" spans="2:22" x14ac:dyDescent="0.2">
      <c r="B12" s="11" t="str">
        <f>""</f>
        <v/>
      </c>
      <c r="C12" s="40" t="str">
        <f>""</f>
        <v/>
      </c>
      <c r="D12" s="40" t="str">
        <f>""</f>
        <v/>
      </c>
      <c r="E12" s="40" t="str">
        <f>"[0.031]"</f>
        <v>[0.031]</v>
      </c>
      <c r="F12" s="40" t="str">
        <f>""</f>
        <v/>
      </c>
      <c r="G12" s="40" t="str">
        <f>""</f>
        <v/>
      </c>
      <c r="H12" s="40" t="str">
        <f>""</f>
        <v/>
      </c>
      <c r="I12" s="40" t="str">
        <f>""</f>
        <v/>
      </c>
      <c r="J12" s="40" t="str">
        <f>""</f>
        <v/>
      </c>
      <c r="K12" s="40" t="str">
        <f>""</f>
        <v/>
      </c>
      <c r="L12" s="54" t="str">
        <f>""</f>
        <v/>
      </c>
      <c r="M12" s="40" t="str">
        <f>""</f>
        <v/>
      </c>
      <c r="N12" s="40" t="str">
        <f>""</f>
        <v/>
      </c>
      <c r="O12" s="40" t="str">
        <f>"[0.027]"</f>
        <v>[0.027]</v>
      </c>
      <c r="P12" s="40" t="str">
        <f>""</f>
        <v/>
      </c>
      <c r="Q12" s="40" t="str">
        <f>""</f>
        <v/>
      </c>
      <c r="R12" s="40" t="str">
        <f>""</f>
        <v/>
      </c>
      <c r="S12" s="40" t="str">
        <f>""</f>
        <v/>
      </c>
      <c r="T12" s="40" t="str">
        <f>""</f>
        <v/>
      </c>
      <c r="U12" s="40" t="str">
        <f>""</f>
        <v/>
      </c>
      <c r="V12" s="40" t="str">
        <f>""</f>
        <v/>
      </c>
    </row>
    <row r="13" spans="2:22" x14ac:dyDescent="0.2">
      <c r="B13" s="11" t="str">
        <f>"Theft of crops (yes=1) for a household in a given year"</f>
        <v>Theft of crops (yes=1) for a household in a given year</v>
      </c>
      <c r="C13" s="40" t="str">
        <f>""</f>
        <v/>
      </c>
      <c r="D13" s="40" t="str">
        <f>""</f>
        <v/>
      </c>
      <c r="E13" s="40" t="str">
        <f>""</f>
        <v/>
      </c>
      <c r="F13" s="40" t="str">
        <f>"0.008"</f>
        <v>0.008</v>
      </c>
      <c r="G13" s="40" t="str">
        <f>""</f>
        <v/>
      </c>
      <c r="H13" s="40" t="str">
        <f>""</f>
        <v/>
      </c>
      <c r="I13" s="40" t="str">
        <f>""</f>
        <v/>
      </c>
      <c r="J13" s="40" t="str">
        <f>""</f>
        <v/>
      </c>
      <c r="K13" s="40" t="str">
        <f>""</f>
        <v/>
      </c>
      <c r="L13" s="54" t="str">
        <f>""</f>
        <v/>
      </c>
      <c r="M13" s="40" t="str">
        <f>""</f>
        <v/>
      </c>
      <c r="N13" s="40" t="str">
        <f>""</f>
        <v/>
      </c>
      <c r="O13" s="40" t="str">
        <f>""</f>
        <v/>
      </c>
      <c r="P13" s="40" t="str">
        <f>"0.001"</f>
        <v>0.001</v>
      </c>
      <c r="Q13" s="40" t="str">
        <f>""</f>
        <v/>
      </c>
      <c r="R13" s="40" t="str">
        <f>""</f>
        <v/>
      </c>
      <c r="S13" s="40" t="str">
        <f>""</f>
        <v/>
      </c>
      <c r="T13" s="40" t="str">
        <f>""</f>
        <v/>
      </c>
      <c r="U13" s="40" t="str">
        <f>""</f>
        <v/>
      </c>
      <c r="V13" s="40" t="str">
        <f>""</f>
        <v/>
      </c>
    </row>
    <row r="14" spans="2:22" x14ac:dyDescent="0.2">
      <c r="B14" s="11" t="str">
        <f>""</f>
        <v/>
      </c>
      <c r="C14" s="40" t="str">
        <f>""</f>
        <v/>
      </c>
      <c r="D14" s="40" t="str">
        <f>""</f>
        <v/>
      </c>
      <c r="E14" s="40" t="str">
        <f>""</f>
        <v/>
      </c>
      <c r="F14" s="40" t="str">
        <f>"[0.014]"</f>
        <v>[0.014]</v>
      </c>
      <c r="G14" s="40" t="str">
        <f>""</f>
        <v/>
      </c>
      <c r="H14" s="40" t="str">
        <f>""</f>
        <v/>
      </c>
      <c r="I14" s="40" t="str">
        <f>""</f>
        <v/>
      </c>
      <c r="J14" s="40" t="str">
        <f>""</f>
        <v/>
      </c>
      <c r="K14" s="40" t="str">
        <f>""</f>
        <v/>
      </c>
      <c r="L14" s="54" t="str">
        <f>""</f>
        <v/>
      </c>
      <c r="M14" s="40" t="str">
        <f>""</f>
        <v/>
      </c>
      <c r="N14" s="40" t="str">
        <f>""</f>
        <v/>
      </c>
      <c r="O14" s="40" t="str">
        <f>""</f>
        <v/>
      </c>
      <c r="P14" s="40" t="str">
        <f>"[0.018]"</f>
        <v>[0.018]</v>
      </c>
      <c r="Q14" s="40" t="str">
        <f>""</f>
        <v/>
      </c>
      <c r="R14" s="40" t="str">
        <f>""</f>
        <v/>
      </c>
      <c r="S14" s="40" t="str">
        <f>""</f>
        <v/>
      </c>
      <c r="T14" s="40" t="str">
        <f>""</f>
        <v/>
      </c>
      <c r="U14" s="40" t="str">
        <f>""</f>
        <v/>
      </c>
      <c r="V14" s="40" t="str">
        <f>""</f>
        <v/>
      </c>
    </row>
    <row r="15" spans="2:22" x14ac:dyDescent="0.2">
      <c r="B15" s="13" t="str">
        <f>"Theft of money (yes=1) for a household in a given year"</f>
        <v>Theft of money (yes=1) for a household in a given year</v>
      </c>
      <c r="C15" s="40" t="str">
        <f>""</f>
        <v/>
      </c>
      <c r="D15" s="40" t="str">
        <f>""</f>
        <v/>
      </c>
      <c r="E15" s="40" t="str">
        <f>""</f>
        <v/>
      </c>
      <c r="F15" s="40" t="str">
        <f>""</f>
        <v/>
      </c>
      <c r="G15" s="40" t="str">
        <f>"0.058**"</f>
        <v>0.058**</v>
      </c>
      <c r="H15" s="40" t="str">
        <f>""</f>
        <v/>
      </c>
      <c r="I15" s="40" t="str">
        <f>""</f>
        <v/>
      </c>
      <c r="J15" s="40" t="str">
        <f>""</f>
        <v/>
      </c>
      <c r="K15" s="40" t="str">
        <f>""</f>
        <v/>
      </c>
      <c r="L15" s="54" t="str">
        <f>""</f>
        <v/>
      </c>
      <c r="M15" s="40" t="str">
        <f>""</f>
        <v/>
      </c>
      <c r="N15" s="40" t="str">
        <f>""</f>
        <v/>
      </c>
      <c r="O15" s="40" t="str">
        <f>""</f>
        <v/>
      </c>
      <c r="P15" s="40" t="str">
        <f>""</f>
        <v/>
      </c>
      <c r="Q15" s="40" t="str">
        <f>"0.059"</f>
        <v>0.059</v>
      </c>
      <c r="R15" s="40" t="str">
        <f>""</f>
        <v/>
      </c>
      <c r="S15" s="40" t="str">
        <f>""</f>
        <v/>
      </c>
      <c r="T15" s="40" t="str">
        <f>""</f>
        <v/>
      </c>
      <c r="U15" s="40" t="str">
        <f>""</f>
        <v/>
      </c>
      <c r="V15" s="40" t="str">
        <f>""</f>
        <v/>
      </c>
    </row>
    <row r="16" spans="2:22" x14ac:dyDescent="0.2">
      <c r="B16" s="11" t="str">
        <f>""</f>
        <v/>
      </c>
      <c r="C16" s="40" t="str">
        <f>""</f>
        <v/>
      </c>
      <c r="D16" s="40" t="str">
        <f>""</f>
        <v/>
      </c>
      <c r="E16" s="40" t="str">
        <f>""</f>
        <v/>
      </c>
      <c r="F16" s="40" t="str">
        <f>""</f>
        <v/>
      </c>
      <c r="G16" s="40" t="str">
        <f>"[0.023]"</f>
        <v>[0.023]</v>
      </c>
      <c r="H16" s="40" t="str">
        <f>""</f>
        <v/>
      </c>
      <c r="I16" s="40" t="str">
        <f>""</f>
        <v/>
      </c>
      <c r="J16" s="40" t="str">
        <f>""</f>
        <v/>
      </c>
      <c r="K16" s="40" t="str">
        <f>""</f>
        <v/>
      </c>
      <c r="L16" s="54" t="str">
        <f>""</f>
        <v/>
      </c>
      <c r="M16" s="40" t="str">
        <f>""</f>
        <v/>
      </c>
      <c r="N16" s="40" t="str">
        <f>""</f>
        <v/>
      </c>
      <c r="O16" s="40" t="str">
        <f>""</f>
        <v/>
      </c>
      <c r="P16" s="40" t="str">
        <f>""</f>
        <v/>
      </c>
      <c r="Q16" s="40" t="str">
        <f>"[0.039]"</f>
        <v>[0.039]</v>
      </c>
      <c r="R16" s="40" t="str">
        <f>""</f>
        <v/>
      </c>
      <c r="S16" s="40" t="str">
        <f>""</f>
        <v/>
      </c>
      <c r="T16" s="40" t="str">
        <f>""</f>
        <v/>
      </c>
      <c r="U16" s="40" t="str">
        <f>""</f>
        <v/>
      </c>
      <c r="V16" s="40" t="str">
        <f>""</f>
        <v/>
      </c>
    </row>
    <row r="17" spans="2:22" x14ac:dyDescent="0.2">
      <c r="B17" s="11" t="str">
        <f>"Theft or destruction of goods (yes=1) for a household in a given year"</f>
        <v>Theft or destruction of goods (yes=1) for a household in a given year</v>
      </c>
      <c r="C17" s="40" t="str">
        <f>""</f>
        <v/>
      </c>
      <c r="D17" s="40" t="str">
        <f>""</f>
        <v/>
      </c>
      <c r="E17" s="40" t="str">
        <f>""</f>
        <v/>
      </c>
      <c r="F17" s="40" t="str">
        <f>""</f>
        <v/>
      </c>
      <c r="G17" s="40" t="str">
        <f>""</f>
        <v/>
      </c>
      <c r="H17" s="40" t="str">
        <f>"0.066***"</f>
        <v>0.066***</v>
      </c>
      <c r="I17" s="40" t="str">
        <f>""</f>
        <v/>
      </c>
      <c r="J17" s="40" t="str">
        <f>""</f>
        <v/>
      </c>
      <c r="K17" s="40" t="str">
        <f>""</f>
        <v/>
      </c>
      <c r="L17" s="54" t="str">
        <f>""</f>
        <v/>
      </c>
      <c r="M17" s="40" t="str">
        <f>""</f>
        <v/>
      </c>
      <c r="N17" s="40" t="str">
        <f>""</f>
        <v/>
      </c>
      <c r="O17" s="40" t="str">
        <f>""</f>
        <v/>
      </c>
      <c r="P17" s="40" t="str">
        <f>""</f>
        <v/>
      </c>
      <c r="Q17" s="40" t="str">
        <f>""</f>
        <v/>
      </c>
      <c r="R17" s="40" t="str">
        <f>"0.037"</f>
        <v>0.037</v>
      </c>
      <c r="S17" s="40" t="str">
        <f>""</f>
        <v/>
      </c>
      <c r="T17" s="40" t="str">
        <f>""</f>
        <v/>
      </c>
      <c r="U17" s="40" t="str">
        <f>""</f>
        <v/>
      </c>
      <c r="V17" s="40" t="str">
        <f>""</f>
        <v/>
      </c>
    </row>
    <row r="18" spans="2:22" x14ac:dyDescent="0.2">
      <c r="B18" s="11"/>
      <c r="C18" s="40" t="str">
        <f>""</f>
        <v/>
      </c>
      <c r="D18" s="40" t="str">
        <f>""</f>
        <v/>
      </c>
      <c r="E18" s="40" t="str">
        <f>""</f>
        <v/>
      </c>
      <c r="F18" s="40" t="str">
        <f>""</f>
        <v/>
      </c>
      <c r="G18" s="40" t="str">
        <f>""</f>
        <v/>
      </c>
      <c r="H18" s="40" t="str">
        <f>"[0.024]"</f>
        <v>[0.024]</v>
      </c>
      <c r="I18" s="40" t="str">
        <f>""</f>
        <v/>
      </c>
      <c r="J18" s="40" t="str">
        <f>""</f>
        <v/>
      </c>
      <c r="K18" s="40" t="str">
        <f>""</f>
        <v/>
      </c>
      <c r="L18" s="54" t="str">
        <f>""</f>
        <v/>
      </c>
      <c r="M18" s="40" t="str">
        <f>""</f>
        <v/>
      </c>
      <c r="N18" s="40" t="str">
        <f>""</f>
        <v/>
      </c>
      <c r="O18" s="40" t="str">
        <f>""</f>
        <v/>
      </c>
      <c r="P18" s="40" t="str">
        <f>""</f>
        <v/>
      </c>
      <c r="Q18" s="40" t="str">
        <f>""</f>
        <v/>
      </c>
      <c r="R18" s="40" t="str">
        <f>"[0.034]"</f>
        <v>[0.034]</v>
      </c>
      <c r="S18" s="40" t="str">
        <f>""</f>
        <v/>
      </c>
      <c r="T18" s="40" t="str">
        <f>""</f>
        <v/>
      </c>
      <c r="U18" s="40" t="str">
        <f>""</f>
        <v/>
      </c>
      <c r="V18" s="40" t="str">
        <f>""</f>
        <v/>
      </c>
    </row>
    <row r="19" spans="2:22" x14ac:dyDescent="0.2">
      <c r="B19" s="11" t="str">
        <f>"Destruction of house (yes=1) for a household in a given year"</f>
        <v>Destruction of house (yes=1) for a household in a given year</v>
      </c>
      <c r="C19" s="40" t="str">
        <f>""</f>
        <v/>
      </c>
      <c r="D19" s="40" t="str">
        <f>""</f>
        <v/>
      </c>
      <c r="E19" s="40" t="str">
        <f>""</f>
        <v/>
      </c>
      <c r="F19" s="40" t="str">
        <f>""</f>
        <v/>
      </c>
      <c r="G19" s="40" t="str">
        <f>""</f>
        <v/>
      </c>
      <c r="H19" s="40" t="str">
        <f>""</f>
        <v/>
      </c>
      <c r="I19" s="40" t="str">
        <f>"0.073*"</f>
        <v>0.073*</v>
      </c>
      <c r="J19" s="40" t="str">
        <f>""</f>
        <v/>
      </c>
      <c r="K19" s="40" t="str">
        <f>""</f>
        <v/>
      </c>
      <c r="L19" s="54" t="str">
        <f>""</f>
        <v/>
      </c>
      <c r="M19" s="40" t="str">
        <f>""</f>
        <v/>
      </c>
      <c r="N19" s="40" t="str">
        <f>""</f>
        <v/>
      </c>
      <c r="O19" s="40" t="str">
        <f>""</f>
        <v/>
      </c>
      <c r="P19" s="40" t="str">
        <f>""</f>
        <v/>
      </c>
      <c r="Q19" s="40" t="str">
        <f>""</f>
        <v/>
      </c>
      <c r="R19" s="40" t="str">
        <f>""</f>
        <v/>
      </c>
      <c r="S19" s="40" t="str">
        <f>"0.086*"</f>
        <v>0.086*</v>
      </c>
      <c r="T19" s="40" t="str">
        <f>""</f>
        <v/>
      </c>
      <c r="U19" s="40" t="str">
        <f>""</f>
        <v/>
      </c>
      <c r="V19" s="40" t="str">
        <f>""</f>
        <v/>
      </c>
    </row>
    <row r="20" spans="2:22" x14ac:dyDescent="0.2">
      <c r="B20" s="11"/>
      <c r="C20" s="40" t="str">
        <f>""</f>
        <v/>
      </c>
      <c r="D20" s="40" t="str">
        <f>""</f>
        <v/>
      </c>
      <c r="E20" s="40" t="str">
        <f>""</f>
        <v/>
      </c>
      <c r="F20" s="40" t="str">
        <f>""</f>
        <v/>
      </c>
      <c r="G20" s="40" t="str">
        <f>""</f>
        <v/>
      </c>
      <c r="H20" s="40" t="str">
        <f>""</f>
        <v/>
      </c>
      <c r="I20" s="40" t="str">
        <f>"[0.039]"</f>
        <v>[0.039]</v>
      </c>
      <c r="J20" s="40" t="str">
        <f>""</f>
        <v/>
      </c>
      <c r="K20" s="40" t="str">
        <f>""</f>
        <v/>
      </c>
      <c r="L20" s="54" t="str">
        <f>""</f>
        <v/>
      </c>
      <c r="M20" s="40" t="str">
        <f>""</f>
        <v/>
      </c>
      <c r="N20" s="40" t="str">
        <f>""</f>
        <v/>
      </c>
      <c r="O20" s="40" t="str">
        <f>""</f>
        <v/>
      </c>
      <c r="P20" s="40" t="str">
        <f>""</f>
        <v/>
      </c>
      <c r="Q20" s="40" t="str">
        <f>""</f>
        <v/>
      </c>
      <c r="R20" s="40" t="str">
        <f>""</f>
        <v/>
      </c>
      <c r="S20" s="40" t="str">
        <f>"[0.049]"</f>
        <v>[0.049]</v>
      </c>
      <c r="T20" s="40" t="str">
        <f>""</f>
        <v/>
      </c>
      <c r="U20" s="40" t="str">
        <f>""</f>
        <v/>
      </c>
      <c r="V20" s="40" t="str">
        <f>""</f>
        <v/>
      </c>
    </row>
    <row r="21" spans="2:22" x14ac:dyDescent="0.2">
      <c r="B21" s="15" t="s">
        <v>18</v>
      </c>
      <c r="C21" s="40" t="str">
        <f>""</f>
        <v/>
      </c>
      <c r="D21" s="40" t="str">
        <f>""</f>
        <v/>
      </c>
      <c r="E21" s="40" t="str">
        <f>""</f>
        <v/>
      </c>
      <c r="F21" s="40" t="str">
        <f>""</f>
        <v/>
      </c>
      <c r="G21" s="40" t="str">
        <f>""</f>
        <v/>
      </c>
      <c r="H21" s="40" t="str">
        <f>""</f>
        <v/>
      </c>
      <c r="I21" s="40" t="str">
        <f>""</f>
        <v/>
      </c>
      <c r="J21" s="40" t="str">
        <f>"0.003"</f>
        <v>0.003</v>
      </c>
      <c r="K21" s="40" t="str">
        <f>""</f>
        <v/>
      </c>
      <c r="L21" s="54" t="str">
        <f>""</f>
        <v/>
      </c>
      <c r="M21" s="40" t="str">
        <f>""</f>
        <v/>
      </c>
      <c r="N21" s="40" t="str">
        <f>""</f>
        <v/>
      </c>
      <c r="O21" s="40" t="str">
        <f>""</f>
        <v/>
      </c>
      <c r="P21" s="40" t="str">
        <f>""</f>
        <v/>
      </c>
      <c r="Q21" s="40" t="str">
        <f>""</f>
        <v/>
      </c>
      <c r="R21" s="40" t="str">
        <f>""</f>
        <v/>
      </c>
      <c r="S21" s="40" t="str">
        <f>""</f>
        <v/>
      </c>
      <c r="T21" s="40" t="str">
        <f>"-0.005"</f>
        <v>-0.005</v>
      </c>
      <c r="U21" s="40" t="str">
        <f>""</f>
        <v/>
      </c>
      <c r="V21" s="40" t="str">
        <f>""</f>
        <v/>
      </c>
    </row>
    <row r="22" spans="2:22" x14ac:dyDescent="0.2">
      <c r="B22" s="30"/>
      <c r="C22" s="40" t="str">
        <f>""</f>
        <v/>
      </c>
      <c r="D22" s="40" t="str">
        <f>""</f>
        <v/>
      </c>
      <c r="E22" s="40" t="str">
        <f>""</f>
        <v/>
      </c>
      <c r="F22" s="40" t="str">
        <f>""</f>
        <v/>
      </c>
      <c r="G22" s="40" t="str">
        <f>""</f>
        <v/>
      </c>
      <c r="H22" s="40" t="str">
        <f>""</f>
        <v/>
      </c>
      <c r="I22" s="40" t="str">
        <f>""</f>
        <v/>
      </c>
      <c r="J22" s="40" t="str">
        <f>"[0.004]"</f>
        <v>[0.004]</v>
      </c>
      <c r="K22" s="40" t="str">
        <f>""</f>
        <v/>
      </c>
      <c r="L22" s="54" t="str">
        <f>""</f>
        <v/>
      </c>
      <c r="M22" s="40" t="str">
        <f>""</f>
        <v/>
      </c>
      <c r="N22" s="40" t="str">
        <f>""</f>
        <v/>
      </c>
      <c r="O22" s="40" t="str">
        <f>""</f>
        <v/>
      </c>
      <c r="P22" s="40" t="str">
        <f>""</f>
        <v/>
      </c>
      <c r="Q22" s="40" t="str">
        <f>""</f>
        <v/>
      </c>
      <c r="R22" s="40" t="str">
        <f>""</f>
        <v/>
      </c>
      <c r="S22" s="40" t="str">
        <f>""</f>
        <v/>
      </c>
      <c r="T22" s="40" t="str">
        <f>"[0.004]"</f>
        <v>[0.004]</v>
      </c>
      <c r="U22" s="40" t="str">
        <f>""</f>
        <v/>
      </c>
      <c r="V22" s="40" t="str">
        <f>""</f>
        <v/>
      </c>
    </row>
    <row r="23" spans="2:22" x14ac:dyDescent="0.2">
      <c r="B23" s="15" t="s">
        <v>19</v>
      </c>
      <c r="C23" s="40" t="str">
        <f>""</f>
        <v/>
      </c>
      <c r="D23" s="40" t="str">
        <f>""</f>
        <v/>
      </c>
      <c r="E23" s="40" t="str">
        <f>""</f>
        <v/>
      </c>
      <c r="F23" s="40" t="str">
        <f>""</f>
        <v/>
      </c>
      <c r="G23" s="40" t="str">
        <f>""</f>
        <v/>
      </c>
      <c r="H23" s="40" t="str">
        <f>""</f>
        <v/>
      </c>
      <c r="I23" s="40" t="str">
        <f>""</f>
        <v/>
      </c>
      <c r="J23" s="40" t="str">
        <f>""</f>
        <v/>
      </c>
      <c r="K23" s="40" t="str">
        <f>"0.011***"</f>
        <v>0.011***</v>
      </c>
      <c r="L23" s="54" t="str">
        <f>""</f>
        <v/>
      </c>
      <c r="M23" s="40" t="str">
        <f>""</f>
        <v/>
      </c>
      <c r="N23" s="40" t="str">
        <f>""</f>
        <v/>
      </c>
      <c r="O23" s="40" t="str">
        <f>""</f>
        <v/>
      </c>
      <c r="P23" s="40" t="str">
        <f>""</f>
        <v/>
      </c>
      <c r="Q23" s="40" t="str">
        <f>""</f>
        <v/>
      </c>
      <c r="R23" s="40" t="str">
        <f>""</f>
        <v/>
      </c>
      <c r="S23" s="40" t="str">
        <f>""</f>
        <v/>
      </c>
      <c r="T23" s="40" t="str">
        <f>""</f>
        <v/>
      </c>
      <c r="U23" s="40" t="str">
        <f>"0.010*"</f>
        <v>0.010*</v>
      </c>
      <c r="V23" s="40" t="str">
        <f>""</f>
        <v/>
      </c>
    </row>
    <row r="24" spans="2:22" x14ac:dyDescent="0.2">
      <c r="B24" s="15"/>
      <c r="C24" s="40" t="str">
        <f>""</f>
        <v/>
      </c>
      <c r="D24" s="40" t="str">
        <f>""</f>
        <v/>
      </c>
      <c r="E24" s="40" t="str">
        <f>""</f>
        <v/>
      </c>
      <c r="F24" s="40" t="str">
        <f>""</f>
        <v/>
      </c>
      <c r="G24" s="40" t="str">
        <f>""</f>
        <v/>
      </c>
      <c r="H24" s="40" t="str">
        <f>""</f>
        <v/>
      </c>
      <c r="I24" s="40" t="str">
        <f>""</f>
        <v/>
      </c>
      <c r="J24" s="40" t="str">
        <f>""</f>
        <v/>
      </c>
      <c r="K24" s="40" t="str">
        <f>"[0.003]"</f>
        <v>[0.003]</v>
      </c>
      <c r="L24" s="54" t="str">
        <f>""</f>
        <v/>
      </c>
      <c r="M24" s="40" t="str">
        <f>""</f>
        <v/>
      </c>
      <c r="N24" s="40" t="str">
        <f>""</f>
        <v/>
      </c>
      <c r="O24" s="40" t="str">
        <f>""</f>
        <v/>
      </c>
      <c r="P24" s="40" t="str">
        <f>""</f>
        <v/>
      </c>
      <c r="Q24" s="40" t="str">
        <f>""</f>
        <v/>
      </c>
      <c r="R24" s="40" t="str">
        <f>""</f>
        <v/>
      </c>
      <c r="S24" s="40" t="str">
        <f>""</f>
        <v/>
      </c>
      <c r="T24" s="40" t="str">
        <f>""</f>
        <v/>
      </c>
      <c r="U24" s="40" t="str">
        <f>"[0.005]"</f>
        <v>[0.005]</v>
      </c>
      <c r="V24" s="40" t="str">
        <f>""</f>
        <v/>
      </c>
    </row>
    <row r="25" spans="2:22" x14ac:dyDescent="0.2">
      <c r="B25" s="15" t="s">
        <v>17</v>
      </c>
      <c r="C25" s="40" t="str">
        <f>""</f>
        <v/>
      </c>
      <c r="D25" s="40" t="str">
        <f>""</f>
        <v/>
      </c>
      <c r="E25" s="40" t="str">
        <f>""</f>
        <v/>
      </c>
      <c r="F25" s="40" t="str">
        <f>""</f>
        <v/>
      </c>
      <c r="G25" s="40" t="str">
        <f>""</f>
        <v/>
      </c>
      <c r="H25" s="40" t="str">
        <f>""</f>
        <v/>
      </c>
      <c r="I25" s="40" t="str">
        <f>""</f>
        <v/>
      </c>
      <c r="J25" s="40" t="str">
        <f>""</f>
        <v/>
      </c>
      <c r="K25" s="40" t="str">
        <f>""</f>
        <v/>
      </c>
      <c r="L25" s="54" t="str">
        <f>"0.009***"</f>
        <v>0.009***</v>
      </c>
      <c r="M25" s="40" t="str">
        <f>""</f>
        <v/>
      </c>
      <c r="N25" s="40" t="str">
        <f>""</f>
        <v/>
      </c>
      <c r="O25" s="40" t="str">
        <f>""</f>
        <v/>
      </c>
      <c r="P25" s="40" t="str">
        <f>""</f>
        <v/>
      </c>
      <c r="Q25" s="40" t="str">
        <f>""</f>
        <v/>
      </c>
      <c r="R25" s="40" t="str">
        <f>""</f>
        <v/>
      </c>
      <c r="S25" s="40" t="str">
        <f>""</f>
        <v/>
      </c>
      <c r="T25" s="40" t="str">
        <f>""</f>
        <v/>
      </c>
      <c r="U25" s="40" t="str">
        <f>""</f>
        <v/>
      </c>
      <c r="V25" s="40" t="str">
        <f>"0.007"</f>
        <v>0.007</v>
      </c>
    </row>
    <row r="26" spans="2:22" x14ac:dyDescent="0.2">
      <c r="B26" s="47"/>
      <c r="C26" s="42" t="str">
        <f>""</f>
        <v/>
      </c>
      <c r="D26" s="42" t="str">
        <f>""</f>
        <v/>
      </c>
      <c r="E26" s="42" t="str">
        <f>""</f>
        <v/>
      </c>
      <c r="F26" s="42" t="str">
        <f>""</f>
        <v/>
      </c>
      <c r="G26" s="42" t="str">
        <f>""</f>
        <v/>
      </c>
      <c r="H26" s="42" t="str">
        <f>""</f>
        <v/>
      </c>
      <c r="I26" s="42" t="str">
        <f>""</f>
        <v/>
      </c>
      <c r="J26" s="42" t="str">
        <f>""</f>
        <v/>
      </c>
      <c r="K26" s="42" t="str">
        <f>""</f>
        <v/>
      </c>
      <c r="L26" s="55" t="str">
        <f>"[0.003]"</f>
        <v>[0.003]</v>
      </c>
      <c r="M26" s="42" t="str">
        <f>""</f>
        <v/>
      </c>
      <c r="N26" s="42" t="str">
        <f>""</f>
        <v/>
      </c>
      <c r="O26" s="42" t="str">
        <f>""</f>
        <v/>
      </c>
      <c r="P26" s="42" t="str">
        <f>""</f>
        <v/>
      </c>
      <c r="Q26" s="42" t="str">
        <f>""</f>
        <v/>
      </c>
      <c r="R26" s="42" t="str">
        <f>""</f>
        <v/>
      </c>
      <c r="S26" s="42" t="str">
        <f>""</f>
        <v/>
      </c>
      <c r="T26" s="42" t="str">
        <f>""</f>
        <v/>
      </c>
      <c r="U26" s="42" t="str">
        <f>""</f>
        <v/>
      </c>
      <c r="V26" s="42" t="str">
        <f>"[0.005]"</f>
        <v>[0.005]</v>
      </c>
    </row>
    <row r="27" spans="2:22" x14ac:dyDescent="0.2">
      <c r="B27" s="16" t="s">
        <v>22</v>
      </c>
      <c r="C27" s="45" t="str">
        <f t="shared" ref="C27:L27" si="0">"5970"</f>
        <v>5970</v>
      </c>
      <c r="D27" s="45" t="str">
        <f t="shared" si="0"/>
        <v>5970</v>
      </c>
      <c r="E27" s="45" t="str">
        <f t="shared" si="0"/>
        <v>5970</v>
      </c>
      <c r="F27" s="45" t="str">
        <f t="shared" si="0"/>
        <v>5970</v>
      </c>
      <c r="G27" s="45" t="str">
        <f t="shared" si="0"/>
        <v>5970</v>
      </c>
      <c r="H27" s="45" t="str">
        <f t="shared" si="0"/>
        <v>5970</v>
      </c>
      <c r="I27" s="45" t="str">
        <f t="shared" si="0"/>
        <v>5970</v>
      </c>
      <c r="J27" s="45" t="str">
        <f t="shared" si="0"/>
        <v>5970</v>
      </c>
      <c r="K27" s="45" t="str">
        <f t="shared" si="0"/>
        <v>5970</v>
      </c>
      <c r="L27" s="56" t="str">
        <f t="shared" si="0"/>
        <v>5970</v>
      </c>
      <c r="M27" s="45" t="str">
        <f t="shared" ref="M27:V27" si="1">"2720"</f>
        <v>2720</v>
      </c>
      <c r="N27" s="45" t="str">
        <f t="shared" si="1"/>
        <v>2720</v>
      </c>
      <c r="O27" s="45" t="str">
        <f t="shared" si="1"/>
        <v>2720</v>
      </c>
      <c r="P27" s="45" t="str">
        <f t="shared" si="1"/>
        <v>2720</v>
      </c>
      <c r="Q27" s="45" t="str">
        <f t="shared" si="1"/>
        <v>2720</v>
      </c>
      <c r="R27" s="45" t="str">
        <f t="shared" si="1"/>
        <v>2720</v>
      </c>
      <c r="S27" s="45" t="str">
        <f t="shared" si="1"/>
        <v>2720</v>
      </c>
      <c r="T27" s="45" t="str">
        <f t="shared" si="1"/>
        <v>2720</v>
      </c>
      <c r="U27" s="45" t="str">
        <f t="shared" si="1"/>
        <v>2720</v>
      </c>
      <c r="V27" s="45" t="str">
        <f t="shared" si="1"/>
        <v>2720</v>
      </c>
    </row>
    <row r="28" spans="2:22" x14ac:dyDescent="0.2">
      <c r="B28" s="18" t="s">
        <v>23</v>
      </c>
      <c r="C28" s="40" t="str">
        <f t="shared" ref="C28:L28" si="2">"0.071"</f>
        <v>0.071</v>
      </c>
      <c r="D28" s="40" t="str">
        <f t="shared" si="2"/>
        <v>0.071</v>
      </c>
      <c r="E28" s="40" t="str">
        <f t="shared" si="2"/>
        <v>0.071</v>
      </c>
      <c r="F28" s="40" t="str">
        <f t="shared" si="2"/>
        <v>0.071</v>
      </c>
      <c r="G28" s="40" t="str">
        <f t="shared" si="2"/>
        <v>0.071</v>
      </c>
      <c r="H28" s="40" t="str">
        <f t="shared" si="2"/>
        <v>0.071</v>
      </c>
      <c r="I28" s="40" t="str">
        <f t="shared" si="2"/>
        <v>0.071</v>
      </c>
      <c r="J28" s="40" t="str">
        <f t="shared" si="2"/>
        <v>0.071</v>
      </c>
      <c r="K28" s="40" t="str">
        <f t="shared" si="2"/>
        <v>0.071</v>
      </c>
      <c r="L28" s="54" t="str">
        <f t="shared" si="2"/>
        <v>0.071</v>
      </c>
      <c r="M28" s="40" t="str">
        <f t="shared" ref="M28:V28" si="3">"0.029"</f>
        <v>0.029</v>
      </c>
      <c r="N28" s="40" t="str">
        <f t="shared" si="3"/>
        <v>0.029</v>
      </c>
      <c r="O28" s="40" t="str">
        <f t="shared" si="3"/>
        <v>0.029</v>
      </c>
      <c r="P28" s="40" t="str">
        <f t="shared" si="3"/>
        <v>0.029</v>
      </c>
      <c r="Q28" s="40" t="str">
        <f t="shared" si="3"/>
        <v>0.029</v>
      </c>
      <c r="R28" s="40" t="str">
        <f t="shared" si="3"/>
        <v>0.029</v>
      </c>
      <c r="S28" s="40" t="str">
        <f t="shared" si="3"/>
        <v>0.029</v>
      </c>
      <c r="T28" s="40" t="str">
        <f t="shared" si="3"/>
        <v>0.029</v>
      </c>
      <c r="U28" s="40" t="str">
        <f t="shared" si="3"/>
        <v>0.029</v>
      </c>
      <c r="V28" s="40" t="str">
        <f t="shared" si="3"/>
        <v>0.029</v>
      </c>
    </row>
    <row r="29" spans="2:22" x14ac:dyDescent="0.2">
      <c r="B29" s="20" t="s">
        <v>24</v>
      </c>
      <c r="C29" s="21" t="s">
        <v>25</v>
      </c>
      <c r="D29" s="21" t="s">
        <v>25</v>
      </c>
      <c r="E29" s="21" t="s">
        <v>25</v>
      </c>
      <c r="F29" s="21" t="s">
        <v>25</v>
      </c>
      <c r="G29" s="21" t="s">
        <v>25</v>
      </c>
      <c r="H29" s="21" t="s">
        <v>25</v>
      </c>
      <c r="I29" s="21" t="s">
        <v>25</v>
      </c>
      <c r="J29" s="21" t="s">
        <v>25</v>
      </c>
      <c r="K29" s="21" t="s">
        <v>25</v>
      </c>
      <c r="L29" s="35" t="s">
        <v>25</v>
      </c>
      <c r="M29" s="21" t="s">
        <v>25</v>
      </c>
      <c r="N29" s="21" t="s">
        <v>25</v>
      </c>
      <c r="O29" s="21" t="s">
        <v>25</v>
      </c>
      <c r="P29" s="21" t="s">
        <v>25</v>
      </c>
      <c r="Q29" s="21" t="s">
        <v>25</v>
      </c>
      <c r="R29" s="21" t="s">
        <v>25</v>
      </c>
      <c r="S29" s="21" t="s">
        <v>25</v>
      </c>
      <c r="T29" s="21" t="s">
        <v>25</v>
      </c>
      <c r="U29" s="21" t="s">
        <v>25</v>
      </c>
      <c r="V29" s="21" t="s">
        <v>25</v>
      </c>
    </row>
    <row r="30" spans="2:22" x14ac:dyDescent="0.2">
      <c r="B30" s="20" t="s">
        <v>26</v>
      </c>
      <c r="C30" s="21" t="s">
        <v>25</v>
      </c>
      <c r="D30" s="21" t="s">
        <v>25</v>
      </c>
      <c r="E30" s="21" t="s">
        <v>25</v>
      </c>
      <c r="F30" s="21" t="s">
        <v>25</v>
      </c>
      <c r="G30" s="21" t="s">
        <v>25</v>
      </c>
      <c r="H30" s="21" t="s">
        <v>25</v>
      </c>
      <c r="I30" s="21" t="s">
        <v>25</v>
      </c>
      <c r="J30" s="21" t="s">
        <v>25</v>
      </c>
      <c r="K30" s="21" t="s">
        <v>25</v>
      </c>
      <c r="L30" s="35" t="s">
        <v>25</v>
      </c>
      <c r="M30" s="21" t="s">
        <v>25</v>
      </c>
      <c r="N30" s="21" t="s">
        <v>25</v>
      </c>
      <c r="O30" s="21" t="s">
        <v>25</v>
      </c>
      <c r="P30" s="21" t="s">
        <v>25</v>
      </c>
      <c r="Q30" s="21" t="s">
        <v>25</v>
      </c>
      <c r="R30" s="21" t="s">
        <v>25</v>
      </c>
      <c r="S30" s="21" t="s">
        <v>25</v>
      </c>
      <c r="T30" s="21" t="s">
        <v>25</v>
      </c>
      <c r="U30" s="21" t="s">
        <v>25</v>
      </c>
      <c r="V30" s="21" t="s">
        <v>25</v>
      </c>
    </row>
    <row r="31" spans="2:22" x14ac:dyDescent="0.2">
      <c r="B31" s="22" t="s">
        <v>27</v>
      </c>
      <c r="C31" s="23" t="s">
        <v>25</v>
      </c>
      <c r="D31" s="23" t="s">
        <v>25</v>
      </c>
      <c r="E31" s="23" t="s">
        <v>25</v>
      </c>
      <c r="F31" s="23" t="s">
        <v>25</v>
      </c>
      <c r="G31" s="23" t="s">
        <v>25</v>
      </c>
      <c r="H31" s="23" t="s">
        <v>25</v>
      </c>
      <c r="I31" s="23" t="s">
        <v>25</v>
      </c>
      <c r="J31" s="23" t="s">
        <v>25</v>
      </c>
      <c r="K31" s="23" t="s">
        <v>25</v>
      </c>
      <c r="L31" s="36" t="s">
        <v>25</v>
      </c>
      <c r="M31" s="23" t="s">
        <v>25</v>
      </c>
      <c r="N31" s="23" t="s">
        <v>25</v>
      </c>
      <c r="O31" s="23" t="s">
        <v>25</v>
      </c>
      <c r="P31" s="23" t="s">
        <v>25</v>
      </c>
      <c r="Q31" s="23" t="s">
        <v>25</v>
      </c>
      <c r="R31" s="23" t="s">
        <v>25</v>
      </c>
      <c r="S31" s="23" t="s">
        <v>25</v>
      </c>
      <c r="T31" s="23" t="s">
        <v>25</v>
      </c>
      <c r="U31" s="23" t="s">
        <v>25</v>
      </c>
      <c r="V31" s="23" t="s">
        <v>25</v>
      </c>
    </row>
    <row r="32" spans="2:22" ht="72" customHeight="1" x14ac:dyDescent="0.2">
      <c r="B32" s="75" t="s">
        <v>54</v>
      </c>
      <c r="C32" s="75"/>
      <c r="D32" s="75"/>
      <c r="E32" s="75"/>
      <c r="F32" s="75"/>
      <c r="G32" s="75"/>
      <c r="H32" s="75"/>
      <c r="I32" s="75"/>
      <c r="J32" s="75"/>
      <c r="K32" s="75"/>
      <c r="L32" s="75"/>
      <c r="M32" s="75"/>
      <c r="N32" s="75"/>
      <c r="O32" s="75"/>
      <c r="P32" s="75"/>
      <c r="Q32" s="75"/>
      <c r="R32" s="75"/>
      <c r="S32" s="75"/>
      <c r="T32" s="75"/>
      <c r="U32" s="75"/>
      <c r="V32" s="75"/>
    </row>
  </sheetData>
  <mergeCells count="4">
    <mergeCell ref="B2:V2"/>
    <mergeCell ref="C3:L3"/>
    <mergeCell ref="M3:V3"/>
    <mergeCell ref="B32:V32"/>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ADD17-038B-7649-BBB1-937D0259FA65}">
  <dimension ref="B2:L31"/>
  <sheetViews>
    <sheetView showGridLines="0" topLeftCell="B1" workbookViewId="0">
      <selection activeCell="B2" sqref="B2:L2"/>
    </sheetView>
  </sheetViews>
  <sheetFormatPr baseColWidth="10" defaultColWidth="11" defaultRowHeight="16" x14ac:dyDescent="0.2"/>
  <cols>
    <col min="2" max="2" width="71.6640625" customWidth="1"/>
  </cols>
  <sheetData>
    <row r="2" spans="2:12" x14ac:dyDescent="0.2">
      <c r="B2" s="72" t="s">
        <v>71</v>
      </c>
      <c r="C2" s="72"/>
      <c r="D2" s="72"/>
      <c r="E2" s="72"/>
      <c r="F2" s="72"/>
      <c r="G2" s="72"/>
      <c r="H2" s="72"/>
      <c r="I2" s="72"/>
      <c r="J2" s="72"/>
      <c r="K2" s="72"/>
      <c r="L2" s="72"/>
    </row>
    <row r="3" spans="2:12" ht="37" customHeight="1" thickBot="1" x14ac:dyDescent="0.25">
      <c r="B3" s="1"/>
      <c r="C3" s="2" t="s">
        <v>1</v>
      </c>
      <c r="D3" s="2" t="s">
        <v>2</v>
      </c>
      <c r="E3" s="2" t="s">
        <v>3</v>
      </c>
      <c r="F3" s="2" t="s">
        <v>4</v>
      </c>
      <c r="G3" s="2" t="s">
        <v>5</v>
      </c>
      <c r="H3" s="2" t="s">
        <v>6</v>
      </c>
      <c r="I3" s="2" t="s">
        <v>7</v>
      </c>
      <c r="J3" s="2" t="s">
        <v>8</v>
      </c>
      <c r="K3" s="2" t="s">
        <v>9</v>
      </c>
      <c r="L3" s="2" t="s">
        <v>10</v>
      </c>
    </row>
    <row r="4" spans="2:12" ht="17" thickTop="1" x14ac:dyDescent="0.2">
      <c r="B4" s="3" t="s">
        <v>13</v>
      </c>
      <c r="C4" s="4"/>
      <c r="D4" s="4"/>
      <c r="E4" s="4"/>
      <c r="F4" s="4"/>
      <c r="G4" s="4"/>
      <c r="H4" s="4"/>
      <c r="I4" s="4"/>
      <c r="J4" s="4"/>
      <c r="K4" s="4"/>
    </row>
    <row r="5" spans="2:12" x14ac:dyDescent="0.2">
      <c r="B5" s="5" t="s">
        <v>14</v>
      </c>
      <c r="C5" s="26" t="str">
        <f>"0.031**"</f>
        <v>0.031**</v>
      </c>
      <c r="D5" s="27" t="str">
        <f>""</f>
        <v/>
      </c>
      <c r="E5" s="27" t="str">
        <f>""</f>
        <v/>
      </c>
      <c r="F5" s="27" t="str">
        <f>""</f>
        <v/>
      </c>
      <c r="G5" s="27" t="str">
        <f>""</f>
        <v/>
      </c>
      <c r="H5" s="27" t="str">
        <f>""</f>
        <v/>
      </c>
      <c r="I5" s="27" t="str">
        <f>""</f>
        <v/>
      </c>
      <c r="J5" s="27" t="str">
        <f>""</f>
        <v/>
      </c>
      <c r="K5" s="27" t="str">
        <f>""</f>
        <v/>
      </c>
      <c r="L5" t="str">
        <f>""</f>
        <v/>
      </c>
    </row>
    <row r="6" spans="2:12" x14ac:dyDescent="0.2">
      <c r="B6" s="7"/>
      <c r="C6" s="26" t="str">
        <f>"[0.014]"</f>
        <v>[0.014]</v>
      </c>
      <c r="D6" s="27" t="str">
        <f>""</f>
        <v/>
      </c>
      <c r="E6" s="27" t="str">
        <f>""</f>
        <v/>
      </c>
      <c r="F6" s="27" t="str">
        <f>""</f>
        <v/>
      </c>
      <c r="G6" s="27" t="str">
        <f>""</f>
        <v/>
      </c>
      <c r="H6" s="27" t="str">
        <f>""</f>
        <v/>
      </c>
      <c r="I6" s="27" t="str">
        <f>""</f>
        <v/>
      </c>
      <c r="J6" s="27" t="str">
        <f>""</f>
        <v/>
      </c>
      <c r="K6" s="27" t="str">
        <f>""</f>
        <v/>
      </c>
      <c r="L6" t="str">
        <f>""</f>
        <v/>
      </c>
    </row>
    <row r="7" spans="2:12" x14ac:dyDescent="0.2">
      <c r="B7" s="8" t="s">
        <v>15</v>
      </c>
      <c r="C7" s="27" t="str">
        <f>""</f>
        <v/>
      </c>
      <c r="D7" s="26" t="str">
        <f>"0.241***"</f>
        <v>0.241***</v>
      </c>
      <c r="E7" s="27" t="str">
        <f>""</f>
        <v/>
      </c>
      <c r="F7" s="27" t="str">
        <f>""</f>
        <v/>
      </c>
      <c r="G7" s="27" t="str">
        <f>""</f>
        <v/>
      </c>
      <c r="H7" s="27" t="str">
        <f>""</f>
        <v/>
      </c>
      <c r="I7" s="27" t="str">
        <f>""</f>
        <v/>
      </c>
      <c r="J7" s="27" t="str">
        <f>""</f>
        <v/>
      </c>
      <c r="K7" s="27" t="str">
        <f>""</f>
        <v/>
      </c>
      <c r="L7" t="str">
        <f>""</f>
        <v/>
      </c>
    </row>
    <row r="8" spans="2:12" x14ac:dyDescent="0.2">
      <c r="B8" s="5" t="str">
        <f>""</f>
        <v/>
      </c>
      <c r="C8" s="27" t="str">
        <f>""</f>
        <v/>
      </c>
      <c r="D8" s="26" t="str">
        <f>"[0.090]"</f>
        <v>[0.090]</v>
      </c>
      <c r="E8" s="27" t="str">
        <f>""</f>
        <v/>
      </c>
      <c r="F8" s="27" t="str">
        <f>""</f>
        <v/>
      </c>
      <c r="G8" s="27" t="str">
        <f>""</f>
        <v/>
      </c>
      <c r="H8" s="27" t="str">
        <f>""</f>
        <v/>
      </c>
      <c r="I8" s="27" t="str">
        <f>""</f>
        <v/>
      </c>
      <c r="J8" s="27" t="str">
        <f>""</f>
        <v/>
      </c>
      <c r="K8" s="27" t="str">
        <f>""</f>
        <v/>
      </c>
      <c r="L8" t="str">
        <f>""</f>
        <v/>
      </c>
    </row>
    <row r="9" spans="2:12" x14ac:dyDescent="0.2">
      <c r="B9" s="9" t="s">
        <v>16</v>
      </c>
      <c r="C9" s="10"/>
      <c r="D9" s="10"/>
      <c r="E9" s="10"/>
      <c r="F9" s="10"/>
      <c r="G9" s="10"/>
      <c r="H9" s="10"/>
      <c r="I9" s="10"/>
      <c r="J9" s="10"/>
      <c r="K9" s="10"/>
      <c r="L9" s="10"/>
    </row>
    <row r="10" spans="2:12" x14ac:dyDescent="0.2">
      <c r="B10" s="11" t="str">
        <f>"Loss of land (yes=1) for a household in a given year"</f>
        <v>Loss of land (yes=1) for a household in a given year</v>
      </c>
      <c r="C10" s="12" t="str">
        <f>""</f>
        <v/>
      </c>
      <c r="D10" s="12" t="str">
        <f>""</f>
        <v/>
      </c>
      <c r="E10" t="str">
        <f>"-0.015"</f>
        <v>-0.015</v>
      </c>
      <c r="F10" t="str">
        <f>""</f>
        <v/>
      </c>
      <c r="G10" t="str">
        <f>""</f>
        <v/>
      </c>
      <c r="H10" t="str">
        <f>""</f>
        <v/>
      </c>
      <c r="I10" t="str">
        <f>""</f>
        <v/>
      </c>
      <c r="J10" t="str">
        <f>""</f>
        <v/>
      </c>
      <c r="K10" t="str">
        <f>""</f>
        <v/>
      </c>
      <c r="L10" t="str">
        <f>""</f>
        <v/>
      </c>
    </row>
    <row r="11" spans="2:12" x14ac:dyDescent="0.2">
      <c r="B11" s="11" t="str">
        <f>""</f>
        <v/>
      </c>
      <c r="C11" s="12" t="str">
        <f>""</f>
        <v/>
      </c>
      <c r="D11" s="12" t="str">
        <f>""</f>
        <v/>
      </c>
      <c r="E11" t="str">
        <f>"[0.015]"</f>
        <v>[0.015]</v>
      </c>
      <c r="F11" t="str">
        <f>""</f>
        <v/>
      </c>
      <c r="G11" t="str">
        <f>""</f>
        <v/>
      </c>
      <c r="H11" t="str">
        <f>""</f>
        <v/>
      </c>
      <c r="I11" t="str">
        <f>""</f>
        <v/>
      </c>
      <c r="J11" t="str">
        <f>""</f>
        <v/>
      </c>
      <c r="K11" t="str">
        <f>""</f>
        <v/>
      </c>
      <c r="L11" t="str">
        <f>""</f>
        <v/>
      </c>
    </row>
    <row r="12" spans="2:12" x14ac:dyDescent="0.2">
      <c r="B12" s="11" t="str">
        <f>"Theft of crops (yes=1) for a household in a given year"</f>
        <v>Theft of crops (yes=1) for a household in a given year</v>
      </c>
      <c r="C12" s="12" t="str">
        <f>""</f>
        <v/>
      </c>
      <c r="D12" s="12" t="str">
        <f>""</f>
        <v/>
      </c>
      <c r="E12" t="str">
        <f>""</f>
        <v/>
      </c>
      <c r="F12" t="str">
        <f>"0.006"</f>
        <v>0.006</v>
      </c>
      <c r="G12" t="str">
        <f>""</f>
        <v/>
      </c>
      <c r="H12" t="str">
        <f>""</f>
        <v/>
      </c>
      <c r="I12" t="str">
        <f>""</f>
        <v/>
      </c>
      <c r="J12" t="str">
        <f>""</f>
        <v/>
      </c>
      <c r="K12" t="str">
        <f>""</f>
        <v/>
      </c>
      <c r="L12" t="str">
        <f>""</f>
        <v/>
      </c>
    </row>
    <row r="13" spans="2:12" x14ac:dyDescent="0.2">
      <c r="B13" s="11" t="str">
        <f>""</f>
        <v/>
      </c>
      <c r="C13" s="12" t="str">
        <f>""</f>
        <v/>
      </c>
      <c r="D13" s="12" t="str">
        <f>""</f>
        <v/>
      </c>
      <c r="E13" t="str">
        <f>""</f>
        <v/>
      </c>
      <c r="F13" t="str">
        <f>"[0.009]"</f>
        <v>[0.009]</v>
      </c>
      <c r="G13" t="str">
        <f>""</f>
        <v/>
      </c>
      <c r="H13" t="str">
        <f>""</f>
        <v/>
      </c>
      <c r="I13" t="str">
        <f>""</f>
        <v/>
      </c>
      <c r="J13" t="str">
        <f>""</f>
        <v/>
      </c>
      <c r="K13" t="str">
        <f>""</f>
        <v/>
      </c>
      <c r="L13" t="str">
        <f>""</f>
        <v/>
      </c>
    </row>
    <row r="14" spans="2:12" x14ac:dyDescent="0.2">
      <c r="B14" s="13" t="str">
        <f>"Theft of money (yes=1) for a household in a given year"</f>
        <v>Theft of money (yes=1) for a household in a given year</v>
      </c>
      <c r="C14" s="14" t="str">
        <f>""</f>
        <v/>
      </c>
      <c r="D14" s="14" t="str">
        <f>""</f>
        <v/>
      </c>
      <c r="E14" t="str">
        <f>""</f>
        <v/>
      </c>
      <c r="F14" t="str">
        <f>""</f>
        <v/>
      </c>
      <c r="G14" t="str">
        <f>"0.035**"</f>
        <v>0.035**</v>
      </c>
      <c r="H14" t="str">
        <f>""</f>
        <v/>
      </c>
      <c r="I14" t="str">
        <f>""</f>
        <v/>
      </c>
      <c r="J14" t="str">
        <f>""</f>
        <v/>
      </c>
      <c r="K14" t="str">
        <f>""</f>
        <v/>
      </c>
      <c r="L14" t="str">
        <f>""</f>
        <v/>
      </c>
    </row>
    <row r="15" spans="2:12" x14ac:dyDescent="0.2">
      <c r="B15" s="11" t="str">
        <f>""</f>
        <v/>
      </c>
      <c r="C15" s="12" t="str">
        <f>""</f>
        <v/>
      </c>
      <c r="D15" s="12" t="str">
        <f>""</f>
        <v/>
      </c>
      <c r="E15" t="str">
        <f>""</f>
        <v/>
      </c>
      <c r="F15" t="str">
        <f>""</f>
        <v/>
      </c>
      <c r="G15" t="str">
        <f>"[0.017]"</f>
        <v>[0.017]</v>
      </c>
      <c r="H15" t="str">
        <f>""</f>
        <v/>
      </c>
      <c r="I15" t="str">
        <f>""</f>
        <v/>
      </c>
      <c r="J15" t="str">
        <f>""</f>
        <v/>
      </c>
      <c r="K15" t="str">
        <f>""</f>
        <v/>
      </c>
      <c r="L15" t="str">
        <f>""</f>
        <v/>
      </c>
    </row>
    <row r="16" spans="2:12" x14ac:dyDescent="0.2">
      <c r="B16" s="11" t="str">
        <f>"Theft or destruction of goods (yes=1) for a household in a given year"</f>
        <v>Theft or destruction of goods (yes=1) for a household in a given year</v>
      </c>
      <c r="C16" s="12" t="str">
        <f>""</f>
        <v/>
      </c>
      <c r="D16" s="12" t="str">
        <f>""</f>
        <v/>
      </c>
      <c r="E16" t="str">
        <f>""</f>
        <v/>
      </c>
      <c r="F16" t="str">
        <f>""</f>
        <v/>
      </c>
      <c r="G16" t="str">
        <f>""</f>
        <v/>
      </c>
      <c r="H16" t="str">
        <f>"0.036**"</f>
        <v>0.036**</v>
      </c>
      <c r="I16" t="str">
        <f>""</f>
        <v/>
      </c>
      <c r="J16" t="str">
        <f>""</f>
        <v/>
      </c>
      <c r="K16" t="str">
        <f>""</f>
        <v/>
      </c>
      <c r="L16" t="str">
        <f>""</f>
        <v/>
      </c>
    </row>
    <row r="17" spans="2:12" x14ac:dyDescent="0.2">
      <c r="B17" s="11"/>
      <c r="C17" s="12" t="str">
        <f>""</f>
        <v/>
      </c>
      <c r="D17" s="12" t="str">
        <f>""</f>
        <v/>
      </c>
      <c r="E17" t="str">
        <f>""</f>
        <v/>
      </c>
      <c r="F17" t="str">
        <f>""</f>
        <v/>
      </c>
      <c r="G17" t="str">
        <f>""</f>
        <v/>
      </c>
      <c r="H17" t="str">
        <f>"[0.015]"</f>
        <v>[0.015]</v>
      </c>
      <c r="I17" t="str">
        <f>""</f>
        <v/>
      </c>
      <c r="J17" t="str">
        <f>""</f>
        <v/>
      </c>
      <c r="K17" t="str">
        <f>""</f>
        <v/>
      </c>
      <c r="L17" t="str">
        <f>""</f>
        <v/>
      </c>
    </row>
    <row r="18" spans="2:12" x14ac:dyDescent="0.2">
      <c r="B18" s="11" t="str">
        <f>"Destruction of house (yes=1) for a household in a given year"</f>
        <v>Destruction of house (yes=1) for a household in a given year</v>
      </c>
      <c r="C18" s="12" t="str">
        <f>""</f>
        <v/>
      </c>
      <c r="D18" s="12" t="str">
        <f>""</f>
        <v/>
      </c>
      <c r="E18" t="str">
        <f>""</f>
        <v/>
      </c>
      <c r="F18" t="str">
        <f>""</f>
        <v/>
      </c>
      <c r="G18" t="str">
        <f>""</f>
        <v/>
      </c>
      <c r="H18" t="str">
        <f>""</f>
        <v/>
      </c>
      <c r="I18" t="str">
        <f>"0.043*"</f>
        <v>0.043*</v>
      </c>
      <c r="J18" t="str">
        <f>""</f>
        <v/>
      </c>
      <c r="K18" t="str">
        <f>""</f>
        <v/>
      </c>
      <c r="L18" t="str">
        <f>""</f>
        <v/>
      </c>
    </row>
    <row r="19" spans="2:12" x14ac:dyDescent="0.2">
      <c r="B19" s="11"/>
      <c r="C19" s="12" t="str">
        <f>""</f>
        <v/>
      </c>
      <c r="D19" s="12" t="str">
        <f>""</f>
        <v/>
      </c>
      <c r="E19" t="str">
        <f>""</f>
        <v/>
      </c>
      <c r="F19" t="str">
        <f>""</f>
        <v/>
      </c>
      <c r="G19" t="str">
        <f>""</f>
        <v/>
      </c>
      <c r="H19" t="str">
        <f>""</f>
        <v/>
      </c>
      <c r="I19" t="str">
        <f>"[0.025]"</f>
        <v>[0.025]</v>
      </c>
      <c r="J19" t="str">
        <f>""</f>
        <v/>
      </c>
      <c r="K19" t="str">
        <f>""</f>
        <v/>
      </c>
      <c r="L19" t="str">
        <f>""</f>
        <v/>
      </c>
    </row>
    <row r="20" spans="2:12" x14ac:dyDescent="0.2">
      <c r="B20" s="15" t="s">
        <v>18</v>
      </c>
      <c r="C20" s="12" t="str">
        <f>""</f>
        <v/>
      </c>
      <c r="D20" s="12" t="str">
        <f>""</f>
        <v/>
      </c>
      <c r="E20" t="str">
        <f>""</f>
        <v/>
      </c>
      <c r="F20" t="str">
        <f>""</f>
        <v/>
      </c>
      <c r="G20" t="str">
        <f>""</f>
        <v/>
      </c>
      <c r="H20" t="str">
        <f>""</f>
        <v/>
      </c>
      <c r="I20" t="str">
        <f>""</f>
        <v/>
      </c>
      <c r="J20" t="str">
        <f>"-0.000"</f>
        <v>-0.000</v>
      </c>
      <c r="K20" t="str">
        <f>""</f>
        <v/>
      </c>
      <c r="L20" t="str">
        <f>""</f>
        <v/>
      </c>
    </row>
    <row r="21" spans="2:12" x14ac:dyDescent="0.2">
      <c r="C21" s="12" t="str">
        <f>""</f>
        <v/>
      </c>
      <c r="D21" s="12" t="str">
        <f>""</f>
        <v/>
      </c>
      <c r="E21" t="str">
        <f>""</f>
        <v/>
      </c>
      <c r="F21" t="str">
        <f>""</f>
        <v/>
      </c>
      <c r="G21" t="str">
        <f>""</f>
        <v/>
      </c>
      <c r="H21" t="str">
        <f>""</f>
        <v/>
      </c>
      <c r="I21" t="str">
        <f>""</f>
        <v/>
      </c>
      <c r="J21" t="str">
        <f>"[0.002]"</f>
        <v>[0.002]</v>
      </c>
      <c r="K21" t="str">
        <f>""</f>
        <v/>
      </c>
      <c r="L21" t="str">
        <f>""</f>
        <v/>
      </c>
    </row>
    <row r="22" spans="2:12" x14ac:dyDescent="0.2">
      <c r="B22" s="15" t="s">
        <v>19</v>
      </c>
      <c r="C22" s="12" t="str">
        <f>""</f>
        <v/>
      </c>
      <c r="D22" s="12" t="str">
        <f>""</f>
        <v/>
      </c>
      <c r="E22" t="str">
        <f>""</f>
        <v/>
      </c>
      <c r="F22" t="str">
        <f>""</f>
        <v/>
      </c>
      <c r="G22" t="str">
        <f>""</f>
        <v/>
      </c>
      <c r="H22" t="str">
        <f>""</f>
        <v/>
      </c>
      <c r="I22" t="str">
        <f>""</f>
        <v/>
      </c>
      <c r="J22" t="str">
        <f>""</f>
        <v/>
      </c>
      <c r="K22" t="str">
        <f>"0.006***"</f>
        <v>0.006***</v>
      </c>
      <c r="L22" t="str">
        <f>""</f>
        <v/>
      </c>
    </row>
    <row r="23" spans="2:12" x14ac:dyDescent="0.2">
      <c r="C23" s="12" t="str">
        <f>""</f>
        <v/>
      </c>
      <c r="D23" s="12" t="str">
        <f>""</f>
        <v/>
      </c>
      <c r="E23" t="str">
        <f>""</f>
        <v/>
      </c>
      <c r="F23" t="str">
        <f>""</f>
        <v/>
      </c>
      <c r="G23" t="str">
        <f>""</f>
        <v/>
      </c>
      <c r="H23" t="str">
        <f>""</f>
        <v/>
      </c>
      <c r="I23" t="str">
        <f>""</f>
        <v/>
      </c>
      <c r="J23" t="str">
        <f>""</f>
        <v/>
      </c>
      <c r="K23" t="str">
        <f>"[0.002]"</f>
        <v>[0.002]</v>
      </c>
      <c r="L23" t="str">
        <f>""</f>
        <v/>
      </c>
    </row>
    <row r="24" spans="2:12" x14ac:dyDescent="0.2">
      <c r="B24" s="15" t="s">
        <v>17</v>
      </c>
      <c r="C24" s="12" t="str">
        <f>""</f>
        <v/>
      </c>
      <c r="D24" s="12" t="str">
        <f>""</f>
        <v/>
      </c>
      <c r="E24" t="str">
        <f>""</f>
        <v/>
      </c>
      <c r="F24" t="str">
        <f>""</f>
        <v/>
      </c>
      <c r="G24" t="str">
        <f>""</f>
        <v/>
      </c>
      <c r="H24" t="str">
        <f>""</f>
        <v/>
      </c>
      <c r="I24" t="str">
        <f>""</f>
        <v/>
      </c>
      <c r="J24" t="str">
        <f>""</f>
        <v/>
      </c>
      <c r="K24" t="str">
        <f>""</f>
        <v/>
      </c>
      <c r="L24" t="str">
        <f>"0.005**"</f>
        <v>0.005**</v>
      </c>
    </row>
    <row r="25" spans="2:12" x14ac:dyDescent="0.2">
      <c r="B25" s="15"/>
      <c r="C25" s="12" t="str">
        <f>""</f>
        <v/>
      </c>
      <c r="D25" s="12" t="str">
        <f>""</f>
        <v/>
      </c>
      <c r="E25" t="str">
        <f>""</f>
        <v/>
      </c>
      <c r="F25" t="str">
        <f>""</f>
        <v/>
      </c>
      <c r="G25" t="str">
        <f>""</f>
        <v/>
      </c>
      <c r="H25" t="str">
        <f>""</f>
        <v/>
      </c>
      <c r="I25" t="str">
        <f>""</f>
        <v/>
      </c>
      <c r="J25" t="str">
        <f>""</f>
        <v/>
      </c>
      <c r="K25" t="str">
        <f>""</f>
        <v/>
      </c>
      <c r="L25" t="str">
        <f>"[0.002]"</f>
        <v>[0.002]</v>
      </c>
    </row>
    <row r="26" spans="2:12" x14ac:dyDescent="0.2">
      <c r="B26" s="16" t="s">
        <v>22</v>
      </c>
      <c r="C26" s="17" t="str">
        <f t="shared" ref="C26:L26" si="0">"34800"</f>
        <v>34800</v>
      </c>
      <c r="D26" s="17" t="str">
        <f t="shared" si="0"/>
        <v>34800</v>
      </c>
      <c r="E26" s="17" t="str">
        <f t="shared" si="0"/>
        <v>34800</v>
      </c>
      <c r="F26" s="17" t="str">
        <f t="shared" si="0"/>
        <v>34800</v>
      </c>
      <c r="G26" s="17" t="str">
        <f t="shared" si="0"/>
        <v>34800</v>
      </c>
      <c r="H26" s="17" t="str">
        <f t="shared" si="0"/>
        <v>34800</v>
      </c>
      <c r="I26" s="17" t="str">
        <f t="shared" si="0"/>
        <v>34800</v>
      </c>
      <c r="J26" s="17" t="str">
        <f t="shared" si="0"/>
        <v>34800</v>
      </c>
      <c r="K26" s="17" t="str">
        <f t="shared" si="0"/>
        <v>34800</v>
      </c>
      <c r="L26" s="17" t="str">
        <f t="shared" si="0"/>
        <v>34800</v>
      </c>
    </row>
    <row r="27" spans="2:12" x14ac:dyDescent="0.2">
      <c r="B27" s="18" t="s">
        <v>23</v>
      </c>
      <c r="C27" s="19" t="str">
        <f t="shared" ref="C27:L27" si="1">"0.045"</f>
        <v>0.045</v>
      </c>
      <c r="D27" s="19" t="str">
        <f t="shared" si="1"/>
        <v>0.045</v>
      </c>
      <c r="E27" s="19" t="str">
        <f t="shared" si="1"/>
        <v>0.045</v>
      </c>
      <c r="F27" s="19" t="str">
        <f t="shared" si="1"/>
        <v>0.045</v>
      </c>
      <c r="G27" s="19" t="str">
        <f t="shared" si="1"/>
        <v>0.045</v>
      </c>
      <c r="H27" s="19" t="str">
        <f t="shared" si="1"/>
        <v>0.045</v>
      </c>
      <c r="I27" s="19" t="str">
        <f t="shared" si="1"/>
        <v>0.045</v>
      </c>
      <c r="J27" s="19" t="str">
        <f t="shared" si="1"/>
        <v>0.045</v>
      </c>
      <c r="K27" s="19" t="str">
        <f t="shared" si="1"/>
        <v>0.045</v>
      </c>
      <c r="L27" s="19" t="str">
        <f t="shared" si="1"/>
        <v>0.045</v>
      </c>
    </row>
    <row r="28" spans="2:12" x14ac:dyDescent="0.2">
      <c r="B28" s="18" t="s">
        <v>51</v>
      </c>
      <c r="C28" s="21" t="s">
        <v>25</v>
      </c>
      <c r="D28" s="21" t="s">
        <v>25</v>
      </c>
      <c r="E28" s="21" t="s">
        <v>25</v>
      </c>
      <c r="F28" s="21" t="s">
        <v>25</v>
      </c>
      <c r="G28" s="21" t="s">
        <v>25</v>
      </c>
      <c r="H28" s="21" t="s">
        <v>25</v>
      </c>
      <c r="I28" s="21" t="s">
        <v>25</v>
      </c>
      <c r="J28" s="21" t="s">
        <v>25</v>
      </c>
      <c r="K28" s="21" t="s">
        <v>25</v>
      </c>
      <c r="L28" s="21" t="s">
        <v>25</v>
      </c>
    </row>
    <row r="29" spans="2:12" x14ac:dyDescent="0.2">
      <c r="B29" s="20" t="s">
        <v>26</v>
      </c>
      <c r="C29" s="21" t="s">
        <v>25</v>
      </c>
      <c r="D29" s="21" t="s">
        <v>25</v>
      </c>
      <c r="E29" s="21" t="s">
        <v>25</v>
      </c>
      <c r="F29" s="21" t="s">
        <v>25</v>
      </c>
      <c r="G29" s="21" t="s">
        <v>25</v>
      </c>
      <c r="H29" s="21" t="s">
        <v>25</v>
      </c>
      <c r="I29" s="21" t="s">
        <v>25</v>
      </c>
      <c r="J29" s="21" t="s">
        <v>25</v>
      </c>
      <c r="K29" s="21" t="s">
        <v>25</v>
      </c>
      <c r="L29" s="21" t="s">
        <v>25</v>
      </c>
    </row>
    <row r="30" spans="2:12" x14ac:dyDescent="0.2">
      <c r="B30" s="22" t="s">
        <v>27</v>
      </c>
      <c r="C30" s="23" t="s">
        <v>25</v>
      </c>
      <c r="D30" s="23" t="s">
        <v>25</v>
      </c>
      <c r="E30" s="23" t="s">
        <v>25</v>
      </c>
      <c r="F30" s="23" t="s">
        <v>25</v>
      </c>
      <c r="G30" s="23" t="s">
        <v>25</v>
      </c>
      <c r="H30" s="23" t="s">
        <v>25</v>
      </c>
      <c r="I30" s="23" t="s">
        <v>25</v>
      </c>
      <c r="J30" s="23" t="s">
        <v>25</v>
      </c>
      <c r="K30" s="23" t="s">
        <v>25</v>
      </c>
      <c r="L30" s="23" t="s">
        <v>25</v>
      </c>
    </row>
    <row r="31" spans="2:12" ht="84" customHeight="1" x14ac:dyDescent="0.2">
      <c r="B31" s="73" t="s">
        <v>70</v>
      </c>
      <c r="C31" s="73"/>
      <c r="D31" s="73"/>
      <c r="E31" s="73"/>
      <c r="F31" s="73"/>
      <c r="G31" s="73"/>
      <c r="H31" s="73"/>
      <c r="I31" s="73"/>
      <c r="J31" s="73"/>
      <c r="K31" s="73"/>
      <c r="L31" s="73"/>
    </row>
  </sheetData>
  <mergeCells count="2">
    <mergeCell ref="B2:L2"/>
    <mergeCell ref="B31:L3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7949E-0E57-3C46-BB1D-38641BD90ED9}">
  <dimension ref="B2:L31"/>
  <sheetViews>
    <sheetView showGridLines="0" workbookViewId="0">
      <selection activeCell="B2" sqref="B2:L2"/>
    </sheetView>
  </sheetViews>
  <sheetFormatPr baseColWidth="10" defaultColWidth="11" defaultRowHeight="16" x14ac:dyDescent="0.2"/>
  <cols>
    <col min="2" max="2" width="57.1640625" customWidth="1"/>
  </cols>
  <sheetData>
    <row r="2" spans="2:12" x14ac:dyDescent="0.2">
      <c r="B2" s="74" t="s">
        <v>72</v>
      </c>
      <c r="C2" s="74"/>
      <c r="D2" s="74"/>
      <c r="E2" s="74"/>
      <c r="F2" s="74"/>
      <c r="G2" s="74"/>
      <c r="H2" s="74"/>
      <c r="I2" s="74"/>
      <c r="J2" s="74"/>
      <c r="K2" s="74"/>
      <c r="L2" s="74"/>
    </row>
    <row r="3" spans="2:12" ht="51" customHeight="1" thickBot="1" x14ac:dyDescent="0.25">
      <c r="B3" s="1" t="s">
        <v>0</v>
      </c>
      <c r="C3" s="2" t="s">
        <v>1</v>
      </c>
      <c r="D3" s="2" t="s">
        <v>2</v>
      </c>
      <c r="E3" s="2" t="s">
        <v>3</v>
      </c>
      <c r="F3" s="2" t="s">
        <v>4</v>
      </c>
      <c r="G3" s="2" t="s">
        <v>5</v>
      </c>
      <c r="H3" s="2" t="s">
        <v>6</v>
      </c>
      <c r="I3" s="2" t="s">
        <v>7</v>
      </c>
      <c r="J3" s="2" t="s">
        <v>8</v>
      </c>
      <c r="K3" s="2" t="s">
        <v>9</v>
      </c>
      <c r="L3" s="2" t="s">
        <v>10</v>
      </c>
    </row>
    <row r="4" spans="2:12" ht="23" customHeight="1" thickTop="1" x14ac:dyDescent="0.2">
      <c r="B4" s="3" t="s">
        <v>13</v>
      </c>
      <c r="C4" s="4"/>
      <c r="D4" s="4"/>
      <c r="E4" s="4"/>
      <c r="F4" s="4"/>
      <c r="G4" s="4"/>
      <c r="H4" s="4"/>
      <c r="I4" s="4"/>
      <c r="J4" s="4"/>
      <c r="K4" s="4"/>
    </row>
    <row r="5" spans="2:12" x14ac:dyDescent="0.2">
      <c r="B5" s="5" t="s">
        <v>14</v>
      </c>
      <c r="C5" s="40" t="str">
        <f>"0.038**"</f>
        <v>0.038**</v>
      </c>
      <c r="D5" s="40" t="str">
        <f>""</f>
        <v/>
      </c>
      <c r="E5" s="40" t="str">
        <f>""</f>
        <v/>
      </c>
      <c r="F5" s="41" t="str">
        <f>""</f>
        <v/>
      </c>
      <c r="G5" s="41" t="str">
        <f>""</f>
        <v/>
      </c>
      <c r="H5" s="41" t="str">
        <f>""</f>
        <v/>
      </c>
      <c r="I5" s="41" t="str">
        <f>""</f>
        <v/>
      </c>
      <c r="J5" s="41" t="str">
        <f>""</f>
        <v/>
      </c>
      <c r="K5" s="41" t="str">
        <f>""</f>
        <v/>
      </c>
      <c r="L5" s="41" t="str">
        <f>""</f>
        <v/>
      </c>
    </row>
    <row r="6" spans="2:12" x14ac:dyDescent="0.2">
      <c r="B6" s="7"/>
      <c r="C6" s="40" t="str">
        <f>"[0.016]"</f>
        <v>[0.016]</v>
      </c>
      <c r="D6" s="40" t="str">
        <f>""</f>
        <v/>
      </c>
      <c r="E6" s="40" t="str">
        <f>""</f>
        <v/>
      </c>
      <c r="F6" s="41" t="str">
        <f>""</f>
        <v/>
      </c>
      <c r="G6" s="41" t="str">
        <f>""</f>
        <v/>
      </c>
      <c r="H6" s="41" t="str">
        <f>""</f>
        <v/>
      </c>
      <c r="I6" s="41" t="str">
        <f>""</f>
        <v/>
      </c>
      <c r="J6" s="41" t="str">
        <f>""</f>
        <v/>
      </c>
      <c r="K6" s="41" t="str">
        <f>""</f>
        <v/>
      </c>
      <c r="L6" s="41" t="str">
        <f>""</f>
        <v/>
      </c>
    </row>
    <row r="7" spans="2:12" x14ac:dyDescent="0.2">
      <c r="B7" s="8" t="s">
        <v>15</v>
      </c>
      <c r="C7" s="40" t="str">
        <f>""</f>
        <v/>
      </c>
      <c r="D7" s="12" t="str">
        <f>"0.285***"</f>
        <v>0.285***</v>
      </c>
      <c r="E7" s="40" t="str">
        <f>""</f>
        <v/>
      </c>
      <c r="F7" s="41" t="str">
        <f>""</f>
        <v/>
      </c>
      <c r="G7" s="41" t="str">
        <f>""</f>
        <v/>
      </c>
      <c r="H7" s="41" t="str">
        <f>""</f>
        <v/>
      </c>
      <c r="I7" s="41" t="str">
        <f>""</f>
        <v/>
      </c>
      <c r="J7" s="41" t="str">
        <f>""</f>
        <v/>
      </c>
      <c r="K7" s="41" t="str">
        <f>""</f>
        <v/>
      </c>
      <c r="L7" s="41" t="str">
        <f>""</f>
        <v/>
      </c>
    </row>
    <row r="8" spans="2:12" x14ac:dyDescent="0.2">
      <c r="B8" s="5" t="str">
        <f>""</f>
        <v/>
      </c>
      <c r="C8" s="42" t="str">
        <f>""</f>
        <v/>
      </c>
      <c r="D8" s="28" t="str">
        <f>"[0.093]"</f>
        <v>[0.093]</v>
      </c>
      <c r="E8" s="42" t="str">
        <f>""</f>
        <v/>
      </c>
      <c r="F8" s="43" t="str">
        <f>""</f>
        <v/>
      </c>
      <c r="G8" s="43" t="str">
        <f>""</f>
        <v/>
      </c>
      <c r="H8" s="43" t="str">
        <f>""</f>
        <v/>
      </c>
      <c r="I8" s="43" t="str">
        <f>""</f>
        <v/>
      </c>
      <c r="J8" s="43" t="str">
        <f>""</f>
        <v/>
      </c>
      <c r="K8" s="43" t="str">
        <f>""</f>
        <v/>
      </c>
      <c r="L8" s="43" t="str">
        <f>""</f>
        <v/>
      </c>
    </row>
    <row r="9" spans="2:12" ht="25" customHeight="1" x14ac:dyDescent="0.2">
      <c r="B9" s="9" t="s">
        <v>16</v>
      </c>
      <c r="C9" s="40"/>
      <c r="D9" s="40"/>
      <c r="E9" s="40"/>
      <c r="F9" s="44"/>
      <c r="G9" s="44"/>
      <c r="H9" s="44"/>
      <c r="I9" s="44"/>
      <c r="J9" s="44"/>
      <c r="K9" s="44"/>
      <c r="L9" s="44"/>
    </row>
    <row r="10" spans="2:12" ht="18" customHeight="1" x14ac:dyDescent="0.2">
      <c r="B10" s="11" t="str">
        <f>"Loss of land (yes=1) for a household in a given year"</f>
        <v>Loss of land (yes=1) for a household in a given year</v>
      </c>
      <c r="C10" s="40" t="str">
        <f>""</f>
        <v/>
      </c>
      <c r="D10" s="40" t="str">
        <f>""</f>
        <v/>
      </c>
      <c r="E10" s="40" t="str">
        <f>"-0.028"</f>
        <v>-0.028</v>
      </c>
      <c r="F10" s="40" t="str">
        <f>""</f>
        <v/>
      </c>
      <c r="G10" s="40" t="str">
        <f>""</f>
        <v/>
      </c>
      <c r="H10" s="40" t="str">
        <f>""</f>
        <v/>
      </c>
      <c r="I10" s="40" t="str">
        <f>""</f>
        <v/>
      </c>
      <c r="J10" s="40" t="str">
        <f>""</f>
        <v/>
      </c>
      <c r="K10" s="40" t="str">
        <f>""</f>
        <v/>
      </c>
      <c r="L10" s="40" t="str">
        <f>""</f>
        <v/>
      </c>
    </row>
    <row r="11" spans="2:12" ht="14" customHeight="1" x14ac:dyDescent="0.2">
      <c r="B11" s="11" t="str">
        <f>""</f>
        <v/>
      </c>
      <c r="C11" s="40" t="str">
        <f>""</f>
        <v/>
      </c>
      <c r="D11" s="40" t="str">
        <f>""</f>
        <v/>
      </c>
      <c r="E11" s="40" t="str">
        <f>"[0.024]"</f>
        <v>[0.024]</v>
      </c>
      <c r="F11" s="40" t="str">
        <f>""</f>
        <v/>
      </c>
      <c r="G11" s="40" t="str">
        <f>""</f>
        <v/>
      </c>
      <c r="H11" s="40" t="str">
        <f>""</f>
        <v/>
      </c>
      <c r="I11" s="40" t="str">
        <f>""</f>
        <v/>
      </c>
      <c r="J11" s="40" t="str">
        <f>""</f>
        <v/>
      </c>
      <c r="K11" s="40" t="str">
        <f>""</f>
        <v/>
      </c>
      <c r="L11" s="40" t="str">
        <f>""</f>
        <v/>
      </c>
    </row>
    <row r="12" spans="2:12" x14ac:dyDescent="0.2">
      <c r="B12" s="11" t="str">
        <f>"Theft of crops (yes=1) for a household in a given year"</f>
        <v>Theft of crops (yes=1) for a household in a given year</v>
      </c>
      <c r="C12" s="40" t="str">
        <f>""</f>
        <v/>
      </c>
      <c r="D12" s="40" t="str">
        <f>""</f>
        <v/>
      </c>
      <c r="E12" s="40" t="str">
        <f>""</f>
        <v/>
      </c>
      <c r="F12" s="40" t="str">
        <f>"-0.013"</f>
        <v>-0.013</v>
      </c>
      <c r="G12" s="40" t="str">
        <f>""</f>
        <v/>
      </c>
      <c r="H12" s="40" t="str">
        <f>""</f>
        <v/>
      </c>
      <c r="I12" s="40" t="str">
        <f>""</f>
        <v/>
      </c>
      <c r="J12" s="40" t="str">
        <f>""</f>
        <v/>
      </c>
      <c r="K12" s="40" t="str">
        <f>""</f>
        <v/>
      </c>
      <c r="L12" s="40" t="str">
        <f>""</f>
        <v/>
      </c>
    </row>
    <row r="13" spans="2:12" x14ac:dyDescent="0.2">
      <c r="B13" s="11" t="str">
        <f>""</f>
        <v/>
      </c>
      <c r="C13" s="40" t="str">
        <f>""</f>
        <v/>
      </c>
      <c r="D13" s="40" t="str">
        <f>""</f>
        <v/>
      </c>
      <c r="E13" s="40" t="str">
        <f>""</f>
        <v/>
      </c>
      <c r="F13" s="40" t="str">
        <f>"[0.016]"</f>
        <v>[0.016]</v>
      </c>
      <c r="G13" s="40" t="str">
        <f>""</f>
        <v/>
      </c>
      <c r="H13" s="40" t="str">
        <f>""</f>
        <v/>
      </c>
      <c r="I13" s="40" t="str">
        <f>""</f>
        <v/>
      </c>
      <c r="J13" s="40" t="str">
        <f>""</f>
        <v/>
      </c>
      <c r="K13" s="40" t="str">
        <f>""</f>
        <v/>
      </c>
      <c r="L13" s="40" t="str">
        <f>""</f>
        <v/>
      </c>
    </row>
    <row r="14" spans="2:12" x14ac:dyDescent="0.2">
      <c r="B14" s="13" t="str">
        <f>"Theft of money (yes=1) for a household in a given year"</f>
        <v>Theft of money (yes=1) for a household in a given year</v>
      </c>
      <c r="C14" s="40" t="str">
        <f>""</f>
        <v/>
      </c>
      <c r="D14" s="40" t="str">
        <f>""</f>
        <v/>
      </c>
      <c r="E14" s="40" t="str">
        <f>""</f>
        <v/>
      </c>
      <c r="F14" s="40" t="str">
        <f>""</f>
        <v/>
      </c>
      <c r="G14" s="40" t="str">
        <f>"0.037*"</f>
        <v>0.037*</v>
      </c>
      <c r="H14" s="40" t="str">
        <f>""</f>
        <v/>
      </c>
      <c r="I14" s="40" t="str">
        <f>""</f>
        <v/>
      </c>
      <c r="J14" s="40" t="str">
        <f>""</f>
        <v/>
      </c>
      <c r="K14" s="40" t="str">
        <f>""</f>
        <v/>
      </c>
      <c r="L14" s="40" t="str">
        <f>""</f>
        <v/>
      </c>
    </row>
    <row r="15" spans="2:12" x14ac:dyDescent="0.2">
      <c r="B15" s="11" t="str">
        <f>""</f>
        <v/>
      </c>
      <c r="C15" s="40" t="str">
        <f>""</f>
        <v/>
      </c>
      <c r="D15" s="40" t="str">
        <f>""</f>
        <v/>
      </c>
      <c r="E15" s="40" t="str">
        <f>""</f>
        <v/>
      </c>
      <c r="F15" s="40" t="str">
        <f>""</f>
        <v/>
      </c>
      <c r="G15" s="40" t="str">
        <f>"[0.022]"</f>
        <v>[0.022]</v>
      </c>
      <c r="H15" s="40" t="str">
        <f>""</f>
        <v/>
      </c>
      <c r="I15" s="40" t="str">
        <f>""</f>
        <v/>
      </c>
      <c r="J15" s="40" t="str">
        <f>""</f>
        <v/>
      </c>
      <c r="K15" s="40" t="str">
        <f>""</f>
        <v/>
      </c>
      <c r="L15" s="40" t="str">
        <f>""</f>
        <v/>
      </c>
    </row>
    <row r="16" spans="2:12" x14ac:dyDescent="0.2">
      <c r="B16" s="11" t="str">
        <f>"Theft or destruction of goods (yes=1) for a household in a given year"</f>
        <v>Theft or destruction of goods (yes=1) for a household in a given year</v>
      </c>
      <c r="C16" s="40" t="str">
        <f>""</f>
        <v/>
      </c>
      <c r="D16" s="40" t="str">
        <f>""</f>
        <v/>
      </c>
      <c r="E16" s="40" t="str">
        <f>""</f>
        <v/>
      </c>
      <c r="F16" s="40" t="str">
        <f>""</f>
        <v/>
      </c>
      <c r="G16" s="40" t="str">
        <f>""</f>
        <v/>
      </c>
      <c r="H16" s="40" t="str">
        <f>"0.055**"</f>
        <v>0.055**</v>
      </c>
      <c r="I16" s="40" t="str">
        <f>""</f>
        <v/>
      </c>
      <c r="J16" s="40" t="str">
        <f>""</f>
        <v/>
      </c>
      <c r="K16" s="40" t="str">
        <f>""</f>
        <v/>
      </c>
      <c r="L16" s="40" t="str">
        <f>""</f>
        <v/>
      </c>
    </row>
    <row r="17" spans="2:12" x14ac:dyDescent="0.2">
      <c r="B17" s="11"/>
      <c r="C17" s="40" t="str">
        <f>""</f>
        <v/>
      </c>
      <c r="D17" s="40" t="str">
        <f>""</f>
        <v/>
      </c>
      <c r="E17" s="40" t="str">
        <f>""</f>
        <v/>
      </c>
      <c r="F17" s="40" t="str">
        <f>""</f>
        <v/>
      </c>
      <c r="G17" s="40" t="str">
        <f>""</f>
        <v/>
      </c>
      <c r="H17" s="40" t="str">
        <f>"[0.025]"</f>
        <v>[0.025]</v>
      </c>
      <c r="I17" s="40" t="str">
        <f>""</f>
        <v/>
      </c>
      <c r="J17" s="40" t="str">
        <f>""</f>
        <v/>
      </c>
      <c r="K17" s="40" t="str">
        <f>""</f>
        <v/>
      </c>
      <c r="L17" s="40" t="str">
        <f>""</f>
        <v/>
      </c>
    </row>
    <row r="18" spans="2:12" x14ac:dyDescent="0.2">
      <c r="B18" s="11" t="str">
        <f>"Destruction of house (yes=1) for a household in a given year"</f>
        <v>Destruction of house (yes=1) for a household in a given year</v>
      </c>
      <c r="C18" s="40" t="str">
        <f>""</f>
        <v/>
      </c>
      <c r="D18" s="40" t="str">
        <f>""</f>
        <v/>
      </c>
      <c r="E18" s="40" t="str">
        <f>""</f>
        <v/>
      </c>
      <c r="F18" s="40" t="str">
        <f>""</f>
        <v/>
      </c>
      <c r="G18" s="40" t="str">
        <f>""</f>
        <v/>
      </c>
      <c r="H18" s="40" t="str">
        <f>""</f>
        <v/>
      </c>
      <c r="I18" s="40" t="str">
        <f>"0.039"</f>
        <v>0.039</v>
      </c>
      <c r="J18" s="40" t="str">
        <f>""</f>
        <v/>
      </c>
      <c r="K18" s="40" t="str">
        <f>""</f>
        <v/>
      </c>
      <c r="L18" s="40" t="str">
        <f>""</f>
        <v/>
      </c>
    </row>
    <row r="19" spans="2:12" x14ac:dyDescent="0.2">
      <c r="B19" s="11"/>
      <c r="C19" s="40" t="str">
        <f>""</f>
        <v/>
      </c>
      <c r="D19" s="40" t="str">
        <f>""</f>
        <v/>
      </c>
      <c r="E19" s="40" t="str">
        <f>""</f>
        <v/>
      </c>
      <c r="F19" s="40" t="str">
        <f>""</f>
        <v/>
      </c>
      <c r="G19" s="40" t="str">
        <f>""</f>
        <v/>
      </c>
      <c r="H19" s="40" t="str">
        <f>""</f>
        <v/>
      </c>
      <c r="I19" s="40" t="str">
        <f>"[0.034]"</f>
        <v>[0.034]</v>
      </c>
      <c r="J19" s="40" t="str">
        <f>""</f>
        <v/>
      </c>
      <c r="K19" s="40" t="str">
        <f>""</f>
        <v/>
      </c>
      <c r="L19" s="40" t="str">
        <f>""</f>
        <v/>
      </c>
    </row>
    <row r="20" spans="2:12" x14ac:dyDescent="0.2">
      <c r="B20" s="15" t="s">
        <v>18</v>
      </c>
      <c r="C20" s="40" t="str">
        <f>""</f>
        <v/>
      </c>
      <c r="D20" s="40" t="str">
        <f>""</f>
        <v/>
      </c>
      <c r="E20" s="40" t="str">
        <f>""</f>
        <v/>
      </c>
      <c r="F20" s="40" t="str">
        <f>""</f>
        <v/>
      </c>
      <c r="G20" s="40" t="str">
        <f>""</f>
        <v/>
      </c>
      <c r="H20" s="40" t="str">
        <f>""</f>
        <v/>
      </c>
      <c r="I20" s="40" t="str">
        <f>""</f>
        <v/>
      </c>
      <c r="J20" s="40" t="str">
        <f>"-0.004"</f>
        <v>-0.004</v>
      </c>
      <c r="K20" s="40" t="str">
        <f>""</f>
        <v/>
      </c>
      <c r="L20" s="40" t="str">
        <f>""</f>
        <v/>
      </c>
    </row>
    <row r="21" spans="2:12" x14ac:dyDescent="0.2">
      <c r="C21" s="40" t="str">
        <f>""</f>
        <v/>
      </c>
      <c r="D21" s="40" t="str">
        <f>""</f>
        <v/>
      </c>
      <c r="E21" s="40" t="str">
        <f>""</f>
        <v/>
      </c>
      <c r="F21" s="40" t="str">
        <f>""</f>
        <v/>
      </c>
      <c r="G21" s="40" t="str">
        <f>""</f>
        <v/>
      </c>
      <c r="H21" s="40" t="str">
        <f>""</f>
        <v/>
      </c>
      <c r="I21" s="40" t="str">
        <f>""</f>
        <v/>
      </c>
      <c r="J21" s="40" t="str">
        <f>"[0.004]"</f>
        <v>[0.004]</v>
      </c>
      <c r="K21" s="40" t="str">
        <f>""</f>
        <v/>
      </c>
      <c r="L21" s="40" t="str">
        <f>""</f>
        <v/>
      </c>
    </row>
    <row r="22" spans="2:12" x14ac:dyDescent="0.2">
      <c r="B22" s="15" t="s">
        <v>19</v>
      </c>
      <c r="C22" s="40" t="str">
        <f>""</f>
        <v/>
      </c>
      <c r="D22" s="40" t="str">
        <f>""</f>
        <v/>
      </c>
      <c r="E22" s="40" t="str">
        <f>""</f>
        <v/>
      </c>
      <c r="F22" s="40" t="str">
        <f>""</f>
        <v/>
      </c>
      <c r="G22" s="40" t="str">
        <f>""</f>
        <v/>
      </c>
      <c r="H22" s="40" t="str">
        <f>""</f>
        <v/>
      </c>
      <c r="I22" s="40" t="str">
        <f>""</f>
        <v/>
      </c>
      <c r="J22" s="40" t="str">
        <f>""</f>
        <v/>
      </c>
      <c r="K22" s="40" t="str">
        <f>"0.008**"</f>
        <v>0.008**</v>
      </c>
      <c r="L22" s="40" t="str">
        <f>""</f>
        <v/>
      </c>
    </row>
    <row r="23" spans="2:12" x14ac:dyDescent="0.2">
      <c r="B23" s="15"/>
      <c r="C23" s="40" t="str">
        <f>""</f>
        <v/>
      </c>
      <c r="D23" s="40" t="str">
        <f>""</f>
        <v/>
      </c>
      <c r="E23" s="40" t="str">
        <f>""</f>
        <v/>
      </c>
      <c r="F23" s="40" t="str">
        <f>""</f>
        <v/>
      </c>
      <c r="G23" s="40" t="str">
        <f>""</f>
        <v/>
      </c>
      <c r="H23" s="40" t="str">
        <f>""</f>
        <v/>
      </c>
      <c r="I23" s="40" t="str">
        <f>""</f>
        <v/>
      </c>
      <c r="J23" s="40" t="str">
        <f>""</f>
        <v/>
      </c>
      <c r="K23" s="40" t="str">
        <f>"[0.003]"</f>
        <v>[0.003]</v>
      </c>
      <c r="L23" s="40" t="str">
        <f>""</f>
        <v/>
      </c>
    </row>
    <row r="24" spans="2:12" x14ac:dyDescent="0.2">
      <c r="B24" s="15" t="s">
        <v>17</v>
      </c>
      <c r="C24" s="40" t="str">
        <f>""</f>
        <v/>
      </c>
      <c r="D24" s="40" t="str">
        <f>""</f>
        <v/>
      </c>
      <c r="E24" s="40" t="str">
        <f>""</f>
        <v/>
      </c>
      <c r="F24" s="40" t="str">
        <f>""</f>
        <v/>
      </c>
      <c r="G24" s="40" t="str">
        <f>""</f>
        <v/>
      </c>
      <c r="H24" s="40" t="str">
        <f>""</f>
        <v/>
      </c>
      <c r="I24" s="40" t="str">
        <f>""</f>
        <v/>
      </c>
      <c r="J24" s="40" t="str">
        <f>""</f>
        <v/>
      </c>
      <c r="K24" s="40" t="str">
        <f>""</f>
        <v/>
      </c>
      <c r="L24" s="40" t="str">
        <f>"0.005"</f>
        <v>0.005</v>
      </c>
    </row>
    <row r="25" spans="2:12" x14ac:dyDescent="0.2">
      <c r="C25" s="40" t="str">
        <f>""</f>
        <v/>
      </c>
      <c r="D25" s="40" t="str">
        <f>""</f>
        <v/>
      </c>
      <c r="E25" s="40" t="str">
        <f>""</f>
        <v/>
      </c>
      <c r="F25" s="40" t="str">
        <f>""</f>
        <v/>
      </c>
      <c r="G25" s="40" t="str">
        <f>""</f>
        <v/>
      </c>
      <c r="H25" s="40" t="str">
        <f>""</f>
        <v/>
      </c>
      <c r="I25" s="40" t="str">
        <f>""</f>
        <v/>
      </c>
      <c r="J25" s="40" t="str">
        <f>""</f>
        <v/>
      </c>
      <c r="K25" s="40" t="str">
        <f>""</f>
        <v/>
      </c>
      <c r="L25" s="40" t="str">
        <f>"[0.003]"</f>
        <v>[0.003]</v>
      </c>
    </row>
    <row r="26" spans="2:12" x14ac:dyDescent="0.2">
      <c r="B26" s="16" t="s">
        <v>22</v>
      </c>
      <c r="C26" s="45" t="str">
        <f t="shared" ref="C26:L26" si="0">"8720"</f>
        <v>8720</v>
      </c>
      <c r="D26" s="45" t="str">
        <f t="shared" si="0"/>
        <v>8720</v>
      </c>
      <c r="E26" s="45" t="str">
        <f t="shared" si="0"/>
        <v>8720</v>
      </c>
      <c r="F26" s="45" t="str">
        <f t="shared" si="0"/>
        <v>8720</v>
      </c>
      <c r="G26" s="45" t="str">
        <f t="shared" si="0"/>
        <v>8720</v>
      </c>
      <c r="H26" s="45" t="str">
        <f t="shared" si="0"/>
        <v>8720</v>
      </c>
      <c r="I26" s="45" t="str">
        <f t="shared" si="0"/>
        <v>8720</v>
      </c>
      <c r="J26" s="45" t="str">
        <f t="shared" si="0"/>
        <v>8720</v>
      </c>
      <c r="K26" s="45" t="str">
        <f t="shared" si="0"/>
        <v>8720</v>
      </c>
      <c r="L26" s="45" t="str">
        <f t="shared" si="0"/>
        <v>8720</v>
      </c>
    </row>
    <row r="27" spans="2:12" x14ac:dyDescent="0.2">
      <c r="B27" s="18" t="s">
        <v>23</v>
      </c>
      <c r="C27" s="40" t="str">
        <f t="shared" ref="C27:L27" si="1">"0.099"</f>
        <v>0.099</v>
      </c>
      <c r="D27" s="40" t="str">
        <f t="shared" si="1"/>
        <v>0.099</v>
      </c>
      <c r="E27" s="40" t="str">
        <f t="shared" si="1"/>
        <v>0.099</v>
      </c>
      <c r="F27" s="40" t="str">
        <f t="shared" si="1"/>
        <v>0.099</v>
      </c>
      <c r="G27" s="40" t="str">
        <f t="shared" si="1"/>
        <v>0.099</v>
      </c>
      <c r="H27" s="40" t="str">
        <f t="shared" si="1"/>
        <v>0.099</v>
      </c>
      <c r="I27" s="40" t="str">
        <f t="shared" si="1"/>
        <v>0.099</v>
      </c>
      <c r="J27" s="40" t="str">
        <f t="shared" si="1"/>
        <v>0.099</v>
      </c>
      <c r="K27" s="40" t="str">
        <f t="shared" si="1"/>
        <v>0.099</v>
      </c>
      <c r="L27" s="40" t="str">
        <f t="shared" si="1"/>
        <v>0.099</v>
      </c>
    </row>
    <row r="28" spans="2:12" x14ac:dyDescent="0.2">
      <c r="B28" s="18" t="s">
        <v>51</v>
      </c>
      <c r="C28" s="21" t="s">
        <v>25</v>
      </c>
      <c r="D28" s="21" t="s">
        <v>25</v>
      </c>
      <c r="E28" s="21" t="s">
        <v>25</v>
      </c>
      <c r="F28" s="21" t="s">
        <v>25</v>
      </c>
      <c r="G28" s="21" t="s">
        <v>25</v>
      </c>
      <c r="H28" s="21" t="s">
        <v>25</v>
      </c>
      <c r="I28" s="21" t="s">
        <v>25</v>
      </c>
      <c r="J28" s="21" t="s">
        <v>25</v>
      </c>
      <c r="K28" s="21" t="s">
        <v>25</v>
      </c>
      <c r="L28" s="21" t="s">
        <v>25</v>
      </c>
    </row>
    <row r="29" spans="2:12" x14ac:dyDescent="0.2">
      <c r="B29" s="20" t="s">
        <v>26</v>
      </c>
      <c r="C29" s="21" t="s">
        <v>25</v>
      </c>
      <c r="D29" s="21" t="s">
        <v>25</v>
      </c>
      <c r="E29" s="21" t="s">
        <v>25</v>
      </c>
      <c r="F29" s="21" t="s">
        <v>25</v>
      </c>
      <c r="G29" s="21" t="s">
        <v>25</v>
      </c>
      <c r="H29" s="21" t="s">
        <v>25</v>
      </c>
      <c r="I29" s="21" t="s">
        <v>25</v>
      </c>
      <c r="J29" s="21" t="s">
        <v>25</v>
      </c>
      <c r="K29" s="21" t="s">
        <v>25</v>
      </c>
      <c r="L29" s="21" t="s">
        <v>25</v>
      </c>
    </row>
    <row r="30" spans="2:12" x14ac:dyDescent="0.2">
      <c r="B30" s="22" t="s">
        <v>27</v>
      </c>
      <c r="C30" s="23" t="s">
        <v>25</v>
      </c>
      <c r="D30" s="23" t="s">
        <v>25</v>
      </c>
      <c r="E30" s="23" t="s">
        <v>25</v>
      </c>
      <c r="F30" s="23" t="s">
        <v>25</v>
      </c>
      <c r="G30" s="23" t="s">
        <v>25</v>
      </c>
      <c r="H30" s="23" t="s">
        <v>25</v>
      </c>
      <c r="I30" s="23" t="s">
        <v>25</v>
      </c>
      <c r="J30" s="23" t="s">
        <v>25</v>
      </c>
      <c r="K30" s="23" t="s">
        <v>25</v>
      </c>
      <c r="L30" s="23" t="s">
        <v>25</v>
      </c>
    </row>
    <row r="31" spans="2:12" ht="93" customHeight="1" x14ac:dyDescent="0.2">
      <c r="B31" s="75" t="s">
        <v>54</v>
      </c>
      <c r="C31" s="75"/>
      <c r="D31" s="75"/>
      <c r="E31" s="75"/>
      <c r="F31" s="75"/>
      <c r="G31" s="75"/>
      <c r="H31" s="75"/>
      <c r="I31" s="75"/>
      <c r="J31" s="75"/>
      <c r="K31" s="75"/>
      <c r="L31" s="75"/>
    </row>
  </sheetData>
  <mergeCells count="2">
    <mergeCell ref="B2:L2"/>
    <mergeCell ref="B31:L31"/>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Appendix_Outline</vt:lpstr>
      <vt:lpstr>Table A1</vt:lpstr>
      <vt:lpstr>Table A2</vt:lpstr>
      <vt:lpstr>Table A3</vt:lpstr>
      <vt:lpstr>Table A4</vt:lpstr>
      <vt:lpstr>Table A5</vt:lpstr>
      <vt:lpstr>Table A6</vt:lpstr>
      <vt:lpstr>Table A7</vt:lpstr>
      <vt:lpstr>Table A8</vt:lpstr>
      <vt:lpstr>Table A9</vt:lpstr>
      <vt:lpstr>Table A10</vt:lpstr>
      <vt:lpstr>Table A11</vt:lpstr>
      <vt:lpstr>Table A12</vt:lpstr>
      <vt:lpstr>Table A13</vt:lpstr>
      <vt:lpstr>Table A14</vt:lpstr>
      <vt:lpstr>Table A15</vt:lpstr>
      <vt:lpstr>Table A16</vt:lpstr>
      <vt:lpstr>Table A17</vt:lpstr>
      <vt:lpstr>Table A18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Muñoz-Mora</dc:creator>
  <cp:lastModifiedBy>Juan Carlos Muñoz-Mora</cp:lastModifiedBy>
  <dcterms:created xsi:type="dcterms:W3CDTF">2018-02-07T11:59:10Z</dcterms:created>
  <dcterms:modified xsi:type="dcterms:W3CDTF">2018-05-30T12:01:52Z</dcterms:modified>
</cp:coreProperties>
</file>